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10" windowWidth="15600" windowHeight="7875" tabRatio="885" firstSheet="8" activeTab="13"/>
  </bookViews>
  <sheets>
    <sheet name="Income satatement" sheetId="1" r:id="rId1"/>
    <sheet name="Balance sheet" sheetId="2" r:id="rId2"/>
    <sheet name="Business risk" sheetId="9" r:id="rId3"/>
    <sheet name="Financial risk" sheetId="10" r:id="rId4"/>
    <sheet name="Z-Score" sheetId="11" r:id="rId5"/>
    <sheet name="Calculation High Yield" sheetId="3" r:id="rId6"/>
    <sheet name="Calculation equity" sheetId="23" r:id="rId7"/>
    <sheet name="Calculation convertible " sheetId="17" r:id="rId8"/>
    <sheet name="non convertible 1" sheetId="29" r:id="rId9"/>
    <sheet name="WACC" sheetId="4" r:id="rId10"/>
    <sheet name="CB_DATA_" sheetId="16" state="veryHidden" r:id="rId11"/>
    <sheet name="Valuation High" sheetId="21" r:id="rId12"/>
    <sheet name="Crystal ball High" sheetId="22" r:id="rId13"/>
    <sheet name="Valuation equity" sheetId="25" r:id="rId14"/>
    <sheet name="Valuation convertible" sheetId="27" r:id="rId15"/>
    <sheet name="valuation non-convertible" sheetId="30" r:id="rId16"/>
    <sheet name="Country risk" sheetId="31" r:id="rId17"/>
  </sheets>
  <definedNames>
    <definedName name="CB_00ef57d018ed466f9ee39cf5232cbe3b" localSheetId="10" hidden="1">#N/A</definedName>
    <definedName name="CB_124bd06883fd4883af8c43d27d16b822" localSheetId="12" hidden="1">'Crystal ball High'!$H$14</definedName>
    <definedName name="CB_1d990c42b62241be8f190b6e987ce6d0" localSheetId="12" hidden="1">'Crystal ball High'!$B$3</definedName>
    <definedName name="CB_310d2e133d1d4e4f8f0319a25eee9655" localSheetId="10" hidden="1">#N/A</definedName>
    <definedName name="CB_34f067fd41a14df2936476ac58c7284b" localSheetId="10" hidden="1">#N/A</definedName>
    <definedName name="CB_4c68f3af13fd4deba4c697e5f6441e66" localSheetId="12" hidden="1">'Crystal ball High'!$B$6</definedName>
    <definedName name="CB_50941c0fadec46698541ec4d18a0066c" localSheetId="12" hidden="1">'Crystal ball High'!$H$12</definedName>
    <definedName name="CB_5da2c40d9163424483ea6c7f5d79417d" localSheetId="10" hidden="1">#N/A</definedName>
    <definedName name="CB_618c0bbdf38d4acc8e0cc958806072be" localSheetId="12" hidden="1">'Crystal ball High'!$B$29</definedName>
    <definedName name="CB_ba297742c2b34537bdedf489ac720c42" localSheetId="10" hidden="1">#N/A</definedName>
    <definedName name="CB_Block_00000000000000000000000000000000" localSheetId="10" hidden="1">"'7.0.0.0"</definedName>
    <definedName name="CB_Block_00000000000000000000000000000000" localSheetId="12" hidden="1">"'7.0.0.0"</definedName>
    <definedName name="CB_Block_00000000000000000000000000000001" localSheetId="10" hidden="1">"'636236751667868183"</definedName>
    <definedName name="CB_Block_00000000000000000000000000000001" localSheetId="12" hidden="1">"'636236751668180184"</definedName>
    <definedName name="CB_Block_00000000000000000000000000000001" localSheetId="11" hidden="1">"'636236285174273472"</definedName>
    <definedName name="CB_Block_00000000000000000000000000000003" localSheetId="10" hidden="1">"'11.1.4512.0"</definedName>
    <definedName name="CB_Block_00000000000000000000000000000003" localSheetId="12" hidden="1">"'11.1.4512.0"</definedName>
    <definedName name="CB_BlockExt_00000000000000000000000000000003" localSheetId="10" hidden="1">"'11.1.2.4.600"</definedName>
    <definedName name="CB_BlockExt_00000000000000000000000000000003" localSheetId="12" hidden="1">"'11.1.2.4.600"</definedName>
    <definedName name="CB_ca9f4dd1b47c426d907376271ade6eff" localSheetId="12" hidden="1">'Crystal ball High'!$B$5</definedName>
    <definedName name="CB_ff421d7c97ec432da37b77953dc03ac9" localSheetId="10" hidden="1">#N/A</definedName>
    <definedName name="CBCR_1208e1324d834e2da6af8e70fabed936" localSheetId="12" hidden="1">'Crystal ball High'!$M$12</definedName>
    <definedName name="CBCR_30a0011aebe5423ab6ecda876ad56ac7" localSheetId="12" hidden="1">'Crystal ball High'!$L$14</definedName>
    <definedName name="CBCR_61751ddb238a4b7080dd5f3030d69c29" localSheetId="12" hidden="1">'Crystal ball High'!$M$14</definedName>
    <definedName name="CBCR_9b92479b55f243419b331fedee036439" localSheetId="12" hidden="1">'Crystal ball High'!$L$12</definedName>
    <definedName name="CBWorkbookPriority" localSheetId="10" hidden="1">-1558857879</definedName>
    <definedName name="CBx_01b29cad7364449f848ffb3c776bc086" localSheetId="10" hidden="1">"'CB_DATA_'!$A$1"</definedName>
    <definedName name="CBx_2845769f0a8f4a1cbe824b9e64adcafb" localSheetId="10" hidden="1">"'Crystal ball High'!$A$1"</definedName>
    <definedName name="CBx_36b27b43f9e74834adf1247edab32ab9" localSheetId="10" hidden="1">"'Crystal Ball'!$A$1"</definedName>
    <definedName name="CBx_374a560e0de44922b99827cb4f6a14e8" localSheetId="10" hidden="1">"'Issuing Bonds'!$A$1"</definedName>
    <definedName name="CBx_3a636bceeedf45e6b2c10d30f8dbb11c" localSheetId="10" hidden="1">"'Valuation'!$A$1"</definedName>
    <definedName name="CBx_67300caae3fe4325bc1fbb2b8e3a53f9" localSheetId="10" hidden="1">"'SIZeS Issuing'!$A$1"</definedName>
    <definedName name="CBx_c8257d7c65a84194bb47fc691d80f8d8" localSheetId="10" hidden="1">"'Issueance of Shares'!$A$1"</definedName>
    <definedName name="CBx_Sheet_Guid" localSheetId="10" hidden="1">"'01b29cad-7364-449f-848f-fb3c776bc086"</definedName>
    <definedName name="CBx_Sheet_Guid" localSheetId="12" hidden="1">"'2845769f-0a8f-4a1c-be82-4b9e64adcafb"</definedName>
    <definedName name="CBx_SheetRef" localSheetId="10" hidden="1">CB_DATA_!$A$14</definedName>
    <definedName name="CBx_SheetRef" localSheetId="12" hidden="1">CB_DATA_!$G$14</definedName>
    <definedName name="CBx_StorageType" localSheetId="10" hidden="1">2</definedName>
    <definedName name="CBx_StorageType" localSheetId="12" hidden="1">2</definedName>
  </definedNames>
  <calcPr calcId="124519" concurrentCalc="0"/>
</workbook>
</file>

<file path=xl/calcChain.xml><?xml version="1.0" encoding="utf-8"?>
<calcChain xmlns="http://schemas.openxmlformats.org/spreadsheetml/2006/main">
  <c r="B65" i="31"/>
  <c r="B57"/>
  <c r="C67"/>
  <c r="C65"/>
  <c r="C57"/>
  <c r="C15"/>
  <c r="B15"/>
  <c r="C14"/>
  <c r="C13"/>
  <c r="C12"/>
  <c r="C11"/>
  <c r="C10"/>
  <c r="C9"/>
  <c r="C8"/>
  <c r="C7"/>
  <c r="C6"/>
  <c r="C5"/>
  <c r="C4"/>
  <c r="C3"/>
  <c r="G32" i="30"/>
  <c r="B29"/>
  <c r="B28"/>
  <c r="B27"/>
  <c r="B26"/>
  <c r="B25"/>
  <c r="B24"/>
  <c r="J22"/>
  <c r="I22"/>
  <c r="H22"/>
  <c r="G22"/>
  <c r="F22"/>
  <c r="E22"/>
  <c r="I21"/>
  <c r="H21"/>
  <c r="G21"/>
  <c r="F21"/>
  <c r="E21"/>
  <c r="D21"/>
  <c r="C21"/>
  <c r="B21"/>
  <c r="I20"/>
  <c r="H20"/>
  <c r="G20"/>
  <c r="F20"/>
  <c r="E20"/>
  <c r="D20"/>
  <c r="C20"/>
  <c r="B20"/>
  <c r="I19"/>
  <c r="H19"/>
  <c r="G19"/>
  <c r="F19"/>
  <c r="E19"/>
  <c r="D19"/>
  <c r="C19"/>
  <c r="I18"/>
  <c r="H18"/>
  <c r="G18"/>
  <c r="F18"/>
  <c r="E18"/>
  <c r="D18"/>
  <c r="C18"/>
  <c r="B18"/>
  <c r="I17" a="1"/>
  <c r="I17"/>
  <c r="H17" a="1"/>
  <c r="H17"/>
  <c r="G17" a="1"/>
  <c r="G17"/>
  <c r="F17" a="1"/>
  <c r="F17"/>
  <c r="E17" a="1"/>
  <c r="E17"/>
  <c r="D17" a="1"/>
  <c r="D17"/>
  <c r="C17" a="1"/>
  <c r="C17"/>
  <c r="B17" a="1"/>
  <c r="B17"/>
  <c r="I16"/>
  <c r="H16"/>
  <c r="G16"/>
  <c r="F16"/>
  <c r="E16"/>
  <c r="D16"/>
  <c r="C16"/>
  <c r="B16"/>
  <c r="I14"/>
  <c r="H14"/>
  <c r="G14"/>
  <c r="F14"/>
  <c r="E14"/>
  <c r="D14"/>
  <c r="C14"/>
  <c r="B14"/>
  <c r="I12"/>
  <c r="H12"/>
  <c r="G12"/>
  <c r="F12"/>
  <c r="E12"/>
  <c r="D12"/>
  <c r="C12"/>
  <c r="B12"/>
  <c r="B6"/>
  <c r="B29" i="27"/>
  <c r="B28"/>
  <c r="B27"/>
  <c r="B26"/>
  <c r="B25"/>
  <c r="B24"/>
  <c r="J22"/>
  <c r="I22"/>
  <c r="H22"/>
  <c r="G22"/>
  <c r="F22"/>
  <c r="E22"/>
  <c r="I21"/>
  <c r="H21"/>
  <c r="G21"/>
  <c r="F21"/>
  <c r="E21"/>
  <c r="D21"/>
  <c r="C21"/>
  <c r="B21"/>
  <c r="I20"/>
  <c r="H20"/>
  <c r="G20"/>
  <c r="F20"/>
  <c r="E20"/>
  <c r="D20"/>
  <c r="C20"/>
  <c r="B20"/>
  <c r="I19"/>
  <c r="H19"/>
  <c r="G19"/>
  <c r="F19"/>
  <c r="E19"/>
  <c r="D19"/>
  <c r="C19"/>
  <c r="I18"/>
  <c r="H18"/>
  <c r="G18"/>
  <c r="F18"/>
  <c r="E18"/>
  <c r="D18"/>
  <c r="C18"/>
  <c r="B18"/>
  <c r="I17" a="1"/>
  <c r="I17"/>
  <c r="H17" a="1"/>
  <c r="H17"/>
  <c r="G17" a="1"/>
  <c r="G17"/>
  <c r="F17" a="1"/>
  <c r="F17"/>
  <c r="E17" a="1"/>
  <c r="E17"/>
  <c r="D17" a="1"/>
  <c r="D17"/>
  <c r="C17" a="1"/>
  <c r="C17"/>
  <c r="B17" a="1"/>
  <c r="B17"/>
  <c r="I16"/>
  <c r="H16"/>
  <c r="G16"/>
  <c r="F16"/>
  <c r="E16"/>
  <c r="D16"/>
  <c r="C16"/>
  <c r="B16"/>
  <c r="I14"/>
  <c r="H14"/>
  <c r="G14"/>
  <c r="F14"/>
  <c r="E14"/>
  <c r="D14"/>
  <c r="C14"/>
  <c r="B14"/>
  <c r="I12"/>
  <c r="H12"/>
  <c r="G12"/>
  <c r="F12"/>
  <c r="E12"/>
  <c r="D12"/>
  <c r="C12"/>
  <c r="B12"/>
  <c r="B6"/>
  <c r="B29" i="25"/>
  <c r="B28"/>
  <c r="B27"/>
  <c r="B26"/>
  <c r="B25"/>
  <c r="B24"/>
  <c r="J22"/>
  <c r="I22"/>
  <c r="H22"/>
  <c r="G22"/>
  <c r="F22"/>
  <c r="E22"/>
  <c r="I21"/>
  <c r="H21"/>
  <c r="G21"/>
  <c r="F21"/>
  <c r="E21"/>
  <c r="D21"/>
  <c r="C21"/>
  <c r="B21"/>
  <c r="I20"/>
  <c r="H20"/>
  <c r="G20"/>
  <c r="F20"/>
  <c r="E20"/>
  <c r="D20"/>
  <c r="C20"/>
  <c r="B20"/>
  <c r="I19"/>
  <c r="H19"/>
  <c r="G19"/>
  <c r="F19"/>
  <c r="E19"/>
  <c r="D19"/>
  <c r="C19"/>
  <c r="I18"/>
  <c r="H18"/>
  <c r="G18"/>
  <c r="F18"/>
  <c r="E18"/>
  <c r="D18"/>
  <c r="C18"/>
  <c r="B18"/>
  <c r="I17" a="1"/>
  <c r="I17"/>
  <c r="H17" a="1"/>
  <c r="H17"/>
  <c r="G17" a="1"/>
  <c r="G17"/>
  <c r="F17" a="1"/>
  <c r="F17"/>
  <c r="E17" a="1"/>
  <c r="E17"/>
  <c r="D17" a="1"/>
  <c r="D17"/>
  <c r="C17" a="1"/>
  <c r="C17"/>
  <c r="B17" a="1"/>
  <c r="B17"/>
  <c r="I16"/>
  <c r="H16"/>
  <c r="G16"/>
  <c r="F16"/>
  <c r="E16"/>
  <c r="D16"/>
  <c r="C16"/>
  <c r="B16"/>
  <c r="I14"/>
  <c r="H14"/>
  <c r="G14"/>
  <c r="F14"/>
  <c r="E14"/>
  <c r="D14"/>
  <c r="C14"/>
  <c r="B14"/>
  <c r="I12"/>
  <c r="H12"/>
  <c r="G12"/>
  <c r="F12"/>
  <c r="E12"/>
  <c r="D12"/>
  <c r="C12"/>
  <c r="B12"/>
  <c r="B6"/>
  <c r="E17" i="22"/>
  <c r="E21"/>
  <c r="E22"/>
  <c r="F17"/>
  <c r="F21"/>
  <c r="F22"/>
  <c r="H16"/>
  <c r="H17"/>
  <c r="H21"/>
  <c r="H22"/>
  <c r="I17"/>
  <c r="I21"/>
  <c r="I22"/>
  <c r="J17"/>
  <c r="J21"/>
  <c r="J22"/>
  <c r="K22"/>
  <c r="B24"/>
  <c r="B27"/>
  <c r="B29"/>
  <c r="B28"/>
  <c r="B26"/>
  <c r="B25"/>
  <c r="D17"/>
  <c r="D21"/>
  <c r="C17"/>
  <c r="C21"/>
  <c r="B17"/>
  <c r="B21"/>
  <c r="J16"/>
  <c r="I16"/>
  <c r="F16"/>
  <c r="E16"/>
  <c r="D16"/>
  <c r="C16"/>
  <c r="B16"/>
  <c r="B29" i="21"/>
  <c r="B28"/>
  <c r="B27"/>
  <c r="B26"/>
  <c r="B25"/>
  <c r="B24"/>
  <c r="J22"/>
  <c r="I22"/>
  <c r="H22"/>
  <c r="G22"/>
  <c r="F22"/>
  <c r="E22"/>
  <c r="I21"/>
  <c r="H21"/>
  <c r="G21"/>
  <c r="F21"/>
  <c r="E21"/>
  <c r="D21"/>
  <c r="C21"/>
  <c r="B21"/>
  <c r="I20"/>
  <c r="H20"/>
  <c r="G20"/>
  <c r="F20"/>
  <c r="E20"/>
  <c r="D20"/>
  <c r="C20"/>
  <c r="B20"/>
  <c r="I19"/>
  <c r="H19"/>
  <c r="G19"/>
  <c r="F19"/>
  <c r="E19"/>
  <c r="D19"/>
  <c r="C19"/>
  <c r="I18"/>
  <c r="H18"/>
  <c r="G18"/>
  <c r="F18"/>
  <c r="E18"/>
  <c r="D18"/>
  <c r="C18"/>
  <c r="B18"/>
  <c r="I17" a="1"/>
  <c r="I17"/>
  <c r="H17" a="1"/>
  <c r="H17"/>
  <c r="G17" a="1"/>
  <c r="G17"/>
  <c r="F17" a="1"/>
  <c r="F17"/>
  <c r="E17" a="1"/>
  <c r="E17"/>
  <c r="D17" a="1"/>
  <c r="D17"/>
  <c r="C17" a="1"/>
  <c r="C17"/>
  <c r="B17" a="1"/>
  <c r="B17"/>
  <c r="I16"/>
  <c r="H16"/>
  <c r="G16"/>
  <c r="F16"/>
  <c r="E16"/>
  <c r="D16"/>
  <c r="C16"/>
  <c r="B16"/>
  <c r="I14"/>
  <c r="H14"/>
  <c r="G14"/>
  <c r="F14"/>
  <c r="E14"/>
  <c r="D14"/>
  <c r="C14"/>
  <c r="B14"/>
  <c r="I12"/>
  <c r="H12"/>
  <c r="G12"/>
  <c r="F12"/>
  <c r="E12"/>
  <c r="D12"/>
  <c r="C12"/>
  <c r="B12"/>
  <c r="B6"/>
  <c r="G11" i="16"/>
  <c r="A11"/>
  <c r="P2"/>
  <c r="B65" i="4"/>
  <c r="B64"/>
  <c r="B63"/>
  <c r="B62"/>
  <c r="B61"/>
  <c r="B60"/>
  <c r="B59"/>
  <c r="B58"/>
  <c r="B57"/>
  <c r="B56"/>
  <c r="B55"/>
  <c r="B54"/>
  <c r="B53"/>
  <c r="B50"/>
  <c r="B48"/>
  <c r="B47"/>
  <c r="B46"/>
  <c r="B45"/>
  <c r="B44"/>
  <c r="B43"/>
  <c r="B42"/>
  <c r="B41"/>
  <c r="B40"/>
  <c r="B39"/>
  <c r="B38"/>
  <c r="B37"/>
  <c r="B36"/>
  <c r="B32"/>
  <c r="B31"/>
  <c r="B30"/>
  <c r="B29"/>
  <c r="B28"/>
  <c r="B27"/>
  <c r="B26"/>
  <c r="B25"/>
  <c r="B24"/>
  <c r="B23"/>
  <c r="B22"/>
  <c r="B21"/>
  <c r="B20"/>
  <c r="B16"/>
  <c r="B14"/>
  <c r="B13"/>
  <c r="B12"/>
  <c r="B11"/>
  <c r="B10"/>
  <c r="B9"/>
  <c r="B8"/>
  <c r="B7"/>
  <c r="B6"/>
  <c r="F36" i="29"/>
  <c r="E36"/>
  <c r="D36"/>
  <c r="C36"/>
  <c r="B36"/>
  <c r="B32"/>
  <c r="J28"/>
  <c r="I28"/>
  <c r="H28"/>
  <c r="G28"/>
  <c r="F28"/>
  <c r="D28"/>
  <c r="C28"/>
  <c r="J27"/>
  <c r="I27"/>
  <c r="H27"/>
  <c r="G27"/>
  <c r="F27"/>
  <c r="D27"/>
  <c r="C27"/>
  <c r="B27"/>
  <c r="F23"/>
  <c r="J22"/>
  <c r="I22"/>
  <c r="H22"/>
  <c r="G22"/>
  <c r="F22"/>
  <c r="E22"/>
  <c r="J21"/>
  <c r="I21"/>
  <c r="H21"/>
  <c r="G21"/>
  <c r="F21"/>
  <c r="I19"/>
  <c r="H19"/>
  <c r="I18"/>
  <c r="F17"/>
  <c r="J16"/>
  <c r="I16"/>
  <c r="H16"/>
  <c r="G16"/>
  <c r="F16"/>
  <c r="D16"/>
  <c r="J15"/>
  <c r="I15"/>
  <c r="H15"/>
  <c r="G15"/>
  <c r="F15"/>
  <c r="D15"/>
  <c r="J14"/>
  <c r="I14"/>
  <c r="H14"/>
  <c r="G14"/>
  <c r="F14"/>
  <c r="D14"/>
  <c r="C14"/>
  <c r="B14"/>
  <c r="J13"/>
  <c r="I13"/>
  <c r="H13"/>
  <c r="G13"/>
  <c r="F13"/>
  <c r="D13"/>
  <c r="C13"/>
  <c r="B13"/>
  <c r="J12"/>
  <c r="I12"/>
  <c r="H12"/>
  <c r="G12"/>
  <c r="F12"/>
  <c r="D12"/>
  <c r="C12"/>
  <c r="B12"/>
  <c r="H11"/>
  <c r="G11"/>
  <c r="F11"/>
  <c r="D11"/>
  <c r="C11"/>
  <c r="B11"/>
  <c r="J10"/>
  <c r="I10"/>
  <c r="H10"/>
  <c r="G10"/>
  <c r="F10"/>
  <c r="D10"/>
  <c r="C10"/>
  <c r="B10"/>
  <c r="J9"/>
  <c r="I9"/>
  <c r="H9"/>
  <c r="G9"/>
  <c r="F9"/>
  <c r="D9"/>
  <c r="C9"/>
  <c r="B9"/>
  <c r="D7"/>
  <c r="C7"/>
  <c r="B7"/>
  <c r="J6"/>
  <c r="I6"/>
  <c r="H6"/>
  <c r="G6"/>
  <c r="F6"/>
  <c r="D6"/>
  <c r="C6"/>
  <c r="B6"/>
  <c r="J5"/>
  <c r="I5"/>
  <c r="H5"/>
  <c r="G5"/>
  <c r="F5"/>
  <c r="D5"/>
  <c r="C5"/>
  <c r="B5"/>
  <c r="F36" i="17"/>
  <c r="E36"/>
  <c r="D36"/>
  <c r="C36"/>
  <c r="B36"/>
  <c r="B34"/>
  <c r="B32"/>
  <c r="J28"/>
  <c r="I28"/>
  <c r="H28"/>
  <c r="G28"/>
  <c r="F28"/>
  <c r="D28"/>
  <c r="C28"/>
  <c r="J27"/>
  <c r="I27"/>
  <c r="H27"/>
  <c r="G27"/>
  <c r="F27"/>
  <c r="D27"/>
  <c r="C27"/>
  <c r="B27"/>
  <c r="F23"/>
  <c r="J22"/>
  <c r="I22"/>
  <c r="H22"/>
  <c r="G22"/>
  <c r="F22"/>
  <c r="E22"/>
  <c r="J21"/>
  <c r="I21"/>
  <c r="H21"/>
  <c r="G21"/>
  <c r="F21"/>
  <c r="H19"/>
  <c r="F17"/>
  <c r="J16"/>
  <c r="I16"/>
  <c r="H16"/>
  <c r="G16"/>
  <c r="F16"/>
  <c r="D16"/>
  <c r="J15"/>
  <c r="I15"/>
  <c r="H15"/>
  <c r="G15"/>
  <c r="F15"/>
  <c r="D15"/>
  <c r="J14"/>
  <c r="I14"/>
  <c r="H14"/>
  <c r="G14"/>
  <c r="F14"/>
  <c r="D14"/>
  <c r="C14"/>
  <c r="B14"/>
  <c r="J13"/>
  <c r="I13"/>
  <c r="H13"/>
  <c r="G13"/>
  <c r="F13"/>
  <c r="D13"/>
  <c r="C13"/>
  <c r="B13"/>
  <c r="J12"/>
  <c r="I12"/>
  <c r="H12"/>
  <c r="G12"/>
  <c r="F12"/>
  <c r="D12"/>
  <c r="C12"/>
  <c r="B12"/>
  <c r="H11"/>
  <c r="G11"/>
  <c r="F11"/>
  <c r="D11"/>
  <c r="C11"/>
  <c r="B11"/>
  <c r="J10"/>
  <c r="I10"/>
  <c r="H10"/>
  <c r="G10"/>
  <c r="F10"/>
  <c r="D10"/>
  <c r="C10"/>
  <c r="B10"/>
  <c r="J9"/>
  <c r="I9"/>
  <c r="H9"/>
  <c r="G9"/>
  <c r="F9"/>
  <c r="D9"/>
  <c r="C9"/>
  <c r="B9"/>
  <c r="D7"/>
  <c r="C7"/>
  <c r="B7"/>
  <c r="J6"/>
  <c r="I6"/>
  <c r="H6"/>
  <c r="G6"/>
  <c r="F6"/>
  <c r="D6"/>
  <c r="C6"/>
  <c r="B6"/>
  <c r="J5"/>
  <c r="I5"/>
  <c r="H5"/>
  <c r="G5"/>
  <c r="F5"/>
  <c r="D5"/>
  <c r="C5"/>
  <c r="B5"/>
  <c r="F37" i="23"/>
  <c r="E37"/>
  <c r="D37"/>
  <c r="C37"/>
  <c r="B37"/>
  <c r="B32"/>
  <c r="J28"/>
  <c r="I28"/>
  <c r="H28"/>
  <c r="G28"/>
  <c r="F28"/>
  <c r="D28"/>
  <c r="C28"/>
  <c r="J27"/>
  <c r="I27"/>
  <c r="H27"/>
  <c r="G27"/>
  <c r="F27"/>
  <c r="D27"/>
  <c r="C27"/>
  <c r="B27"/>
  <c r="F23"/>
  <c r="J22"/>
  <c r="I22"/>
  <c r="H22"/>
  <c r="G22"/>
  <c r="F22"/>
  <c r="E22"/>
  <c r="J21"/>
  <c r="I21"/>
  <c r="H21"/>
  <c r="G21"/>
  <c r="F21"/>
  <c r="H19"/>
  <c r="F17"/>
  <c r="J16"/>
  <c r="I16"/>
  <c r="H16"/>
  <c r="G16"/>
  <c r="F16"/>
  <c r="D16"/>
  <c r="J15"/>
  <c r="I15"/>
  <c r="H15"/>
  <c r="G15"/>
  <c r="F15"/>
  <c r="D15"/>
  <c r="J14"/>
  <c r="I14"/>
  <c r="H14"/>
  <c r="G14"/>
  <c r="F14"/>
  <c r="D14"/>
  <c r="C14"/>
  <c r="B14"/>
  <c r="J13"/>
  <c r="I13"/>
  <c r="H13"/>
  <c r="G13"/>
  <c r="F13"/>
  <c r="D13"/>
  <c r="C13"/>
  <c r="B13"/>
  <c r="J12"/>
  <c r="I12"/>
  <c r="H12"/>
  <c r="G12"/>
  <c r="F12"/>
  <c r="D12"/>
  <c r="C12"/>
  <c r="B12"/>
  <c r="J11"/>
  <c r="I11"/>
  <c r="H11"/>
  <c r="G11"/>
  <c r="F11"/>
  <c r="D11"/>
  <c r="C11"/>
  <c r="B11"/>
  <c r="J10"/>
  <c r="I10"/>
  <c r="H10"/>
  <c r="G10"/>
  <c r="F10"/>
  <c r="D10"/>
  <c r="C10"/>
  <c r="B10"/>
  <c r="J9"/>
  <c r="I9"/>
  <c r="H9"/>
  <c r="G9"/>
  <c r="F9"/>
  <c r="D9"/>
  <c r="C9"/>
  <c r="B9"/>
  <c r="D7"/>
  <c r="C7"/>
  <c r="B7"/>
  <c r="J6"/>
  <c r="I6"/>
  <c r="H6"/>
  <c r="G6"/>
  <c r="F6"/>
  <c r="D6"/>
  <c r="C6"/>
  <c r="B6"/>
  <c r="J5"/>
  <c r="I5"/>
  <c r="H5"/>
  <c r="G5"/>
  <c r="F5"/>
  <c r="D5"/>
  <c r="C5"/>
  <c r="B5"/>
  <c r="G2"/>
  <c r="B32" i="3"/>
  <c r="J28"/>
  <c r="I28"/>
  <c r="H28"/>
  <c r="G28"/>
  <c r="F28"/>
  <c r="D28"/>
  <c r="C28"/>
  <c r="J27"/>
  <c r="I27"/>
  <c r="H27"/>
  <c r="G27"/>
  <c r="F27"/>
  <c r="D27"/>
  <c r="C27"/>
  <c r="B27"/>
  <c r="F23"/>
  <c r="J22"/>
  <c r="I22"/>
  <c r="H22"/>
  <c r="G22"/>
  <c r="F22"/>
  <c r="E22"/>
  <c r="J21"/>
  <c r="I21"/>
  <c r="H21"/>
  <c r="G21"/>
  <c r="F21"/>
  <c r="F17"/>
  <c r="J16"/>
  <c r="I16"/>
  <c r="H16"/>
  <c r="G16"/>
  <c r="F16"/>
  <c r="D16"/>
  <c r="J15"/>
  <c r="I15"/>
  <c r="H15"/>
  <c r="G15"/>
  <c r="F15"/>
  <c r="D15"/>
  <c r="J14"/>
  <c r="I14"/>
  <c r="H14"/>
  <c r="G14"/>
  <c r="F14"/>
  <c r="D14"/>
  <c r="C14"/>
  <c r="B14"/>
  <c r="J13"/>
  <c r="I13"/>
  <c r="H13"/>
  <c r="G13"/>
  <c r="F13"/>
  <c r="D13"/>
  <c r="C13"/>
  <c r="B13"/>
  <c r="J12"/>
  <c r="I12"/>
  <c r="H12"/>
  <c r="G12"/>
  <c r="F12"/>
  <c r="D12"/>
  <c r="C12"/>
  <c r="B12"/>
  <c r="J11"/>
  <c r="I11"/>
  <c r="H11"/>
  <c r="G11"/>
  <c r="F11"/>
  <c r="D11"/>
  <c r="C11"/>
  <c r="B11"/>
  <c r="J10"/>
  <c r="I10"/>
  <c r="H10"/>
  <c r="G10"/>
  <c r="F10"/>
  <c r="D10"/>
  <c r="C10"/>
  <c r="B10"/>
  <c r="J9"/>
  <c r="I9"/>
  <c r="H9"/>
  <c r="G9"/>
  <c r="F9"/>
  <c r="D9"/>
  <c r="C9"/>
  <c r="B9"/>
  <c r="D7"/>
  <c r="C7"/>
  <c r="B7"/>
  <c r="J6"/>
  <c r="I6"/>
  <c r="H6"/>
  <c r="G6"/>
  <c r="F6"/>
  <c r="D6"/>
  <c r="C6"/>
  <c r="B6"/>
  <c r="J5"/>
  <c r="I5"/>
  <c r="H5"/>
  <c r="G5"/>
  <c r="F5"/>
  <c r="D5"/>
  <c r="C5"/>
  <c r="B5"/>
  <c r="G2"/>
  <c r="D37" i="11"/>
  <c r="D34"/>
  <c r="D32"/>
  <c r="D31"/>
  <c r="D29"/>
  <c r="D27"/>
  <c r="D26"/>
  <c r="D25"/>
  <c r="D20"/>
  <c r="D18"/>
  <c r="D17"/>
  <c r="D15"/>
  <c r="D13"/>
  <c r="D12"/>
  <c r="D10"/>
  <c r="D8"/>
  <c r="D7"/>
  <c r="D6"/>
  <c r="D5"/>
  <c r="D4"/>
  <c r="F23" i="10"/>
  <c r="E23"/>
  <c r="D23"/>
  <c r="F22"/>
  <c r="E22"/>
  <c r="D22"/>
  <c r="F17"/>
  <c r="E17"/>
  <c r="D17"/>
  <c r="F16"/>
  <c r="E16"/>
  <c r="D16"/>
  <c r="F15"/>
  <c r="E15"/>
  <c r="D15"/>
  <c r="F14"/>
  <c r="E14"/>
  <c r="D14"/>
  <c r="F11"/>
  <c r="E11"/>
  <c r="D11"/>
  <c r="F10"/>
  <c r="E10"/>
  <c r="D10"/>
  <c r="G7"/>
  <c r="F7"/>
  <c r="E7"/>
  <c r="D7"/>
  <c r="F6"/>
  <c r="E6"/>
  <c r="D6"/>
  <c r="F5"/>
  <c r="E5"/>
  <c r="D5"/>
  <c r="D51" i="9"/>
  <c r="D50"/>
  <c r="D49"/>
  <c r="F28"/>
  <c r="E28"/>
  <c r="F27"/>
  <c r="E27"/>
  <c r="D27"/>
  <c r="F24"/>
  <c r="E24"/>
  <c r="F23"/>
  <c r="E23"/>
  <c r="F22"/>
  <c r="E22"/>
  <c r="D22"/>
  <c r="F21"/>
  <c r="E21"/>
  <c r="F20"/>
  <c r="E20"/>
  <c r="D20"/>
  <c r="F19"/>
  <c r="E19"/>
  <c r="D19"/>
  <c r="D16"/>
  <c r="D15"/>
  <c r="D14"/>
  <c r="F13"/>
  <c r="E13"/>
  <c r="D13"/>
  <c r="F12"/>
  <c r="E12"/>
  <c r="D12"/>
  <c r="D9"/>
  <c r="D8"/>
  <c r="D7"/>
  <c r="F6"/>
  <c r="E6"/>
  <c r="D6"/>
  <c r="C70" i="2"/>
  <c r="C68"/>
  <c r="C60"/>
  <c r="C53"/>
  <c r="B42"/>
  <c r="B41"/>
  <c r="B36"/>
  <c r="B35"/>
  <c r="B34"/>
  <c r="B33"/>
  <c r="B32"/>
  <c r="B28"/>
  <c r="B27"/>
  <c r="B26"/>
  <c r="B25"/>
  <c r="B24"/>
  <c r="B23"/>
  <c r="B22"/>
  <c r="B21"/>
  <c r="B20"/>
  <c r="B19"/>
  <c r="B18"/>
  <c r="B17"/>
  <c r="B16"/>
  <c r="B15"/>
  <c r="B14"/>
  <c r="B13"/>
  <c r="B12"/>
  <c r="B11"/>
  <c r="G10"/>
  <c r="F10"/>
  <c r="E10"/>
  <c r="D10"/>
  <c r="C10"/>
  <c r="B10"/>
  <c r="B9"/>
  <c r="B8"/>
  <c r="B7"/>
  <c r="B6"/>
  <c r="C56" i="1"/>
  <c r="B56"/>
  <c r="A56"/>
  <c r="C54"/>
  <c r="B54"/>
  <c r="A54"/>
  <c r="C52"/>
  <c r="B52"/>
  <c r="A52"/>
  <c r="C51"/>
  <c r="B51"/>
  <c r="A51"/>
  <c r="F27"/>
  <c r="E27"/>
  <c r="D27"/>
  <c r="C27"/>
  <c r="B27"/>
  <c r="D20"/>
  <c r="C20"/>
  <c r="B20"/>
  <c r="D19"/>
  <c r="C19"/>
  <c r="B19"/>
  <c r="D18"/>
  <c r="C18"/>
  <c r="B18"/>
  <c r="D17"/>
  <c r="C17"/>
  <c r="B17"/>
  <c r="D16"/>
  <c r="C16"/>
  <c r="B16"/>
  <c r="D15"/>
  <c r="C15"/>
  <c r="B15"/>
  <c r="D14"/>
  <c r="C14"/>
  <c r="B14"/>
  <c r="D13"/>
  <c r="C13"/>
  <c r="B13"/>
  <c r="D12"/>
  <c r="C12"/>
  <c r="B12"/>
  <c r="D11"/>
  <c r="C11"/>
  <c r="B11"/>
  <c r="D10"/>
  <c r="C10"/>
  <c r="B10"/>
  <c r="D9"/>
  <c r="C9"/>
  <c r="B9"/>
  <c r="J8"/>
  <c r="I8"/>
  <c r="H8"/>
  <c r="D8"/>
  <c r="C8"/>
  <c r="B8"/>
  <c r="J7"/>
  <c r="J6"/>
  <c r="I6"/>
  <c r="D6"/>
  <c r="C6"/>
  <c r="B6"/>
  <c r="J5"/>
  <c r="I5"/>
  <c r="H5"/>
  <c r="D5"/>
  <c r="C5"/>
  <c r="B5"/>
  <c r="J4"/>
  <c r="I4"/>
  <c r="H4"/>
  <c r="D4"/>
  <c r="C4"/>
  <c r="B4"/>
</calcChain>
</file>

<file path=xl/sharedStrings.xml><?xml version="1.0" encoding="utf-8"?>
<sst xmlns="http://schemas.openxmlformats.org/spreadsheetml/2006/main" count="522" uniqueCount="265">
  <si>
    <t>Income Statement Data</t>
  </si>
  <si>
    <t>NT $ millions</t>
  </si>
  <si>
    <t>Operating expenses</t>
  </si>
  <si>
    <t>Operating revenues</t>
  </si>
  <si>
    <t>Interest expense</t>
  </si>
  <si>
    <t>Income tax</t>
  </si>
  <si>
    <t>Net Income</t>
  </si>
  <si>
    <t>Share Data:</t>
  </si>
  <si>
    <t>Net profit margin</t>
  </si>
  <si>
    <t>Revenue growth rate</t>
  </si>
  <si>
    <t>Return on equity</t>
  </si>
  <si>
    <t>Net interest coverage</t>
  </si>
  <si>
    <t>Total assets</t>
  </si>
  <si>
    <t>Short-term Debt</t>
  </si>
  <si>
    <t>Key Ratios</t>
  </si>
  <si>
    <t>Current ratio</t>
  </si>
  <si>
    <t>Estimated Year</t>
  </si>
  <si>
    <t>% of Revenues</t>
  </si>
  <si>
    <t>Calculation of Change In Net Working Capital</t>
  </si>
  <si>
    <t>Net Working Capital</t>
  </si>
  <si>
    <t>Change In NWC</t>
  </si>
  <si>
    <t>Risk Free Rate</t>
  </si>
  <si>
    <t>Market Return</t>
  </si>
  <si>
    <t>Beta</t>
  </si>
  <si>
    <t>Cost of Equity</t>
  </si>
  <si>
    <t>Cost of Debt</t>
  </si>
  <si>
    <t>After Tax cost of debt</t>
  </si>
  <si>
    <t>Weight ot Debt</t>
  </si>
  <si>
    <t>Weight of Equity</t>
  </si>
  <si>
    <t>Total Debt</t>
  </si>
  <si>
    <t>Total Equity</t>
  </si>
  <si>
    <t>Total Value(Debt+ Equity)</t>
  </si>
  <si>
    <t>Income Tax</t>
  </si>
  <si>
    <t>WACC</t>
  </si>
  <si>
    <t>Assumptions</t>
  </si>
  <si>
    <t>Income Tax Rate</t>
  </si>
  <si>
    <t>Terminal Growth Rate</t>
  </si>
  <si>
    <t>Actual year</t>
  </si>
  <si>
    <t>Estimated year</t>
  </si>
  <si>
    <t>EBIT (1-Tax)</t>
  </si>
  <si>
    <t>Add. Depreciation</t>
  </si>
  <si>
    <t>Less/Add: Change in NWC</t>
  </si>
  <si>
    <t>Less: Capital Expenditure</t>
  </si>
  <si>
    <t>Enterprise Value</t>
  </si>
  <si>
    <t>Less: Interest Bearing Debt</t>
  </si>
  <si>
    <t>Equity Value</t>
  </si>
  <si>
    <t>Total number of shares Outstanding</t>
  </si>
  <si>
    <t>Value per Share</t>
  </si>
  <si>
    <t>EBIT</t>
  </si>
  <si>
    <t>Capex</t>
  </si>
  <si>
    <t xml:space="preserve">Depreciation </t>
  </si>
  <si>
    <t>Total Cash Flows</t>
  </si>
  <si>
    <t>PV of Cash flow</t>
  </si>
  <si>
    <t>Business Risk</t>
  </si>
  <si>
    <t>Sales Variability</t>
  </si>
  <si>
    <t>Particulars</t>
  </si>
  <si>
    <t>Variability in EBIT</t>
  </si>
  <si>
    <t>Income before income taxes and interest</t>
  </si>
  <si>
    <t>Degree Of Operating Leverage</t>
  </si>
  <si>
    <t>Year</t>
  </si>
  <si>
    <t>Change of EBIT</t>
  </si>
  <si>
    <t>Revenue</t>
  </si>
  <si>
    <t>Operating leverage</t>
  </si>
  <si>
    <t>Degree of Operating leverage</t>
  </si>
  <si>
    <t>Financial Risk</t>
  </si>
  <si>
    <t>Degree Of Financial Leverage</t>
  </si>
  <si>
    <t>Average</t>
  </si>
  <si>
    <t xml:space="preserve">Interest </t>
  </si>
  <si>
    <t>DFL</t>
  </si>
  <si>
    <t>Degree of Financial leverage</t>
  </si>
  <si>
    <t>Interest coverage ratio</t>
  </si>
  <si>
    <t>Interest coverage ratio (TIE)</t>
  </si>
  <si>
    <t>Current Assets</t>
  </si>
  <si>
    <t>Current Liabilities</t>
  </si>
  <si>
    <t>Working Capital</t>
  </si>
  <si>
    <t>Total Assets</t>
  </si>
  <si>
    <t>X1</t>
  </si>
  <si>
    <t>Working Capital/Total Assets</t>
  </si>
  <si>
    <t>Weight</t>
  </si>
  <si>
    <t>Total</t>
  </si>
  <si>
    <t>Retained Earnings</t>
  </si>
  <si>
    <t>X2</t>
  </si>
  <si>
    <t>Retained Earnings/Total Assets</t>
  </si>
  <si>
    <t>X3</t>
  </si>
  <si>
    <t>EBIT/Total Assets</t>
  </si>
  <si>
    <t xml:space="preserve"> Equity</t>
  </si>
  <si>
    <t xml:space="preserve"> Equity/Total Debt</t>
  </si>
  <si>
    <t>X4</t>
  </si>
  <si>
    <t>Sales</t>
  </si>
  <si>
    <t>Sales/Total Assets</t>
  </si>
  <si>
    <t>X5</t>
  </si>
  <si>
    <t>Distrees Zone</t>
  </si>
  <si>
    <t>Altman Z SCORE</t>
  </si>
  <si>
    <t>Risk Distribution</t>
  </si>
  <si>
    <t>Z &gt; 2.9</t>
  </si>
  <si>
    <t>Safe Zone</t>
  </si>
  <si>
    <t>1.81 &lt; Z &lt; 2.99</t>
  </si>
  <si>
    <t>Gray Zone</t>
  </si>
  <si>
    <t>Z &lt; 1.81</t>
  </si>
  <si>
    <t>Distress Zone</t>
  </si>
  <si>
    <t>Actual Year</t>
  </si>
  <si>
    <t xml:space="preserve"> </t>
  </si>
  <si>
    <t>Key Ratios:</t>
  </si>
  <si>
    <t>Standerd deviation</t>
  </si>
  <si>
    <t>Mean</t>
  </si>
  <si>
    <t>Coefficient of Variation (CV)</t>
  </si>
  <si>
    <t>∆ Revenue</t>
  </si>
  <si>
    <t>Base Case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</si>
  <si>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</si>
  <si>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</si>
  <si>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</si>
  <si>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</si>
  <si>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</si>
  <si>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</si>
  <si>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</si>
  <si>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</si>
  <si>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</si>
  <si>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</si>
  <si>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</si>
  <si>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</si>
  <si>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01b29cad-7364-449f-848f-fb3c776bc086</t>
  </si>
  <si>
    <t>CB_Block_0</t>
  </si>
  <si>
    <t>Decisioneering:7.0.0.0</t>
  </si>
  <si>
    <t>Add:Cash and Marketable Securities</t>
  </si>
  <si>
    <t>Operating revenue</t>
  </si>
  <si>
    <t>CB_Block_7.0.0.0:1</t>
  </si>
  <si>
    <t>Unihost corporation</t>
  </si>
  <si>
    <t>Revenues</t>
  </si>
  <si>
    <t>Expenses</t>
  </si>
  <si>
    <t>Mgt. &amp; Admin expenses</t>
  </si>
  <si>
    <t>Depreciation &amp; Amortization</t>
  </si>
  <si>
    <t>Capital tax</t>
  </si>
  <si>
    <t>Property ownership interest</t>
  </si>
  <si>
    <t>Operating expense</t>
  </si>
  <si>
    <t>Mortgage interest expense</t>
  </si>
  <si>
    <t>Net recoveries</t>
  </si>
  <si>
    <t>Non-controlling interest</t>
  </si>
  <si>
    <t>Total expense</t>
  </si>
  <si>
    <t>EBT</t>
  </si>
  <si>
    <t>current</t>
  </si>
  <si>
    <t>fully diluted</t>
  </si>
  <si>
    <t>NT $ Thousand</t>
  </si>
  <si>
    <t xml:space="preserve"> Assets:</t>
  </si>
  <si>
    <t>Cash &amp; Short trem investment</t>
  </si>
  <si>
    <t>A/R</t>
  </si>
  <si>
    <t>Notes &amp; Mortgages receivable</t>
  </si>
  <si>
    <t>Other assets</t>
  </si>
  <si>
    <t>Properties and Invesments</t>
  </si>
  <si>
    <t>Liabilities</t>
  </si>
  <si>
    <t>A/P &amp; Accrued liabilities</t>
  </si>
  <si>
    <t>Deferred Liabilities</t>
  </si>
  <si>
    <t>Bank Bridge Indebtness</t>
  </si>
  <si>
    <t>Long term Debt</t>
  </si>
  <si>
    <t>Total liabilities:</t>
  </si>
  <si>
    <t>Non-controlling Interests</t>
  </si>
  <si>
    <t>Shareholders' equity</t>
  </si>
  <si>
    <t>Common Stock</t>
  </si>
  <si>
    <t>R/E</t>
  </si>
  <si>
    <t>Total Liabilities and Equity</t>
  </si>
  <si>
    <t>Forcasting</t>
  </si>
  <si>
    <t>Toral revenue</t>
  </si>
  <si>
    <t>comfort</t>
  </si>
  <si>
    <t>Clarion</t>
  </si>
  <si>
    <t>capex 3.5% of rev</t>
  </si>
  <si>
    <t>CAPEX</t>
  </si>
  <si>
    <t>Debt to equity ratio</t>
  </si>
  <si>
    <t>Asset turnover ratio</t>
  </si>
  <si>
    <t>Equity multiplier</t>
  </si>
  <si>
    <t>EBT/EBIT</t>
  </si>
  <si>
    <t>DuPont</t>
  </si>
  <si>
    <t>ROE(5 factors)</t>
  </si>
  <si>
    <t>ROE(3 factors)</t>
  </si>
  <si>
    <t>Operating profit Margin</t>
  </si>
  <si>
    <t xml:space="preserve">Revenue </t>
  </si>
  <si>
    <t>Unihost Occupancy</t>
  </si>
  <si>
    <t>Industry occupancy</t>
  </si>
  <si>
    <t>Covariance</t>
  </si>
  <si>
    <t>Variance</t>
  </si>
  <si>
    <t>Tax</t>
  </si>
  <si>
    <t>Retained earnings</t>
  </si>
  <si>
    <t>tax</t>
  </si>
  <si>
    <t>Net R/E</t>
  </si>
  <si>
    <t>Minimum Additional fund req</t>
  </si>
  <si>
    <t>High yield rate</t>
  </si>
  <si>
    <t>Effective rate</t>
  </si>
  <si>
    <t>High yield loan</t>
  </si>
  <si>
    <t>TV</t>
  </si>
  <si>
    <t xml:space="preserve">NT $ </t>
  </si>
  <si>
    <t>㜸〱敤㕣㕢㙣ㅣ㔷ㄹ摥㌳摥㕤敦慣敤搸㡤搳㑢摡搲扡㤴㔲愸㠳ㅢ愷つ愵㐰〸扥攴搶㍡戱ㅢ㍢㈹〸搰㘶扣㝢㈶㥥㘴㘷挶㥤㤹㜵攲㔲愹ㄵ戴㕣挴愵ㄲ㌷㔱㈸ㄷ㔵〸〴て㕣㕥戸昳㠰㠴〴㐲㐵攲〱㤰㤰㜸㈸〸挱〳〸㐵攲㠵〷〴㝣摦㤹㤹摤㤹㕤敦搸摤戶攰㈲㥦㜴㝦㥦㌹户㌹攷晣搷昳晦㘷㥡ㄳ戹㕣敥摦㐸晣换㤴㘷收挶挵㜵㍦㤰昶挴㡣㕢慦换㙡㘰戹㡥㍦㌱攵㜹挶晡㥣攵〷㝤㘸㔰慣㔸愸昷ぢㄵ摦㝡㔸㤶㉡㙢搲昳搱愸㤰换㤵㑡扡㠶㝡づ挲摦㐸晣愰戳搷㘰ㅥ㘰㘹㘶㝡㝥昹〲㐶㕤っ㕣㑦敥ㅢ㍢ㅢ昶㍤㌴㌹㌹㌱㌹㜱昷挱挹〳ㄳ晢昷㡤捤㌴敡㐱挳㤳㠷ㅣ搹〸㍣愳扥㙦㙣愱戱㕣户慡昷换昵㈵昷愲㜴づ挹攵晤㜷㉤ㅢ㜷扦㘱昲敥㠳〷捤㝢敦㝤挳㈰㕥㥤㍢㌵㌳扤攰㐹搳㝦㤱挶㉣㜰捡㜷捦捡慡挵戵㐹改㔹捥昹㠹㤹㘹晣㤷㤸㍦㥥敥㤹㔸㕣㤱㌲攰慢愵㈷㥤慡昴㜵㜴ㅣ戰愷㝣扦㘱慦㜲昳㜴晢㈸㤶㕡㌵晣愰㘰捦挸㝡㕤户攳㔱㑢昶㍣昶慥㙥慣て摡㡢搲昱慤挰㕡戳㠲昵愲扤㠴㠱㙡㐳昶ㄹ㕦㥥㌶㥣昳昲㤴㘱换㠲㝤慣㘱搵昲㘱捡昵摤ㅥて㤱㥣㤸㕡晥挴㤴㙦捦慣ㄸ㥥㥡㤱捦㡤挹㘸㝢搴慢愶摢摥摡㝤㕣㑥㕤扤㠱㘳摥搶扤ㅤ㙡捥ㅡ㕥戳攵㜸昷㤶搱攲搳㌳戸戳㝢晢挴ㅥ愵晢扣戶㝢ㅦ戵㤵改搶㘲㈰愲㙦戵愳㔸㡣㕥㈴攸㈷㈸ㄱ㄰㠱㝡㤹㘰㠰㘰㄰㐰攴晦づ㉥㐹㜶㘴㤵㔶㌱戴捡戲㔶愹㙡㤵㥡㔶㤱㕡挵搴㉡攷戵捡㡡㔶戱戴捡〵慤㜲ㄱ㙤攲㔴敡敦搷愲昴㥢㈳㌷㝣攰㉢㌷㍦㜸晦晢㉥晣㘸敥㕦摦晣摡攰攰㉥㌴㝡㈰㥡搴慣㘷㕣〲愹戵愸ㄸㅣ挱㝦㥢㜳〵㤸挲㍣㘸摥㘳㑥㑥搶づ敥㌷敥㌲ち㕣㔶〶昲㔳㠴㌲㠲戶㠳收㠳㤶㔳㜳㉦㈹摣摤㌸㙤昸戲戵㜱攳㔱摤戴摢㜰㙡晥つㅢ㔷㉥〶㐶㈰慦㙦慦㙢つ搲搱㙤ㄱ㙣㈵㝤昵扥㥢摡扢㥤㌵敡つ㌹㜵搹ち慢㕦搱㔶㙤㉦㜸敥㜲昷摡愳㥥㝣愸㔹摢㌱愳㈹〸戵㌵㌵㜶挷㉡挳慡㜰㕥㘳㌳㉢慥㉦ㅤ㌵扤㜱㝢挱慡㕥㤴摥愲愴㐸㤴㌵戵搴慢㔹ㄵ㜱晤昸扣㠳㠵㠲㕢㙢慦㑣㤶㥡㐷㉥〷㘰㘶㔹挳㝣㔷愵ㄷ慣㉦ㄹ换㜵㜹㑤慡㐹昸㑥㔴散㑤ㄵㅦ㜵慢つ㝦挶㜵〲捦慤愷㙢愶㙡㙢〶㈴㑤敤愴㕢㤳昹㝣㑥〹〵〸摣扥㍥㈱㜲㜷㜴攷〵㠵㠸〴㡡挹挸搷愵挹㙥攲㌴㔶㠷㔵搴㈵㘹㔲㝢搵㈶㠳㜱扥㑡挶㘴㜰㘰㘲㑤搴ㅦ㝣改㙢㌶ㄹ戶㠹戹㤷戶戱愶㡤㐶慢㍦戲㈶㥤攰戸攱搴敡搲换搴㝥㠲㌳搲㠷〱ち㔷㈰㄰扡敥ㅥ㔵㥤戸㉣搶ぢ㤷慣㕡戰㔲㕣㤱搶昹㤵〰㘵搰㤰愵ㄲ户戶㈳改㔷愱㐸摦㑤㌰ち㔰㉥攷㡡㝢搸愸㔸㐶捡ㄵ㈸㥤㌲㜸㌹㈵挸搹㉦挵换㠳收㔱慢ㅥ挸㔰㈸て㥢挰㐸愸搵ㄴ晡㠶㐸愲㥥㔱つㄵ挶ㅥ㜳〶㔴㙡㔸㑥戰摥攲摢づ㉥〹㠹㘸㐷ㄶ㙣㍢㔹㐰㔱㤰㤶〷ㄹ扣〶愲㘹㤳〶搹㡤ㄳ㐴㐴㌶挸搰散ㄸ㌹㑤㘴㙣㥦㈱㈳搰㍥㐹㠴㙣扤扦扢㡣㈰戱㜷ㄲ㈹㍢㜵攵挷ㅤ㘹戶㤱㉤ㅦ㑡戳慢戱㜱晡㌵〴搷ㄲ㕣㐷戰ㄷ㐰晣〹ㄲ㡥㔲づ昹㜴搲㙦挰戳㝥㈳挱㉢〰㈰㥦㜴捡㥣㐸㔴搱㠶摡㡡ㅤ挹㜶㐳戰㤳㤵㔱ㅣ㡡㈲㕡挶㑤㍢㜳挸㔶㠸㡥慣捥敤愱㙢昳㑡挷扥扡㍢㙤㈶㤷㐳㡡捣㘸㥡㕣敢㈶㑤㤳ㅢ挱愶㍤敡慤㥢搱㔵ㅦ㈳戸〵愰慣扦㤲㄰捡㠵〶敦搶㉣㝡㥡㤴㉦ぢ戳㈸㌴㠶㝡㔴昰ㄱ㈱昳〸㤰㈱攴㍡㡥㉦㍢㌶㌴捤挱㜱昳㘵㙦㐳敦敢捥摦ㄱ搲摢昴收㡥摥愱扦攸㜹㕡搱户㠲扤挴敦扡敡㤸摢㔰慤扦㥡攰㜶㠰㌶ㅤ挳搳昷昳昵ㄴ㈸戳搸㑥㘰㙥㌷扤㉥捡捡㕤㕡㕦㤵㑡〳つ㥡㑢㠶㜷㕥〶昰㘰㥣㤸㠵㉤散㝡㥥慣攳㔰㕢㔳〵㍣扦㕣㥢㉥昴㡦㝡慥捤昲ㅤㅢ搹㝦㔹㈸㠶㝣㕥敢换戵搹挸ㄹ戶㘶挲攷㤴愰ㅣ敡攰扢扡ぢ㠹㐴愷㌴㜹戱㕦昶昹㜲㐷㤲昴㈰㐹㕥㡢㙤搵敦〰㠰㤴㄰扦敥㉡㔱昶戱搹敢㔴戳戴挵㑡て㕦挶改愴捤㠷搸㈱㐷〶㐲㠷敤㌴晣〷晥㤰扤㘸搹㑤㘱㌱㘰㉦㐸慦ち摦㠲㔵㤷攵搰㉤㑢㔱戳㈳㉢㕥㈶戲愲慦慦攳㍣㥤攱㕦㔳㜴搲㈶㈵㌲戹㍤戳㌲攳㉣摥㈲㉡扡㈱㈹㔴㌲㕣㐳㑤〹㐴捡㘳摢ㅤㄱ搳㠳㠸戹ㄳㅢ愷敦㈷㤸㈴㌸〰㔰昸〵㈴捤㔶㌷㥥攱戰晥㌵扡戴㉢㤵㕣㠹㘸㔰㉥挲㘷扢ち慢㠳㝣捤敢〹敥〱㘸㌳㝦攸㠰捣㈰㐴㠵昲〴㈱慡㌰㠶㜹搶㤲㤷㐸〳扢㑣〴㤶㘶ㅡ㝥攰摡㡣㉣つ㤹戳敥㈹㌷㤸戵晣㔵㐴愲㐶捤㈸昳攰㡡㜴㐰㕤ㅥ㙣㥦戶㌲㜷㜵㔵搶㜴㜳搱㙤㐰戴㥤㤸摤づ〷㜳㙣〷㙣㐹㜵㌶搷〴㔲㙦攷㘳っ㈱戰搳捡摦㑡㙦散㤶扣摦㍣昴つ户㜶㜴挹ち敡㜲挰っ㤹㡥昹㤲㠹㕤㐴攴愰搶㙦㉥慤㜸㔲捥づ㤹挷㍣慢㔶户ㅣ㐹㘴挰挶㘴戰㙥㑥㥥㐷㤴㘰挱㘵っ搰㜵㠶捣㈵捦㜰晣㔵㠳〱挵昵摤愹㈷ㄵㄶ㈹㤸搳㤶攳攳㌵ち㡢捣て㥢㡢㉢敥㈵㐴㙣ㅢ戶㜳捣㔸昵户〵㔶㐸昴㘱㔲愸ㄱ㥡搰㌴㔱搲㑡扤攲㠷〷昲㕣㡥扣㤷㈷㔰戸捡ㄵ攸㌳捦搰摥戴敢愳ㄸつ敤㜴捥㘹㄰搱愳㘶㘱㕦愶ㄴ㈶愷敡昷戲捦ㅢ〱敥㍢㜶收㐴㉢㌲昷㠲㘲搶〵㝡昹㌳㘴扣㈲㡢㘶㈰㠴㍥扡㕤㈱愹戰㡣㤴〳づ〴挶昹搴㑥㝥㘵㔳戵㈱昵敤㙡㘵㡦㈲㤲㌴㘸捥ㄹ换戲㡥㜸戴㙤〴扢挲〷㥡戱戶㔱昷愳扡ㄹ搷戶つ㤲ㄶ挹㜲戱㙡㤰㠲愷ㅡ㠱㝢搲㜲㜴ㄳ㐰搱㕦㔴㘴㕣㐶㤱㜱㔹ㄵつ㥡愷ㄹㅡ㔴㜹㡥攵㥥㌷㍣㉢㔸戱慤㙡㠹てっ摦㙤ぢ㥡〴㤳㔳昲挶㈹㤶ㄹ㘳㙤搶晣ㄹ㤸㙣晥〴搰㍤〱㌹捡慤㈳晡㐱戹㥡㈸攲㥦攸搱戱〴〱愳㍣愵晡㥢㌱㕡㐱摤㡥㠰挸㔱改㑡㝣〷攳捡愳㈸〹㠵㄰戱㥥㐱㈲昰ち㈶㠴㍣㕤摣㐵昳㡣㘳〵挰ㅥ㌱㜶搴ち㘶㝤愰ㅣ〰㔹㜵扣扤㕥㘱㌵搱㘹扣愹ㄵ㙥敥慣㑡愹㠹㥢㍡敢㤳㝡攳㔵ㅢ㔴㠷ㅡ㈵愱㐸㌶㙢愴㌴换〶㜳摣㑥慡㐶㈸挵ㅤ㙢ㅢ㤱攵㌶㙤敤㍢愵挸ぢ㔰㑣㡡㘶㜲晡㕢ㄴ愱㈰搰ㅢ改㈸晡散戳挹㈳ㄱ戱愱つ㔰愶㥥ち换㠶愲㤰攰〹㕣㍢愹挹㜲昴〴晥摥ㄵ㘵攷ㅢ㐱慡挶戸㍣ㅡ搵㑣搵敢昳づ慣㠴慡攱搵戶〹㑢㘳㙤愱㠶㔱摣搹慢昶て户㌷挱㠸ㄱㅢ㌲㉣㤲攱〷〶ㅢ㠲戹ㄲㄱ㔵㕡㘷㐳摣敡㘶㜱㠹㑦㈷愵攱㈸っ㉣〶戵㔹戹愶捣戰㤶㈵㍦慡㍡㌴㑦㡢㑡㡥敡收搴戲て㤵ㅥ㔰㡥㐷㌹挵攰扡㜹㥡㙥㈹㕣㘲㠰搸㡤㜲ぢ搵〰愱摤收〰㍣ㄹ㙣ㅦ散㘰㐷挲搰〹慤㌳㑡搰㘲〶攱愶ㄷ㐱摥改ㄱ愳㄰愴愶㑡㝦㍢㉣㍥昳ㄴ搳㔷て攷攲㑣挴㐴っ㜷㘵㔸て㐰㙥㌲㌲㐹㉥ㅡ㡤〳收愱㘴㔳㐲㙢㌰㉥愳㠹㌱㐴㤳捦ぢ㜰㡢㠷戱慣㘱戲㑤ㅤ昷摣〲ぢ摡戴扥扥换㍣攱㔴敢㡤㥡㔴慡㌸㤶搵㑡㈳㙦ぢ㝣愹㉢㠰㈱㌷㘵散㑢戴㈹㈷㜰㤴攲㤲㠹愴摥敤㙥晤㌰扡㉢㈱㠷㌱㐲搵挷〰㘴㠶㕢㑥〵挴㍡敥㈹搰㍥摣摤扡挰愰㉥捦㐱愴㜵ㄴ㔱㤶捤攱㍥㕥㌳㡡慣戸㉤搱㙣捥㥤㜳㘹戳㈷㡡㡥㕢㘱搱戶挰ㄱ搶ㄹち扣㘲ㄱ挶㐸㡦摣挱㐱㜲㔷愲攸敥㤵㐷搵㘳敥ち㔰愱㌰㈰ㄸ攳攵㈹㈸㠷㕤〵㈳搱攰搶㕡㔶户㘰昴㤷㤶户㍥〵㈰ㄸ〶愶㐱㡢㤶愱㠱㌳㠳晣收〶捥捤㘸㤵ㄱ㈱㑤〶㔳ㄹ愳ㅣ㠵挳ㅥ㐸〳㌷昱㈰扤攴㐲〹〵㝢搴挵戰昸㙥攲戸㡤㈳㤰敢㕤搳㔶戸㘰〴戸晥攲散㙤㉢㥥慡搵㘸敥挲㍦户㉤戰㡡慢ㅢ愱㌹扡愷敤㔲㤶㕡ㄳ敤扢㕢摢㉡愲换㠲〷㘶㈷㡥ㅢ㐱㜵㘵㌱㔸て㉦㙥昵㑡ㄲ㠵ㅦ挲ㅦ戱攱摢㘹㌳攷ㅤ㕥㐴㕤攳摥㤷㉦㍡敥㈵㐷捤慢攰昳搶ㅦ㈸〴㔷㈸晢㌹挹㜲敥摦昸愷㤲㤶㉢晣〰㈳㙥㘵摡ㅣ愰攵㈰攱㌸㉡㠵搲㘰っ昹っ㍡㠱敤摥扣㌵㐰㍡搹搳㐶㈷㑡㄰散㄰㡡㜳晥㐵㈳ㄴ昱㝤愰㤵挴ㄲㅥ挹戱攷㕦〶敢㡢敦愱㠴〸挷㜳㈴㐶ち户㈰㤷㠱㍡㈵挸愳㉢ㅥ扣㄰昲晦㠳愵㤸㥢㌷㘴愷晦〲㌳㡢敦戶愳攸㈶愲攸㍢ㅤ㈸ㄲ扣〶愲昸昷㍥㘴攲㔴㘰㜸昶㜹〵挲戹愶㥤〳攸㑢㝥攱昷㝦㜸〰㥤㡢㠸㐳搹㘸〸戵摤㠶攷愶㠹搰搷㘱㈲㌰㜸慦㑣㠴㤳挸〸㐶昱㐳ㄳ㈱昲㠱捣愳㘰㜳ㄳ㠱戱扤っ㐳㌰ㄱ㙡㑤戸㌵㜸〲扢挶愶㝦散㌸㉥摥㑡ㅦ昱㝣㈸㉤㝦〶ㅥ愹㙢㍢㡢ㄷっ捦戰昷慡昲㘳㥥㠴㌲昳㤶㜰㤳㕢㜵㘱㡦敢㌷慣㔱㥤㌶昰㔵挴㕥昶ㅤ㝦捡搶敥慦〳㔳㘱ち摤昷愲㈴㡡㉦挰㔳㈲㜸㙥挸扤㝢捦搷㡦晤晥攱挷て昳戶㕡㐴慢㠵㍢㤰敦㈵㘴㑦㝢〲㐱摤挴㐵㤱慢昹㘱捥㐹㝣愲㘴慤搶攵戴攱㈹㉢挸搷敤㌸ㅢㄲ㕥㠲㌰㐳攲摢づ㈶㈶敥㍤㠴㈶收㐴㥢扢㔳㝤搸愴㕣㠴ㄳ㠹㠹㉢㥦㕥ㅣ㌶ㄴ㕤ㄵ㔹㡦搶㘶攱㥢㔰㐵捦㜳㈲㘹㉢㤱愷㑥㈶㈱扥搱慥敢づ㔲搷㠵〷ㄹ㠶晤㘳㈹㠵昸〳㈹㈴㜹㤰攱㠵〰㈵愵㑥㈳㔳戸ㄳ㈰㈳戲搶ㅥ攲愵㍦㘰㐷〸挸收愵扦ㅥ㍦㘲挱㉥〲㡢戱㉦扥搷ㄳ㉤㙤搱㔸㌵㌱㔴慢㙣㥡㐵㘴搴攱㠵〵㤳㜱㘹捡搲㌹㠰搲㉤扢愳昸㤲㈱㍢っ扣㠵㡣㕤戰改㙢㉢摢㐷㥣〶㙥㝥㐰捦ㄴ㤵挲㜰㜶戳ㄸ〷㔲ㄵ愳ぢ㥢㤶挳㈲挲攱㌰摢散㌴㄰㔵㐱㘷㌹㝢㜱㉡㐵昰㡦㕦ち戱㝥扣㌵昴搵敤㌵搴㜱㑥㍦ㄶ挸ㅦ散慦㥢㌲ㄸㅢ㙦㈵挷㐰挲㙥愹㔵㈹扣ㅥ㝥〶㕤戸攸㥣搰㕢㔹昵㉣づ攲㑦捣㔹㝤㕡㠷晥㘷昴㕡㜱搶㔹昶㘶ㄸ㍢愵晦摦㠶㠲㑤昵扦㘰散㑤㈱昲敤㔱㠶て〵挶㑦㌶つ搹㜰㐷攰搹㐶昰㐶ㅤ㡣㜵㤵㘵挸㍢捣㉤攲攳搵戰㕡㐹㜰昸扤昲敤㔷㈳㥡㝤㘹摢づ㜴ㄵ㠰㡣つㄵ扥っㄱ搴戵㝦㕡㙥挵愷摢攲㍢搰㜱捦㐹慢敡戹扥㙢〶㘳㡢〸晡㡥昱摢㌳ㄳ㌶捦㤴昸㔲扢㔰扢ㄵ㍢㌱昸㉥昴㌹㌵て㠱㝤㑡〶㉦㔶㉣㤲㤱㠵慤㐵㌲昸ㅤ搲㐸㈲扣㐴敤攰㕦㘵㍥搰㌰敡昸㜴㜵ㅥ扥捥㠰㐵摢㐲搹㠵ㅥ攷昶ㅢㅡ摣㍡摣搱扡ㅦ晥㈰㔹㥦㐰㜰㑣㉤攱ㅤ敦攲扥戶敦㐱扡㙤戴㌶㥦㉤㝢昳戹㤵ぢ捦〰愷㕢㝢㑢㥡㘴昸㑥㝥㤱㕣搶㉢㠴戸戴㝦ㄸ㝦户敥愰攵㘸愳愰昳攸㠳㙥㍡挲挶敢㜰㥦㙤㈱晡㝤づ㕤挵ㄴ〱㝥扡ㄱ㘵昸㈰攸攵㈳㉢㡡捦㘳㔹㘴〰攴㜳挵㉡㐰㜷慡㝥㝡㈳慡ㅥ㠹〵戲攰ㄹ㠳攴㔸ㄶ㥦㐵㐳㙥㔷戸㙣戰〴㤷㉤搴㔹〲㜹㍤敥㠱㝣㑥昰㉣愱㈶昲㘹㜴㘸㑥挴㐲㘹昷㠹㝣㙡愳㠹〸㕡〱㙡愱挹昱㐷㘲㉤愲搷㔱慤摢〴づ㠱ぢ㌰㑣戱㐸㔹㔳っ㐳ぢ摦㈳㘶㤰㝥ㄹ晤㝤敥昰㉦㥥㘵晡敢㘱愱〴㈱慡搲㤳愷㈰㔴㤳㝦㌲㌹㜹て愵摤㈷晦㤱㡤㈶㍦㐲ㄹ挹㤹攸〱挰㔰㥦愸攰㡦㕡㑣〳ㄹ敥㈳㝦攲ㅣ〱㝥愹㔹㡣ㄸ㈸㔱㝤㉦㈱㠳扥摣㜰搵敡㌲㌲㜱摦〲搷㥦昱㜱㡦戲㡦㜸ㄱ㤲扥㥣㘲攸㡣㉤㠶㕡戱㘴㐷㕥搸㙤㈱ㅢ戰㈴㝥㉤摢㔵愴ㄷ㝢㡣昰㡢昷挷㠸㌹㝥㍣晥㜲㑡㡢㘲㑥㈰㡣搰㈲㈵晤㜰㈳挵晢攲挶摦晡㜶换㘵㡡ち㈴㔰㑦搸㤸㜴愶ㅡ㍦ㄱ㌷㍥㠰慦戲㔴㥢ㅣ㙦㄰㌰㍤ㄷ㌷㈶㍤慡挶㡦挷㡤晦㜲㘰㙦戳㜱㑣㠷攱挸〵ㄲ㐹㠶慤慢慣晦挴ㄷ摡挳㘸㕥㌰愹㍦〷捣戰㤸㤲㔳㠵㡥敢㑡㠳づ攲㌲㠸㠷㙦愴攷㜰户〹㔷㐰㈰㘴挳晦㔵挲〹摣㜹㥡㌵〲〳㥦㐰慦㈱搸散改敡㠹㥤㡢收扣㠷㠲㝥昳㠴㡦㌳㔵㙤㕢㤱〸捣㠱㝣戸扦㥢㌸攵㌳㑣挷搶㝥挴㐱㌲㡤㜷㐸㝡㔳ㅥ㉡戰㤲ㄷ敦㠹㌱㥢㝢慣㐵㌳晡愳㐰づ愴㈳㈰㌳晡㘳㠰㘱㈰㠶户㤵㜳㈳攴㝦挵摣敦㘱挵㝢〹ㅥ〷㈸ぢ㌲㍢改愰昸〴挰㜰晣㍦慡ㄸ㕢㔳晥ㄲ㑤㍣ㅣ扦㉣㐹㐶晡晢搹攱〳〰㝤㜰摦㡡㠸〸换晡〷㔱㤲㝣㈹〵㠷㝡改㠷㔸昱㘱㠲㡦〰㤴ぢ㥣散㤶㜷㡤㙢敡㔱㜳㝤ㄴ㕤挵㘳〴昸改㑦㐶ㄹ㍥ㄴ戸て㙦敡㙥㉢昳㈸ㅣ㝦搸㡦㔰㘷敡ぢ晥㈳昸㈲㝦㥤㡢敥挳晦㤰愴愰っ晢扣昶挶摥挶㈲ㄳ搰㈶㔷扦㔵㙣昶ぢㄸ㠷敢㙡㐵㔰㌸㈲㤵㑡㐹㉢ち攲㥢ぢㄶ㉥摥挰户ㅣ㔲ㄵ㐲㤰〶㔴㠵ㄳ㔵ㅣ㐶㠱晥㜱㌶㈵㡥㠹㈷晤ㄳ㝣㈲㙡搵㈶㝥㌲捡昰㐱㄰慦慡晢㠵愸㝢晣㐲攲㕡㔵㔸㙤㉦㈴晥㔵挵㑡昲㠵㑦㜱㌰㠵㉣㘴搲㕡㠹㐸㔳㌴昴㔹㘴㠶晡㠶㌹户〷昱搳㉥㡢敡戹摡戹㜳晦ㄸ捥㡦㕤㥦㝦摢㕢〷㥦㝡敥攷㝦昸搸慦摥㜹攸捦晦㝣晡改㕦晤昱㘳捦晥昳㠷换㠷㝥晡捣㌳㍦戹敦ぢ捦晥㘱户昹㐵敤摢晦㤸晢攲㈳㤳ㄷㅦ㜹挸㍣㜳挷戱㐷摥㝥攱㠱挹㠵慢挶晢晡晡晢㙦ㅦ晤搹㜵慦ㄹ㜹散愱敦㡡ㅦ晦昶㕡㐷愸攵攲〵改㘹㜰搹㙡ㅡ㥦㐳〶搳攰㡣㕦搲㘹㜰戹㙡愳㤶愳㡤㥡㐶㐱〹㍥つ㑥㐰㔵ㄸ改㡡㠱晦〰摦㄰戲戶</t>
  </si>
  <si>
    <t>2845769f-0a8f-4a1c-be82-4b9e64adcafb</t>
  </si>
  <si>
    <t>New share</t>
  </si>
  <si>
    <t>new equity</t>
  </si>
  <si>
    <t>Convertible rate</t>
  </si>
  <si>
    <t>Convertible</t>
  </si>
  <si>
    <t>Cost of equity</t>
  </si>
  <si>
    <t>equity</t>
  </si>
  <si>
    <t>NT $</t>
  </si>
  <si>
    <t>TV1</t>
  </si>
  <si>
    <t>Items</t>
  </si>
  <si>
    <t>Score</t>
  </si>
  <si>
    <t xml:space="preserve">Government Stability </t>
  </si>
  <si>
    <t xml:space="preserve">Socioeconomic Conditions </t>
  </si>
  <si>
    <t xml:space="preserve">Investment Profile </t>
  </si>
  <si>
    <t xml:space="preserve">Internal Conflict </t>
  </si>
  <si>
    <t xml:space="preserve">External Conflict </t>
  </si>
  <si>
    <t xml:space="preserve">Corruption </t>
  </si>
  <si>
    <t xml:space="preserve">Military in Politics </t>
  </si>
  <si>
    <t xml:space="preserve">Religious Tensions </t>
  </si>
  <si>
    <t xml:space="preserve">Law and Order </t>
  </si>
  <si>
    <t xml:space="preserve">Ethnic Tensions </t>
  </si>
  <si>
    <t xml:space="preserve">Democratic Accountability </t>
  </si>
  <si>
    <t>Bureaucracy Quality</t>
  </si>
  <si>
    <t>govt. unity</t>
  </si>
  <si>
    <t>legislative strength</t>
  </si>
  <si>
    <t>popular support</t>
  </si>
  <si>
    <t>unemployment</t>
  </si>
  <si>
    <t>consumer confidence</t>
  </si>
  <si>
    <t>poverty</t>
  </si>
  <si>
    <t>contract viability</t>
  </si>
  <si>
    <t>profit repatriation</t>
  </si>
  <si>
    <t>payment delays</t>
  </si>
  <si>
    <t>civil war</t>
  </si>
  <si>
    <t>terrorism</t>
  </si>
  <si>
    <t>civil disorder</t>
  </si>
  <si>
    <t>war</t>
  </si>
  <si>
    <t>cross border conflict</t>
  </si>
  <si>
    <t>foreign pressure</t>
  </si>
  <si>
    <t>Economic Risk Rating</t>
  </si>
  <si>
    <t>Gdp per head</t>
  </si>
  <si>
    <t>Real gdp growth</t>
  </si>
  <si>
    <t>Annual inflation rate</t>
  </si>
  <si>
    <t>Budget balance as % of gdp</t>
  </si>
  <si>
    <t>Current acc.  As % of gdp</t>
  </si>
  <si>
    <t>Financial Risk Rating</t>
  </si>
  <si>
    <t>Foreign debt as % of gdp</t>
  </si>
  <si>
    <t>Foreign debt services as % of exports of goods and services</t>
  </si>
  <si>
    <t>Current acc as % of of exports of goods and services</t>
  </si>
  <si>
    <t>Net int. liquidity as months of import cover</t>
  </si>
  <si>
    <t>Exchange rate stability</t>
  </si>
  <si>
    <t>Composit risk rating</t>
  </si>
  <si>
    <t>CPFER(country X)= .5(PR+FR+ER)</t>
  </si>
  <si>
    <t>PR= Political risk indicator</t>
  </si>
  <si>
    <t>FR= fin. Risk indicators</t>
  </si>
  <si>
    <t>ER= Eco. Risk indicators</t>
  </si>
  <si>
    <t>Government Stability 12</t>
  </si>
  <si>
    <t>Socioeconomic Conditions 12</t>
  </si>
  <si>
    <t>Investment Profile 12</t>
  </si>
  <si>
    <t>Internal Conflict 12</t>
  </si>
  <si>
    <t>External conflict 12</t>
  </si>
  <si>
    <t>Corruption 6</t>
  </si>
  <si>
    <t>Military in politics 6</t>
  </si>
  <si>
    <t>Religious tensions 6</t>
  </si>
  <si>
    <t>Law and order 6</t>
  </si>
  <si>
    <t>Ethnic tensions 6</t>
  </si>
  <si>
    <t xml:space="preserve">Democratic accountability 6 </t>
  </si>
  <si>
    <t>Actual</t>
  </si>
  <si>
    <t>Bureaucracy quality 4</t>
  </si>
  <si>
    <t>Country risk premium</t>
  </si>
  <si>
    <t>㜸〱敤㕣㕢㙣ㅣ㔷ㄹ摥㌳摥㔹敦慣敤搸㡤搳㑢㑡㘹つ愵戴搴挱㡤搳㠶㔲㈰〴㕦㥡㑢㜱㘲㌷㜶㔲㙥搵㘶扣㝢㈶㥥㘶㘷挶㥤㤹㜵攲㔲愹ㄱ戴㕣挴㑤攲㈶㑡换㐵ㄵ攲昲〲攵愵㤴㡢㠴㤰㐰㈰㔴㈴ㅥ攰〱㠹㠷㠲㄰㍣㠰㔰㈴㕥㜸㐰㠲敦㍢㌳戳㍢扢敢ㅤ扢摢ㄶ㕣攴㤳敥敦㌳攷㌶攷㥣晦㝡晥晦㑣㜳㈲㤷换晤ㅢ㠹㝦㤹昲捣㕣户戸ㅥ㠴搲㤹㤸昱㙡㌵㔹〹㙤捦つ㈶愶㝣摦㕣㥦戳㠳戰てつち㘵ㅢ昵㠱㕥づ散㠷㘴戱扣㈶晤〰㡤昴㕣慥㔸㌴㌴搴㜳㄰晥㐶㤲〷㠳扤〶昳〰㑢㌳搳昳换て㘰搴挵搰昳攵扥戱㌳㔱摦㐳㤳㤳ㄳ㤳ㄳ㜷ㅣ㥣㍣㌰戱㝦摦搸㑣扤ㄶ搶㝤㜹挸㤵昵搰㌷㙢晢挶ㄶ敡换㌵扢昲㑥戹扥攴㥤㤷敥㈱戹扣晦昶㘵昳㡥㌷㑦摥㜱昰愰㜵搷㕤㙦ㅥ挴慢㜳㈷㘷愶ㄷ㝣㘹〵㉦搱㤸㍡愷㝣挷慣慣搸㕣㥢㤴扥敤㥥㥢㤸㤹挶㝦愹昹攳改捥㠹挵ㄵ㈹㐳扥㕡晡搲慤挸挰㐰挷〱㘷㉡〸敡捥㉡㌷捦㜰㡥㘰愹ㄵ㌳〸㜵㘷㐶搶㙡㠶㤳㡣㕡㜴收戱㜷㌵㜳㝤搰㔹㤴㙥㘰㠷昶㥡ㅤ慥ㄷ㥣㈵っ㔴ㅤ㜲㑥〷昲㤴改㥥㤳㈷㑤㐷敡捥搱扡㕤捤㐷㈹搷㜷㜳㌲㐴㝡㘲㙡昹ㄳ㔳㠱㌳戳㘲晡㙡㐶〱㌷㈶愳敤ㄱ扦搲摡昶挶敥攳㜲敡敡つㅣ昳愶敥敤㔰㜳挶昴ㅢ㉤挷扢户㡣ㄷ摦㍡㠳摢扡户㑦敤㔱㙢㥦㌷㜴敦愳戶戲戵戵ㄸ㠸改㕢敤㈸ㄶ㘳ㄴ〸晡〹㡡〴㐴愰㔱㈲ㄸ㈰ㄸ〴㄰昹㝦㠰㑢搲ㅤ㔹愵㤵㑤慤扣慣㤵㉢㕡戹慡㤵愵㔶戶戴昲㌹慤扣愲㤵㙤慤晣㠰㔶㍥㡦㌶㐹㉡昶昷㙢㜱扡晦㍤㑦㕦晡挱摣ㄳ㈷㝦摣扦㝢攰㥢摦昸搹㘷〶㜷愱搱扤昱愴㘶㝤昳〲㐸慤㐹挵攰〸晥摢㥣㉢挰ㄴ搶㐱敢㑥㙢㜲戲㝡㜰扦㜹扢愹㜳㔹ㄹ挸㙦㈱㤴ㄱ戴ㅤ戴敥戳摤慡㜷㐱攱敥扡㘹㌳㤰捤㡤ㅢ㡦敢愶扤扡㕢つ㕥戵㜱攵㘲㘸㠶昲摡昶扡收㈰ㅤ摤ㄶ挱㔶㌲㔰敦扢扥扤摢ㄹ戳㔶㤷㔳ㄷ敤愸晡搵㙤搵捥㠲敦㉤㜷慦㍤攲换〷ㅢ戵ㅤ㌳㥡㠲㔰㕢㔳㘳㜷慣㌲慡㡡收㌵㌶戳攲〵搲㔵搳ㅢ㜷ㄶ散捡㜹改㉦㑡㡡㐴㔹㔵㑢扤㤲㔵㌱搷㡦捦扢㔸㈸戸戵晡摡㜴愹㜵昷挵㄰捣㉣慢㤸敦慡昴挳昵㈵㜳戹㈶慦㙡㘹ㄲ扤ㄳㄵ㝢㕢㡡㡦㜸㤵㝡㌰攳戹愱敦搵㕡㙢愶慡㙢㈶㈴㑤昵㠴㔷㤵昹㝣㑥〹〵〸摣扥㍥㈱㜲户㜶攷〵㠵㠸ㄴ㡡挹挸搷戴㤲摤挴㈹慣づ慢愸㐹搲愴昶扡㑤〶攳㝣㤵㡣挹攰挰搴㥡愸㍦昸搲㕢㌶ㄹ戶㠱戹㤷户戱愶㡤挶慢扦㝢㑤扡攱㌱搳慤搶愴㥦愹晤〴㘷㘴っ〳攸㤷㈱㄰扡敥ㅥ㔵㥤戸㈸搶昵ぢ㜶㌵㕣㈹慣㐸晢摣㑡㠸㌲㘸挸㘲㤱㕢摢㤱㡣㉢㔰㘴散㈶ㄸ〵㈸㤵㜲㠵㍤㙣㔴㈸㈱攵㜴㑡愷っ㕥㙥ㄱ攴散搷挲换㠳搶ㄱ扢ㄶ捡㐸㈸て㕢挰㐸愴搵ㄴ晡㠶㐸愲扥㔹㠹ㄴ挶ㅥ㙢〶㔴㙡摡㙥戸摥攴摢づ㉥㠹㠸㘸㐷ㄶ㙣㍢㔹㐰㔱搰㉡て㌲㜸つ㐴搳㈶つ戲ㅢ愷㠸㠸㙣㤰愱搹㌱㜲㉢㤱戱㝤㠶㡣㐰晢㌴ㄱ戲昵晥敥㌲㠲挴摥㐹愴散搴㤵ㅦ㜷愴搹㐶戶㝣㈴捤慥挴挶ㄹ㔷ㄱ㕣㑤㜰つ挱㕥〰昱㘷㐸㌸㑡㌹攴㕢㤳昱㉡㍣ㅢ搷ㄱ扣ㅡ〰昲挹愰捣㠹㐵ㄵ㙤愸慤搸㤱㙣㌷〴㍢㔹ㄹ挵㤱㈸愲㘵摣戰㌳㠷ㅣ㠵攸搸敡摣ㅥ扡㌶慦㜴散敢扢搳㘶㝡㌹愴挸㡣愶改戵㙥搲㌴扤ㄱ㙣摡愳摥扡〱㕤㡤㌱㠲搷〰㤴㡣搷ㄲ㐲戹搰攰摤㥡㐵㑦㤳昲ㄵ㘱ㄶ㐵挶㔰㡦ち㍥㈶㘴ㅥ〱㌲㠴㕣挷昱㘵挷㠶愶㌹㌸㙥扤攲㙤攸㝤摤昹㍢㐶㝡㥢摥摣搱㍢昴ㄷ扤㐰㉢晡㐶戰㤷昸㝤㔷ㅤ㜳ㄳ慡㡤搷ㄳ摣っ搰愶㘳㜸晡㝥愱㥥〲㘵ㄶ㍢㈹捣敤愶搷㐵㔹戹㑢敢慢㔲㘹愰㐱㙢挹昴捦挹㄰ㅥ㡣攳戳戰㠵㍤摦㤷㌵ㅣ㙡慢慡㠰攷㤷慢㕢ぢ㠳㈳扥攷戰㝣挷㐶づ㕥ㄱ㡡㈱㥦搷晡㜲㙤㌶㜲㠶慤㤹昲㌹愵㈸㠷㍡昸昶敥㐲㈲搵愹㤵扣搸㉦晢㝣戹㈳㐹㝡㤰㈴㙦挰戶ㅡ户〲㐰㑡㠸摦㜶㤵㈸晢搸散㡤慡㔹慢挵㑡て㕦挶改愴捤㠷搸㈱㐷〶㈲㠷敤㌴晣〷挱㤰戳㘸㍢つ㘱㌱攰㉣㐸扦〲摦㠲㕤㤳愵挸㉤㑢㔱戳㈳㉢㕥㈱戲愲慦慦攳㍣㥤攱㕦㔳㜴搲㈶㈵㌲戹㍤戳㌲攳㉣摥㈴㉡扡㈱㈹㔴㌲㕣㐳つ〹㐴捡㘳摢ㅤㄱ搳㠳㠸戹つㅢ㘷散㈷㤸㈴㌸〰愰晦ち㤲㘶慢ㅢ捦㜰㔸晦ㅡ㕤摡攵㜲慥㐸㌴㈸ㄷ攱㜳㕤㠵搵㐱扥收㑤〴㜷〲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㕤散昳ㄶ㠰㝢㡥㥥㍥摥㡣捣扤愸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ㅢ㐶搳搵敤〸㠸ㅣ㤵㉥㈷㜷㌰㉥㍦㠲㤲㐸〸ㄱ敢ㄹ㈴〲慦㘰㑡挸搳挵㕤戰㑥扢㜶〸散ㄱ㘳㐷散㜰㌶〰捡〱㤰㔵挷摢㙢ㄵ㔶㔳㥤挶ㅢ㕡攱㠶捥慡ㄶ㌵㜱㝤㘷㝤㕡㙦扣㙥㠳敡㐸愳愴ㄴ挹㘶㡤㤴㘶搹㘰㡥摢㐹搵〸愵戸ㄳ㙤㈳戲摣愶捤㝤愷ㄴ㜹ㄱ㡡㐹搱㑣捥㜸扢㈲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ㅦㄶ㕦㝣㥣改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换㜱㜴昷昲㈳敡㌱㜷ㄹ愸㔰ㄸ㄰㡣昱昲ㄴ㤴挳慥㠲㤱㘸㜰㙢㑤慢㕢㌰晡㑢换摢㤸〲㄰っ〳搳愰㐵换挸挰㤹㐱㝥㜳〳攷〶戴捡㠸㤰愶㠳愹㡣㔱㡥挲㘱て愴㠱㥢㜸㤰㕥昲愰㠴挲㍤敡㘲㔸㜲㌷㜱摣挱ㄱ挸昳慦㙡㉢㕣㌰㐳㕣㝦㜱昷戶ㄵ㑦㔵慢㌴㜷攱㥦摢ㄶ㔸挵搵㡤挸ㅣ摤搳㜶㈹㑢慤㠹昶摤㡤㙤ㄵ昱㘵挱〳戳ㄳ挷捣戰戲戲ㄸ慥㐷ㄷ户㝡㈵〹晤㐷昰㐷㙣昸㜶摡捣㜹㤷ㄷ㔱搷戸昷愵昳慥㜷挱㔵昳搲〳摥晡〳㠵攰ち㘵㍦㈷㔹捡晤ㅢ晦㔴搲㜲晡て㌱攲㔶愶捤〱㥡づㄲ㡥愳㔲㈴つ挶㤰捦愰ㄳ搸敥㡤㕢〳愴㤳㍤㙤㜴愲〴挱づ愱戸攷㕥㌲㐲ㄱ㍦〰㕡㐹㉣搱㤱ㅣ㝢晥㜵戰扥昸㍥㑡㠸㜰㍣挷㘲㐴㝦つ㜲ㄹ愸㔳㠲㍣扥攲挱ぢ㈱晦㍦㔸㑡戸㜹㐳㜶晡㉦㌰戳㜸戶ㅤ㐵搷ㄳ㐵摦敢㐰㤱攰㌵㄰挵扦昷㈰㤳㈴㥤攱搹ㄷㄴ〸攷㥡㜶づ愰㉦晢㠵摦晦攱〱㜴㉥㈶づ㘵愳㈱搴㜶ㄳ㥥ㅢ㈶㐲㕦㠷㠹挰攰扤㌲ㄱ㑥㈰㈳ㄸ挵㡦㑣㠴搸〷㌲㡦㠲捤㑤〴挶昶㌲っ挱㔴愸㌵攵搶攰〹散㉡㠷晥戱㘳戸㜸㉢〳挴昳愱戴㠲ㄹ㜸愴慥敥㉣㕥㌰㝤搳搹慢捡㡦晡ㄲ捡捣㕦挲㑤㙥搵㠵㍤慥摤戰㐶㜵摡挰㔷㤱㜸搹㜷晣㈹㕢扢扦づ㑣㐵㈹㜲摦㡢愲㈸扣〸㑦㠹攰戹㈱昷晥㍤摦㍥晡㠷㠷ㅥ㍤捣摢㙡㌱慤敡户㈲摦㑢挸㥥昶〴㠲扡愹㡢㈲㔷昲挳㥣ㄳ昸㐴挹㕥慤挹㘹搳㔷㔶㔰㘰㌸㐹㌶㈲扣ㄴ㘱㐶挴户ㅤ㑣㑣摣㝢㠸㑣捣㠹㌶㜷愷晡戰㐹戹〸㈷㔲ㄳ㔷㍥扤㈴㙣㈸扡㉡戲ㅥ慤㑤晤㘹愸愲ㄷ㌸㤱㔶㉢㤱愷㑥㈶㈱扥搳慥敢づ㔲搷㐵〷ㄹ㠶晤ㄳ㈹㠵昸〳㈹㈴㝤㤰攱㠵〰㈵愵㑥㈱愳摦〶㤰ㄱ㔹㙢て昱搲ㅦ戰㈳〴㘴攳搲㕦㡦ㅦ戱㘰ㄷ㠱挵挴ㄷ摦敢㠹㤶戶㘸愲㥡ㄸ慡㔵㌶捤㈲㌲敡昰挲㠲挹愴㜴〹㤹㈴改〷㤰摢戲㍢㡡㉦ㄹ㜲愲挰㕢挴搸扡㐳㕦㕢挹戹摢慤攳收〷昴㑣㐱㈹っ㜷㌷㡢㜱㈰㔵㌱扡愸㘹㈹㉡㈲ㅣ㡥戲㡤㑥〳㜱ㄵ㜴㤶扢ㄷ愷㔲〴晦昸愵㄰敢挷㥢㐳㕦搹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㜵㠸愰慥晤㕢攵㔶㜲扡㉤扣ㄷㅤ昷㥣戰㉢扥ㄷ㜸㔶㌸戶㠸愰敦ㄸ扦㍤戳㘰昳㑣㠹慦戵ぢ戵ㅢ戱ㄳ㠳昷愳捦挹㜹〸散㤳㌲㝣愹㘲㤱㡣㉣㙣㉤㤲挱敦㤰㐶㔲攱㈵㙡㠷攰ち敢摥扡㔹挳愷慢昳昰㜵㠶㉣摡ㄶ捡㉥昲㌸户摦搰攰搶攱㡥搶㍢攱て㤲戵〹〴挷搴ㄲ摥㝢㍦昷戵㝤て㕡摢挶㙢ぢ搸戲㌷㥦㕢㐹㝦ち㌸摤摡㕢㕡㐹㠶敦攴ㄷ挹㈵愳㑣㠸㑢晢㠷昱㜷敢づ㕡㡥㌶ち㍡㡦㍦攸愶㈳㙣扣〶昷搹ㄶ愲摦㘷搱㔵㑣ㄱ攰㘷㤸㜱㠶て㠲㕥㍥戲愲昸㌲㤶㐵〶㐰㍥㔷愸〰㜴愷敡㈷㌷愲敡㤱㝢搸ㄳ㐹昰㡣㐱㜲㉣㠹㈷搰㤰摢ㄵ㉤ㅢ㉣挱㘵ぢ㜵㤶㐰摥㐸㝡㈰㥦ㄳ㍣㑢愸㠹㝣〱ㅤㅡㄳ戱㔱摡㝤㈲㥦摦㘸㈲㠲㔶㠰㕡㘸㝡晣㤱㐴㡢ㄸ㌵㔴ㅢづ㠱㑢攰〱㡣㈴捡㘴㤸昲㤱㐲愷㄰挵ㄸ扥㑦ㄴ㈱晤㍡晥晢晣攱㕦㍤挷昴户挳㐲㐹㐴㔴戵慥㠲ㄲ㔱慤攲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摤㘷㥡扥㔳㔴㈰㠱㝡愲挶㈴㌸搵昸戱愴昱〱㝣㥥愵摡攴㜸㤵㠰改昹愴㌱〹㔳㌵㝥㌴㘹晣搷〳㝢ㅢ㡤ㄳ㍡㡣㐶搶㐹㈴ㄹ㐶慦㍡〶愴㍥搵ㅥ㐶㜳摤愲㈲ㅤ戰愲㘲㡡㔰ㄵ㐳慥㈹㔵㍡㠸㕢㈱㍥㍥㤶㥥挳㈵㈷摣〵㠱戴㡤晥㥦〹挷㜱昹㘹搶っ㑤㝣ぢ扤㠶愸戳㙦愸㈷㜶㉥㔸昳㍥ち晡慤攳〱づ㔷搵㙤㐵㈲戰ぢ昲搱晥㙥攲㥤捦戰㈱㥢晢㤱㐴换㌴㕥㈶改㑤㡢愸〸㑢㕥㝣㈰挱㙣敥㔲㤳㘶㡣㐷㠰ㅣ㠸㐹㐰㘶㡣㑢㠰㔱㐴㘶てぢ㐶挸晦㡡戹㍦挰㡡てㄲ㍣ち㔰ㄲ㘴㜶搲㐱攱㌱㠰攱攴晦㔸㌱戶愶ㅣ㈷㥡㜸㈸㜹㔹㥡㡣㡣て戳挳㐷〰晡攰挷ㄵ㌱ㄱ㤶㡣㡦愲㈴晤㔲ちづ昵搲㡦戱攲攳〴㥦〰㈸改㥣散㤶㜷㡤㙢敡㔱㠵㝤ㄲ㕤挵㈵〲晣㡣㑦挵ㄹ㍥攸摣㠷户㜶㌷㥡㜹㈶㑥扥昰㐷捣戳攵㔳晥扢昱㘹晥㍡ㄷ摤㠷晦㌳㠹慥㉣晣扣昶㤶摥挶㈲ㄳ搰㌸㔷扦㔵㙣昶㡢ㄸ㠷敢㙡㠶㔲㌸㈲㤵㑡㔱㉢〸攲㥢ぢㄶㅥ摥挰户ㅣ㔲ㄵ㐲㤰〶㔴㠵ㅢ㔷ㅣ㐶㠱昱ㄹ㌶㈵㡥㠹㈷攳戳㝣㈲㙡搵㈶㝥㉥捥昰㐱㄰慦慡晢〳㜱昷攴㠵挴戵慡戰摢㕥㐸晣慢㡡㤵昴ぢㅦ攷㘰ち㔹挸戴㙡㈵㈲㑤搱搰ㄳ挸っ昵つ㜳㙥昷攱愷㕤ㄴ㤵戳搵戳㘷晦㌹㥣ㅦ扢㌶晦慥㜷っ㍥晥晣㉦晦昸改摦扣敦搰㕦晥昵攴㤳扦昹搳愷㥦晢搷㡦㤶て晤晣愹愷㝥㝡捦㔷㥥晢攳㙥敢慢摡㌳晦㥣晢敡挳㤳攷ㅦ㝥搰㍡㝤敢搱㠷摦晤挰扤㤳ぢ㔷㡣昷昵昵昷摦㍣晡㡢㙢㙥ㄹ戹昴攰戳攲㈷扦扢摡ㄵ㙡戹㜸㐱敢㌴戸㙣㌵㡤㉦㈱㠳㘹㜰挶㉦敢㌴戸㕣戵㔱换昱㐶㑤愳愰〸攷〶㈷愰㉡捣搶㡡㠱晦〰㠷㜹戳〱</t>
  </si>
  <si>
    <t>㜸〱捤㔹㘹㜰ㅣ搵ㄱ㥥户㤷㜶愴㕤㝢〱搹搸挶挶㡢㘳挰㤴攴挵㐲ㄶ〶㠳ぢ㙢㔷㠷㘵㕢〷慣戰㈱〱㌶愳摤户搲㔸扢㍢㘲㘶㔶〷㘰攲攲㑣㐲㠲㌱㌸〹愹㄰㜳㈴㤵㄰〲〹㈱㤰〳〲〵づ挵㕤ㄴㄵ昲〳㐸㠵㈳㄰㡥ㄴ㈶攱㑡〱づ㌸晤扤㤹搵㕥㈳㘱㌹㑥ㄵ㘳㙦敢扤敥昷晡昵敢改敥搷晤㐶㘲㤲㈴敤愳〷㝦昱㜸搰㔸ㄸ㥦㌰㑣㥥㡤挴戴㑣㠶㈷㑤㔵换ㄹ㤱㔶㕤㔷㈶㌶慡㠶改愶〱扥㠴㑡㜴挳㥢㌰搴ぢ戸㍦㌱捡㜵㠳〶㜹㈵挹敦㤷㕤愰摢扦㔰愱㈳㘳㤶散〱愰㔱㤲㡣〱㜲つ㠰㥦㐰㐰㈶搰ㅦ㡢昶づ㙣愱攵攲愶愶昳挶昰㈶㡢改㥡愶愶㐸㔳㘴㘵㑢搳〹㤱ㄵ㡤攱㔸㍥㘳收㜵扥㈶挷昳愶慥㘴ㅡ挳㝤昹㠱㡣㥡摣挰㈷晡戵㘱㥥㕢挳〷㔶㌴て㈸㉢㑦㙡㕡搹搲㤲㍥昹攴㤳〲戵挴戹㉦ㄶ㕤挷㌳㈳挴敦㘰㜱慤㈳慥㍤戱㘸㥦捥搳〷㡢愷ㄷㅡ㙡㙡攳㐹ㄵ慡攴㕣㔷㜳㠳㤱㔸㤴晥㤷㘸㠵㝡慢㈲扤昱㌸捦ㄹ慡愹㡥慡收㠴搰㘶戶㌷㌹戰㐹挹攴戹㉦㉢㐴昲㘷㌷㈹㝡㡦㤲攵挱散㤹〶㍦㐳挹つ㜲昴扣搹捥扣㥡昲搰㉢㜶ㅦ攷戴㤰慤愴㐸㙦㉣ㅡㅢ㔲㜴㔳戰㠴〲㡦㜷ㅡ㉤㔶㡡㤴㠸㈲收〸㉣搴挳敡㙣㈳挲㥡㜸扦㜲〰㈰㐸挰㌷㡢挰㘱㈵㌳挳㘲㙡戸㤹㜹摥㈵㔳㉣㥤〸㑥慥㠴攲㑡っ戸ㄲ㐹㔷㈲攵㑡㜰㔷㈲敤㑡っ扡ㄲ㐳慥㠴敡㑡㙣㜱㈵㠶㘹㑣攱昱搷搴戸散㈷昸昰㉤攷㈶㜷戴㐵㉦晤㐷收㙢攷㑥戴㙥㘵戰㍥㘱㠶㈱㙡挸㠷㄰昰ㅤ㑡挰㐱㤰㈶挶昶㤰㈰㄰收戰㐸戰㘹搱㥡摥㥥敤敥昹户㥣昷捥㜷捦㘴㔰戸攰㔲て㉥㜳挰㘵慥㌳㤷ㄳㄸ㝢换收昲改攰扦㔶摥摣晡㕥昷㜵愹搱摢捦㝡㜴搹〶〶晢ㄷ㕣收㠱换㝣㜰㔹攰捣攵㐴挶晥㙥㜳㠹㡥ㅤ㜷敦慦㜷慦㙡扦㝦捦〷摦戸㕤て㐴ㄹㅣ㐸㜰㔹〸㉥㡢挰攵㐸㘷㉥㉤㡣扤㘲㜳㜹㘶昳㍦愵㍤昳戴㡥㕤慦摥昰攱㤷ㅡㅦ㌸㠵挱〳〵㤷㌰㌵攴愳〸昸㤶㄰㜰搰换㑡挶晥㙡㜳戹㘸㔱㜴摦摢摦㕢ㅥ晢搱㠵㘳摦㔹昳攰敡挷〳㑢㘹㑡て㔹㑥愴㠷㥢〷挹捤扣戰㤸晤户㔴㡣昶㘶㉤㐳㙦攳㐶㔲㠶ㄷ㜴攵㔲㝣摣㐷㉤昲㡥㐰㌶愶攵㑣㍥㙥戶㈹愶㔲㤳敤㔳㜴㥥㌳㘵ㅡ搴㈰㘶㔹㉤捣っち㕣㘱㜶慤摤㈳づ㈱搱㉣攱㔲㈷㄰ㄶ㈷㐶愱搳敤戱愰摦攷ㄴ㐳搷㈹挶㤰愹っ㘴昸搲ち㠷㠲摥挸㠷捦㌴搵㡣ㄱ㈱㤶㥤扡㤶ㅦ㠱㐶てㄶㅦ㜸戱っ户昳ㅤ㐳㐰㐴㝣晣愵〵搶捡挷搲㥦㕡㐱㤴㐱愴ㄷ扣て㤴㈲㉤搰㐰ㅤㄲ戱㑤换㉡㙡敥㈰扤摣㐰㈳㌱㍤摤㡥ㄱ㙤扡㌲㐶昱慥挸㥡㠲㍤晥㝤㝥挰愷㜸㥦㙥㐹慦㑡㌷㌵愵㕡㔶㈸捤㡡ㄷ〱㘶愶昱ち慥ㅣ挸㙥㔶㜳㈹㙤㑣〴戰㐳戳ㄴ㥤㐴㔰敡㥦ㄸ攱〲ㄵ㐸昷㉢晡㈰愷愰愸㜷戵搵愷㘳㥡慥昳㡣㘲昲㤴㐰攰㘰㍣扣ㅣ㘹㜴攸㕡ㄶ昸㠵㔱挵攰挵攰搸㤰戶ㄶ㡡㙡昹㕣捡㌸挲㤹ㄸ㌷㠹昵㠲㑡㕡㤱㐹搵戴㌸ㅤㄸ摣㄰㤲ㅥ㔹㌹㑤ㄸ㝦敢戸㙡㤱ㄷ㔵㤰改挸搰〶愶愶㜶攸晣晣㐹㙡㤵㐴慤㤴ㅤ㡣㜲搰慢㜶㘹㤱㉣戹㈸挰㙢〶捦〹昱ㅡ戲㝤㙡㜲㤸敢㜱㡥摣㠲愷挴㔶攷㠰挴挹ㅦ㤳摣㘸攸㠵敡改捣㑡㉤㈹挵愶摢挷㑤㑥摥㥣㈲㜹改㉣㌷㈷晡攱㐹㜳换㠶㔸㙢ㄲ㘱㝥ㄹ扡㐳㑢收つ㜸慤慥㘵捡㈹慤愹㔱㠵搶㑣㜵㙢㈹敥昱戸摣㤲㐷昲攰㤱攸㡣㜴㤳㉢慦愸㜰㔴㜱㈰㠳户㔱㝡昲㤵㔸づづ慣收晤㥡㔴㙥㕥㤸攷ㄴ㌲㈶搳㉥㌶慦摣㔷㈲㘷㤰昶㐸㑢ㄹづ㐷㜲㔵㐶㤴ㄲ㐱㡢㔶㠳㐵ㅣ攳愹戵愳ㄲ㥤挱㙥㌱㝡搹搴㕢ㄱ㙣㈷㉤攳晦㍢搸攵㍡捣摥㝤晢㈸挵散㜵㑡㉥㤵攱晡昴晡㠲㐴昲㜲㠰〸挰昱〴㙡㈵敦㌳ㄴ摤愶搴㈴㌲〴㌶捥㈶扣㘳㙡捡ㅣ昲つ㜱㜵㜰挸㈴ㅣ愵戵㝥㍦搴扣挱晥㍤㐱愱晥㑤㘴捡㜲ㄳ挰〹〴㙡㙢㙢㈵ㄱ㍦㝤戵昲㑡搱㤷ㄸㄲつ㥣㑡㌲昲㡣敡攰扡ち挳愶愳㌱㈴㈹〸㘸昲㈹〰愷〲慣㈱㔰㉢戱摤戴て散攵㘳捡戰慦㈴㔴㔱愲搳㌰㙡㉤㐶㤵㐸ㄴㄵ㝤㠹㠹㐸㠷〱挸㔹慡㈵㙡挷戰改㘸っ〹㡦㤰愸ぢっ搶〳㐰㈹㈴搱摤戶㐴扦愴㉥㝥㐵㠹扡㌱慡〷愳㑡㈴敡ㄳ㝤㠹㈱〱ㄲ㍡㐲晥㔳㉤㔱ㅣ挳攴㘹㘸っ挹㤳㤰㘸㌳ㄸ㥣〵㜰㌶㈶㐹散㈷戶㐴㑢㈸扢ㄹ㈴㔴㔱愲慦㘰搴㌹ㄸ㔵㈲搱㜹愲㉦㌱㈴㔳㐲㈲攴㔲搵ㄲ㈹ㄸ㈶㑦㐳㘳㐸挴㠴㐴ㅣっ搲〰㔸㥥㈴扡摥㤶攸ㄸ㤲攸㈶㐲ㄵ㈵㔲㌱㙡ぢ㐶㤵㐸㤴ㄱ㝤㠹㠵改慦㤰〸㜹㔹戵㐴ㅡ㘱㙢攵㘹㘸散㈸ㅡ㈱㈴㌲挰〰㈶㉤攷㌱㐹㘲摦戴㈵㠲〹攳㔷㤴㘸っ愳挶㌱慡㐴愲ぢ㐴㕦昲㈰㘷㜰㜲扦挹っ愷〶〳㌷㙡㑡慡㐳㐹㔲㍤㔷㘳㔷㜳晥㤸㤶ㅤ愱扣㑢て㘱㘴㡣愲㉥㐵昳㔱㌵挵㜵㍦㄰㜱㉡㈷㍤㔴捣ㄹ㍥㜱㘶㤱戴㙥户攴昵搶昹㥤搶敡㉡昰㕡㙡挷㠶搲㜲戵慢㡡晦摢愷㥦㜴ㅡ㌹ぢ㙤㐷㈴扢ㄷ㔲㔳扥㠸㠰㜷㌹㠱ㄹ挷昹搹㌴㘹㙥㌶㍥愴㡤慤愳㈰挱つ慢㔸㌲㘲扡㙡ㅥ㕥㡤愶〴㔱挹捥ㄷ昸㑥㥤搳搱慥昷搳〹㈷昶㠸ㄹぢㅣ㈹㘲搲〲ㄱ㘶㑢づ㤸㠶昴㈶㤵㡦㈱㉤㔹㕣㑤愲㙡㉦㤶㌷㑣㑤攴戳㐷㔶搳摢戴ㅥ捤㙣㔳㡤㤱㡣㌲戱搴㠱㙣㔱㌶て昱ㅣ㥤捡㍡ㅤ捥㥦㌷㐸ㅢㄹ攱㈹〷ㄹ攳㕡㕥㑦昲慥戶㉦挲戹㑥㙦捡㝡㤸㌸搲㤹㥦昹㕣㡣㥥〳㍢㔲㐴扣㤱㉥慣晦㐵攷㉢ㄷ㕣㜶㥡㡦ㄲ〵㐶づ㐲㉥攲挵㌱㜳㈰㐷㍦㡡攳㘰㔹挲㌹〷㘵㝢㌷㕤㜵愸㈳ㄹㅥ㔵㜴㌲㙣㑤㌷攴㙣愱㘹ㄹ㕥㐹〱㙤㜹换ㄷ㐱搹㤴㍦㔹㤹㔳㘴敡捣愱㐴㜰㘱㠳㌰㘶㥣搶慣扥㈲挵ㄱ晢㙥〴攵挰摥㤵昷㔲㡡㙥㌳ㄴ〴愷㝡捤㈸捡挵㐴㐲昲㐳㉣㍣捣㝢〹戱㜲㤴て㐹㠳㈷㠷敢ㄵ㌱慢㜶㌸愷㡤攵㠴攴㕥〳㔹扣㐸ㄳ㙡㙡戰つ㔴㘱攲㘹㈹㤸㡤攴㍤㥥㄰つ㑥扡戲慡慤挹晢㥦慥ㄴ㈵㍥昶㠵㑦〰ㄷ㍥晤㍡ㄷ户㍡㝥搱㈱ㄵ〶戳㥢㌵㝤㜸㐰搳㠶㔱〳捦ㄲ㍤㘳㠸㜳ㄳ㌷㌰㜵㔹敢ㅡ〹㙤戲㝤户扢散㤶挵搶㍢㠸つ㈴㡦㌸㘲㝣摢愸攵敥搰㤳愲挷㉥愶晤攳㐲攴愲慤㐷㍦㜶㉢摦搹㝡㕦攷㝦搴㐵摢㍥㝡㡥㙤戵〹㜷挶敦㝡扥㝦晤搶慥慢慦㝡晥㙦㤷ㅦ昱愴攲㐵㙡戴㕦㘹㈹搲愴搹改挹搸搵慦㥡ㄹ㕥㤷戶㑣〳㙤㝦㥡愲ㄱ㤵っ愹㥡㜴晦㄰敤扡㉤㤸敥搴搵㔴㐶捤㜱㤸づㄵ㘳戸慤摡挸〷愹㍣攸搳㜰㌳愶攵㠲改㝥㕤挹ㄹ㌸㙢㜲挹㠹㐳换㝡挲㕢扣改愸㥡㌳㘸ㄹㄱ㉦搱㥥㥤㐶㌸愷㌷㤷捦收㍡㤵ㄱ攳㡢攰㑥㘴㈷㠵挷ち㕥㉥收㜲㌱扦换㝦㠰ㅥ㈱昹㉥㈳㝥ぢ㑢㍣㜰㜵㔸愸㈳㑣㈵㔵㌸㑥㝡愴㥣㠵㔶㐰㔲攵㐲㍥㠰搳㥦㘲ㅢ㥡晢㕦㌹㐰攸㠰戸㡡戴㑢㍡户搳昹㍤㔹摡挰挹攴换〹㌰㈴捥挲㕦慥戰ㅢ攸㌰攴挹㐸㌸㉡㑥昰㉢〹㈵㝦ㅤ〳㤰ㅤ攳ㄴ㥦㌲㌶㌳愴捥㠸捦㙣㡣慣ㄵ㔱㠱摡ㄲ㘳愳搴㠲㘳㍢㌸㈶㐳愲つ攷ㄴ收㉦㙦㉢戴㤸㑥攳攱〸㑦て㈷㔷扦昴捥敢敤㜷㍤ㄴ㕣昱搱㕦㝥戵㤰㥤㙦ㄳ㤶㝣昲攲戵㠷㥦扥慢晢戶户ㅥ㥦㜷晦㥥㑦㜶㌲㘴攴㜰〶挹㜷つ㠱ㄹ㉢㥦慤愵㔹㜸〱昲づ〲㉣ち㠰摥戵㜶㐳攸愸㥤㍡づ㍡扡づ〳㜷㘲㈰昲昵改㜵㠴㘴㕥攸㘸㤸㌶㔲搴搱ㄶ敡㑤愵愳つ㌴挵㐹㐷㘹㕢ㄵ户〵㔶っ㝥昶敡搱戱㍦㉣扥慦攱敡搵昱㡦ㄹ户〹收摥搹昷㍥㕢扦慣晤愷㍦㐸晣㝢攷㔵愹㌷㔸㌷㜱戲㜴㜴〳戵㘶慥㈳㤴ㄷ㐲㐷㍦愴〶㐳㜱㈱㜴戴换㙥〸ㅤ愱㤶㜰搰搱㡤㠴㤶㙦挲㐰㔴㄰搳敢〸攵㠵搰㔱㠲㌶㔲搴搱㜹搴㥢㑡㐷㈸㐶㈶㜵攴晢㌱昵㡡㐱昵换戶㍡㙥ㅣ㙤㕦戶扤㜶攱晡〷㉥搹戰㉢㜵挷ㄳ㝢搹搹㌶攱晥扡㙦㈹摦㝥晦愹昵㔷〷ㅥ㍦㙢摢㔷昵〷ㄸ㉡ㄷ㑢㑦户㔲㙢收㝡㍡㠷㘶〹㍤晤㡣ㅡっ㈵㡦搰搳㙤㜶㐳攸㐹愱㡥㠳㥥㝥㑥㘸昹㜶っ愴ㄸ昱㌹㝡㐲搱㈳昴ㄴ㉦搳搳ㄹ搳攸㘹㤰愶ㄴ昵㜴㈷昵㡡㝡敡㤹㑡㑦摤㌶攱搴㔰昳ぢ扤ㅦ㙣摣㜸捤挵捦㝥攸ち㙦㜸㥡愱㥥戲昴㜴㌷戵㘶慥愷㉤㌴㑢攸改ㅥ㙡戰っ〰晤攴摦搸つ愱㈷㡤㍡づ㝡晡㉤〶晥づ〳㔱㙤㑤㙦㑦㈸挵㠴㥥㍡换昴搴㌱㡤㥥㔰戸㑤敡㐹摥㐶㍤敢㠰㡥摡慡㤸戵㘹晤慡搷㠲㑢扡㝥㝦晤戱㑦昶㙥愹㝦㤳戵摡㠴㘷攲昷㉣㍢扢晢晣搶㥢㡤㔹㡦昴㝦㍡昰㉣㐳㠵㘷改攸㐱㙡捤㕣㐷㈸づ㠵㡥ㅥ愲〶㐳㘹㈸㜴戴摢㙥愰ㄳ㐲㤹㠵慡换昷㐷〲戳㘲搱㐴挹㈵㤳敦㘱挲ㅤ㐲㌸㉢㌵㈹㘴㌸㈱㔴㘵㤸㈳㍥ㄶ挹㡦㔰㡢㠹搳〱愸㐷〹ㄴ㥥㄰㑥〹愴㕦昲㘳〴㠲敥搰㤵昴㐷㑣挴㘲㌲戸㠷㜰㍥〸搴㈱㐰㍤㐵㠰敤〰㐰慦㡣搷戵㠴ㄱ扣㥥愶〶昱㐲攴慣攰㠵㌸㉡㔰戸〴㤱晦㐴㠰㠹㘸㠳㕥ㄹ㉦㐴ㅤ挱敢捦搴㈰㕥㠸㌰ㄵ扣㙥㉡愰㜰搲捡捦ㄱ㘰挲㈳搱㝢㥥㐰攱〹挱㌳〵慦ㄷ愸㐱扣攰㠵ㄵ扣攰㤳〲㠵㡢〷昹㐵〲㑣㔸㉤㝡㉦ㄱ㈸㍣㈱㔸慦攰昵㌲㌵㠸ㄷ㉣戵㠲ㄷ散㔶愰㡥愲㠶晣ㅡ〱昶㄰〰㝡㘵㝢摣㑤ㄸ挱敢㜵㙡〴摤っ慦〹㘶改㝢〳晤搶㑣㈶㕣挸㐶つ摦㥢㐰㤵㝤㔵昴扤㐵愸㜹㌱扡ㄸて㌷㉤ㄷ㕦㍢挲㈷㌶㐷挶改敢〷晤挶搹㕣摢㘴敦戸攱㉥㤶㌲㙥㙣扢㙣晢摥㔳挷㠶ㅦ扣㠲捤戱〹㤵ㅦ昷㐲〵搹扣㌰㠵㔳㥣昲改慡㍢捥㠶捡ぢ攵㜶扡㈰㥥挰收摤㜴〵攱ㄵ㘹㤱挷戵晡挰㜸ㄵ㙡ㅡ攴㌶摥㝡㤲晡㝦攰〳攵㤷㤷㈴㡢〹㈳敦㈱挰㘰搱㈲ㅡ㐰敤㌲ㄴ㉤㐳戵㙣昶㔴ㅡ㥣㘵ㄳ慡㍥㙣挲敥愱㍣ㄶ愴ㄱ㤰㔸㉣昲〱㌰㌰㜵愷㐵晣㔳㉤㔲㘳ㄳ慡扥㝢挲㈱挴㈲扥搲㐵昶㘲ㄱ昸㠰搳㈲㙣慡㐵昰愵ち㠹㔸攵㘷搱㔰挱㝦ㄸ㕣㐶慣戶敦戳㤲㉤戹㐸㥦っ㕥攲戴摡㈷㌴ㄲ㑣慢㉣敦㘳㥢㔰昹昹㌴㔴昰㌰昶㜲㘱戵㡦㑡㔷㤳戱ㅡ晣挸㘹戵昷愷㕡敤㍤㥢㔰昹㤹㤵挱摢挴㤶摥㉤㕤㈴㐴㡢㜸㘱て㤵ㄵ㉡㉥搴㍡㘰搲ㄵ㔷摡㜵㜵㡤㠴散晦晥扤㙢㍦㙤㍥户㤵攱㉤㘳晡㈴〲㙦愴っ〱愵㤵㈱戰慦㌲〴㘴㈸㐵搴晤ㄷ㘳愲攱っ</t>
  </si>
  <si>
    <t xml:space="preserve"> Convertible bond issue</t>
  </si>
  <si>
    <t xml:space="preserve"> Issuing New Share</t>
  </si>
  <si>
    <t xml:space="preserve"> Bond Issue</t>
  </si>
  <si>
    <t>㜸〱敤㕣㜹㜴ㅣ挵㤹㥦ㅡ捤戴愶㐶㤲㌵㍥㌰挶㌸愰㌸㘶㘳㤰愳㥤搱攸っ㜱㙣ㅤ挸㤶㤱㙤㘱挹㤸〴㔸戹㌵搳㘳つ㥥㐳捣㡣㘴㈹换㈶㈶攷敥㐲㡥攵昱㤶㜰〵㜲散扥つ〴㜲㉥挹敥㈶㤰昰㔸㐲㔸㠷㈵㠴㉣敢ㅣ㠴㠴〵ㄲ㡥㠴㍣ㄲ㘰㕦㌸昶昷慢敥ㅥ昵昴戴㈴摢㜱摥晡㡦戴搵摦㔴㝤昵㔵㔵搷㔷挷昷慢慦慢敤ㄳ㍥㥦敦㜵㕣晣攵ㄵ㘰㘰捤挸㙣戱㘴㘴㕢晡昲㤹㡣㤱㈸愵昳戹㘲㑢㑦愱愰捦づ愵㡢愵ㅡ〸㘸㘳㘹愴ㄷ㠳㘳挵昴扢㡣搰搸戴㔱㈸㐲㈸攸昳㠵㐲搲捦㜴敢㡥搸ㄱ挹㕣㌲㐰〲㈹㥦愴㠰慣㈵〹㠱搴㑢㤰搱扥摥㥤攳㤷愰扡㤱㔲扥㘰㙣㘸㍡摦㉣㜴㘳㉣搶ㄲ㙢㘹㙢㡦戵戶㐴㌷㌴昵㑤㘵㑡㔳〵㘳㘳捥㤸㉡ㄵ昴捣㠶愶攱愹昱㑣㍡㜱慥㌱㍢㥡摦㙦攴㌶ㅡ攳搱昸戸摥搶ㄵ㙢㙢㙦㑦㜵㜷㜷搵㠷㔱昲㡥扥摥攱㠲㤱㉡ㅥ慦㌲敢㔸收捥扥摥㤶ㅤ㐶改㜸㤵㔹㡦㌲㔱㘴㝦㍥慢愷㜳挷愹搰㈰㤵摥摥㙦㈴搲散ㅤ挳㈸愴㜳晢㕡昰搸ㄵ㡡㐶慣戳愵愷㔸㥣捡㑥戲愳晢㡣㑣㘶㤷㤱㘲慦挸㙣㝦戱㌴慣ㄷ戲挵晡㉣昵㘷ㄴ㡣㕣挲㈸㉥挹㥥㌳㤳㌰㌲㤶㘰㌱㤴㍤㕦㉦散搰戳㐶㠰㠱挶慣搹㠷㠳㐹㈳㔷㑡㤷㘶ㅢ戲扢㡢挶㉥㍤户捦愰㐸㌰扢㘵㉡㥤ㄴ㠱〰晥㝣㌵㙦昶㝡㌲搵㔱㜸㥥㙣摦㠴㕥㈸愹ㄸ扢㌰收㈵敢ㄸ㉥慡ㄵㄵ捦挵㈱搵攴捡挵㍥ㅢ㐹㘷捦㌵ち㌹㈳挳㑡搸㤳捤㉥㈱愵㈰戳ㅦ捡㥡戲㥢挳㕥ㄲ㜵搶散㘰㕢㔸㡢搶〰搲㍢㤴摦户㈳㕦挸㘲㑣㙥㌷昴摣挶搶昶捥搶搶慥㡥㔸㕢㑢㘷㔷㝢㐷㙢㙣挳㐸㈹搹㙦㑣㙦散敡攸攸㡣㐷㍢扡㕡㍡攳昱㡥㔸㝢攷㠶愱㝣㐲愷攲㌷㐶攵ㄲ㤴㈳ㅢ㔹㘲〴㘴改捥㐹愳㠰愴摣扥愶㠲㌱㙤攴愶っ戹㤴〲换㐰㐴攰㌹捣㔹攷㠳戰㈵晥㌱摤㍦㌶敥ㅦ㑢昸挷㤲晥㌱挳㍦㤶昲㡦敤昳㡦㑤昸挷搲晥戱㑢晣㘳晢㈱㘳㕦愱摡㕡扦㜵㌵慥戹㝡昸搹摢搲〳ㅦ攸㜹㜶晢慡㥢戵㑣㤰搳㌴敥愵ㄵ户挲〷㌰㔱ㄳ㝡戱㘴㡤〵捥攷攳㍢㔴ㄶㅦ㈹〳㠵挴ㅦ㝦愴愰㤲攳㌲㔲攴ち㘸㐸㥥〴愲慤〴㘹㍣㕦捦㑣ㄹ㑤攸收愶ㄱ㡣㜶㐳㥥捣攴㔵㈰㐲㍣㠵晥㘵ㅦ㝦愳敥㑡晤挳㉦ㅣ摡昶㤱晡敦㕣㜰㜰㙦攱㑥挱攵㔳㉤挱慢ㄱ攸摥㥤㑢愷㌰敡㌶㙣㑦㘳〰戵㐴㍢㍢㘲㥤敤摤搱慥㜸㕢㝢㔷戴戵愳㍤戶㘱扢㍥挳㠴敥㜸㉣ㅡ敦敡敡散敥散㙡㡤挶㕢攳㥤昲㔴搶戵〶㐴㝢〳㐸㘰㑦㑦㕦㥦㍣㡤扣搳㐱㠴㜸捣慡晦昳㉦㑣っ扤扡晣㤹敤㥦戹昷㥡㈷㕥散㍦㉤㈵戸㜲慢晡摦㠸挰愹慥晡㕢㍢敤ち攳㜱戹㤶愵扤〹㐴㕢〷戲㘲搴㈸㘴搳㌹㍤搳戴愵㤰㍦㔰㥡㘸摡愵㤷っ㜹〶㘵晥っ㐴㠸挳㔶㡤摦摢㝥搳晤㤷㝤㈵摢晢戱攲昴㥢㔷㍦㥡㝢㕤㜰㔸愹ㅡ搷㈳㜰㘶㘵㡤昱㔸扢㔵㘳扣慢慤摢㜹戵换㌳㔹昶㔹㈰㕡㌳㐸攳㘰㉥㤱捦ㅡ㑤愳晡㡣㔹昵〶㈶扦〵㐴㠸㠷慣慡㝢敢慦㝤挳摡㍢敥散昹攸㈹㜵戹㡦㕦昶攴㠳㠲换愰慡晡捦ㄱㄸ㜰㑦㜱㈸戸扤戵扢ㅢ昶愹扤㌳ㅡ㙤㡦㜵摢㤳扣㌳摥㠹㈹摥ㅤ㙦㘹㡢㜵㐶㕢扢扡扡扡㥤搳㍣捡㡡㘳㈰㕡㉢挸戲戹㘹㙥捣㑣ㅡ戹愲㔱㤴㜱㑡戴㠱〸昱ㅦ搶愳㑤㍣㜸敥戲㔷摦昷扥慤㥦扦戲敦愱扦㕡昹戵戵昵ㅤ㐸㍥捦㕡㠹晡ぢ晡〱慣ㄳ㜳㘶〳戶㤲晦ㄶ户㤷㌰㤷愹昶㔴㘷㉡ㄶ㑢戶㐷昵戸ㅥ攴ㅡ㜴愴ぢ㌳㔷愹晡搴㥥㜴㉥㤹㍦愰㔶敡㌵扤㝡搱㤸㥢㡥捤㔶㕡㙦㝥㉡㤷㉣㥥敡㥤㌸㔲挲㌸㔸敤㑥㥢㉢愴㉡摢〸散㤸㔱㔴昵㥤收捥愶㈶㔴捦㑣摡㑣㝥㠳㉢ㄹ㔶㉣㍦㍥㝦敡㐰挱戸戴㥣㕡昵㐴㍤挰㐱搳〶搳慢㕡㘹㈶㤹捦搵搴㌷㤱㉦ㅡ㌹昵㜸捤搹攱㜴㘲扦㔱ㄸ㌱㠸愲㡣愴㙡敡㐹㑣戲㑣㘹昳捥ㅣㅡち攳㤸㕣敢攴愶捥㤹㈹ㄹ戹愴㤱挴昳㘲㜱㈸捤㡥敡攳ㄹ㘳㘵㠵㠸㔹㈷ㄲ㑥愹㘰て攴ㄳ㔳挵扥㝣慥㔴挸㘷㉡㔳㝡㤲搳㍡捣㜷㜲㝢㍥㘹挰晡〶㜸昹㠴慦愶㐶〸摦㔹㕥㡢㍤换㉤戶愸㡥㜰㜴㌱㡤昱慡捡㘱搷戲ぢ慤㐳㉢㌲〶挷愴㝦摤㈲㠵愹㜲㔹捣㤹昳ぢ㍡摡㐴挸㐹改昵昳㑢慢㘷㉣昷摣ㅦ㔷搸敦㕦㙥戵晥ㅣ搸攴搲㔶㍤㤷捣ㄸ㠵〵〱戳攰ㄳ挹㑥㤰攰㝤㤸捤昳㙡㡦㘶㔷捣㠸搹攰㠱㜴戲㌴愱㑤ㄸ改㝤ㄳ㈵昰〰慡㐳㈱慡戶敡㤲摤㘰挹户㤲㥣つㄲづ晢戴户㔱㐸ぢ换㡤㘶㍣㐸㌸㜱昴攰㠹戰㕤㉡戰〶㘴㕤っ㘶㘱攸㡢㌵㌵㕥慤摣慡ㄷ㈷㑡ㅣ㥥ぢ㈶ㄲ㈶挹户㤳㙣〲〹ㄲ挷㉣㡡捤昸攴〱㐲搰㠶㙣扦㤱搲〱晣搵散ㄶ㝡㌰㙢㘲挹㝥愳㤸㤰〴㥤㠳㤸㉢㌳ㅡ㐲戰愶昵㔹㡥㝥㘳愶搴慦㤷昴摡㉣攰㉢㝡㐹㐲愸㔹攵㌲㐳捣搹愰㜸㜶敥戰ㄵ㐳〹ㄱㄵ㜴㤴㔲愷ㄸ㘶㐹㤸㌸㤸㉦扥ㅡ㡢㉥摣〸㍣㍢㘱㠳收ㅥ攸㤵㌰ㄴ攸㌸戹挵挸㡤捥㑥ㅡ㐵㡡㠷戴〵㔵改㥥㕥㉣㙣㘷㘲㝣㜷㈹㥤㈹戶攰㐹㘱㕤愷㈶㡦㘷㌹㉣㑢㙥〶戱慦攰㕤ㄸ挵㐷摥㈶㙥㈸㙢愷搹㌷㘳㘳扥㄰㑢㈳㐷搲㜸㐸㡥㔶ㄴ昶㍡㝥搴㈵晢昱ㄳ㕥㈸㉤㐸昸㝢㌴㤰㥤㜸愹㍥ぢつ㡤ㄶっ戵〹〹愹〸戴摤㤰摤㤳㉦散ㅦ捦攷昷㜳㍣㉤㔱戱攲㠴㘱㤴〸散敢慣㡤㡣摡戰〸㔱㔳㔳〱戶ㅤ㍢〰㙥〹戴慤㈰つ㍤㤹㑣㤳㕤㘲㔱ㅢ〴慢〶㕢っ㙤ㅢ〲慢晡㘰ㄸ㥢㘲㙦㔱㥤搳搴ㄱ㙦㤹㐱㘷攱㥥ㄱ晦㡣搶ㄳ攷摤㌴㝤捥晡㡦㠶搷㙣扢昳扤攷㝥㈲㜹摢晤扦ㄷ㕦戱ㄲ慡搰㌹㌱攴〲ㄶ扡〲㄰㔳戶挲㐲搷愷〶搲㤹㤲㔱㔰㡢㜰㘳ち㍦收收㔰挵ㅢ㘸㜸ち㝡挲摣㜶慤㐸昵挱昶㘰㌷㕡㥡㥤戳挶㔵戶捦㌴つ㝦戲昰㈷㥣㠵㔷昶扤挲捡㉦㘰㐱㌱㘸㕣㌶㝥㘱㘱挷㈰愲㜱昳㥣㡦㙡㐸戵愰攴捡㐱㐶㜹昷攲愱戶摣㘵㜹攷㈰愴㜴㜴㝥换捦挱㕥㍤㐸㤹㘹㕥㉢晢㈷㡣攲攵搴㌳㌱捡㜶㈸㑥敥㈰搹㐹㌲㑣㜲ㅥ㠸戸ㅤ㡢ㄱ戱ぢ㌷㉣扣敦〱㐰㜸㕣㉤攳㈳㤴ㄹ㈵搹つ〲〴愲搶㜴〰㤰㍤㠸㙡ㄷ㠰㌴摡㕥㠲㈶㜳㠸㠵㝤㠲㍢㘰㥡㜷昹づ㤲㜷㠲搴㕦〸戲㘳慢㤱〱摥㍤㕥㝥扡㈰户搳ぢ㕢㘸㡣ㅦ摡㤳㤵搹㤱搹㕣㘲愲㤰捦挱㥤㐹攰搰㤳㠰愳慢㈸㜴㉤㍢㤴敦㥢㉡㘹搹慤㘹晣搴㘷㜷ㄹ㤳㠶㕥敡挳㝥〶愸㘴〸㥥て㠵㌹〶㤳㌳晦㥦㤸挴㐷攰㠸慤攲ㅣ㉣ㄱ敥搹㙢愲〳㑢扤㉤晤㜹㌸㑤つ攵搰愵摡㌵つ昸昲〴〴ㅤ㍥㜹ㄱ㥥敥愶摦摣㜲昶ㄹ㌷㝥晥㜵敢昷㍤ㄸ㠵敡㤲㉢㤱㔸つ㈰挶挰つ㉦㤴㈶攸㕦㘱愷㑢ㅡ㙤㉤〹㔲㠳㘱㈰户㈱㈰慥㐳搱㥥搶昸㕡㉢愱捡ㅤ㐳㌷㡡昲摢㑤㌰晦㌵㄰攳㍣㐱戸昲㤲㤷㈰㉥昷㤳㘴㐰ㅣ昳㈴㘷㐶〵㕤㌱㙡㑥攴㈹㌴〹㈲攸㡥㔱㉥扦㑢ㄱ戰㉦昱ㄱ㤴㝦ㄷ㙥㌵晤攸扢愹㔶挲ㄴ戸㘱戹㐰㥡㌸ㅤㄲ㘵㈵㐸㘲ㄵ㔳〱敦㐷挱㥥ち㜸㥦㤵㔰攵て愲㤷㐷㈹攰摤〸㠸换㈱收慤㠰㠳慣攳㜲㤲昷㠲㌸ㄴ昰㝥㌳㉡攸㈹㔲ち昸〰㠵㍥〸㈲攸ㅤ㔲ち昸㄰〲昶㈵㘶㔰挷㕤戸㤵〲搶㠱㕤慤㠰㉢挰つ换〵搲〴㝤㑥㕥ち挸愱㘰㑦〵㘴慤㠴㉡昷ㄴ摤㑣㑡〱㔷㈳㈰昶㐳捣㕢〱㝦㡦㘴㜹つ挹挷㐱ㅣち戸捥㡣㡡戳昰慢ㄴ㜰㍤㠵㙥〰ㄱ昴㔱㈹〵摣㠸㠰㝤㠹㜱搴㜱ㄷ㙥愵㠰㘶戰慢ㄵ昰㐹㜰挳㜲㠱㌴㐱捦㤷㤷〲㉥㐰挱㥥ち搸㘳㈵㔴㌹挹愲㈸㐹㈹攰ㄶ〴挴㙥㠸㜹㉢攰㜳㐸㤶户㤱摣づ攲㔰挰ㄷ捣愸㠸攱㔷㈹攰㡢ㄴ晡ㄲ㠸愰㈷㑣㈹攰换〸搸㤷ㄸ㐲ㅤ㜷攱㔶ち㘸〵扢㕡〱㕦〵㌷㉣ㄷ㐸ㄳ㙤㤰昰㔲㐰㉦ち昶㔴㐰㡦㤵攰㜶挵〵㍢㔱搲㔱戸㔰敡昸挰愹昳搳挶〱敥昹㤶愴昰㠶愴㙦慡㔸捡慢つ㙡㐳慡㍦扦㈳㕦敡㑦ㄷ㈷㌳晡散昲㤴ㄵ搸㌳㘱攴攰㍥㉡挰㡢攴攲攵㈷㈷㡤愴㑣㡤攴愷ち〹㘳戰晦㐴㜰㉦愱㝤攸㍡攵㔹昲ぢ㕣挷收㌱㠱㐵ㄳㄸ㈵戸㝣㐱晡㌹摣ㅢ㕦〷㘸㥣摢㥦㐴㈰搸㌸愷搱搱㜴㈹㘳搴愵㔴扡ち㠷㔲搰㈲㝣㜲挹摡搴攸〴㌶㠴晤つ愹㉤㠵㜴㌲㤳捥ㄹ散っ散㜹昸摡㘹挸搸〷晦摢㜰扥㤸收㥢㤹㠶搴㘸㐱捦ㄵ㈷改㑡㐸捣㉥慢㠸㈹晢ㅦ㑣昵愶㜳㐵㔴愳㝡㤱攱挶搴挸㐴晥〰㕥㥦㑥㘵㜳㕢昴挹攲〹搱㉢㥣㉤收愵扡㐶昸㠵摦㉦㐲晥搰戱昶㡦昶㑤㤴戶ㄲ㑥昱㥣㝡敦搵㠴愱㕡㉡愴挷愷愸㌳㔵て㘷㕦㠰㐴㜵愳㉦㐸㐷搵〲搰㥦ㅢ〰换㌱㑡愷ㅦㅦ户攲㙤㤲愷晦愹晣㕡㍡っ㜱昹㉤收戹ㅢ㘴摢㤶摤㠳㜳敥昰㍦攸ㄵ㜲昰㙣㤴攷〶㔴敥挱㔷昶㍥ㄲ摡㉥㌱㐷ㄱ㜹ㅣ㔴㤸㥣ㄸっ㡣戹㐷㘶㌸愵㘴㌸㐸㤷捣〵〷攰挰慡㑦つ改攳㐶〶搰㌹慢㤷㤶㤸ㄱ㙥㠳昰㝥戱㘸愵昵攵戳㔹㥤愳㡥㈳㜶㈴愱㘷㡣㔰慡㘷慡㤴挷慢㈰㤹〲㔱㐳搳㘲改㌳㘰改㌳㡡㔵㥦摡㐵㝦扣ち戳慣晣㍥扤㤰㉥㑤㘴搳㠹㄰㈳昴㤹㥦㄰挳ㄵ㑢㐸〰捡戴㉦㝢㌹㜱〳㝡ㄳ摡愲扢㕢戰扤愰敡搸晤ㄸ搴㝥愱攱㥦㌸㐶㜷㉤ㄶㅦ㘵㔳攴㍤㈸㉤攸〷攱㙡愴慥攷㤵搹㐱昰昹昷㠰愳搶㈷㐱㙦㉢㤳攵扦㕢〱㐶〲㜴㜸㉥攸换攳㥢慤昰㔰㕥㑦づ挰改㤲㉦搴㕡㐷ㅥ㐲攸㕡慥㌶㠵〸扤慢㝤㜰搸攳㐵挰㜴㍡㘹ㄴ㐲㘴㡣㘰㤳ㄲ愰㕦㔶㌳晢㄰〰戶挶ㄷっ搶㠵扣敡ㅡ戴换㕡㘷昹慣㥣㘷㍡〶慢捡㝦昶扣慥㑤㙣㙤㌸捣搷㕥昲㕥㤲㙦㠳㠸㑤㈰㙣㡦㑢攰㍥ち㝣〷㈴戸ㄹ挴摤㌷㤵㡥㑥戸㐳㈵㠴〲敡戰〰㕤戰㈱戸㉢㤵敦㌶愸ㅡ㔲攷昰戹㙡愶扢㌵㘴㥦㐰搰搴ぢ搲㘴搸㕣㘲戹㐵㘳㜷昸晤〱㜴戵收昶㠶㔵㔵㡢挲戲㈳㠶㜲挶ち㕡㕦敤㝥㤰㔳㌸㔹㔰晥搸摣ぢ㌸晢㍤扢摢㉤ㄹづ换㐳挸攱ぢ㡢㝥㔰㕢つつ攴㠴搹㠷昲扢㈴て㠰〴户㠳㉣戰㔸㘰愷攱㜰戴㄰㌵㘹㈹扣搱㉣㘱ㅥ昳㜱〶搲㈵㍣㔱㝤ち〴㐱攵ㄱ㔹慤收户㈳㔳㜳ㄹ㍡㥣㕥㥤㔴㠱㈵㑥慢㑥㜷㠲㡢㜵ㅥ挹㈶散㜰愰㡤挵㠴ㄴ晣昰㜸挶ㄳ〹㡦〸㜳㠷㙣㐱ㄲ㜱挶晣晥㈴㠷摥㘹㑦晥〰昴愲㔶て㥦㝣㄰愵㘰㘵㈰㤰㤱摦㐳㤰㘰㘶〷㝥ㄷㅥ㈲づ昷ㅡ㠷㙢㤸㠰挶攴㌵㔸晥摢挱㕣ㄱ敢㐱搸㡡㘱戵㕦㘲〵㜷㑥㤵㉡㔲昴㤹攵㔶ち摣搳㍢㜳戰搱〹扤㤰㍣㐱ㄶ㜸戴捤㠴㈲㙡慤㍥㐶㤸㠸㐲㜸㌹㤶㘵〰晦㠷挰愱慥㜷攲昷㘸扣㤳摣㝥㌴㔰摤㘵愷㘵㠸㌱ㅥ改㔱扤㘰㥥攲㔱㤸㝤搸〰攰挶㈱愷㡣戱㕣㘵㈸㐷搵㘲㈶㔳㍤攳㐵攰扦ㄲ㉤扢ㄵ㔲ㄳ㕤愶㜶ㄹㄹㅣ敢㤹㌶㘰㠸慤搰㜰愲〴㕦㝣戹〰扥㈷㍥㜱㝡〸ㅡ〹㔸扤㈴㔴㍦㘹ぢっ摥捡㐶㜰づㅤ㘳慦㘲㜵㑦愹敢㔷㥢挴㜵搷昲晡散㈶㥦ㅤ戰㜶〵挳㈸㝥〱㍣㠹戵搶改㑡收㑣㕡㙥扦攱㌰㔷㌸戵㜸搵摢㍣㠲捥〶敥てち㍣㜴挵㌳㑤㡤㥣㍡ㄹ㔸攵㔲ㅡ昸㉡㌳扢㈴㠵㐳㈴㤹愹愴愱挰㤹扤㘶㉢㡣㜶㐲昴㤷㍡扣㘹昶搵〲㝡戱㤴㌲㠸ㄳ㥣昶换昵㘳摦愴挹敦㐳慤㙡戱㐳ㄹ㘱昹〳挴㌸敦捥挳敦㌱昹敤㤷捤扤㜵㔲挷〶戱戴㔵戱戸愶搱昹㕡㜶晤慢ㄹ攷㄰ㅢ捡攳㔴ㅤ㌶㜹づ搶搶戴挹㍡㈱晡〹捡㌱ㄷ㍥㑤〳㐴㍤挶ㄹ挲㐲戰敡愹ㅦ㘰㔱敢ㄷ㌸捤㠴愴㜴捣㜳摢散㔳捥㔰〵㑦戹ㄵ昳捦敤挷〴摤昶敡昰挰㈳〸㠸摤㈰摣敡挰㔸㤹搰昷㌰挲㡢㐳摦㍤㉡〷慡昹愱ㄵ㈰昴ㄵ㜴散摢㌸〹㐱㍣㤳挲㤳㍦㐲㔰晥ㄸ㐴扣ㄳ挴㐳攰㈷ㄴ㜸ㄴ㈴㜸ㄱ㠸㝢愱㤹搷㡤捤挲㠳㔹挲挲㔰㤶昰ㄸ搳㔴挳㐱〰戸改〱捦戴扡搰㠵㉣昶愷㈰摦㍤㜴㠸㔸摤㈷挶㐰散晡㠹㑡㉤㈰昷ㄸ㠲昲㘷㈰㠲晥㕣㍡㜶ㅣ㙥〸㜱〹愲㑡愷摡捦ㄱ㕡㘱ㅤ㐵㕢㜴攳㉢昶㐳㕡㈹晡㜱㤶㐷〷戰愹㘸㙢㡦昱〴ㄸ㡢㉢㥡㝢㙡敡㔶㍥㘹〵㤴愲昳㠸搸敤㐰搰㔶昴㔳〸捡㕦㠰㠸㐹㄰て㠱㕦㔲攰㘹ち㕣ち戲ㄹ户昶っ㐸扤つ㡡搵㜹㐰てㅣ晣ㅣ㠴㠰㠳改㘱戶㑢慤㈷挷挴挱扦㐲㔰晥ㅡ㐴扣ㅢ挴慤扥㠳攰㤹敡㝢ㅥ愱㈳㔷摦攵㤰㔶敡晢つ〲攲扤㈰ㄵ敡㝢〱㡣挵搵昷㝥收挵㉤㝦㙢〵㤴晡攸㙢戶摢㠱愰慤扥摦㈱㈸㕦〴ㄱ昴㐳㝢〸扣㐴㠱㤷㈹昰㈱㤰捤戸戵晦〵㔹㘳慢捦昳戰愳㠷㍡㝦㡦㑣㔰攷ㄵ愰㜶㉤㡥搱昸ち搸昲㔵㄰㐱摦戲㕢㥤㜴㈸㥢敡㝣つ愱㈳㔷攷㌵㤰㔶敡㝣ㅤ〱㐱㘷㜴㠵㍡戹戱㕡㕣㥤搷㌱㉦㙥改〷㔵慡㈴攳㝡㄰扢ㅤ〸摡敡慣㠱㠰愴㜱ㄲ㌷㜸ぢ〴㈹愰㔱攰㐶〸㙣挶慤搵㈲㜶戲慤㑥昷搹㑤て㑤㑡挸㐳㤳㥦〴戵㥦挰戱㐱ぢ㈳㔵搶㠱㠸㕢㈰攰搶㈴㍤搳愶㈶敢㈱㜲ㄴ㉥㉤㜱ㅢ㜲㉡㕤㌶戰散摢ㄱ慢搰㘵㈳戸㡢敢昲ぢ挸〶㐱㥣㠹㘱㈱㔶㐴㝣ㄱ〱扢㈵㝥㠴慤㈵㜴㈹〴攴㌲ち㝥挹㕢㘰㌹〵㔶㔰㠰㍥昳捤戸戵㤳㄰㕢㙤敢㜲㙥扢㕢㍥㙦敡愱捥㤳㤱〵敡晣㉡愸晤㄰㡥㜹扥㡡㜵㥣挲㍡扥〵〱㡡捡搵㡣㈱愰㤶㘲㝡㑤摣捥㠰㉡㐷㑤〰㐲搸挱挰㘵㌳㔲㥡捤挰㑤挶㈰㥤〳㘶㠸敢戸㤹っ㤷㐵扥㠰攱ㄳ㜰扦搴㉦攷敤㐰㔱㜵㉢㕣挷ㄲ㔵㌶愶摣㡤㍢昸挴㙢搵㐷敦捡昹昹攰㜳㘷㤴㤸㠷㤷戶〶晣ㄵ摢搳㠹㐲扥㤸㑦㤵㥡㐶攰〵㙥攲㌱捦ㄴ挰㑤㑦昰㜱㤴攸㔹㈷ㅢㄶ挸昱㝢㠷㘹ㅥ㝢ち敦捦攵て攴搴搳〴㡢㍣敤捡摡㘴㙤㉤慢㈱㐲㔶搷㥢愰扣〸扤㐷捣㉣㑦㠳㐸㐳㑤㠴敥ㄷ㜶扤㜶㍡攲㘷昴昵昶敤ㅡ敢ㅥ敦㙥㙤敢散ㅥ挷攷㉤慤㙤昱戶㔸昷㜸㍣ㅥ㑢ㄹ㐹挳㠸挶㍢摡攲摤㕡㔳㔹㌴搶ㅡ敤㌲㘲昱搶戶㈴捥㠳ㅢ慤㐹扤㐳㑦㜵ㄹ㥤搱ㄴ㍣㡢挹敥㜸㐷攴摢㔶昱昲㡤挸㈳搷㠲㐴攸捦㘱㡤昲㑤㘴慤㈳敢㍢㌶慢㉣ㄵ㍣〴搶㤱㍡㕤搸ㅥ㌱㉥ㄲ㈲㈹㡣㐰㙤㙤搵敥扢捡㔹㔳㍥〸愷㘹㠴散挱挳㔰戳㝢换敥㥤〹㑦敢攸㐵㘶㔶捡㕣捦愶㥣〹ㄲ㡥㝣搷攲㘹㘷㈱扡愴慦㜷捣攱㜳搶㥡挱慢〷㑦愱挹㕤㌸晣慡㙤〰㘷㈹㌸㤵摦戴㘸㙦〱㝢ㄹ搸㌸摤㘵㥦昷攲戰㡤㍣㘰搷戸〴〱昵㈱㠷㡣㐲㔴扤㔹つ㍥〸㥥扢ㄹづ㉦戲挳昳〰挸攲㡢㌸摣㐱㑡㈱㑢㔳攷㑤改ㄹ㝣㔱戳ㄳ㝢㤲ㄲ㔹㈷〲㤲つ㤸㍢挳㐵挷㠲㙡挲㠵ㄷ戳㑢摣㍡愸散㑡慢㙤敡㈰攴戱攱攲㜰昰㠱㐵〷㡣㕤ぢ㍡挷㌵㘰戸㝡㠵㘵ㅣ〹搸挵㠸敦㈱㐶ㄹ搹㐶㙡㕤㠲扥㠵㉡㙥㤰晢愰㈳摦㜴㌱晦昲㌹㔷㉣㥤敥捤ㄹ散㍦㡦攰ㅤ㐷㍢昲ち敥戳慡㥥㐱㍣㘲㜳㍢㈹㠳〸㥢㈳づ㠳摣挳挰㝤㔰っ㤷㐱㠴㝤㕡㌷搲攷㕤摢挴扤㄰攳晡㔶戹㍥晤㄰ㄹ搵㤴㍡ㅢ㤹戱㍥晤㠸㈵攱㡡晣搸晣昵㐵㠸摦㜹㐵ㅥ㌵㝦㝤㡤㐴摤㉣㐵戳ㄸ挷敤㈷昲ㄸ㡡㘲〳㈵㈷戳攴散㤵㥣戰㤱㥦搹晣ㄵ㑣㍣㠹愴〷㝣昱㌸㐲昸昵挹㕥挶㄰㔰摡㈱昸㔶摡昹㠶㐳㍢㤲㉢㍦ㄷ㜹昱㙦㥥㡡㜸ㄲ㠹㑡ㄱ〳㤰㠳㈲〸户㜹㐵〸戹㜹㐵㠸慦㜹㐵㥥㌶㝦㝤㠲挸㤹ぢ愷昸ㄷㄴ挹㐵㡤㔵挸慤愰㜲㄰㈴ㅣ㈱㜸㔶㠵㔶戶㐷㜲戹㠹㄰㔴慢挴㔳㤹㙢つ挹㌰戳㙥㐳㐸㈸㕣㑣搶㉥戰昰㘷戶㡣戸㔸戵散㌶㐷换戴㔱愴捦摦敦户㝡㌶㤷㤰㔹㔵㝥㍥㌲愳戹㠴挷扣㈲㉦㥡扦扥挸㑢㜶㠰㤸㤸㤷昸㍤㠸㙡敥㘷㥤捤扤〰〵挸㜷㠰㠴㈳慦㐰㠰㠵㙡敦㐴搴扤ㄶ㕦〸㕥攵㕡㝣ㄱ㌸ㅥ㙢昱挵㘰㝢慤挵㐴捤敡㤱搷㈲愰扥㐲㤲㝢㈱㙡敡㑢〱㕦昲挷挱挲㥦愹㉦〲㕦愵慦ㅢㅤ晡㥡ㅢ〹搷㝢慡㠶昰㔷搵㤳㐲〰慡㈱搴攵ㄵ㈱摣㔵〱㘲㕢ㄵ㈰扥攵㈵〸㔵㤵㙡慥㜵慡㘶〲㕣㤹〶〹㐷㠸㔶㔵愱㕥㈳㠱㈸㔶㈵㥥㠹戲搴昷㑤㜲㤲㔹搵㐸㔰㌰㤴晣〲㔸昸㌳㕢㐶ㄸ慡㕡昶㘱捦㤶㕤攱搹㌲㠲㔱㔵捦㌴〲㘸ㄹ㠱愷〲㈳〷㄰㌰挱〸扦㌶㡢㈵㤳攳慤昱㉥扤㙤扣㌳摡ㄵ㑤㈶摢㔳昱㘸㍣㥡散攸㑥戴㜶㙢㌳㘵搱㜸㔴㡦㐶㘳㌱摤ㄸ㌷摡摢㕡攳晡㜸㠷㤱㐸敡㕤㥤ㅤ㝡戲扤㐳㑦㜴㐶〸㘹ㄵ昲㤸㐵㐰扥ぢ㈴㐲㈴慢㔸㝦㐹搶㘵㘴ㄱ搷㉡ㄶ〵㈴㐵〵㤱慡搲收攵㤶㌶搵㐳ㅦ㘴晡攵㈰攱〸挱慡攲㜹㘹昳ㄴ㍢㌱㑡慤挵㐸晥㥡㔹愹捤〸㌱慤捡昹户〸㌴搴〴〹换捥㥥晦敤㠱〳㑣㌴挳挹㔶昱〹捦㌹昸㈴㘷㤶㑦㕥㠳㌷㜷收晢慥㠰晦慤挷㔶ㄶ慤㘹ㄸ㐵昱づ㑥愱搵㝦㐰㌹㘸㤱挳〴戲挴搳㜱换㉢挱てㄲ昰㜹㍡昱摣摦㠱㍡㍦扣攵㍡㝦㔲㜶戰〸〰㠵愳㥣愳昹㥥昲搷扦㑢㙤㘰搵㙣㝦㔹㜲挶ㅣ挷昶㤱摢搹㜶ㄶ捡昹昰愵〶㔰㌴ㄲ㥡昹ㅤ捡㐹㜳㌱挷晢挲㔳攷戸㜸㌵〲㠷慤㤱戴㑢㉣挲㠳ㄳ昰搷㔴㥤㠹㔴攰换晡捥㤷㉦〸㔹ㅡ扥㥡ㅡ㑣搶愳〵愷㝡扣㉤敤㑤㤷搴㘹〳㙥搰㠵㈴㈴搷㍥㐲戲㜱摤搰扡㔸㙢昰㔲㜴㠴摢㘱㌵㙦ㅤ挸攷㔰㍢㙢攴搸〸换㡦㈱㐱㄰㠹㔳昷㐲㌶㠱㙡㔷㤱㙣㕣户ㅤ㤵㠸㉣㉡㘱㐵㌴㕤㘱㜹㌵㠵㠸搴挹㘲〱㠲㠸摤㑥㙦㈴昰つ㠲敢㌲扤捦㙦〲㡦搷㘶㐵㝤㉢慣摦㔵㥢ㅢ㠹㤲㉢㜲戸㑦㕦㍥晤戶慢㍥晣摡㘷㙦敦昹㙤搷慦扦戴晡㤶慢㝢㐴ㄴ㌹㤶愱ㅣ㜵㥡搲㜱㤰㜰〲㑦攴㜹㡡㙡㥦㤵攰晥慥㐱㄰㜴攱捦㈷慦〳㘵晢㜸㐷㙣攴㈵ㄴ散㘱㜲㤹挳㘴〲ㅤ㌵㐳㙦㐰愰愱㐶㄰㤸㜰㤶㡡〴慡攱搴㔰愳昹ㄳ攴昴㠰捣㍤㘹㤲㐵㜱㤲㡢扦㤸敦㐹㉦戶ㄲ摣㘷㍥㈳挴て慡搲捦㈰㠰㑡〹〲㔴愵ㄷ㍡㉢晤㐷㜰ㅢ㘹摥㉢ㄴ㡡ㅡ㜱戹扢㈰戴㔹戱㝤㤱捤㡤挴〲㉡挷挵攲㡤㔷昵〴ㅦ㝢㡦扢ぢㅥ扤㝥攵慤㝤〷扦扣㘹㙢昴㜵昹㑦㍦昸敡㈶㌱㡣ㅣ㜳つㅢ㐴㐹㘶挳捥㥦慦㘱扢慤〴昷㔹捥〸攱㠳㙡搸攷㄰㐰挳㘸敥㔵挳㐶㥣つ扢ㅤ摣㐶ㅡ昲愳㙢ㄸ慤晥㠲つ㍢晣挰㑢㈳㡦晦挳昵㥢㠶㍡晦愶㘷敦ㄳ㌷㙦ㄲ㝢㤱挳慢㘱㍢收㙢搸㜶㉢挱㝤㐶㌳㐲㍢慦ㅡ昶ㄵ〴搰㌰ㅡ㙢搵戰㜳㥤つ扢〳摣㐶㥡攱愳㙢ㄸ㙤昶㠲つ㍢昳愲㡦摥晤扢昵て㙦晡昴攴挶昰㈳㥦晥敦㑤㘲ㄲ㌹扣ㅡ㌶㌰㕦挳捥戱ㄲ摣㘷㉦㈳㌴昳慡㘱㕦㐷〰つ愳慤㔶つ敢㜳㌶散㑥㜰〵㡤愵戹慡搰㠰㙢摦㈴㔱慢㑡㥢搸〴㘱㝢搵〸换扢㈹㑤晢㙡㑡搳㠶㙢昷㤸搲㔸攸摡挴搹㤶戴戹㘲摤㑢㘹ㅡ攸昲ㅡ㐴㐳㙤㤷搶㜸㄰㤱㈳㔰愷㘳つ扡摣㥤挳㍤〱㕥ㄹㅦ㝥晢㘱㜱㙢捦㑤昲搶昶㍢慥晡扢ㅥ㐱㠳敤愵捥づ㑢㙢㔵摦㔶戵㕢〹㔵㈷㌹㘹攷ㄷ㍢挹改昸晥㤸㙦㡢㠳㈹敥晤敢㔲㈶㕢㤹㘶昵搶㔰昹㝢敡㜱敡慡㠰㉦㠰㠷㜰扥㄰㘷慤昰㝦㑦㔸慥〴㥣㍢攴摢ち晢㕣㡦㔴㌱㘶搶㔲㍢ぢ㌸攸㔳㥢ㅡ㉣攲扤㜳㌲㠴㉦ㄸ㑢昸㕥㉢㜷㈲散昶攱㠱ぢ戰搳戱㌴昳慢㘱扦愷昳㡢㕥㉤㑦㌳愸㑥戳戴捣改挳㝥昷攸攷㘱慤㘳摢敢㙢㠷搰㕦づ㜷㙤搲㜱〲㌱㈰攲攸㘵㜳て㝢搰㐷挴㡦换㡦㔳㍡挸愲晤㈷㐸つ摣㌷捡攰㠰㠴攵㠳攰㤸慦扤攸っ昵〵〹㠰摣敤愳㐷㜲㠰ち㜰㝤愱㕢㔷挷㐶摢㔷攰㘳挸扡㄰㝥愰㕤慢捤㡥改晣て㜵㐲搹戱㡣㤱摢㔷㥡㈸晦㈷㍡昰晥攰㜳っ昹㄰ち㘱㔵扣〵敤㍣㑢㤵摦㜷㜰㈳戴㤳㙡敥㍦捣愴ㅦ㤰晣ㄷ㐸㔸搰ㄶ㜲㈴㙢㡦㠰捣㝤㝥㌳㑤ㄸ㔵昴㡢昵戶㕥㥥㘹㍤㘵㑥㉦㠷㈱㉢㤳慣㑤㜵㌱㜵昲㈳戲愸づ㐵㝣攲ㄳ㠸㔳㉦愳搷晥敢收㔷攳ㄷ昷〸摡㍦㔵搱㑦㄰㈸扦㠰愸散㠵戵㜶㙤㍥㘷㉦晣ㄴㄹ㈴㝢㘱慥〷㝥㐶㤶愳㌶摡㑦搶㘶㕦攲㜳㠸愸摡ㅥ㐷㘰㥥摡搶㜸搶昶〴㌲㘸㑦㠲㔴昶昹㔳攰㌸㙢愴㘱慢愸㤱搶㐲搵昸㑢〴收愹㜱愵㘷㡤捦戰攸捡昶㍤㐷㤶愳㝤戴㌶ㄵ戵㜱〹㔷戵晤ㅡ㠱㜹㐷㜵挴戳扥摦戰昰捡晡㕥㈰换㔱ㅦ㡤㐰㐵㝤㕣攷搵愸晡ㅤ〲攵戱挶昵㕣㜱㕦㜴㜰㠳㥣㌵㐷㍣慢㈱㝢慣捥慤㤷㤰㔷㍣㐸㠲㌲攴换㔶㠰㤱㐶捥〸〶㐲㥣㍦㡤㥣〹攵㤸攰っ㔰㘶慦ㄶ摡㈱散㘳扢㐳㝥㑤㜰㔶愸〴捤㑡搸愸ㄲ㠴攰㑣㔱〹㐱㉢㠱愰㔸扥〲慥攰㑣㘰㝢攵慢㡣㜱ㄲ攰捦㈷㕦戳〲㡣〸㡥㕦㈵㐳㉦㡥攰搰㈵㕢㔲㡤っ愸㥢愳㑥挹㜰㐶〹づ㌶戲愵摦㈹挳㜱愲㘴㙡挸攵㄰㔱㌲㕣㘶ㄹ㔰㌷晢㔶挹昰㑤㤲㘰户㤲㉤㌵㠷㑣㈳扢㤰㕣㔳㌹散扡㜲㑣㈸㥤㌲㐷ㅢ㜹搶ㄵ愱㙥搵敡ㄱ㐲㌹つ㌵㡤㙣晡ㅥ㈴晡㘷㐴㘲㙦㜲敦摥㤷ㅢ〳㑤慢〳ㄷ㙣慥扦昶戱晢㝦㝥搵挳ㄷ㙤㝣敡㤵ㅢ㙥㜸昸㝦慥㍡昴捡搷挷㌷㝥晢㔳㥦扡㘷摢㑤㠷㝥扥㉣㜵戳晦㡥㤷㠷㙥扥㉣戶晦戲㑢㔳扢捦摡㜲搹㍢㉥㌹㉦㌶扣戴戹愶愶戶昶捤换敦㕢戵㍥㜲昰搲慦㠹㙦ㅤ㍥㌹㈷㤴㌶㔱㐱攵㘳㔰慢敡㌱挲敡㌱㠴搲㘷㤵ㄴ昵慡愴敡㑤㈹愵㔱㑡㌵㈰㙥㕦ㄱ㙡㔶㐹㉤㌱愵㤴㑥㈹㔵搱㜰敡㔶㐹昱㍦㈷〳㘴㔲㕡慤㤲愲㜶㤵搴㌲㔳㡡㕡㔲攳攵戹㔷捤ㄱ搶㡢㉣㈱㥣散攳㜳慢㠴㘷㕤〹㝣㔴㤵昰㑣㘵㐲挴㝥㘶挱挷㔴ㄲ㑦㔷㑡〸㍥㤹㑡昸愵㉢㠱て愳ㄲ㝥㔱㤹㔰昷㝦㐵㙢㈸㝥</t>
  </si>
  <si>
    <t>Low risk</t>
  </si>
</sst>
</file>

<file path=xl/styles.xml><?xml version="1.0" encoding="utf-8"?>
<styleSheet xmlns="http://schemas.openxmlformats.org/spreadsheetml/2006/main">
  <numFmts count="12">
    <numFmt numFmtId="6" formatCode="&quot;$&quot;#,##0_);[Red]\(&quot;$&quot;#,##0\)"/>
    <numFmt numFmtId="44" formatCode="_(&quot;$&quot;* #,##0.00_);_(&quot;$&quot;* \(#,##0.00\);_(&quot;$&quot;* &quot;-&quot;??_);_(@_)"/>
    <numFmt numFmtId="43" formatCode="_(* #,##0.00_);_(* \(#,##0.00\);_(* &quot;-&quot;??_);_(@_)"/>
    <numFmt numFmtId="164" formatCode="#,##0.0"/>
    <numFmt numFmtId="165" formatCode="0.0000"/>
    <numFmt numFmtId="166" formatCode="_(* #,##0_);_(* \(#,##0\);_(* &quot;-&quot;??_);_(@_)"/>
    <numFmt numFmtId="167" formatCode="0.0"/>
    <numFmt numFmtId="168" formatCode="0.00_);[Red]\(0.00\)"/>
    <numFmt numFmtId="169" formatCode="0.0%"/>
    <numFmt numFmtId="170" formatCode="000,"/>
    <numFmt numFmtId="171" formatCode="000"/>
    <numFmt numFmtId="172" formatCode="_(* #,##0.0000_);_(* \(#,##0.0000\);_(* &quot;-&quot;??_);_(@_)"/>
  </numFmts>
  <fonts count="44">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sz val="10"/>
      <name val="Arial"/>
      <family val="2"/>
    </font>
    <font>
      <b/>
      <sz val="10"/>
      <name val="Arial"/>
      <family val="2"/>
    </font>
    <font>
      <b/>
      <sz val="11"/>
      <color rgb="FF3F3F3F"/>
      <name val="Calibri"/>
      <family val="2"/>
      <scheme val="minor"/>
    </font>
    <font>
      <sz val="11"/>
      <color theme="1"/>
      <name val="Times New Roman"/>
      <family val="1"/>
    </font>
    <font>
      <b/>
      <u/>
      <sz val="11"/>
      <name val="Times New Roman"/>
      <family val="1"/>
    </font>
    <font>
      <b/>
      <sz val="11"/>
      <color theme="1"/>
      <name val="Times New Roman"/>
      <family val="1"/>
    </font>
    <font>
      <b/>
      <sz val="10"/>
      <name val="Times New Roman"/>
      <family val="1"/>
    </font>
    <font>
      <sz val="10"/>
      <name val="Times New Roman"/>
      <family val="1"/>
    </font>
    <font>
      <b/>
      <sz val="11"/>
      <name val="Times New Roman"/>
      <family val="1"/>
    </font>
    <font>
      <sz val="12"/>
      <color theme="5" tint="-0.499984740745262"/>
      <name val="Times New Roman"/>
      <family val="1"/>
    </font>
    <font>
      <b/>
      <sz val="12"/>
      <color theme="3"/>
      <name val="Times New Roman"/>
      <family val="1"/>
    </font>
    <font>
      <sz val="12"/>
      <color theme="1"/>
      <name val="Times New Roman"/>
      <family val="1"/>
    </font>
    <font>
      <b/>
      <sz val="12"/>
      <color theme="8" tint="-0.249977111117893"/>
      <name val="Times New Roman"/>
      <family val="1"/>
    </font>
    <font>
      <b/>
      <sz val="12"/>
      <color theme="0"/>
      <name val="Times New Roman"/>
      <family val="1"/>
    </font>
    <font>
      <b/>
      <sz val="12"/>
      <color rgb="FF000000"/>
      <name val="Times New Roman"/>
      <family val="1"/>
    </font>
    <font>
      <b/>
      <sz val="12"/>
      <color theme="4" tint="-0.249977111117893"/>
      <name val="Times New Roman"/>
      <family val="1"/>
    </font>
    <font>
      <b/>
      <sz val="12"/>
      <color theme="1"/>
      <name val="Calibri"/>
      <family val="2"/>
      <scheme val="minor"/>
    </font>
    <font>
      <b/>
      <sz val="12"/>
      <color theme="1"/>
      <name val="Times New Roman"/>
      <family val="1"/>
    </font>
    <font>
      <b/>
      <sz val="14"/>
      <color rgb="FF00B050"/>
      <name val="Times New Roman"/>
      <family val="1"/>
    </font>
    <font>
      <b/>
      <sz val="18"/>
      <color rgb="FF00B050"/>
      <name val="Times New Roman"/>
      <family val="1"/>
    </font>
    <font>
      <b/>
      <sz val="12"/>
      <name val="Times New Roman"/>
      <family val="1"/>
    </font>
    <font>
      <b/>
      <sz val="18"/>
      <color theme="3"/>
      <name val="Times New Roman"/>
      <family val="1"/>
    </font>
    <font>
      <sz val="12"/>
      <name val="Times New Roman"/>
      <family val="1"/>
    </font>
    <font>
      <sz val="11"/>
      <name val="Times New Roman"/>
      <family val="1"/>
    </font>
    <font>
      <sz val="11"/>
      <name val="Calibri"/>
      <family val="2"/>
      <scheme val="minor"/>
    </font>
    <font>
      <sz val="12"/>
      <color theme="1"/>
      <name val="Calibri"/>
      <family val="2"/>
      <scheme val="minor"/>
    </font>
    <font>
      <b/>
      <i/>
      <sz val="12"/>
      <color theme="1"/>
      <name val="Times New Roman"/>
      <family val="1"/>
    </font>
    <font>
      <b/>
      <sz val="11"/>
      <color theme="0"/>
      <name val="Times New Roman"/>
      <family val="1"/>
    </font>
    <font>
      <b/>
      <u/>
      <sz val="12"/>
      <color theme="1"/>
      <name val="Times New Roman"/>
      <family val="1"/>
    </font>
    <font>
      <sz val="11"/>
      <color theme="0"/>
      <name val="Calibri"/>
      <family val="2"/>
      <scheme val="minor"/>
    </font>
    <font>
      <sz val="12"/>
      <name val="Calibri"/>
      <family val="2"/>
      <scheme val="minor"/>
    </font>
    <font>
      <sz val="11"/>
      <color rgb="FFFF0000"/>
      <name val="Times New Roman"/>
      <family val="1"/>
    </font>
    <font>
      <sz val="11"/>
      <color rgb="FF00CC00"/>
      <name val="Times New Roman"/>
      <family val="1"/>
    </font>
    <font>
      <sz val="11"/>
      <color rgb="FF3F3F3F"/>
      <name val="Calibri"/>
      <family val="2"/>
      <scheme val="minor"/>
    </font>
    <font>
      <sz val="14"/>
      <color rgb="FF00CC00"/>
      <name val="Times New Roman"/>
      <family val="1"/>
    </font>
    <font>
      <sz val="11"/>
      <color rgb="FF00CC00"/>
      <name val="Calibri"/>
      <family val="2"/>
      <scheme val="minor"/>
    </font>
    <font>
      <b/>
      <sz val="11"/>
      <color rgb="FF00CC00"/>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s>
  <fills count="23">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5"/>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6"/>
      </patternFill>
    </fill>
    <fill>
      <patternFill patternType="solid">
        <fgColor rgb="FFFF0000"/>
        <bgColor indexed="64"/>
      </patternFill>
    </fill>
    <fill>
      <patternFill patternType="solid">
        <fgColor rgb="FFFFFF00"/>
        <bgColor indexed="64"/>
      </patternFill>
    </fill>
    <fill>
      <patternFill patternType="solid">
        <fgColor theme="7"/>
      </patternFill>
    </fill>
    <fill>
      <patternFill patternType="solid">
        <fgColor theme="7" tint="0.59999389629810485"/>
        <bgColor indexed="65"/>
      </patternFill>
    </fill>
    <fill>
      <patternFill patternType="solid">
        <fgColor theme="9" tint="0.39997558519241921"/>
        <bgColor indexed="64"/>
      </patternFill>
    </fill>
    <fill>
      <patternFill patternType="solid">
        <fgColor theme="7" tint="0.39997558519241921"/>
        <bgColor indexed="64"/>
      </patternFill>
    </fill>
    <fill>
      <patternFill patternType="solid">
        <fgColor rgb="FF00FF00"/>
        <bgColor indexed="64"/>
      </patternFill>
    </fill>
    <fill>
      <patternFill patternType="solid">
        <fgColor rgb="FF00FFFF"/>
        <bgColor indexed="64"/>
      </patternFill>
    </fill>
  </fills>
  <borders count="29">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rgb="FF7F7F7F"/>
      </left>
      <right style="thin">
        <color rgb="FF7F7F7F"/>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rgb="FF7F7F7F"/>
      </right>
      <top/>
      <bottom/>
      <diagonal/>
    </border>
    <border>
      <left/>
      <right/>
      <top style="thin">
        <color theme="4"/>
      </top>
      <bottom style="double">
        <color theme="4"/>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7F7F7F"/>
      </left>
      <right style="thin">
        <color rgb="FF7F7F7F"/>
      </right>
      <top/>
      <bottom style="thin">
        <color rgb="FF7F7F7F"/>
      </bottom>
      <diagonal/>
    </border>
  </borders>
  <cellStyleXfs count="14">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2" borderId="2" applyNumberFormat="0" applyAlignment="0" applyProtection="0"/>
    <xf numFmtId="44" fontId="2" fillId="0" borderId="0" applyFont="0" applyFill="0" applyBorder="0" applyAlignment="0" applyProtection="0"/>
    <xf numFmtId="0" fontId="6" fillId="3" borderId="6" applyNumberFormat="0" applyAlignment="0" applyProtection="0"/>
    <xf numFmtId="0" fontId="2" fillId="4" borderId="7" applyNumberFormat="0" applyFont="0" applyAlignment="0" applyProtection="0"/>
    <xf numFmtId="0" fontId="4" fillId="0" borderId="0"/>
    <xf numFmtId="0" fontId="2" fillId="0" borderId="0"/>
    <xf numFmtId="43" fontId="4" fillId="0" borderId="0" applyFont="0" applyFill="0" applyBorder="0" applyAlignment="0" applyProtection="0"/>
    <xf numFmtId="0" fontId="1" fillId="0" borderId="23" applyNumberFormat="0" applyFill="0" applyAlignment="0" applyProtection="0"/>
    <xf numFmtId="0" fontId="33" fillId="14" borderId="0" applyNumberFormat="0" applyBorder="0" applyAlignment="0" applyProtection="0"/>
    <xf numFmtId="0" fontId="33" fillId="17" borderId="0" applyNumberFormat="0" applyBorder="0" applyAlignment="0" applyProtection="0"/>
    <xf numFmtId="0" fontId="2" fillId="18" borderId="0" applyNumberFormat="0" applyBorder="0" applyAlignment="0" applyProtection="0"/>
  </cellStyleXfs>
  <cellXfs count="200">
    <xf numFmtId="0" fontId="0" fillId="0" borderId="0" xfId="0"/>
    <xf numFmtId="0" fontId="1" fillId="0" borderId="0" xfId="0" applyFont="1"/>
    <xf numFmtId="43" fontId="0" fillId="0" borderId="0" xfId="1" applyFont="1"/>
    <xf numFmtId="0" fontId="7" fillId="0" borderId="0" xfId="0" applyFont="1"/>
    <xf numFmtId="0" fontId="9" fillId="0" borderId="0" xfId="0" applyFont="1"/>
    <xf numFmtId="3" fontId="7" fillId="0" borderId="0" xfId="0" applyNumberFormat="1" applyFont="1" applyBorder="1"/>
    <xf numFmtId="4" fontId="7" fillId="0" borderId="0" xfId="0" applyNumberFormat="1" applyFont="1" applyBorder="1"/>
    <xf numFmtId="10" fontId="7" fillId="0" borderId="0" xfId="2" applyNumberFormat="1" applyFont="1"/>
    <xf numFmtId="43" fontId="7" fillId="0" borderId="0" xfId="1" applyFont="1"/>
    <xf numFmtId="4" fontId="7" fillId="0" borderId="0" xfId="0" applyNumberFormat="1" applyFont="1"/>
    <xf numFmtId="0" fontId="7" fillId="0" borderId="0" xfId="0" applyFont="1" applyBorder="1"/>
    <xf numFmtId="0" fontId="10" fillId="0" borderId="3" xfId="0" applyNumberFormat="1" applyFont="1" applyFill="1" applyBorder="1" applyAlignment="1" applyProtection="1">
      <alignment horizontal="left" vertical="top"/>
    </xf>
    <xf numFmtId="0" fontId="11" fillId="0" borderId="4" xfId="0" applyNumberFormat="1" applyFont="1" applyFill="1" applyBorder="1" applyAlignment="1" applyProtection="1">
      <alignment horizontal="left" vertical="top"/>
    </xf>
    <xf numFmtId="0" fontId="11" fillId="0" borderId="5" xfId="0" applyNumberFormat="1" applyFont="1" applyFill="1" applyBorder="1" applyAlignment="1" applyProtection="1">
      <alignment horizontal="left" vertical="top"/>
    </xf>
    <xf numFmtId="3" fontId="7" fillId="0" borderId="0" xfId="0" applyNumberFormat="1" applyFont="1"/>
    <xf numFmtId="0" fontId="13" fillId="0" borderId="8" xfId="7" applyFont="1" applyBorder="1"/>
    <xf numFmtId="0" fontId="4" fillId="0" borderId="8" xfId="0" applyFont="1" applyBorder="1" applyAlignment="1"/>
    <xf numFmtId="1" fontId="0" fillId="0" borderId="0" xfId="0" applyNumberFormat="1"/>
    <xf numFmtId="6" fontId="0" fillId="0" borderId="0" xfId="0" applyNumberFormat="1"/>
    <xf numFmtId="44" fontId="0" fillId="0" borderId="0" xfId="4" applyFont="1"/>
    <xf numFmtId="166" fontId="0" fillId="0" borderId="0" xfId="1" applyNumberFormat="1" applyFont="1"/>
    <xf numFmtId="0" fontId="0" fillId="0" borderId="0" xfId="0" applyFill="1" applyBorder="1"/>
    <xf numFmtId="1" fontId="1" fillId="0" borderId="0" xfId="0" applyNumberFormat="1" applyFont="1" applyBorder="1"/>
    <xf numFmtId="1" fontId="1" fillId="0" borderId="0" xfId="0" applyNumberFormat="1" applyFont="1"/>
    <xf numFmtId="1" fontId="0" fillId="0" borderId="0" xfId="0" applyNumberFormat="1" applyBorder="1"/>
    <xf numFmtId="167" fontId="7" fillId="0" borderId="0" xfId="0" applyNumberFormat="1" applyFont="1"/>
    <xf numFmtId="0" fontId="11" fillId="0" borderId="0" xfId="0" applyNumberFormat="1" applyFont="1" applyFill="1" applyBorder="1" applyAlignment="1" applyProtection="1">
      <alignment horizontal="left" vertical="top"/>
    </xf>
    <xf numFmtId="0" fontId="14" fillId="0" borderId="0" xfId="8" applyFont="1"/>
    <xf numFmtId="0" fontId="15" fillId="0" borderId="0" xfId="8" applyFont="1"/>
    <xf numFmtId="0" fontId="17" fillId="6" borderId="8" xfId="8" applyFont="1" applyFill="1" applyBorder="1"/>
    <xf numFmtId="0" fontId="18" fillId="7" borderId="8" xfId="8" applyFont="1" applyFill="1" applyBorder="1" applyAlignment="1">
      <alignment horizontal="left" vertical="top"/>
    </xf>
    <xf numFmtId="0" fontId="15" fillId="0" borderId="8" xfId="8" applyFont="1" applyBorder="1"/>
    <xf numFmtId="0" fontId="15" fillId="8" borderId="8" xfId="8" applyFont="1" applyFill="1" applyBorder="1"/>
    <xf numFmtId="0" fontId="15" fillId="8" borderId="0" xfId="8" applyFont="1" applyFill="1"/>
    <xf numFmtId="2" fontId="15" fillId="0" borderId="0" xfId="8" applyNumberFormat="1" applyFont="1"/>
    <xf numFmtId="2" fontId="7" fillId="0" borderId="0" xfId="8" applyNumberFormat="1" applyFont="1" applyFill="1" applyBorder="1" applyAlignment="1">
      <alignment horizontal="center"/>
    </xf>
    <xf numFmtId="165" fontId="7" fillId="0" borderId="0" xfId="8" applyNumberFormat="1" applyFont="1" applyFill="1" applyBorder="1" applyAlignment="1">
      <alignment horizontal="center"/>
    </xf>
    <xf numFmtId="0" fontId="18" fillId="7" borderId="10" xfId="8" applyFont="1" applyFill="1" applyBorder="1" applyAlignment="1">
      <alignment horizontal="left" vertical="top"/>
    </xf>
    <xf numFmtId="0" fontId="15" fillId="0" borderId="11" xfId="8" applyFont="1" applyFill="1" applyBorder="1"/>
    <xf numFmtId="0" fontId="15" fillId="0" borderId="0" xfId="8" applyFont="1" applyBorder="1"/>
    <xf numFmtId="0" fontId="19" fillId="11" borderId="8" xfId="8" applyFont="1" applyFill="1" applyBorder="1"/>
    <xf numFmtId="0" fontId="15" fillId="0" borderId="0" xfId="0" applyFont="1"/>
    <xf numFmtId="0" fontId="24" fillId="11" borderId="9" xfId="3" applyFont="1" applyFill="1" applyBorder="1"/>
    <xf numFmtId="2" fontId="24" fillId="8" borderId="8" xfId="6" applyNumberFormat="1" applyFont="1" applyFill="1" applyBorder="1"/>
    <xf numFmtId="168" fontId="21" fillId="8" borderId="8" xfId="8" applyNumberFormat="1" applyFont="1" applyFill="1" applyBorder="1"/>
    <xf numFmtId="168" fontId="21" fillId="0" borderId="0" xfId="8" applyNumberFormat="1" applyFont="1"/>
    <xf numFmtId="0" fontId="19" fillId="10" borderId="8" xfId="8" applyFont="1" applyFill="1" applyBorder="1"/>
    <xf numFmtId="0" fontId="25" fillId="0" borderId="0" xfId="8" applyFont="1"/>
    <xf numFmtId="0" fontId="28" fillId="0" borderId="0" xfId="0" applyFont="1"/>
    <xf numFmtId="0" fontId="29" fillId="0" borderId="0" xfId="0" applyFont="1"/>
    <xf numFmtId="0" fontId="21" fillId="12" borderId="0" xfId="8" applyFont="1" applyFill="1" applyBorder="1"/>
    <xf numFmtId="0" fontId="20" fillId="12" borderId="8" xfId="0" applyFont="1" applyFill="1" applyBorder="1"/>
    <xf numFmtId="0" fontId="15" fillId="0" borderId="0" xfId="8" applyFont="1" applyFill="1" applyBorder="1"/>
    <xf numFmtId="2" fontId="15" fillId="0" borderId="0" xfId="8" applyNumberFormat="1" applyFont="1" applyFill="1" applyBorder="1" applyAlignment="1">
      <alignment horizontal="center"/>
    </xf>
    <xf numFmtId="0" fontId="21" fillId="0" borderId="0" xfId="8" applyFont="1" applyFill="1" applyBorder="1"/>
    <xf numFmtId="0" fontId="20" fillId="0" borderId="8" xfId="0" applyFont="1" applyBorder="1"/>
    <xf numFmtId="0" fontId="30" fillId="0" borderId="0" xfId="8" applyFont="1" applyFill="1" applyBorder="1"/>
    <xf numFmtId="2" fontId="21" fillId="0" borderId="0" xfId="8" applyNumberFormat="1" applyFont="1" applyFill="1" applyBorder="1" applyAlignment="1">
      <alignment horizontal="center"/>
    </xf>
    <xf numFmtId="2" fontId="15" fillId="0" borderId="0" xfId="8" applyNumberFormat="1" applyFont="1" applyBorder="1" applyAlignment="1">
      <alignment horizontal="center"/>
    </xf>
    <xf numFmtId="0" fontId="30" fillId="9" borderId="0" xfId="8" applyFont="1" applyFill="1" applyBorder="1"/>
    <xf numFmtId="2" fontId="15" fillId="9" borderId="0" xfId="8" applyNumberFormat="1" applyFont="1" applyFill="1" applyBorder="1" applyAlignment="1">
      <alignment horizontal="center"/>
    </xf>
    <xf numFmtId="0" fontId="29" fillId="0" borderId="0" xfId="0" applyFont="1" applyAlignment="1">
      <alignment horizontal="center"/>
    </xf>
    <xf numFmtId="2" fontId="7" fillId="0" borderId="0" xfId="8" applyNumberFormat="1" applyFont="1" applyAlignment="1">
      <alignment horizontal="center"/>
    </xf>
    <xf numFmtId="2" fontId="7" fillId="0" borderId="0" xfId="8" applyNumberFormat="1" applyFont="1" applyFill="1" applyBorder="1" applyAlignment="1" applyProtection="1">
      <alignment horizontal="center"/>
    </xf>
    <xf numFmtId="0" fontId="2" fillId="0" borderId="0" xfId="0" applyFont="1" applyAlignment="1">
      <alignment horizontal="center"/>
    </xf>
    <xf numFmtId="0" fontId="0" fillId="0" borderId="0" xfId="0" applyFont="1" applyAlignment="1">
      <alignment horizontal="center"/>
    </xf>
    <xf numFmtId="10" fontId="27" fillId="0" borderId="0" xfId="2" applyNumberFormat="1" applyFont="1"/>
    <xf numFmtId="0" fontId="5" fillId="8" borderId="8" xfId="0" applyFont="1" applyFill="1" applyBorder="1" applyAlignment="1"/>
    <xf numFmtId="165" fontId="6" fillId="8" borderId="6" xfId="5" applyNumberFormat="1" applyFill="1"/>
    <xf numFmtId="0" fontId="28" fillId="0" borderId="8" xfId="0" applyFont="1" applyBorder="1"/>
    <xf numFmtId="0" fontId="26" fillId="0" borderId="8" xfId="7" applyFont="1" applyBorder="1"/>
    <xf numFmtId="2" fontId="28" fillId="0" borderId="8" xfId="0" applyNumberFormat="1" applyFont="1" applyBorder="1"/>
    <xf numFmtId="3" fontId="28" fillId="0" borderId="8" xfId="0" applyNumberFormat="1" applyFont="1" applyBorder="1"/>
    <xf numFmtId="3" fontId="28" fillId="0" borderId="0" xfId="0" applyNumberFormat="1" applyFont="1" applyBorder="1"/>
    <xf numFmtId="0" fontId="7" fillId="0" borderId="13" xfId="0" applyFont="1" applyBorder="1"/>
    <xf numFmtId="0" fontId="7" fillId="0" borderId="15" xfId="0" applyFont="1" applyBorder="1"/>
    <xf numFmtId="0" fontId="7" fillId="0" borderId="16" xfId="0" applyFont="1" applyBorder="1"/>
    <xf numFmtId="2" fontId="9" fillId="8" borderId="8" xfId="6" applyNumberFormat="1" applyFont="1" applyFill="1" applyBorder="1"/>
    <xf numFmtId="0" fontId="12" fillId="8" borderId="8" xfId="6" applyFont="1" applyFill="1" applyBorder="1"/>
    <xf numFmtId="2" fontId="12" fillId="8" borderId="8" xfId="6" applyNumberFormat="1" applyFont="1" applyFill="1" applyBorder="1"/>
    <xf numFmtId="0" fontId="31" fillId="13" borderId="8" xfId="3" applyFont="1" applyFill="1" applyBorder="1"/>
    <xf numFmtId="0" fontId="31" fillId="13" borderId="12" xfId="3" applyFont="1" applyFill="1" applyBorder="1"/>
    <xf numFmtId="0" fontId="31" fillId="13" borderId="19" xfId="3" applyFont="1" applyFill="1" applyBorder="1"/>
    <xf numFmtId="0" fontId="31" fillId="13" borderId="2" xfId="3" applyFont="1" applyFill="1" applyBorder="1"/>
    <xf numFmtId="0" fontId="9" fillId="8" borderId="20" xfId="6" applyFont="1" applyFill="1" applyBorder="1"/>
    <xf numFmtId="0" fontId="9" fillId="0" borderId="0" xfId="0" applyFont="1" applyBorder="1"/>
    <xf numFmtId="0" fontId="31" fillId="13" borderId="20" xfId="3" applyFont="1" applyFill="1" applyBorder="1"/>
    <xf numFmtId="0" fontId="12" fillId="8" borderId="20" xfId="6" applyFont="1" applyFill="1" applyBorder="1"/>
    <xf numFmtId="0" fontId="31" fillId="13" borderId="22" xfId="3" applyFont="1" applyFill="1" applyBorder="1"/>
    <xf numFmtId="0" fontId="12" fillId="0" borderId="0" xfId="0" applyFont="1" applyBorder="1"/>
    <xf numFmtId="0" fontId="12" fillId="5" borderId="0" xfId="0" applyFont="1" applyFill="1" applyBorder="1"/>
    <xf numFmtId="0" fontId="12" fillId="0" borderId="13" xfId="0" applyFont="1" applyBorder="1"/>
    <xf numFmtId="2" fontId="7" fillId="5" borderId="0" xfId="0" applyNumberFormat="1" applyFont="1" applyFill="1" applyBorder="1"/>
    <xf numFmtId="0" fontId="31" fillId="8" borderId="8" xfId="0" applyFont="1" applyFill="1" applyBorder="1"/>
    <xf numFmtId="0" fontId="12" fillId="8" borderId="8" xfId="0" applyFont="1" applyFill="1" applyBorder="1"/>
    <xf numFmtId="0" fontId="27" fillId="8" borderId="8" xfId="3" applyFont="1" applyFill="1" applyBorder="1"/>
    <xf numFmtId="0" fontId="6" fillId="3" borderId="6" xfId="5"/>
    <xf numFmtId="164" fontId="6" fillId="3" borderId="6" xfId="5" applyNumberFormat="1"/>
    <xf numFmtId="3" fontId="3" fillId="2" borderId="2" xfId="3" applyNumberFormat="1"/>
    <xf numFmtId="4" fontId="3" fillId="2" borderId="2" xfId="3" applyNumberFormat="1"/>
    <xf numFmtId="4" fontId="6" fillId="3" borderId="6" xfId="5" applyNumberFormat="1"/>
    <xf numFmtId="0" fontId="3" fillId="2" borderId="2" xfId="3"/>
    <xf numFmtId="4" fontId="1" fillId="0" borderId="23" xfId="10" applyNumberFormat="1"/>
    <xf numFmtId="0" fontId="33" fillId="14" borderId="0" xfId="11"/>
    <xf numFmtId="0" fontId="21" fillId="15" borderId="0" xfId="8" applyFont="1" applyFill="1" applyBorder="1"/>
    <xf numFmtId="0" fontId="29" fillId="15" borderId="0" xfId="0" applyFont="1" applyFill="1" applyAlignment="1">
      <alignment horizontal="center"/>
    </xf>
    <xf numFmtId="0" fontId="24" fillId="16" borderId="0" xfId="8" applyFont="1" applyFill="1" applyBorder="1"/>
    <xf numFmtId="0" fontId="34" fillId="16" borderId="0" xfId="0" applyFont="1" applyFill="1" applyAlignment="1">
      <alignment horizontal="center"/>
    </xf>
    <xf numFmtId="0" fontId="35" fillId="0" borderId="0" xfId="0" applyFont="1"/>
    <xf numFmtId="0" fontId="33" fillId="17" borderId="2" xfId="12" applyBorder="1" applyAlignment="1"/>
    <xf numFmtId="0" fontId="33" fillId="17" borderId="2" xfId="12" applyBorder="1"/>
    <xf numFmtId="0" fontId="0" fillId="0" borderId="0" xfId="0" quotePrefix="1"/>
    <xf numFmtId="0" fontId="5" fillId="0" borderId="0" xfId="7" applyFont="1" applyBorder="1"/>
    <xf numFmtId="0" fontId="5" fillId="8" borderId="8" xfId="6" applyNumberFormat="1" applyFont="1" applyFill="1" applyBorder="1" applyAlignment="1" applyProtection="1">
      <alignment horizontal="left" vertical="top"/>
    </xf>
    <xf numFmtId="43" fontId="4" fillId="8" borderId="8" xfId="1" applyNumberFormat="1" applyFont="1" applyFill="1" applyBorder="1" applyAlignment="1">
      <alignment horizontal="center"/>
    </xf>
    <xf numFmtId="43" fontId="4" fillId="8" borderId="8" xfId="1" applyNumberFormat="1" applyFont="1" applyFill="1" applyBorder="1" applyAlignment="1">
      <alignment horizontal="right"/>
    </xf>
    <xf numFmtId="2" fontId="0" fillId="0" borderId="0" xfId="0" applyNumberFormat="1" applyBorder="1"/>
    <xf numFmtId="0" fontId="2" fillId="18" borderId="24" xfId="13" applyBorder="1"/>
    <xf numFmtId="0" fontId="2" fillId="18" borderId="25" xfId="13" applyBorder="1"/>
    <xf numFmtId="0" fontId="1" fillId="0" borderId="13" xfId="0" applyFont="1" applyBorder="1"/>
    <xf numFmtId="2" fontId="4" fillId="0" borderId="14" xfId="7" applyNumberFormat="1" applyBorder="1"/>
    <xf numFmtId="0" fontId="0" fillId="0" borderId="13" xfId="0" applyBorder="1"/>
    <xf numFmtId="166" fontId="4" fillId="0" borderId="13" xfId="9" applyNumberFormat="1" applyFont="1" applyFill="1" applyBorder="1"/>
    <xf numFmtId="0" fontId="0" fillId="0" borderId="15" xfId="0" applyBorder="1"/>
    <xf numFmtId="2" fontId="0" fillId="0" borderId="16" xfId="0" applyNumberFormat="1" applyBorder="1"/>
    <xf numFmtId="2" fontId="1" fillId="0" borderId="0" xfId="0" applyNumberFormat="1" applyFont="1" applyBorder="1"/>
    <xf numFmtId="169" fontId="7" fillId="0" borderId="0" xfId="0" applyNumberFormat="1" applyFont="1" applyAlignment="1"/>
    <xf numFmtId="0" fontId="7" fillId="0" borderId="0" xfId="0" applyFont="1" applyAlignment="1"/>
    <xf numFmtId="10" fontId="7" fillId="0" borderId="0" xfId="0" applyNumberFormat="1" applyFont="1" applyAlignment="1"/>
    <xf numFmtId="2" fontId="7" fillId="0" borderId="0" xfId="0" applyNumberFormat="1" applyFont="1" applyAlignment="1"/>
    <xf numFmtId="0" fontId="36" fillId="0" borderId="0" xfId="0" applyFont="1"/>
    <xf numFmtId="0" fontId="33" fillId="0" borderId="0" xfId="11" applyFill="1"/>
    <xf numFmtId="0" fontId="6" fillId="0" borderId="6" xfId="5" applyFill="1"/>
    <xf numFmtId="0" fontId="3" fillId="2" borderId="28" xfId="3" applyBorder="1"/>
    <xf numFmtId="0" fontId="6" fillId="0" borderId="0" xfId="5" applyFill="1" applyBorder="1"/>
    <xf numFmtId="167" fontId="6" fillId="0" borderId="0" xfId="5" applyNumberFormat="1" applyFill="1" applyBorder="1"/>
    <xf numFmtId="0" fontId="3" fillId="0" borderId="2" xfId="3" applyFill="1"/>
    <xf numFmtId="0" fontId="37" fillId="19" borderId="6" xfId="5" applyFont="1" applyFill="1"/>
    <xf numFmtId="9" fontId="7" fillId="0" borderId="0" xfId="2" applyFont="1"/>
    <xf numFmtId="0" fontId="7" fillId="16" borderId="0" xfId="0" applyFont="1" applyFill="1"/>
    <xf numFmtId="170" fontId="3" fillId="2" borderId="2" xfId="3" applyNumberFormat="1"/>
    <xf numFmtId="170" fontId="6" fillId="3" borderId="6" xfId="5" applyNumberFormat="1"/>
    <xf numFmtId="170" fontId="7" fillId="0" borderId="0" xfId="0" applyNumberFormat="1" applyFont="1"/>
    <xf numFmtId="170" fontId="3" fillId="2" borderId="28" xfId="3" applyNumberFormat="1" applyBorder="1"/>
    <xf numFmtId="170" fontId="3" fillId="0" borderId="2" xfId="3" applyNumberFormat="1" applyFill="1"/>
    <xf numFmtId="170" fontId="37" fillId="19" borderId="6" xfId="5" applyNumberFormat="1" applyFont="1" applyFill="1"/>
    <xf numFmtId="170" fontId="6" fillId="0" borderId="6" xfId="5" applyNumberFormat="1" applyFill="1"/>
    <xf numFmtId="171" fontId="7" fillId="0" borderId="0" xfId="0" applyNumberFormat="1" applyFont="1"/>
    <xf numFmtId="0" fontId="7" fillId="8" borderId="0" xfId="0" applyFont="1" applyFill="1"/>
    <xf numFmtId="170" fontId="3" fillId="8" borderId="2" xfId="3" applyNumberFormat="1" applyFill="1"/>
    <xf numFmtId="170" fontId="1" fillId="0" borderId="23" xfId="10" applyNumberFormat="1" applyFill="1"/>
    <xf numFmtId="0" fontId="38" fillId="0" borderId="0" xfId="0" applyFont="1" applyAlignment="1">
      <alignment horizontal="center"/>
    </xf>
    <xf numFmtId="0" fontId="7" fillId="0" borderId="0" xfId="0" applyFont="1" applyAlignment="1">
      <alignment horizontal="center"/>
    </xf>
    <xf numFmtId="9" fontId="7" fillId="0" borderId="0" xfId="0" applyNumberFormat="1" applyFont="1"/>
    <xf numFmtId="10" fontId="7" fillId="0" borderId="0" xfId="0" applyNumberFormat="1" applyFont="1"/>
    <xf numFmtId="0" fontId="7" fillId="0" borderId="0" xfId="0" applyFont="1" applyAlignment="1">
      <alignment horizontal="right"/>
    </xf>
    <xf numFmtId="43" fontId="9" fillId="0" borderId="0" xfId="1" applyFont="1"/>
    <xf numFmtId="10" fontId="7" fillId="16" borderId="0" xfId="2" applyNumberFormat="1" applyFont="1" applyFill="1"/>
    <xf numFmtId="10" fontId="28" fillId="0" borderId="8" xfId="0" applyNumberFormat="1" applyFont="1" applyBorder="1"/>
    <xf numFmtId="0" fontId="39" fillId="0" borderId="0" xfId="0" applyFont="1"/>
    <xf numFmtId="0" fontId="40" fillId="8" borderId="2" xfId="12" applyFont="1" applyFill="1" applyBorder="1" applyAlignment="1"/>
    <xf numFmtId="2" fontId="1" fillId="0" borderId="16" xfId="0" applyNumberFormat="1" applyFont="1" applyBorder="1"/>
    <xf numFmtId="0" fontId="1" fillId="20" borderId="0" xfId="0" applyFont="1" applyFill="1" applyBorder="1"/>
    <xf numFmtId="0" fontId="29" fillId="0" borderId="0" xfId="0" applyFont="1" applyFill="1" applyAlignment="1">
      <alignment horizontal="center"/>
    </xf>
    <xf numFmtId="0" fontId="20" fillId="0" borderId="0" xfId="0" applyFont="1" applyFill="1" applyBorder="1"/>
    <xf numFmtId="0" fontId="0" fillId="0" borderId="0" xfId="0" applyFill="1"/>
    <xf numFmtId="0" fontId="0" fillId="16" borderId="0" xfId="0" applyFill="1"/>
    <xf numFmtId="43" fontId="4" fillId="0" borderId="8" xfId="1" applyNumberFormat="1" applyFont="1" applyFill="1" applyBorder="1" applyAlignment="1">
      <alignment horizontal="center"/>
    </xf>
    <xf numFmtId="0" fontId="5" fillId="8" borderId="0" xfId="0" applyFont="1" applyFill="1" applyBorder="1" applyAlignment="1"/>
    <xf numFmtId="43" fontId="6" fillId="8" borderId="0" xfId="1" applyFont="1" applyFill="1" applyBorder="1"/>
    <xf numFmtId="43" fontId="0" fillId="0" borderId="0" xfId="0" applyNumberFormat="1"/>
    <xf numFmtId="4" fontId="7" fillId="16" borderId="0" xfId="0" applyNumberFormat="1" applyFont="1" applyFill="1"/>
    <xf numFmtId="0" fontId="12" fillId="0" borderId="8" xfId="0" applyFont="1" applyFill="1" applyBorder="1"/>
    <xf numFmtId="0" fontId="41" fillId="0" borderId="0" xfId="0" applyFont="1" applyAlignment="1">
      <alignment horizontal="center"/>
    </xf>
    <xf numFmtId="0" fontId="42" fillId="0" borderId="0" xfId="0" applyFont="1"/>
    <xf numFmtId="0" fontId="0" fillId="0" borderId="0" xfId="2" applyNumberFormat="1" applyFont="1"/>
    <xf numFmtId="0" fontId="0" fillId="21" borderId="0" xfId="0" applyFill="1"/>
    <xf numFmtId="0" fontId="0" fillId="22" borderId="0" xfId="0" applyFill="1"/>
    <xf numFmtId="165" fontId="6" fillId="8" borderId="6" xfId="1" applyNumberFormat="1" applyFont="1" applyFill="1" applyBorder="1"/>
    <xf numFmtId="172" fontId="0" fillId="0" borderId="0" xfId="0" applyNumberFormat="1"/>
    <xf numFmtId="0" fontId="43" fillId="0" borderId="0" xfId="0" applyFont="1"/>
    <xf numFmtId="0" fontId="20" fillId="0" borderId="0" xfId="0" applyFont="1"/>
    <xf numFmtId="2" fontId="12" fillId="8" borderId="10" xfId="6" applyNumberFormat="1" applyFont="1" applyFill="1" applyBorder="1" applyAlignment="1">
      <alignment horizontal="center"/>
    </xf>
    <xf numFmtId="2" fontId="12" fillId="8" borderId="1" xfId="6" applyNumberFormat="1" applyFont="1" applyFill="1" applyBorder="1" applyAlignment="1">
      <alignment horizontal="center"/>
    </xf>
    <xf numFmtId="0" fontId="22" fillId="0" borderId="21" xfId="0" applyFont="1" applyBorder="1" applyAlignment="1">
      <alignment horizontal="center"/>
    </xf>
    <xf numFmtId="0" fontId="22" fillId="0" borderId="1" xfId="0" applyFont="1" applyBorder="1" applyAlignment="1">
      <alignment horizontal="center"/>
    </xf>
    <xf numFmtId="0" fontId="23" fillId="0" borderId="0" xfId="0" applyFont="1" applyAlignment="1">
      <alignment horizontal="left"/>
    </xf>
    <xf numFmtId="0" fontId="22" fillId="0" borderId="17" xfId="0" applyFont="1" applyBorder="1" applyAlignment="1">
      <alignment horizontal="center"/>
    </xf>
    <xf numFmtId="0" fontId="22" fillId="0" borderId="18" xfId="0" applyFont="1" applyBorder="1" applyAlignment="1">
      <alignment horizontal="center"/>
    </xf>
    <xf numFmtId="2" fontId="9" fillId="8" borderId="10" xfId="6" applyNumberFormat="1" applyFont="1" applyFill="1" applyBorder="1" applyAlignment="1">
      <alignment horizontal="center"/>
    </xf>
    <xf numFmtId="2" fontId="9" fillId="8" borderId="1" xfId="6" applyNumberFormat="1" applyFont="1" applyFill="1" applyBorder="1" applyAlignment="1">
      <alignment horizontal="center"/>
    </xf>
    <xf numFmtId="0" fontId="16" fillId="0" borderId="10" xfId="8" applyFont="1" applyBorder="1" applyAlignment="1">
      <alignment horizontal="center"/>
    </xf>
    <xf numFmtId="0" fontId="16" fillId="0" borderId="1" xfId="8" applyFont="1" applyBorder="1" applyAlignment="1">
      <alignment horizontal="center"/>
    </xf>
    <xf numFmtId="0" fontId="19" fillId="0" borderId="10" xfId="8" applyFont="1" applyBorder="1" applyAlignment="1">
      <alignment horizontal="center"/>
    </xf>
    <xf numFmtId="0" fontId="19" fillId="0" borderId="1" xfId="8" applyFont="1" applyBorder="1" applyAlignment="1">
      <alignment horizontal="center"/>
    </xf>
    <xf numFmtId="0" fontId="8" fillId="0" borderId="0" xfId="0" applyFont="1" applyBorder="1" applyAlignment="1">
      <alignment horizontal="center"/>
    </xf>
    <xf numFmtId="0" fontId="32" fillId="0" borderId="0" xfId="0" applyFont="1" applyAlignment="1">
      <alignment horizontal="center"/>
    </xf>
    <xf numFmtId="0" fontId="2" fillId="18" borderId="26" xfId="13" applyBorder="1" applyAlignment="1">
      <alignment horizontal="center"/>
    </xf>
    <xf numFmtId="0" fontId="2" fillId="18" borderId="27" xfId="13" applyBorder="1" applyAlignment="1">
      <alignment horizontal="center"/>
    </xf>
    <xf numFmtId="0" fontId="0" fillId="0" borderId="0" xfId="0" applyAlignment="1">
      <alignment horizontal="center"/>
    </xf>
  </cellXfs>
  <cellStyles count="14">
    <cellStyle name="40% - Accent4" xfId="13" builtinId="43"/>
    <cellStyle name="Accent3" xfId="11" builtinId="37"/>
    <cellStyle name="Accent4" xfId="12" builtinId="41"/>
    <cellStyle name="Comma" xfId="1" builtinId="3"/>
    <cellStyle name="Comma 3" xfId="9"/>
    <cellStyle name="Currency" xfId="4" builtinId="4"/>
    <cellStyle name="Input" xfId="3" builtinId="20"/>
    <cellStyle name="Normal" xfId="0" builtinId="0"/>
    <cellStyle name="Normal 2" xfId="7"/>
    <cellStyle name="Normal 3" xfId="8"/>
    <cellStyle name="Note" xfId="6" builtinId="10"/>
    <cellStyle name="Output" xfId="5" builtinId="21"/>
    <cellStyle name="Percent" xfId="2" builtinId="5"/>
    <cellStyle name="Total" xfId="10" builtinId="25"/>
  </cellStyles>
  <dxfs count="0"/>
  <tableStyles count="0" defaultTableStyle="TableStyleMedium9" defaultPivotStyle="PivotStyleLight16"/>
  <colors>
    <mruColors>
      <color rgb="FF00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57"/>
  <sheetViews>
    <sheetView topLeftCell="A10" zoomScale="120" zoomScaleNormal="120" workbookViewId="0">
      <selection activeCell="F27" sqref="F27"/>
    </sheetView>
  </sheetViews>
  <sheetFormatPr defaultColWidth="9.140625" defaultRowHeight="15"/>
  <cols>
    <col min="1" max="1" width="27.42578125" style="3" customWidth="1"/>
    <col min="2" max="2" width="13.5703125" style="3" bestFit="1" customWidth="1"/>
    <col min="3" max="3" width="14.28515625" style="3" customWidth="1"/>
    <col min="4" max="6" width="16.140625" style="3" customWidth="1"/>
    <col min="7" max="7" width="19.42578125" style="3" bestFit="1" customWidth="1"/>
    <col min="8" max="8" width="6.7109375" style="3" bestFit="1" customWidth="1"/>
    <col min="9" max="9" width="7.140625" style="3" bestFit="1" customWidth="1"/>
    <col min="10" max="10" width="7.7109375" style="3" bestFit="1" customWidth="1"/>
    <col min="11" max="16384" width="9.140625" style="3"/>
  </cols>
  <sheetData>
    <row r="1" spans="1:10">
      <c r="B1" s="3">
        <v>1000</v>
      </c>
      <c r="D1" s="4" t="s">
        <v>0</v>
      </c>
      <c r="E1" s="4"/>
      <c r="F1" s="4"/>
    </row>
    <row r="2" spans="1:10">
      <c r="B2" s="14"/>
      <c r="D2" s="3" t="s">
        <v>126</v>
      </c>
    </row>
    <row r="3" spans="1:10">
      <c r="A3" s="103" t="s">
        <v>141</v>
      </c>
      <c r="B3" s="103">
        <v>1995</v>
      </c>
      <c r="C3" s="103">
        <v>1996</v>
      </c>
      <c r="D3" s="103">
        <v>1997</v>
      </c>
      <c r="E3" s="131"/>
      <c r="F3" s="131"/>
      <c r="G3" s="103" t="s">
        <v>102</v>
      </c>
      <c r="H3" s="103">
        <v>1995</v>
      </c>
      <c r="I3" s="103">
        <v>1996</v>
      </c>
      <c r="J3" s="103">
        <v>1997</v>
      </c>
    </row>
    <row r="4" spans="1:10">
      <c r="A4" s="3" t="s">
        <v>127</v>
      </c>
      <c r="B4" s="140">
        <f>$B$1*A40</f>
        <v>168850000</v>
      </c>
      <c r="C4" s="140">
        <f t="shared" ref="C4:D4" si="0">$B$1*B40</f>
        <v>172237000</v>
      </c>
      <c r="D4" s="140">
        <f t="shared" si="0"/>
        <v>186085000</v>
      </c>
      <c r="E4" s="144"/>
      <c r="F4" s="144"/>
      <c r="G4" s="3" t="s">
        <v>172</v>
      </c>
      <c r="H4" s="126">
        <f>B16/B4</f>
        <v>7.3141841871483565E-2</v>
      </c>
      <c r="I4" s="126">
        <f t="shared" ref="I4:J4" si="1">C16/C4</f>
        <v>7.219122488199399E-2</v>
      </c>
      <c r="J4" s="126">
        <f t="shared" si="1"/>
        <v>0.12677539833946852</v>
      </c>
    </row>
    <row r="5" spans="1:10">
      <c r="A5" s="130" t="s">
        <v>128</v>
      </c>
      <c r="B5" s="140">
        <f t="shared" ref="B5:D5" si="2">$B$1*A41</f>
        <v>0</v>
      </c>
      <c r="C5" s="140">
        <f t="shared" si="2"/>
        <v>0</v>
      </c>
      <c r="D5" s="140">
        <f t="shared" si="2"/>
        <v>0</v>
      </c>
      <c r="E5" s="144"/>
      <c r="F5" s="144"/>
      <c r="G5" s="3" t="s">
        <v>8</v>
      </c>
      <c r="H5" s="126">
        <f>B20/B4</f>
        <v>5.098608232158721E-2</v>
      </c>
      <c r="I5" s="126">
        <f>C20/C4</f>
        <v>3.8499277158798632E-2</v>
      </c>
      <c r="J5" s="126">
        <f t="shared" ref="J5" si="3">D20/D4</f>
        <v>6.9704704839186393E-2</v>
      </c>
    </row>
    <row r="6" spans="1:10">
      <c r="A6" s="3" t="s">
        <v>129</v>
      </c>
      <c r="B6" s="140">
        <f>$B$1*A42</f>
        <v>11994000</v>
      </c>
      <c r="C6" s="140">
        <f t="shared" ref="C6:D6" si="4">$B$1*B42</f>
        <v>14228000</v>
      </c>
      <c r="D6" s="140">
        <f t="shared" si="4"/>
        <v>11124000</v>
      </c>
      <c r="E6" s="146"/>
      <c r="F6" s="146"/>
      <c r="G6" s="3" t="s">
        <v>9</v>
      </c>
      <c r="H6" s="127"/>
      <c r="I6" s="128">
        <f>(C4-B4)/B4</f>
        <v>2.0059224163458692E-2</v>
      </c>
      <c r="J6" s="128">
        <f>(D4-C4)/C4</f>
        <v>8.0400843024437257E-2</v>
      </c>
    </row>
    <row r="7" spans="1:10">
      <c r="A7" s="148"/>
      <c r="B7" s="149"/>
      <c r="C7" s="149"/>
      <c r="D7" s="149"/>
      <c r="E7" s="144"/>
      <c r="F7" s="144"/>
      <c r="G7" s="3" t="s">
        <v>10</v>
      </c>
      <c r="H7" s="128"/>
      <c r="I7" s="128"/>
      <c r="J7" s="128">
        <f>D20/'Balance sheet'!B26</f>
        <v>8.876403725475436E-2</v>
      </c>
    </row>
    <row r="8" spans="1:10">
      <c r="A8" s="3" t="s">
        <v>131</v>
      </c>
      <c r="B8" s="140">
        <f t="shared" ref="B8:D8" si="5">$B$1*A44</f>
        <v>1140000</v>
      </c>
      <c r="C8" s="140">
        <f t="shared" si="5"/>
        <v>1140000</v>
      </c>
      <c r="D8" s="140">
        <f t="shared" si="5"/>
        <v>1140000</v>
      </c>
      <c r="E8" s="146"/>
      <c r="F8" s="146"/>
      <c r="G8" s="3" t="s">
        <v>11</v>
      </c>
      <c r="H8" s="129">
        <f>B16/B17</f>
        <v>3.4182120121782451</v>
      </c>
      <c r="I8" s="129">
        <f t="shared" ref="I8:J8" si="6">C16/C17</f>
        <v>3.4414613894270691</v>
      </c>
      <c r="J8" s="129">
        <f t="shared" si="6"/>
        <v>6.5294768890119013</v>
      </c>
    </row>
    <row r="9" spans="1:10">
      <c r="A9" s="130" t="s">
        <v>132</v>
      </c>
      <c r="B9" s="140">
        <f>$B$1*A45</f>
        <v>0</v>
      </c>
      <c r="C9" s="140">
        <f t="shared" ref="C9:D9" si="7">$B$1*B45</f>
        <v>0</v>
      </c>
      <c r="D9" s="140">
        <f t="shared" si="7"/>
        <v>0</v>
      </c>
      <c r="E9" s="144"/>
      <c r="F9" s="144"/>
    </row>
    <row r="10" spans="1:10">
      <c r="A10" s="3" t="s">
        <v>133</v>
      </c>
      <c r="B10" s="140">
        <f t="shared" ref="B10:D10" si="8">$B$1*A46</f>
        <v>110590000</v>
      </c>
      <c r="C10" s="140">
        <f t="shared" si="8"/>
        <v>111167000</v>
      </c>
      <c r="D10" s="140">
        <f t="shared" si="8"/>
        <v>118911000</v>
      </c>
      <c r="E10" s="144"/>
      <c r="F10" s="144"/>
    </row>
    <row r="11" spans="1:10">
      <c r="A11" s="3" t="s">
        <v>130</v>
      </c>
      <c r="B11" s="140">
        <f>$B$1*A47+A35</f>
        <v>13892000</v>
      </c>
      <c r="C11" s="140">
        <f>$B$1*B47+B35</f>
        <v>14354000</v>
      </c>
      <c r="D11" s="140">
        <f>$B$1*C47+C35</f>
        <v>14285000</v>
      </c>
      <c r="E11" s="144"/>
      <c r="F11" s="144"/>
    </row>
    <row r="12" spans="1:10">
      <c r="A12" s="3" t="s">
        <v>134</v>
      </c>
      <c r="B12" s="140">
        <f t="shared" ref="B12:D12" si="9">$B$1*A48</f>
        <v>18310000</v>
      </c>
      <c r="C12" s="140">
        <f t="shared" si="9"/>
        <v>18310000</v>
      </c>
      <c r="D12" s="140">
        <f t="shared" si="9"/>
        <v>18310000</v>
      </c>
      <c r="E12" s="144"/>
      <c r="F12" s="144"/>
    </row>
    <row r="13" spans="1:10">
      <c r="A13" s="3" t="s">
        <v>135</v>
      </c>
      <c r="B13" s="140">
        <f t="shared" ref="B13:D13" si="10">$B$1*A49</f>
        <v>0</v>
      </c>
      <c r="C13" s="140">
        <f t="shared" si="10"/>
        <v>0</v>
      </c>
      <c r="D13" s="140">
        <f t="shared" si="10"/>
        <v>-1977000</v>
      </c>
      <c r="E13" s="144"/>
      <c r="F13" s="144"/>
    </row>
    <row r="14" spans="1:10">
      <c r="A14" s="3" t="s">
        <v>136</v>
      </c>
      <c r="B14" s="140">
        <f t="shared" ref="B14:D14" si="11">$B$1*A50</f>
        <v>574000</v>
      </c>
      <c r="C14" s="140">
        <f t="shared" si="11"/>
        <v>604000</v>
      </c>
      <c r="D14" s="140">
        <f t="shared" si="11"/>
        <v>701000</v>
      </c>
      <c r="E14" s="146"/>
      <c r="F14" s="146"/>
      <c r="H14" s="9" t="s">
        <v>101</v>
      </c>
      <c r="I14" s="3" t="s">
        <v>101</v>
      </c>
    </row>
    <row r="15" spans="1:10">
      <c r="A15" s="3" t="s">
        <v>137</v>
      </c>
      <c r="B15" s="140">
        <f t="shared" ref="B15:D15" si="12">$B$1*A51</f>
        <v>156500000</v>
      </c>
      <c r="C15" s="140">
        <f t="shared" si="12"/>
        <v>159803000</v>
      </c>
      <c r="D15" s="140">
        <f t="shared" si="12"/>
        <v>162494000</v>
      </c>
      <c r="E15" s="146"/>
      <c r="F15" s="146"/>
      <c r="H15" s="9"/>
    </row>
    <row r="16" spans="1:10">
      <c r="A16" s="3" t="s">
        <v>48</v>
      </c>
      <c r="B16" s="140">
        <f t="shared" ref="B16:D16" si="13">$B$1*A52</f>
        <v>12350000</v>
      </c>
      <c r="C16" s="140">
        <f t="shared" si="13"/>
        <v>12434000</v>
      </c>
      <c r="D16" s="140">
        <f t="shared" si="13"/>
        <v>23591000</v>
      </c>
      <c r="E16" s="146"/>
      <c r="F16" s="146"/>
      <c r="H16" s="9"/>
    </row>
    <row r="17" spans="1:13">
      <c r="A17" s="3" t="s">
        <v>4</v>
      </c>
      <c r="B17" s="140">
        <f t="shared" ref="B17:D17" si="14">$B$1*A53</f>
        <v>3613000</v>
      </c>
      <c r="C17" s="140">
        <f t="shared" si="14"/>
        <v>3613000</v>
      </c>
      <c r="D17" s="140">
        <f t="shared" si="14"/>
        <v>3613000</v>
      </c>
      <c r="E17" s="144"/>
      <c r="F17" s="144"/>
      <c r="H17" s="3" t="s">
        <v>101</v>
      </c>
    </row>
    <row r="18" spans="1:13">
      <c r="A18" s="3" t="s">
        <v>138</v>
      </c>
      <c r="B18" s="140">
        <f t="shared" ref="B18:D18" si="15">$B$1*A54</f>
        <v>8737000</v>
      </c>
      <c r="C18" s="140">
        <f t="shared" si="15"/>
        <v>8821000</v>
      </c>
      <c r="D18" s="140">
        <f t="shared" si="15"/>
        <v>19978000</v>
      </c>
      <c r="E18" s="146"/>
      <c r="F18" s="146"/>
      <c r="H18" s="3" t="s">
        <v>101</v>
      </c>
    </row>
    <row r="19" spans="1:13">
      <c r="A19" s="3" t="s">
        <v>5</v>
      </c>
      <c r="B19" s="140">
        <f>$B$1*A55</f>
        <v>128000</v>
      </c>
      <c r="C19" s="140">
        <f t="shared" ref="C19:D19" si="16">$B$1*B55</f>
        <v>2190000</v>
      </c>
      <c r="D19" s="140">
        <f t="shared" si="16"/>
        <v>7007000</v>
      </c>
      <c r="E19" s="144"/>
      <c r="F19" s="144"/>
      <c r="J19" s="9"/>
      <c r="K19" s="9"/>
      <c r="L19" s="9"/>
      <c r="M19" s="9"/>
    </row>
    <row r="20" spans="1:13" ht="15.75" thickBot="1">
      <c r="A20" s="130" t="s">
        <v>6</v>
      </c>
      <c r="B20" s="140">
        <f t="shared" ref="B20:D20" si="17">$B$1*A56</f>
        <v>8609000</v>
      </c>
      <c r="C20" s="140">
        <f t="shared" si="17"/>
        <v>6631000</v>
      </c>
      <c r="D20" s="140">
        <f t="shared" si="17"/>
        <v>12971000</v>
      </c>
      <c r="E20" s="150"/>
      <c r="F20" s="150"/>
    </row>
    <row r="21" spans="1:13" ht="15.75" thickTop="1">
      <c r="A21" s="3" t="s">
        <v>164</v>
      </c>
      <c r="E21" s="142"/>
      <c r="F21" s="142"/>
    </row>
    <row r="22" spans="1:13">
      <c r="A22" s="4" t="s">
        <v>7</v>
      </c>
    </row>
    <row r="23" spans="1:13">
      <c r="A23" s="3" t="s">
        <v>139</v>
      </c>
      <c r="B23" s="3">
        <v>37299945</v>
      </c>
      <c r="C23" s="3">
        <v>37299945</v>
      </c>
      <c r="D23" s="3">
        <v>37299945</v>
      </c>
    </row>
    <row r="24" spans="1:13">
      <c r="A24" s="3" t="s">
        <v>140</v>
      </c>
      <c r="B24" s="9">
        <v>39082645</v>
      </c>
      <c r="C24" s="9">
        <v>39082645</v>
      </c>
      <c r="D24" s="9">
        <v>39082645</v>
      </c>
      <c r="E24" s="9"/>
      <c r="F24" s="9"/>
    </row>
    <row r="25" spans="1:13">
      <c r="D25" s="139" t="s">
        <v>161</v>
      </c>
      <c r="E25" s="139" t="s">
        <v>162</v>
      </c>
    </row>
    <row r="26" spans="1:13">
      <c r="A26" s="4" t="s">
        <v>159</v>
      </c>
      <c r="B26" s="108">
        <v>1998</v>
      </c>
      <c r="C26" s="108">
        <v>1999</v>
      </c>
      <c r="D26" s="108">
        <v>2000</v>
      </c>
      <c r="E26" s="108">
        <v>2001</v>
      </c>
      <c r="F26" s="108">
        <v>2002</v>
      </c>
    </row>
    <row r="27" spans="1:13">
      <c r="A27" s="3" t="s">
        <v>160</v>
      </c>
      <c r="B27" s="142">
        <f>((9456*48*0.71*0.91)+(3576*48*0.71*0.04*0.91)+(7966*48*0.71*0.91)+((19353-7966)*48*0.71*0.09))*360</f>
        <v>208680220.40832001</v>
      </c>
      <c r="C27" s="142">
        <f>((9456*49.5*0.73*0.91)+(3576*49.5*0.73*0.04*0.91)+(7966*49.5*0.73*0.91)+((19353-7966)*49.5*0.73*0.09))*360+((400*49.5*0.73*0.91+700*200*0.73)+(7*200*49.5*0.73*0.91))*360</f>
        <v>279363577.54103994</v>
      </c>
      <c r="D27" s="142">
        <f>((9456*49.6*0.72*0.91)+(3576*49.6*0.72*0.04*0.91)+(7966*49.6*0.72*0.91)+((19353-7966)*49.6*0.72*0.09))*360+((1200*49.6*0.72*0.91+700*210*0.73)+(7*200*49.6*0.72*0.91)+(120*55*0.6))*360</f>
        <v>289148610.84364802</v>
      </c>
      <c r="E27" s="142">
        <f>((9456*49.7*0.735*0.91)+(3576*49.7*0.735*0.04*0.91)+(7966*49.7*0.735*0.91)+((19353-7966)*49.7*0.735*0.09))*360+((1200*49.7*0.735*0.91+700*210*0.735)+(2000*140*0.735)+(7*200*49.7*0.735*0.91)+(120*2*57*0.69))*360</f>
        <v>371175790.17016804</v>
      </c>
      <c r="F27" s="142">
        <f>((9456*50.2*0.74*0.91)+(3576*50.2*0.74*0.04*0.91)+(7966*50.2*0.74*0.91)+((19353-7966)*50.2*0.74*0.09))*360+((1200*50.2*0.74*0.91+700*215*0.74)+(2000*145*0.74)+(7*200*50.2*0.74*0.91)+(120*3*60*0.75))*360</f>
        <v>382288719.32179201</v>
      </c>
    </row>
    <row r="35" spans="1:3">
      <c r="A35" s="3">
        <v>1074000</v>
      </c>
      <c r="B35" s="3">
        <v>1490000</v>
      </c>
      <c r="C35" s="3">
        <v>1422000</v>
      </c>
    </row>
    <row r="40" spans="1:3">
      <c r="A40" s="98">
        <v>168850</v>
      </c>
      <c r="B40" s="99">
        <v>172237</v>
      </c>
      <c r="C40" s="99">
        <v>186085</v>
      </c>
    </row>
    <row r="41" spans="1:3">
      <c r="A41" s="98"/>
      <c r="B41" s="99"/>
      <c r="C41" s="99"/>
    </row>
    <row r="42" spans="1:3">
      <c r="A42" s="97">
        <v>11994</v>
      </c>
      <c r="B42" s="97">
        <v>14228</v>
      </c>
      <c r="C42" s="97">
        <v>11124</v>
      </c>
    </row>
    <row r="43" spans="1:3">
      <c r="A43" s="99">
        <v>1074</v>
      </c>
      <c r="B43" s="99">
        <v>1490</v>
      </c>
      <c r="C43" s="99">
        <v>1422</v>
      </c>
    </row>
    <row r="44" spans="1:3">
      <c r="A44" s="97">
        <v>1140</v>
      </c>
      <c r="B44" s="97">
        <v>1140</v>
      </c>
      <c r="C44" s="97">
        <v>1140</v>
      </c>
    </row>
    <row r="45" spans="1:3">
      <c r="A45" s="99"/>
      <c r="B45" s="99"/>
      <c r="C45" s="99"/>
    </row>
    <row r="46" spans="1:3">
      <c r="A46" s="98">
        <v>110590</v>
      </c>
      <c r="B46" s="99">
        <v>111167</v>
      </c>
      <c r="C46" s="101">
        <v>118911</v>
      </c>
    </row>
    <row r="47" spans="1:3">
      <c r="A47" s="101">
        <v>12818</v>
      </c>
      <c r="B47" s="99">
        <v>12864</v>
      </c>
      <c r="C47" s="99">
        <v>12863</v>
      </c>
    </row>
    <row r="48" spans="1:3">
      <c r="A48" s="101">
        <v>18310</v>
      </c>
      <c r="B48" s="101">
        <v>18310</v>
      </c>
      <c r="C48" s="101">
        <v>18310</v>
      </c>
    </row>
    <row r="49" spans="1:3">
      <c r="A49" s="99">
        <v>0</v>
      </c>
      <c r="B49" s="99">
        <v>0</v>
      </c>
      <c r="C49" s="99">
        <v>-1977</v>
      </c>
    </row>
    <row r="50" spans="1:3">
      <c r="A50" s="100">
        <v>574</v>
      </c>
      <c r="B50" s="100">
        <v>604</v>
      </c>
      <c r="C50" s="100">
        <v>701</v>
      </c>
    </row>
    <row r="51" spans="1:3">
      <c r="A51" s="100">
        <f>SUM(A42:A50)</f>
        <v>156500</v>
      </c>
      <c r="B51" s="100">
        <f t="shared" ref="B51:C51" si="18">SUM(B42:B50)</f>
        <v>159803</v>
      </c>
      <c r="C51" s="100">
        <f t="shared" si="18"/>
        <v>162494</v>
      </c>
    </row>
    <row r="52" spans="1:3">
      <c r="A52" s="100">
        <f>A40-A51</f>
        <v>12350</v>
      </c>
      <c r="B52" s="100">
        <f t="shared" ref="B52:C52" si="19">B40-B51</f>
        <v>12434</v>
      </c>
      <c r="C52" s="100">
        <f t="shared" si="19"/>
        <v>23591</v>
      </c>
    </row>
    <row r="53" spans="1:3">
      <c r="A53" s="99">
        <v>3613</v>
      </c>
      <c r="B53" s="99">
        <v>3613</v>
      </c>
      <c r="C53" s="99">
        <v>3613</v>
      </c>
    </row>
    <row r="54" spans="1:3">
      <c r="A54" s="100">
        <f>A52-A53</f>
        <v>8737</v>
      </c>
      <c r="B54" s="100">
        <f t="shared" ref="B54:C54" si="20">B52-B53</f>
        <v>8821</v>
      </c>
      <c r="C54" s="100">
        <f t="shared" si="20"/>
        <v>19978</v>
      </c>
    </row>
    <row r="55" spans="1:3">
      <c r="A55" s="99">
        <v>128</v>
      </c>
      <c r="B55" s="99">
        <v>2190</v>
      </c>
      <c r="C55" s="99">
        <v>7007</v>
      </c>
    </row>
    <row r="56" spans="1:3" ht="15.75" thickBot="1">
      <c r="A56" s="102">
        <f>A54-A55</f>
        <v>8609</v>
      </c>
      <c r="B56" s="102">
        <f t="shared" ref="B56:C56" si="21">B54-B55</f>
        <v>6631</v>
      </c>
      <c r="C56" s="102">
        <f t="shared" si="21"/>
        <v>12971</v>
      </c>
    </row>
    <row r="57" spans="1:3" ht="15.75" thickTop="1"/>
  </sheetData>
  <sheetProtection formatRows="0" selectLockedCells="1" selectUnlockedCell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3:K70"/>
  <sheetViews>
    <sheetView topLeftCell="A30" workbookViewId="0">
      <selection activeCell="A53" sqref="A53:B53"/>
    </sheetView>
  </sheetViews>
  <sheetFormatPr defaultColWidth="9.140625" defaultRowHeight="15"/>
  <cols>
    <col min="1" max="1" width="43.140625" style="3" customWidth="1"/>
    <col min="2" max="2" width="12" style="3" bestFit="1" customWidth="1"/>
    <col min="3" max="6" width="10" style="3" bestFit="1" customWidth="1"/>
    <col min="7" max="7" width="11.5703125" style="3" bestFit="1" customWidth="1"/>
    <col min="8" max="16384" width="9.140625" style="3"/>
  </cols>
  <sheetData>
    <row r="3" spans="1:11">
      <c r="A3" s="103" t="s">
        <v>1</v>
      </c>
      <c r="B3" s="103">
        <v>1997</v>
      </c>
      <c r="C3" s="103">
        <v>1998</v>
      </c>
      <c r="D3" s="103">
        <v>1999</v>
      </c>
      <c r="E3" s="103">
        <v>2000</v>
      </c>
      <c r="F3" s="103">
        <v>2001</v>
      </c>
      <c r="G3" s="103">
        <v>2002</v>
      </c>
      <c r="H3" s="131"/>
      <c r="I3" s="131"/>
      <c r="J3" s="131"/>
      <c r="K3" s="131"/>
    </row>
    <row r="4" spans="1:11">
      <c r="B4" s="147">
        <v>1000</v>
      </c>
    </row>
    <row r="5" spans="1:11">
      <c r="A5" s="4" t="s">
        <v>142</v>
      </c>
      <c r="B5" s="134"/>
      <c r="C5" s="134"/>
      <c r="D5" s="134"/>
      <c r="E5" s="134"/>
      <c r="F5" s="134"/>
      <c r="G5" s="135"/>
      <c r="H5" s="3" t="s">
        <v>101</v>
      </c>
    </row>
    <row r="6" spans="1:11">
      <c r="A6" s="3" t="s">
        <v>143</v>
      </c>
      <c r="B6" s="143">
        <f>$B$4*C48</f>
        <v>20705000</v>
      </c>
      <c r="C6" s="143"/>
      <c r="D6" s="143"/>
      <c r="E6" s="143"/>
      <c r="F6" s="143"/>
      <c r="G6" s="143"/>
    </row>
    <row r="7" spans="1:11">
      <c r="A7" s="3" t="s">
        <v>144</v>
      </c>
      <c r="B7" s="143">
        <f t="shared" ref="B7:B28" si="0">$B$4*C49</f>
        <v>14201000</v>
      </c>
      <c r="C7" s="140"/>
      <c r="D7" s="140"/>
      <c r="E7" s="140"/>
      <c r="F7" s="140"/>
      <c r="G7" s="140"/>
      <c r="J7" s="3" t="s">
        <v>163</v>
      </c>
    </row>
    <row r="8" spans="1:11">
      <c r="A8" s="3" t="s">
        <v>145</v>
      </c>
      <c r="B8" s="143">
        <f t="shared" si="0"/>
        <v>2719000</v>
      </c>
      <c r="C8" s="140"/>
      <c r="D8" s="140"/>
      <c r="E8" s="140"/>
      <c r="F8" s="140"/>
      <c r="G8" s="140"/>
    </row>
    <row r="9" spans="1:11">
      <c r="A9" s="3" t="s">
        <v>146</v>
      </c>
      <c r="B9" s="143">
        <f t="shared" si="0"/>
        <v>20076000</v>
      </c>
      <c r="C9" s="140"/>
      <c r="D9" s="140"/>
      <c r="E9" s="140"/>
      <c r="F9" s="140"/>
      <c r="G9" s="140"/>
    </row>
    <row r="10" spans="1:11">
      <c r="A10" s="3" t="s">
        <v>147</v>
      </c>
      <c r="B10" s="143">
        <f t="shared" si="0"/>
        <v>494586000</v>
      </c>
      <c r="C10" s="140">
        <f>B10+85000000+20000000+7304000</f>
        <v>606890000</v>
      </c>
      <c r="D10" s="140">
        <f>C10+9778000+40000000+5000000+15000000</f>
        <v>676668000</v>
      </c>
      <c r="E10" s="140">
        <f>D10+10120000+5000000+180000000</f>
        <v>871788000</v>
      </c>
      <c r="F10" s="140">
        <f>E10+12991000+5000000</f>
        <v>889779000</v>
      </c>
      <c r="G10" s="140">
        <f>F10+13380000</f>
        <v>903159000</v>
      </c>
    </row>
    <row r="11" spans="1:11">
      <c r="A11" s="130" t="s">
        <v>12</v>
      </c>
      <c r="B11" s="143">
        <f t="shared" si="0"/>
        <v>552287000</v>
      </c>
      <c r="C11" s="142"/>
      <c r="D11" s="142"/>
      <c r="E11" s="142"/>
      <c r="F11" s="142"/>
      <c r="G11" s="142"/>
    </row>
    <row r="12" spans="1:11">
      <c r="A12" s="4" t="s">
        <v>148</v>
      </c>
      <c r="B12" s="143">
        <f t="shared" si="0"/>
        <v>0</v>
      </c>
      <c r="C12" s="144"/>
      <c r="D12" s="144"/>
      <c r="E12" s="144"/>
      <c r="F12" s="144"/>
      <c r="G12" s="144"/>
    </row>
    <row r="13" spans="1:11">
      <c r="A13" s="3" t="s">
        <v>149</v>
      </c>
      <c r="B13" s="143">
        <f t="shared" si="0"/>
        <v>29285000</v>
      </c>
      <c r="C13" s="140"/>
      <c r="D13" s="140"/>
      <c r="E13" s="140"/>
      <c r="F13" s="140"/>
      <c r="G13" s="140"/>
    </row>
    <row r="14" spans="1:11">
      <c r="A14" s="3" t="s">
        <v>13</v>
      </c>
      <c r="B14" s="143">
        <f t="shared" si="0"/>
        <v>0</v>
      </c>
      <c r="C14" s="140"/>
      <c r="D14" s="140"/>
      <c r="E14" s="140"/>
      <c r="F14" s="140"/>
      <c r="G14" s="140"/>
    </row>
    <row r="15" spans="1:11">
      <c r="A15" s="3" t="s">
        <v>150</v>
      </c>
      <c r="B15" s="143">
        <f t="shared" si="0"/>
        <v>2873000</v>
      </c>
      <c r="C15" s="140"/>
      <c r="D15" s="140"/>
      <c r="E15" s="140"/>
      <c r="F15" s="140"/>
      <c r="G15" s="140"/>
    </row>
    <row r="16" spans="1:11">
      <c r="A16" s="3" t="s">
        <v>151</v>
      </c>
      <c r="B16" s="143">
        <f t="shared" si="0"/>
        <v>58500000</v>
      </c>
      <c r="C16" s="140"/>
      <c r="D16" s="140"/>
      <c r="E16" s="140"/>
      <c r="F16" s="140"/>
      <c r="G16" s="140"/>
    </row>
    <row r="17" spans="1:7">
      <c r="A17" s="3" t="s">
        <v>152</v>
      </c>
      <c r="B17" s="143">
        <f t="shared" si="0"/>
        <v>312890000</v>
      </c>
      <c r="C17" s="145"/>
      <c r="D17" s="145"/>
      <c r="E17" s="145"/>
      <c r="F17" s="145"/>
      <c r="G17" s="145"/>
    </row>
    <row r="18" spans="1:7">
      <c r="A18" s="4" t="s">
        <v>153</v>
      </c>
      <c r="B18" s="143">
        <f t="shared" si="0"/>
        <v>403548000</v>
      </c>
      <c r="C18" s="141"/>
      <c r="D18" s="141"/>
      <c r="E18" s="141"/>
      <c r="F18" s="141"/>
      <c r="G18" s="141"/>
    </row>
    <row r="19" spans="1:7">
      <c r="B19" s="143">
        <f t="shared" si="0"/>
        <v>0</v>
      </c>
      <c r="C19" s="144"/>
      <c r="D19" s="144"/>
      <c r="E19" s="144"/>
      <c r="F19" s="144"/>
      <c r="G19" s="144"/>
    </row>
    <row r="20" spans="1:7">
      <c r="A20" s="3" t="s">
        <v>154</v>
      </c>
      <c r="B20" s="143">
        <f t="shared" si="0"/>
        <v>2610000</v>
      </c>
      <c r="C20" s="140"/>
      <c r="D20" s="140"/>
      <c r="E20" s="140"/>
      <c r="F20" s="140"/>
      <c r="G20" s="140"/>
    </row>
    <row r="21" spans="1:7">
      <c r="B21" s="143">
        <f t="shared" si="0"/>
        <v>0</v>
      </c>
      <c r="C21" s="144"/>
      <c r="D21" s="144"/>
      <c r="E21" s="144"/>
      <c r="F21" s="144"/>
      <c r="G21" s="144"/>
    </row>
    <row r="22" spans="1:7">
      <c r="B22" s="143">
        <f t="shared" si="0"/>
        <v>0</v>
      </c>
      <c r="C22" s="144"/>
      <c r="D22" s="144"/>
      <c r="E22" s="144"/>
      <c r="F22" s="144"/>
      <c r="G22" s="144"/>
    </row>
    <row r="23" spans="1:7">
      <c r="A23" s="4" t="s">
        <v>155</v>
      </c>
      <c r="B23" s="143">
        <f t="shared" si="0"/>
        <v>0</v>
      </c>
      <c r="C23" s="142"/>
      <c r="D23" s="142"/>
      <c r="E23" s="142"/>
      <c r="F23" s="142"/>
      <c r="G23" s="142"/>
    </row>
    <row r="24" spans="1:7">
      <c r="A24" s="3" t="s">
        <v>156</v>
      </c>
      <c r="B24" s="143">
        <f t="shared" si="0"/>
        <v>78000000</v>
      </c>
      <c r="C24" s="140"/>
      <c r="D24" s="140"/>
      <c r="E24" s="140"/>
      <c r="F24" s="140"/>
      <c r="G24" s="140"/>
    </row>
    <row r="25" spans="1:7">
      <c r="A25" s="3" t="s">
        <v>157</v>
      </c>
      <c r="B25" s="143">
        <f t="shared" si="0"/>
        <v>68129000</v>
      </c>
      <c r="C25" s="140"/>
      <c r="D25" s="140"/>
      <c r="E25" s="140"/>
      <c r="F25" s="140"/>
      <c r="G25" s="140"/>
    </row>
    <row r="26" spans="1:7">
      <c r="A26" s="4" t="s">
        <v>30</v>
      </c>
      <c r="B26" s="143">
        <f t="shared" si="0"/>
        <v>146129000</v>
      </c>
      <c r="C26" s="144"/>
      <c r="D26" s="144"/>
      <c r="E26" s="144"/>
      <c r="F26" s="144"/>
      <c r="G26" s="144"/>
    </row>
    <row r="27" spans="1:7">
      <c r="A27" s="4"/>
      <c r="B27" s="143">
        <f t="shared" si="0"/>
        <v>0</v>
      </c>
      <c r="C27" s="146"/>
      <c r="D27" s="146"/>
      <c r="E27" s="146"/>
      <c r="F27" s="146"/>
      <c r="G27" s="146"/>
    </row>
    <row r="28" spans="1:7">
      <c r="A28" s="4" t="s">
        <v>158</v>
      </c>
      <c r="B28" s="143">
        <f t="shared" si="0"/>
        <v>552287000</v>
      </c>
      <c r="C28" s="142"/>
      <c r="D28" s="142"/>
      <c r="E28" s="142"/>
      <c r="F28" s="142"/>
      <c r="G28" s="142"/>
    </row>
    <row r="29" spans="1:7">
      <c r="A29" s="4"/>
    </row>
    <row r="30" spans="1:7">
      <c r="A30" s="4"/>
    </row>
    <row r="31" spans="1:7">
      <c r="A31" s="4" t="s">
        <v>14</v>
      </c>
    </row>
    <row r="32" spans="1:7">
      <c r="A32" s="3" t="s">
        <v>165</v>
      </c>
      <c r="B32" s="3">
        <f>B18/B26</f>
        <v>2.7615873645888223</v>
      </c>
    </row>
    <row r="33" spans="1:3">
      <c r="A33" s="3" t="s">
        <v>15</v>
      </c>
      <c r="B33" s="3">
        <f>(B6+B7+B8)/(B13+B14+B15)</f>
        <v>1.1700043535045712</v>
      </c>
    </row>
    <row r="34" spans="1:3">
      <c r="A34" s="3" t="s">
        <v>166</v>
      </c>
      <c r="B34" s="3">
        <f>'Income satatement'!D4/'Balance sheet'!B28</f>
        <v>0.33693532529282783</v>
      </c>
    </row>
    <row r="35" spans="1:3">
      <c r="A35" s="3" t="s">
        <v>167</v>
      </c>
      <c r="B35" s="3">
        <f>B28/B26</f>
        <v>3.7794482956839506</v>
      </c>
    </row>
    <row r="36" spans="1:3">
      <c r="A36" s="3" t="s">
        <v>168</v>
      </c>
      <c r="B36" s="3">
        <f>'Income satatement'!D18/'Income satatement'!D16</f>
        <v>0.84684837438006022</v>
      </c>
    </row>
    <row r="40" spans="1:3">
      <c r="A40" s="139" t="s">
        <v>169</v>
      </c>
    </row>
    <row r="41" spans="1:3">
      <c r="A41" s="3" t="s">
        <v>170</v>
      </c>
      <c r="B41" s="3">
        <f>B35*B34*'Income satatement'!J4*'Balance sheet'!B36*(1-('Income satatement'!D19/'Income satatement'!D18))</f>
        <v>8.876403725475436E-2</v>
      </c>
    </row>
    <row r="42" spans="1:3">
      <c r="A42" s="3" t="s">
        <v>171</v>
      </c>
      <c r="B42" s="3">
        <f>'Income satatement'!J5*'Balance sheet'!B34*'Balance sheet'!B35</f>
        <v>8.876403725475436E-2</v>
      </c>
    </row>
    <row r="48" spans="1:3">
      <c r="C48" s="133">
        <v>20705</v>
      </c>
    </row>
    <row r="49" spans="3:3">
      <c r="C49" s="101">
        <v>14201</v>
      </c>
    </row>
    <row r="50" spans="3:3">
      <c r="C50" s="101">
        <v>2719</v>
      </c>
    </row>
    <row r="51" spans="3:3">
      <c r="C51" s="101">
        <v>20076</v>
      </c>
    </row>
    <row r="52" spans="3:3">
      <c r="C52" s="101">
        <v>494586</v>
      </c>
    </row>
    <row r="53" spans="3:3">
      <c r="C53" s="3">
        <f>SUM(C48:C52)</f>
        <v>552287</v>
      </c>
    </row>
    <row r="54" spans="3:3">
      <c r="C54" s="136"/>
    </row>
    <row r="55" spans="3:3">
      <c r="C55" s="101">
        <v>29285</v>
      </c>
    </row>
    <row r="56" spans="3:3">
      <c r="C56" s="101">
        <v>0</v>
      </c>
    </row>
    <row r="57" spans="3:3">
      <c r="C57" s="101">
        <v>2873</v>
      </c>
    </row>
    <row r="58" spans="3:3">
      <c r="C58" s="101">
        <v>58500</v>
      </c>
    </row>
    <row r="59" spans="3:3">
      <c r="C59" s="137">
        <v>312890</v>
      </c>
    </row>
    <row r="60" spans="3:3">
      <c r="C60" s="96">
        <f>SUM(C55:C59)</f>
        <v>403548</v>
      </c>
    </row>
    <row r="61" spans="3:3">
      <c r="C61" s="136"/>
    </row>
    <row r="62" spans="3:3">
      <c r="C62" s="101">
        <v>2610</v>
      </c>
    </row>
    <row r="63" spans="3:3">
      <c r="C63" s="136"/>
    </row>
    <row r="64" spans="3:3">
      <c r="C64" s="136"/>
    </row>
    <row r="66" spans="3:3">
      <c r="C66" s="101">
        <v>78000</v>
      </c>
    </row>
    <row r="67" spans="3:3">
      <c r="C67" s="101">
        <v>68129</v>
      </c>
    </row>
    <row r="68" spans="3:3">
      <c r="C68" s="136">
        <f>SUM(C66:C67)</f>
        <v>146129</v>
      </c>
    </row>
    <row r="69" spans="3:3">
      <c r="C69" s="132"/>
    </row>
    <row r="70" spans="3:3">
      <c r="C70" s="3">
        <f>C60+C68+C62</f>
        <v>552287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H51"/>
  <sheetViews>
    <sheetView topLeftCell="A7" workbookViewId="0">
      <selection activeCell="E27" sqref="E27"/>
    </sheetView>
  </sheetViews>
  <sheetFormatPr defaultRowHeight="15"/>
  <cols>
    <col min="1" max="1" width="9.140625" style="3"/>
    <col min="2" max="2" width="18.7109375" style="3" customWidth="1"/>
    <col min="3" max="3" width="36.140625" style="3" customWidth="1"/>
    <col min="4" max="4" width="20.7109375" style="3" customWidth="1"/>
    <col min="5" max="6" width="14.28515625" style="3" bestFit="1" customWidth="1"/>
    <col min="7" max="7" width="9.140625" style="3"/>
    <col min="8" max="8" width="11.85546875" style="3" bestFit="1" customWidth="1"/>
    <col min="9" max="16384" width="9.140625" style="3"/>
  </cols>
  <sheetData>
    <row r="2" spans="2:8" ht="22.5">
      <c r="B2" s="186" t="s">
        <v>53</v>
      </c>
      <c r="C2" s="186"/>
    </row>
    <row r="3" spans="2:8" ht="15.75" thickBot="1"/>
    <row r="4" spans="2:8" ht="18.75">
      <c r="C4" s="187" t="s">
        <v>54</v>
      </c>
      <c r="D4" s="188"/>
      <c r="E4" s="188"/>
      <c r="F4" s="188"/>
    </row>
    <row r="5" spans="2:8">
      <c r="C5" s="82" t="s">
        <v>55</v>
      </c>
      <c r="D5" s="83">
        <v>1996</v>
      </c>
      <c r="E5" s="83">
        <v>1997</v>
      </c>
      <c r="F5" s="83">
        <v>1998</v>
      </c>
    </row>
    <row r="6" spans="2:8">
      <c r="C6" s="84" t="s">
        <v>173</v>
      </c>
      <c r="D6" s="77">
        <f>'Income satatement'!B4</f>
        <v>168850000</v>
      </c>
      <c r="E6" s="77">
        <f>'Income satatement'!C4</f>
        <v>172237000</v>
      </c>
      <c r="F6" s="77">
        <f>'Income satatement'!D4</f>
        <v>186085000</v>
      </c>
    </row>
    <row r="7" spans="2:8">
      <c r="C7" s="84" t="s">
        <v>103</v>
      </c>
      <c r="D7" s="189">
        <f>STDEV(D6:F6)</f>
        <v>9131302.3715130575</v>
      </c>
      <c r="E7" s="190"/>
      <c r="F7" s="190"/>
      <c r="H7" s="138"/>
    </row>
    <row r="8" spans="2:8">
      <c r="C8" s="84" t="s">
        <v>104</v>
      </c>
      <c r="D8" s="189">
        <f>AVERAGE(D6:F6)</f>
        <v>175724000</v>
      </c>
      <c r="E8" s="190"/>
      <c r="F8" s="190"/>
    </row>
    <row r="9" spans="2:8">
      <c r="C9" s="84" t="s">
        <v>105</v>
      </c>
      <c r="D9" s="189">
        <f>D7/D8</f>
        <v>5.1963888663546572E-2</v>
      </c>
      <c r="E9" s="190"/>
      <c r="F9" s="190"/>
    </row>
    <row r="10" spans="2:8">
      <c r="C10" s="74"/>
      <c r="D10" s="85"/>
      <c r="E10" s="85"/>
      <c r="F10" s="85"/>
    </row>
    <row r="11" spans="2:8" ht="18.75">
      <c r="C11" s="184" t="s">
        <v>56</v>
      </c>
      <c r="D11" s="185"/>
      <c r="E11" s="185"/>
      <c r="F11" s="185"/>
    </row>
    <row r="12" spans="2:8">
      <c r="C12" s="86" t="s">
        <v>55</v>
      </c>
      <c r="D12" s="80">
        <f>D5</f>
        <v>1996</v>
      </c>
      <c r="E12" s="80">
        <f t="shared" ref="E12:F12" si="0">E5</f>
        <v>1997</v>
      </c>
      <c r="F12" s="80">
        <f t="shared" si="0"/>
        <v>1998</v>
      </c>
    </row>
    <row r="13" spans="2:8">
      <c r="C13" s="87" t="s">
        <v>57</v>
      </c>
      <c r="D13" s="79">
        <f>'Income satatement'!B16</f>
        <v>12350000</v>
      </c>
      <c r="E13" s="79">
        <f>'Income satatement'!C16</f>
        <v>12434000</v>
      </c>
      <c r="F13" s="79">
        <f>'Income satatement'!D16</f>
        <v>23591000</v>
      </c>
    </row>
    <row r="14" spans="2:8">
      <c r="C14" s="84" t="s">
        <v>103</v>
      </c>
      <c r="D14" s="182">
        <f>STDEV(D13:F13)</f>
        <v>6465882.0743963467</v>
      </c>
      <c r="E14" s="183"/>
      <c r="F14" s="183"/>
    </row>
    <row r="15" spans="2:8">
      <c r="C15" s="84" t="s">
        <v>104</v>
      </c>
      <c r="D15" s="182">
        <f>AVERAGE(D13:F13)</f>
        <v>16125000</v>
      </c>
      <c r="E15" s="183"/>
      <c r="F15" s="183"/>
    </row>
    <row r="16" spans="2:8">
      <c r="C16" s="84" t="s">
        <v>105</v>
      </c>
      <c r="D16" s="182">
        <f>D14/D15</f>
        <v>0.40098493484628506</v>
      </c>
      <c r="E16" s="183"/>
      <c r="F16" s="183"/>
    </row>
    <row r="17" spans="3:6">
      <c r="C17" s="74"/>
      <c r="D17" s="10"/>
      <c r="E17" s="10"/>
      <c r="F17" s="10"/>
    </row>
    <row r="18" spans="3:6" ht="18.75">
      <c r="C18" s="184" t="s">
        <v>58</v>
      </c>
      <c r="D18" s="185"/>
      <c r="E18" s="185"/>
      <c r="F18" s="185"/>
    </row>
    <row r="19" spans="3:6">
      <c r="C19" s="88" t="s">
        <v>59</v>
      </c>
      <c r="D19" s="81">
        <f>D12</f>
        <v>1996</v>
      </c>
      <c r="E19" s="81">
        <f t="shared" ref="E19:F19" si="1">E12</f>
        <v>1997</v>
      </c>
      <c r="F19" s="81">
        <f t="shared" si="1"/>
        <v>1998</v>
      </c>
    </row>
    <row r="20" spans="3:6">
      <c r="C20" s="87" t="s">
        <v>48</v>
      </c>
      <c r="D20" s="79">
        <f>'Income satatement'!B16</f>
        <v>12350000</v>
      </c>
      <c r="E20" s="79">
        <f>'Income satatement'!C16</f>
        <v>12434000</v>
      </c>
      <c r="F20" s="79">
        <f>'Income satatement'!D16</f>
        <v>23591000</v>
      </c>
    </row>
    <row r="21" spans="3:6">
      <c r="C21" s="87" t="s">
        <v>60</v>
      </c>
      <c r="D21" s="78"/>
      <c r="E21" s="79">
        <f>E20-D20</f>
        <v>84000</v>
      </c>
      <c r="F21" s="79">
        <f>F20-E20</f>
        <v>11157000</v>
      </c>
    </row>
    <row r="22" spans="3:6">
      <c r="C22" s="87" t="s">
        <v>61</v>
      </c>
      <c r="D22" s="79">
        <f>'Income satatement'!B4</f>
        <v>168850000</v>
      </c>
      <c r="E22" s="79">
        <f t="shared" ref="E22:F22" si="2">E6</f>
        <v>172237000</v>
      </c>
      <c r="F22" s="79">
        <f t="shared" si="2"/>
        <v>186085000</v>
      </c>
    </row>
    <row r="23" spans="3:6">
      <c r="C23" s="87" t="s">
        <v>106</v>
      </c>
      <c r="D23" s="79"/>
      <c r="E23" s="79">
        <f>E22-D22</f>
        <v>3387000</v>
      </c>
      <c r="F23" s="79">
        <f t="shared" ref="F23" si="3">F22-E22</f>
        <v>13848000</v>
      </c>
    </row>
    <row r="24" spans="3:6">
      <c r="C24" s="87" t="s">
        <v>62</v>
      </c>
      <c r="D24" s="78"/>
      <c r="E24" s="79">
        <f>(E21/D20)/(E23/D22)</f>
        <v>0.33907689438900107</v>
      </c>
      <c r="F24" s="79">
        <f t="shared" ref="F24" si="4">(F21/E20)/(F23/E22)</f>
        <v>11.16030253255386</v>
      </c>
    </row>
    <row r="25" spans="3:6">
      <c r="C25" s="74"/>
      <c r="D25" s="10"/>
      <c r="E25" s="10"/>
      <c r="F25" s="10"/>
    </row>
    <row r="26" spans="3:6">
      <c r="C26" s="74"/>
      <c r="D26" s="10"/>
      <c r="E26" s="10"/>
      <c r="F26" s="10"/>
    </row>
    <row r="27" spans="3:6">
      <c r="C27" s="74"/>
      <c r="D27" s="89">
        <f>D19</f>
        <v>1996</v>
      </c>
      <c r="E27" s="90">
        <f t="shared" ref="E27:F27" si="5">E19</f>
        <v>1997</v>
      </c>
      <c r="F27" s="90">
        <f t="shared" si="5"/>
        <v>1998</v>
      </c>
    </row>
    <row r="28" spans="3:6">
      <c r="C28" s="91" t="s">
        <v>63</v>
      </c>
      <c r="D28" s="10"/>
      <c r="E28" s="92">
        <f>E24</f>
        <v>0.33907689438900107</v>
      </c>
      <c r="F28" s="92">
        <f t="shared" ref="F28" si="6">F24</f>
        <v>11.16030253255386</v>
      </c>
    </row>
    <row r="29" spans="3:6" ht="15.75" thickBot="1">
      <c r="C29" s="75"/>
      <c r="D29" s="76"/>
      <c r="E29" s="76"/>
      <c r="F29" s="76"/>
    </row>
    <row r="37" spans="3:4" ht="18.75">
      <c r="C37" s="151" t="s">
        <v>23</v>
      </c>
    </row>
    <row r="39" spans="3:4">
      <c r="C39" s="152" t="s">
        <v>174</v>
      </c>
      <c r="D39" s="152" t="s">
        <v>175</v>
      </c>
    </row>
    <row r="40" spans="3:4">
      <c r="C40" s="152">
        <v>66</v>
      </c>
      <c r="D40" s="152">
        <v>60</v>
      </c>
    </row>
    <row r="41" spans="3:4">
      <c r="C41" s="152">
        <v>70</v>
      </c>
      <c r="D41" s="152">
        <v>61</v>
      </c>
    </row>
    <row r="42" spans="3:4">
      <c r="C42" s="152">
        <v>67</v>
      </c>
      <c r="D42" s="152">
        <v>62</v>
      </c>
    </row>
    <row r="43" spans="3:4">
      <c r="C43" s="152">
        <v>68</v>
      </c>
      <c r="D43" s="152">
        <v>62</v>
      </c>
    </row>
    <row r="44" spans="3:4">
      <c r="C44" s="152">
        <v>69</v>
      </c>
      <c r="D44" s="152">
        <v>63</v>
      </c>
    </row>
    <row r="45" spans="3:4">
      <c r="C45" s="152">
        <v>71</v>
      </c>
      <c r="D45" s="152">
        <v>64</v>
      </c>
    </row>
    <row r="46" spans="3:4">
      <c r="C46" s="152">
        <v>73</v>
      </c>
      <c r="D46" s="152">
        <v>65</v>
      </c>
    </row>
    <row r="47" spans="3:4">
      <c r="C47" s="152"/>
      <c r="D47" s="152"/>
    </row>
    <row r="48" spans="3:4">
      <c r="C48" s="152"/>
      <c r="D48" s="152"/>
    </row>
    <row r="49" spans="3:4">
      <c r="C49" s="3" t="s">
        <v>176</v>
      </c>
      <c r="D49" s="3">
        <f>COVAR(C40:C46,D40:D46)</f>
        <v>2.9387755102040813</v>
      </c>
    </row>
    <row r="50" spans="3:4">
      <c r="C50" s="3" t="s">
        <v>177</v>
      </c>
      <c r="D50" s="3">
        <f>VAR((D40:D46))</f>
        <v>2.9523809523810391</v>
      </c>
    </row>
    <row r="51" spans="3:4">
      <c r="C51" s="3" t="s">
        <v>23</v>
      </c>
      <c r="D51" s="3">
        <f>D49/D50</f>
        <v>0.99539170506909502</v>
      </c>
    </row>
  </sheetData>
  <mergeCells count="10">
    <mergeCell ref="D14:F14"/>
    <mergeCell ref="D15:F15"/>
    <mergeCell ref="D16:F16"/>
    <mergeCell ref="C18:F18"/>
    <mergeCell ref="B2:C2"/>
    <mergeCell ref="C4:F4"/>
    <mergeCell ref="D7:F7"/>
    <mergeCell ref="D8:F8"/>
    <mergeCell ref="D9:F9"/>
    <mergeCell ref="C11:F11"/>
  </mergeCells>
  <pageMargins left="0.7" right="0.7" top="0.75" bottom="0.75" header="0.3" footer="0.3"/>
  <pageSetup orientation="portrait" horizontalDpi="300" verticalDpi="300" r:id="rId1"/>
  <ignoredErrors>
    <ignoredError sqref="E22:F22" formula="1"/>
  </ignoredErrors>
</worksheet>
</file>

<file path=xl/worksheets/sheet4.xml><?xml version="1.0" encoding="utf-8"?>
<worksheet xmlns="http://schemas.openxmlformats.org/spreadsheetml/2006/main" xmlns:r="http://schemas.openxmlformats.org/officeDocument/2006/relationships">
  <dimension ref="B1:G23"/>
  <sheetViews>
    <sheetView workbookViewId="0">
      <selection activeCell="D11" sqref="D11"/>
    </sheetView>
  </sheetViews>
  <sheetFormatPr defaultRowHeight="15.75"/>
  <cols>
    <col min="1" max="2" width="9.140625" style="41"/>
    <col min="3" max="3" width="27.42578125" style="41" customWidth="1"/>
    <col min="4" max="4" width="13.85546875" style="41" customWidth="1"/>
    <col min="5" max="5" width="17" style="41" customWidth="1"/>
    <col min="6" max="6" width="15.140625" style="41" customWidth="1"/>
    <col min="7" max="16384" width="9.140625" style="41"/>
  </cols>
  <sheetData>
    <row r="1" spans="2:7" ht="22.5">
      <c r="B1" s="27"/>
      <c r="C1" s="47" t="s">
        <v>64</v>
      </c>
      <c r="D1" s="47"/>
      <c r="F1" s="27"/>
    </row>
    <row r="2" spans="2:7">
      <c r="B2" s="28"/>
      <c r="C2" s="28"/>
      <c r="D2" s="28"/>
      <c r="E2" s="28"/>
      <c r="F2" s="28"/>
    </row>
    <row r="3" spans="2:7">
      <c r="B3" s="28"/>
      <c r="C3" s="191" t="s">
        <v>65</v>
      </c>
      <c r="D3" s="192"/>
      <c r="E3" s="192"/>
      <c r="F3" s="192"/>
    </row>
    <row r="4" spans="2:7">
      <c r="B4" s="28"/>
      <c r="C4" s="29" t="s">
        <v>59</v>
      </c>
      <c r="D4" s="42">
        <v>1995</v>
      </c>
      <c r="E4" s="42">
        <v>1996</v>
      </c>
      <c r="F4" s="42">
        <v>1997</v>
      </c>
      <c r="G4" s="41" t="s">
        <v>66</v>
      </c>
    </row>
    <row r="5" spans="2:7">
      <c r="B5" s="28"/>
      <c r="C5" s="37" t="s">
        <v>48</v>
      </c>
      <c r="D5" s="43">
        <f>'Income satatement'!B16</f>
        <v>12350000</v>
      </c>
      <c r="E5" s="43">
        <f>'Income satatement'!C16</f>
        <v>12434000</v>
      </c>
      <c r="F5" s="43">
        <f>'Income satatement'!D16</f>
        <v>23591000</v>
      </c>
    </row>
    <row r="6" spans="2:7">
      <c r="B6" s="28"/>
      <c r="C6" s="37" t="s">
        <v>67</v>
      </c>
      <c r="D6" s="44">
        <f>'Income satatement'!B17</f>
        <v>3613000</v>
      </c>
      <c r="E6" s="44">
        <f>'Income satatement'!C17</f>
        <v>3613000</v>
      </c>
      <c r="F6" s="44">
        <f>'Income satatement'!D17</f>
        <v>3613000</v>
      </c>
    </row>
    <row r="7" spans="2:7">
      <c r="B7" s="28"/>
      <c r="C7" s="37" t="s">
        <v>68</v>
      </c>
      <c r="D7" s="32">
        <f>D5/(D5-D6)</f>
        <v>1.4135286711685933</v>
      </c>
      <c r="E7" s="32">
        <f t="shared" ref="E7:F7" si="0">E5/(E5-E6)</f>
        <v>1.4095907493481465</v>
      </c>
      <c r="F7" s="32">
        <f t="shared" si="0"/>
        <v>1.1808489338272099</v>
      </c>
      <c r="G7" s="38">
        <f>AVERAGE(D7:F7)</f>
        <v>1.3346561181146501</v>
      </c>
    </row>
    <row r="8" spans="2:7">
      <c r="B8" s="28"/>
      <c r="C8" s="28"/>
      <c r="D8" s="28"/>
      <c r="E8" s="28"/>
      <c r="F8" s="28"/>
    </row>
    <row r="9" spans="2:7">
      <c r="B9" s="28"/>
      <c r="C9" s="28"/>
      <c r="D9" s="28"/>
      <c r="E9" s="28"/>
      <c r="F9" s="28"/>
    </row>
    <row r="10" spans="2:7">
      <c r="B10" s="28"/>
      <c r="C10" s="28"/>
      <c r="D10" s="40">
        <f>D4</f>
        <v>1995</v>
      </c>
      <c r="E10" s="40">
        <f t="shared" ref="E10:F10" si="1">E4</f>
        <v>1996</v>
      </c>
      <c r="F10" s="40">
        <f t="shared" si="1"/>
        <v>1997</v>
      </c>
    </row>
    <row r="11" spans="2:7">
      <c r="B11" s="28"/>
      <c r="C11" s="28" t="s">
        <v>69</v>
      </c>
      <c r="D11" s="28">
        <f>D7</f>
        <v>1.4135286711685933</v>
      </c>
      <c r="E11" s="28">
        <f>E7</f>
        <v>1.4095907493481465</v>
      </c>
      <c r="F11" s="33">
        <f>F7</f>
        <v>1.1808489338272099</v>
      </c>
    </row>
    <row r="12" spans="2:7">
      <c r="B12" s="28"/>
      <c r="C12" s="28"/>
      <c r="D12" s="28"/>
      <c r="E12" s="28"/>
      <c r="F12" s="28"/>
    </row>
    <row r="13" spans="2:7">
      <c r="B13" s="28"/>
      <c r="C13" s="193" t="s">
        <v>70</v>
      </c>
      <c r="D13" s="194"/>
      <c r="E13" s="194"/>
      <c r="F13" s="194"/>
    </row>
    <row r="14" spans="2:7">
      <c r="B14" s="28"/>
      <c r="C14" s="29" t="s">
        <v>59</v>
      </c>
      <c r="D14" s="46">
        <f>D4</f>
        <v>1995</v>
      </c>
      <c r="E14" s="46">
        <f t="shared" ref="E14:F16" si="2">E4</f>
        <v>1996</v>
      </c>
      <c r="F14" s="46">
        <f t="shared" si="2"/>
        <v>1997</v>
      </c>
    </row>
    <row r="15" spans="2:7">
      <c r="B15" s="28"/>
      <c r="C15" s="30" t="s">
        <v>48</v>
      </c>
      <c r="D15" s="43">
        <f>D5</f>
        <v>12350000</v>
      </c>
      <c r="E15" s="43">
        <f t="shared" ref="E15:F15" si="3">E5</f>
        <v>12434000</v>
      </c>
      <c r="F15" s="43">
        <f t="shared" si="3"/>
        <v>23591000</v>
      </c>
    </row>
    <row r="16" spans="2:7">
      <c r="B16" s="28"/>
      <c r="C16" s="30" t="s">
        <v>67</v>
      </c>
      <c r="D16" s="45">
        <f>D6</f>
        <v>3613000</v>
      </c>
      <c r="E16" s="45">
        <f t="shared" si="2"/>
        <v>3613000</v>
      </c>
      <c r="F16" s="45">
        <f t="shared" si="2"/>
        <v>3613000</v>
      </c>
    </row>
    <row r="17" spans="2:6">
      <c r="B17" s="28"/>
      <c r="C17" s="30" t="s">
        <v>71</v>
      </c>
      <c r="D17" s="31">
        <f>D15/D16</f>
        <v>3.4182120121782451</v>
      </c>
      <c r="E17" s="31">
        <f>E15/E16</f>
        <v>3.4414613894270691</v>
      </c>
      <c r="F17" s="31">
        <f>F15/F16</f>
        <v>6.5294768890119013</v>
      </c>
    </row>
    <row r="18" spans="2:6">
      <c r="B18" s="28"/>
      <c r="C18" s="28"/>
      <c r="D18" s="28"/>
      <c r="E18" s="28"/>
      <c r="F18" s="28"/>
    </row>
    <row r="19" spans="2:6">
      <c r="B19" s="28"/>
      <c r="C19" s="28"/>
      <c r="D19" s="28"/>
      <c r="E19" s="28"/>
      <c r="F19" s="28"/>
    </row>
    <row r="20" spans="2:6">
      <c r="B20" s="28"/>
      <c r="C20" s="28"/>
      <c r="D20" s="28"/>
      <c r="E20" s="28"/>
      <c r="F20" s="28"/>
    </row>
    <row r="21" spans="2:6">
      <c r="B21" s="28"/>
      <c r="C21" s="28"/>
      <c r="D21" s="28"/>
      <c r="E21" s="28"/>
      <c r="F21" s="28"/>
    </row>
    <row r="22" spans="2:6">
      <c r="B22" s="28"/>
      <c r="C22" s="28"/>
      <c r="D22" s="40">
        <f>D14</f>
        <v>1995</v>
      </c>
      <c r="E22" s="40">
        <f t="shared" ref="E22:F22" si="4">E14</f>
        <v>1996</v>
      </c>
      <c r="F22" s="40">
        <f t="shared" si="4"/>
        <v>1997</v>
      </c>
    </row>
    <row r="23" spans="2:6">
      <c r="B23" s="28"/>
      <c r="C23" s="28" t="s">
        <v>70</v>
      </c>
      <c r="D23" s="28">
        <f>D17</f>
        <v>3.4182120121782451</v>
      </c>
      <c r="E23" s="28">
        <f>E17</f>
        <v>3.4414613894270691</v>
      </c>
      <c r="F23" s="28">
        <f>F17</f>
        <v>6.5294768890119013</v>
      </c>
    </row>
  </sheetData>
  <mergeCells count="2">
    <mergeCell ref="C3:F3"/>
    <mergeCell ref="C13: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3:D48"/>
  <sheetViews>
    <sheetView topLeftCell="A10" workbookViewId="0">
      <selection activeCell="D4" sqref="D4"/>
    </sheetView>
  </sheetViews>
  <sheetFormatPr defaultRowHeight="15.75"/>
  <cols>
    <col min="1" max="1" width="9.140625" style="49"/>
    <col min="2" max="2" width="19.5703125" style="49" bestFit="1" customWidth="1"/>
    <col min="3" max="3" width="29" style="49" customWidth="1"/>
    <col min="4" max="4" width="18.7109375" style="49" customWidth="1"/>
    <col min="5" max="16384" width="9.140625" style="49"/>
  </cols>
  <sheetData>
    <row r="3" spans="2:4">
      <c r="B3" s="39"/>
      <c r="C3" s="50" t="s">
        <v>59</v>
      </c>
      <c r="D3" s="51">
        <v>1997</v>
      </c>
    </row>
    <row r="4" spans="2:4">
      <c r="B4" s="39"/>
      <c r="C4" s="39" t="s">
        <v>72</v>
      </c>
      <c r="D4" s="62">
        <f>'Balance sheet'!B6+'Balance sheet'!B7+'Balance sheet'!B8</f>
        <v>37625000</v>
      </c>
    </row>
    <row r="5" spans="2:4">
      <c r="B5" s="39"/>
      <c r="C5" s="39" t="s">
        <v>73</v>
      </c>
      <c r="D5" s="62">
        <f>'Balance sheet'!B13+'Balance sheet'!B14+'Balance sheet'!B15</f>
        <v>32158000</v>
      </c>
    </row>
    <row r="6" spans="2:4">
      <c r="B6" s="52"/>
      <c r="C6" s="52" t="s">
        <v>74</v>
      </c>
      <c r="D6" s="35">
        <f t="shared" ref="D6" si="0">D4-D5</f>
        <v>5467000</v>
      </c>
    </row>
    <row r="7" spans="2:4">
      <c r="B7" s="52"/>
      <c r="C7" s="52" t="s">
        <v>75</v>
      </c>
      <c r="D7" s="62">
        <f>'Balance sheet'!B11</f>
        <v>552287000</v>
      </c>
    </row>
    <row r="8" spans="2:4">
      <c r="B8" s="54" t="s">
        <v>76</v>
      </c>
      <c r="C8" s="54" t="s">
        <v>77</v>
      </c>
      <c r="D8" s="36">
        <f t="shared" ref="D8" si="1">D6/D7</f>
        <v>9.8988388283627899E-3</v>
      </c>
    </row>
    <row r="9" spans="2:4">
      <c r="B9" s="52"/>
      <c r="C9" s="52" t="s">
        <v>78</v>
      </c>
      <c r="D9" s="35">
        <v>1.21</v>
      </c>
    </row>
    <row r="10" spans="2:4">
      <c r="B10" s="52"/>
      <c r="C10" s="52" t="s">
        <v>79</v>
      </c>
      <c r="D10" s="36">
        <f t="shared" ref="D10" si="2">D8*D9</f>
        <v>1.1977594982318976E-2</v>
      </c>
    </row>
    <row r="11" spans="2:4">
      <c r="B11" s="52"/>
      <c r="C11" s="52"/>
      <c r="D11" s="62"/>
    </row>
    <row r="12" spans="2:4">
      <c r="B12" s="52"/>
      <c r="C12" s="52" t="s">
        <v>80</v>
      </c>
      <c r="D12" s="63">
        <f>'Balance sheet'!B25</f>
        <v>68129000</v>
      </c>
    </row>
    <row r="13" spans="2:4">
      <c r="B13" s="54" t="s">
        <v>81</v>
      </c>
      <c r="C13" s="54" t="s">
        <v>82</v>
      </c>
      <c r="D13" s="35">
        <f t="shared" ref="D13" si="3">D12/D7</f>
        <v>0.12335796424684992</v>
      </c>
    </row>
    <row r="14" spans="2:4">
      <c r="B14" s="52"/>
      <c r="C14" s="52" t="s">
        <v>78</v>
      </c>
      <c r="D14" s="35">
        <v>1.4</v>
      </c>
    </row>
    <row r="15" spans="2:4">
      <c r="B15" s="52"/>
      <c r="C15" s="52" t="s">
        <v>79</v>
      </c>
      <c r="D15" s="36">
        <f t="shared" ref="D15" si="4">D13*D14</f>
        <v>0.17270114994558988</v>
      </c>
    </row>
    <row r="16" spans="2:4">
      <c r="B16" s="52"/>
      <c r="C16" s="52"/>
      <c r="D16" s="64"/>
    </row>
    <row r="17" spans="2:4">
      <c r="B17" s="52"/>
      <c r="C17" s="52" t="s">
        <v>48</v>
      </c>
      <c r="D17" s="64">
        <f>'Income satatement'!D16</f>
        <v>23591000</v>
      </c>
    </row>
    <row r="18" spans="2:4">
      <c r="B18" s="54" t="s">
        <v>83</v>
      </c>
      <c r="C18" s="54" t="s">
        <v>84</v>
      </c>
      <c r="D18" s="64">
        <f t="shared" ref="D18" si="5">D17/D7</f>
        <v>4.2715110078636653E-2</v>
      </c>
    </row>
    <row r="19" spans="2:4">
      <c r="B19" s="52"/>
      <c r="C19" s="52" t="s">
        <v>78</v>
      </c>
      <c r="D19" s="35">
        <v>3.3</v>
      </c>
    </row>
    <row r="20" spans="2:4">
      <c r="B20" s="52"/>
      <c r="C20" s="52" t="s">
        <v>79</v>
      </c>
      <c r="D20" s="36">
        <f t="shared" ref="D20" si="6">D18*D19</f>
        <v>0.14095986325950094</v>
      </c>
    </row>
    <row r="21" spans="2:4">
      <c r="B21" s="52"/>
      <c r="C21" s="52"/>
      <c r="D21" s="62"/>
    </row>
    <row r="22" spans="2:4">
      <c r="D22" s="62"/>
    </row>
    <row r="23" spans="2:4">
      <c r="D23" s="62"/>
    </row>
    <row r="24" spans="2:4">
      <c r="D24" s="64"/>
    </row>
    <row r="25" spans="2:4">
      <c r="C25" s="52" t="s">
        <v>85</v>
      </c>
      <c r="D25" s="62">
        <f>'Balance sheet'!B26</f>
        <v>146129000</v>
      </c>
    </row>
    <row r="26" spans="2:4">
      <c r="C26" s="52" t="s">
        <v>29</v>
      </c>
      <c r="D26" s="62">
        <f>'Balance sheet'!B18</f>
        <v>403548000</v>
      </c>
    </row>
    <row r="27" spans="2:4">
      <c r="B27" s="52"/>
      <c r="C27" s="54" t="s">
        <v>86</v>
      </c>
      <c r="D27" s="35">
        <f t="shared" ref="D27" si="7">D25/D26</f>
        <v>0.36211057916282574</v>
      </c>
    </row>
    <row r="28" spans="2:4">
      <c r="B28" s="52"/>
      <c r="C28" s="52" t="s">
        <v>78</v>
      </c>
      <c r="D28" s="35">
        <v>0.6</v>
      </c>
    </row>
    <row r="29" spans="2:4">
      <c r="B29" s="54" t="s">
        <v>87</v>
      </c>
      <c r="C29" s="52" t="s">
        <v>79</v>
      </c>
      <c r="D29" s="36">
        <f t="shared" ref="D29" si="8">D27*D28</f>
        <v>0.21726634749769544</v>
      </c>
    </row>
    <row r="30" spans="2:4">
      <c r="B30" s="52"/>
      <c r="C30" s="52"/>
      <c r="D30" s="65"/>
    </row>
    <row r="31" spans="2:4">
      <c r="B31" s="52"/>
      <c r="C31" s="52" t="s">
        <v>88</v>
      </c>
      <c r="D31" s="63">
        <f>'Income satatement'!D4</f>
        <v>186085000</v>
      </c>
    </row>
    <row r="32" spans="2:4">
      <c r="B32" s="52"/>
      <c r="C32" s="54" t="s">
        <v>89</v>
      </c>
      <c r="D32" s="35">
        <f>D31/D7</f>
        <v>0.33693532529282783</v>
      </c>
    </row>
    <row r="33" spans="2:4">
      <c r="B33" s="52"/>
      <c r="C33" s="52" t="s">
        <v>78</v>
      </c>
      <c r="D33" s="35">
        <v>1</v>
      </c>
    </row>
    <row r="34" spans="2:4">
      <c r="B34" s="54" t="s">
        <v>90</v>
      </c>
      <c r="C34" s="52" t="s">
        <v>79</v>
      </c>
      <c r="D34" s="36">
        <f t="shared" ref="D34" si="9">D32*D33</f>
        <v>0.33693532529282783</v>
      </c>
    </row>
    <row r="35" spans="2:4">
      <c r="B35" s="52"/>
      <c r="C35" s="53"/>
    </row>
    <row r="36" spans="2:4">
      <c r="B36" s="52"/>
      <c r="C36" s="164"/>
      <c r="D36" s="55">
        <v>1997</v>
      </c>
    </row>
    <row r="37" spans="2:4">
      <c r="B37" s="52"/>
      <c r="C37" s="53"/>
      <c r="D37" s="53">
        <f>D10+D15+D20+D29+D34</f>
        <v>0.8798402809779331</v>
      </c>
    </row>
    <row r="38" spans="2:4">
      <c r="B38" s="56" t="s">
        <v>92</v>
      </c>
      <c r="C38" s="163"/>
      <c r="D38" s="105" t="s">
        <v>91</v>
      </c>
    </row>
    <row r="39" spans="2:4">
      <c r="C39" s="57"/>
    </row>
    <row r="40" spans="2:4">
      <c r="B40" s="56"/>
      <c r="C40" s="34"/>
    </row>
    <row r="41" spans="2:4">
      <c r="B41" s="28"/>
      <c r="C41" s="34"/>
    </row>
    <row r="42" spans="2:4">
      <c r="B42" s="28"/>
      <c r="C42" s="53"/>
    </row>
    <row r="43" spans="2:4">
      <c r="B43" s="28"/>
      <c r="C43" s="58"/>
      <c r="D43" s="34"/>
    </row>
    <row r="44" spans="2:4">
      <c r="B44" s="52" t="s">
        <v>93</v>
      </c>
      <c r="C44" s="57"/>
      <c r="D44" s="34"/>
    </row>
    <row r="45" spans="2:4">
      <c r="B45" s="59" t="s">
        <v>94</v>
      </c>
      <c r="C45" s="60" t="s">
        <v>95</v>
      </c>
    </row>
    <row r="46" spans="2:4">
      <c r="B46" s="106" t="s">
        <v>96</v>
      </c>
      <c r="C46" s="107" t="s">
        <v>97</v>
      </c>
    </row>
    <row r="47" spans="2:4">
      <c r="B47" s="104" t="s">
        <v>98</v>
      </c>
      <c r="C47" s="105" t="s">
        <v>99</v>
      </c>
    </row>
    <row r="48" spans="2:4">
      <c r="B48" s="52"/>
      <c r="C48"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N35"/>
  <sheetViews>
    <sheetView workbookViewId="0">
      <pane xSplit="1" ySplit="4" topLeftCell="B5" activePane="bottomRight" state="frozen"/>
      <selection pane="topRight" activeCell="B1" sqref="B1"/>
      <selection pane="bottomLeft" activeCell="A5" sqref="A5"/>
      <selection pane="bottomRight" activeCell="F5" sqref="F5:J5"/>
    </sheetView>
  </sheetViews>
  <sheetFormatPr defaultColWidth="9.140625" defaultRowHeight="15"/>
  <cols>
    <col min="1" max="1" width="39.7109375" style="3" customWidth="1"/>
    <col min="2" max="3" width="13.5703125" style="3" bestFit="1" customWidth="1"/>
    <col min="4" max="4" width="14.5703125" style="3" bestFit="1" customWidth="1"/>
    <col min="5" max="5" width="10.5703125" style="3" customWidth="1"/>
    <col min="6" max="7" width="15.7109375" style="3" bestFit="1" customWidth="1"/>
    <col min="8" max="8" width="14.7109375" style="3" bestFit="1" customWidth="1"/>
    <col min="9" max="10" width="14" style="3" bestFit="1" customWidth="1"/>
    <col min="11" max="16384" width="9.140625" style="3"/>
  </cols>
  <sheetData>
    <row r="2" spans="1:14">
      <c r="D2" s="155" t="s">
        <v>180</v>
      </c>
      <c r="E2" s="3">
        <v>0.35</v>
      </c>
      <c r="F2" s="155" t="s">
        <v>183</v>
      </c>
      <c r="G2" s="154">
        <f>0.0562+0.0375+0.02</f>
        <v>0.11370000000000001</v>
      </c>
    </row>
    <row r="3" spans="1:14" ht="15.75">
      <c r="B3" s="196" t="s">
        <v>100</v>
      </c>
      <c r="C3" s="196"/>
      <c r="D3" s="196"/>
      <c r="F3" s="195" t="s">
        <v>16</v>
      </c>
      <c r="G3" s="195"/>
      <c r="H3" s="195"/>
      <c r="I3" s="195"/>
      <c r="J3" s="195"/>
    </row>
    <row r="4" spans="1:14">
      <c r="A4" s="93" t="s">
        <v>1</v>
      </c>
      <c r="B4" s="94">
        <v>1995</v>
      </c>
      <c r="C4" s="94">
        <v>1996</v>
      </c>
      <c r="D4" s="94">
        <v>1997</v>
      </c>
      <c r="E4"/>
      <c r="F4" s="95">
        <v>1998</v>
      </c>
      <c r="G4" s="95">
        <v>1999</v>
      </c>
      <c r="H4" s="95">
        <v>2000</v>
      </c>
      <c r="I4" s="95">
        <v>2001</v>
      </c>
      <c r="J4" s="95">
        <v>2002</v>
      </c>
    </row>
    <row r="5" spans="1:14">
      <c r="A5" s="3" t="s">
        <v>3</v>
      </c>
      <c r="B5" s="5">
        <f>'Income satatement'!B4</f>
        <v>168850000</v>
      </c>
      <c r="C5" s="5">
        <f>'Income satatement'!C4</f>
        <v>172237000</v>
      </c>
      <c r="D5" s="5">
        <f>'Income satatement'!D4</f>
        <v>186085000</v>
      </c>
      <c r="E5" s="6"/>
      <c r="F5" s="3">
        <f>'Income satatement'!B27</f>
        <v>208680220.40832001</v>
      </c>
      <c r="G5" s="3">
        <f>'Income satatement'!C27</f>
        <v>279363577.54103994</v>
      </c>
      <c r="H5" s="3">
        <f>'Income satatement'!D27</f>
        <v>289148610.84364802</v>
      </c>
      <c r="I5" s="3">
        <f>'Income satatement'!E27</f>
        <v>371175790.17016804</v>
      </c>
      <c r="J5" s="3">
        <f>'Income satatement'!F27</f>
        <v>382288719.32179201</v>
      </c>
    </row>
    <row r="6" spans="1:14">
      <c r="A6" s="3" t="s">
        <v>137</v>
      </c>
      <c r="B6" s="9">
        <f>'Income satatement'!B15</f>
        <v>156500000</v>
      </c>
      <c r="C6" s="9">
        <f>'Income satatement'!C15</f>
        <v>159803000</v>
      </c>
      <c r="D6" s="9">
        <f>'Income satatement'!D15</f>
        <v>162494000</v>
      </c>
      <c r="F6" s="3">
        <f>F5*$F$7</f>
        <v>176021765.91441792</v>
      </c>
      <c r="G6" s="3">
        <f>G5*G7</f>
        <v>245839948.23611516</v>
      </c>
      <c r="H6" s="3">
        <f t="shared" ref="H6:J6" si="0">H5*H7</f>
        <v>254450777.54241025</v>
      </c>
      <c r="I6" s="3">
        <f t="shared" si="0"/>
        <v>326634695.3497479</v>
      </c>
      <c r="J6" s="3">
        <f t="shared" si="0"/>
        <v>330679742.21335006</v>
      </c>
    </row>
    <row r="7" spans="1:14">
      <c r="A7" s="3" t="s">
        <v>17</v>
      </c>
      <c r="B7" s="7">
        <f>B6/B5</f>
        <v>0.92685815812851646</v>
      </c>
      <c r="C7" s="7">
        <f>C6/C5</f>
        <v>0.92780877511800597</v>
      </c>
      <c r="D7" s="7">
        <f>D6/D5</f>
        <v>0.87322460166053151</v>
      </c>
      <c r="E7" s="7"/>
      <c r="F7" s="153">
        <v>0.84350000000000003</v>
      </c>
      <c r="G7" s="153">
        <v>0.88</v>
      </c>
      <c r="H7" s="153">
        <v>0.88</v>
      </c>
      <c r="I7" s="153">
        <v>0.88</v>
      </c>
      <c r="J7" s="153">
        <v>0.86499999999999999</v>
      </c>
    </row>
    <row r="8" spans="1:14">
      <c r="K8" s="108"/>
    </row>
    <row r="9" spans="1:14">
      <c r="A9" s="3" t="s">
        <v>48</v>
      </c>
      <c r="B9" s="9">
        <f>B5-B6</f>
        <v>12350000</v>
      </c>
      <c r="C9" s="9">
        <f>C5-C6</f>
        <v>12434000</v>
      </c>
      <c r="D9" s="9">
        <f>D5-D6</f>
        <v>23591000</v>
      </c>
      <c r="E9" s="9"/>
      <c r="F9" s="9">
        <f>F5-F6</f>
        <v>32658454.493902087</v>
      </c>
      <c r="G9" s="9">
        <f>G5-G6</f>
        <v>33523629.304924786</v>
      </c>
      <c r="H9" s="9">
        <f>H5-H6</f>
        <v>34697833.301237762</v>
      </c>
      <c r="I9" s="9">
        <f>I5-I6</f>
        <v>44541094.820420146</v>
      </c>
      <c r="J9" s="9">
        <f>J5-J6</f>
        <v>51608977.108441949</v>
      </c>
      <c r="K9" s="108"/>
      <c r="N9" s="25"/>
    </row>
    <row r="10" spans="1:14">
      <c r="A10" s="3" t="s">
        <v>17</v>
      </c>
      <c r="B10" s="7">
        <f>B9/B5</f>
        <v>7.3141841871483565E-2</v>
      </c>
      <c r="C10" s="7">
        <f>C9/C5</f>
        <v>7.219122488199399E-2</v>
      </c>
      <c r="D10" s="7">
        <f>D9/D5</f>
        <v>0.12677539833946852</v>
      </c>
      <c r="E10" s="7"/>
      <c r="F10" s="7">
        <f>F9/F5</f>
        <v>0.15650000000000003</v>
      </c>
      <c r="G10" s="7">
        <f>G9/G5</f>
        <v>0.11999999999999997</v>
      </c>
      <c r="H10" s="7">
        <f>H9/H5</f>
        <v>0.12</v>
      </c>
      <c r="I10" s="7">
        <f>I9/I5</f>
        <v>0.11999999999999995</v>
      </c>
      <c r="J10" s="7">
        <f>J9/J5</f>
        <v>0.13500000000000006</v>
      </c>
    </row>
    <row r="11" spans="1:14">
      <c r="A11" s="3" t="s">
        <v>4</v>
      </c>
      <c r="B11" s="10">
        <f>'Income satatement'!B17</f>
        <v>3613000</v>
      </c>
      <c r="C11" s="10">
        <f>'Income satatement'!C17</f>
        <v>3613000</v>
      </c>
      <c r="D11" s="10">
        <f>'Income satatement'!D17</f>
        <v>3613000</v>
      </c>
      <c r="F11" s="3">
        <f>D11/2</f>
        <v>1806500</v>
      </c>
      <c r="G11" s="3">
        <f>$B$33*$G$2</f>
        <v>11370000.000000002</v>
      </c>
      <c r="H11" s="3">
        <f t="shared" ref="H11:J11" si="1">$B$33*$G$2</f>
        <v>11370000.000000002</v>
      </c>
      <c r="I11" s="3">
        <f t="shared" si="1"/>
        <v>11370000.000000002</v>
      </c>
      <c r="J11" s="3">
        <f t="shared" si="1"/>
        <v>11370000.000000002</v>
      </c>
    </row>
    <row r="12" spans="1:14">
      <c r="A12" s="3" t="s">
        <v>138</v>
      </c>
      <c r="B12" s="6">
        <f>B9-B11</f>
        <v>8737000</v>
      </c>
      <c r="C12" s="6">
        <f t="shared" ref="C12:J12" si="2">C9-C11</f>
        <v>8821000</v>
      </c>
      <c r="D12" s="6">
        <f t="shared" si="2"/>
        <v>19978000</v>
      </c>
      <c r="E12" s="6"/>
      <c r="F12" s="6">
        <f t="shared" si="2"/>
        <v>30851954.493902087</v>
      </c>
      <c r="G12" s="6">
        <f t="shared" si="2"/>
        <v>22153629.304924786</v>
      </c>
      <c r="H12" s="6">
        <f t="shared" si="2"/>
        <v>23327833.301237762</v>
      </c>
      <c r="I12" s="6">
        <f t="shared" si="2"/>
        <v>33171094.820420146</v>
      </c>
      <c r="J12" s="6">
        <f t="shared" si="2"/>
        <v>40238977.108441949</v>
      </c>
    </row>
    <row r="13" spans="1:14">
      <c r="A13" s="3" t="s">
        <v>178</v>
      </c>
      <c r="B13" s="10">
        <f>'Income satatement'!B19</f>
        <v>128000</v>
      </c>
      <c r="C13" s="10">
        <f>'Income satatement'!C19</f>
        <v>2190000</v>
      </c>
      <c r="D13" s="10">
        <f>'Income satatement'!D19</f>
        <v>7007000</v>
      </c>
      <c r="F13" s="3">
        <f>F12*$E$2</f>
        <v>10798184.07286573</v>
      </c>
      <c r="G13" s="3">
        <f t="shared" ref="G13:J13" si="3">G12*$E$2</f>
        <v>7753770.2567236749</v>
      </c>
      <c r="H13" s="3">
        <f t="shared" si="3"/>
        <v>8164741.6554332161</v>
      </c>
      <c r="I13" s="3">
        <f t="shared" si="3"/>
        <v>11609883.187147051</v>
      </c>
      <c r="J13" s="3">
        <f t="shared" si="3"/>
        <v>14083641.987954682</v>
      </c>
    </row>
    <row r="14" spans="1:14">
      <c r="A14" s="3" t="s">
        <v>6</v>
      </c>
      <c r="B14" s="6">
        <f>B12-B13</f>
        <v>8609000</v>
      </c>
      <c r="C14" s="6">
        <f t="shared" ref="C14:J14" si="4">C12-C13</f>
        <v>6631000</v>
      </c>
      <c r="D14" s="6">
        <f t="shared" si="4"/>
        <v>12971000</v>
      </c>
      <c r="E14" s="6"/>
      <c r="F14" s="6">
        <f t="shared" si="4"/>
        <v>20053770.421036355</v>
      </c>
      <c r="G14" s="6">
        <f t="shared" si="4"/>
        <v>14399859.04820111</v>
      </c>
      <c r="H14" s="6">
        <f>H12-H13</f>
        <v>15163091.645804547</v>
      </c>
      <c r="I14" s="6">
        <f t="shared" si="4"/>
        <v>21561211.633273095</v>
      </c>
      <c r="J14" s="6">
        <f t="shared" si="4"/>
        <v>26155335.120487265</v>
      </c>
    </row>
    <row r="15" spans="1:14">
      <c r="A15" s="3" t="s">
        <v>179</v>
      </c>
      <c r="B15" s="10"/>
      <c r="C15" s="10"/>
      <c r="D15" s="10">
        <f>'Balance sheet'!B25</f>
        <v>68129000</v>
      </c>
      <c r="F15" s="9">
        <f>D15+F14</f>
        <v>88182770.421036363</v>
      </c>
      <c r="G15" s="9">
        <f>F15+G14</f>
        <v>102582629.46923748</v>
      </c>
      <c r="H15" s="9">
        <f t="shared" ref="H15:J15" si="5">G15+H14</f>
        <v>117745721.11504203</v>
      </c>
      <c r="I15" s="9">
        <f t="shared" si="5"/>
        <v>139306932.74831513</v>
      </c>
      <c r="J15" s="9">
        <f t="shared" si="5"/>
        <v>165462267.8688024</v>
      </c>
    </row>
    <row r="16" spans="1:14">
      <c r="A16" s="3" t="s">
        <v>181</v>
      </c>
      <c r="B16" s="10"/>
      <c r="C16" s="10"/>
      <c r="D16" s="10">
        <f>D15-D27</f>
        <v>62732535</v>
      </c>
      <c r="F16" s="9">
        <f>F15-F27</f>
        <v>82131044.029195085</v>
      </c>
      <c r="G16" s="9">
        <f t="shared" ref="G16:J16" si="6">G15-G27</f>
        <v>94481085.720547318</v>
      </c>
      <c r="H16" s="9">
        <f t="shared" si="6"/>
        <v>109360411.40057623</v>
      </c>
      <c r="I16" s="9">
        <f t="shared" si="6"/>
        <v>128542834.83338025</v>
      </c>
      <c r="J16" s="9">
        <f t="shared" si="6"/>
        <v>154375895.00847042</v>
      </c>
    </row>
    <row r="17" spans="1:10">
      <c r="B17" s="10"/>
      <c r="C17" s="10"/>
      <c r="D17" s="10"/>
      <c r="F17" s="3">
        <f>F5*F20</f>
        <v>7303807.714291201</v>
      </c>
    </row>
    <row r="18" spans="1:10">
      <c r="C18" s="10"/>
      <c r="D18" s="10"/>
      <c r="E18" s="10"/>
    </row>
    <row r="19" spans="1:10">
      <c r="B19" s="7"/>
      <c r="C19" s="7"/>
      <c r="D19" s="7"/>
      <c r="E19" s="7"/>
      <c r="F19" s="3">
        <v>85000000</v>
      </c>
      <c r="G19" s="3">
        <v>20000000</v>
      </c>
      <c r="H19" s="3">
        <v>15000000</v>
      </c>
      <c r="I19" s="3">
        <v>40000000</v>
      </c>
      <c r="J19" s="3">
        <v>5000000</v>
      </c>
    </row>
    <row r="20" spans="1:10">
      <c r="F20" s="154">
        <v>3.5000000000000003E-2</v>
      </c>
    </row>
    <row r="21" spans="1:10">
      <c r="A21" s="3" t="s">
        <v>49</v>
      </c>
      <c r="E21" s="66"/>
      <c r="F21" s="3">
        <f>F5*$F$20+85000000+20000000+15000000</f>
        <v>127303807.7142912</v>
      </c>
      <c r="G21" s="3">
        <f>G5*$F$20+I19+J19</f>
        <v>54777725.213936403</v>
      </c>
      <c r="H21" s="3">
        <f>H5*$F$20+J19</f>
        <v>15120201.379527682</v>
      </c>
      <c r="I21" s="3">
        <f>I5*$F$20+J19</f>
        <v>17991152.655955881</v>
      </c>
      <c r="J21" s="3">
        <f>J5*$F$20</f>
        <v>13380105.176262721</v>
      </c>
    </row>
    <row r="22" spans="1:10">
      <c r="A22" s="3" t="s">
        <v>50</v>
      </c>
      <c r="C22" s="7"/>
      <c r="E22" s="66">
        <f>2.5%</f>
        <v>2.5000000000000001E-2</v>
      </c>
      <c r="F22" s="3">
        <f>'Income satatement'!D11</f>
        <v>14285000</v>
      </c>
      <c r="G22" s="3">
        <f>F21*$E$22+$F$22</f>
        <v>17467595.19285728</v>
      </c>
      <c r="H22" s="3">
        <f t="shared" ref="H22" si="7">G21*$E$22+$F$22</f>
        <v>15654443.13034841</v>
      </c>
      <c r="I22" s="3">
        <f>H21*$E$22+$F$22</f>
        <v>14663005.034488192</v>
      </c>
      <c r="J22" s="3">
        <f>I21*$E$22+$F$22</f>
        <v>14734778.816398896</v>
      </c>
    </row>
    <row r="23" spans="1:10">
      <c r="A23" s="3" t="s">
        <v>182</v>
      </c>
      <c r="F23" s="156">
        <f>F21-F16+52000000</f>
        <v>97172763.685096115</v>
      </c>
      <c r="G23" s="8"/>
      <c r="H23" s="8"/>
      <c r="I23" s="8"/>
      <c r="J23" s="8"/>
    </row>
    <row r="24" spans="1:10">
      <c r="F24" s="8"/>
      <c r="G24" s="8"/>
      <c r="H24" s="8"/>
      <c r="I24" s="8"/>
      <c r="J24" s="8"/>
    </row>
    <row r="25" spans="1:10">
      <c r="B25" s="3">
        <v>2.9000000000000001E-2</v>
      </c>
      <c r="F25" s="8"/>
      <c r="G25" s="8"/>
      <c r="H25" s="8"/>
      <c r="I25" s="8"/>
      <c r="J25" s="8"/>
    </row>
    <row r="26" spans="1:10">
      <c r="A26" s="11" t="s">
        <v>18</v>
      </c>
    </row>
    <row r="27" spans="1:10">
      <c r="A27" s="12" t="s">
        <v>19</v>
      </c>
      <c r="B27" s="3">
        <f>B5*$B$25</f>
        <v>4896650</v>
      </c>
      <c r="C27" s="3">
        <f>C5*$B$25</f>
        <v>4994873</v>
      </c>
      <c r="D27" s="3">
        <f>D5*$B$25</f>
        <v>5396465</v>
      </c>
      <c r="F27" s="3">
        <f>F5*$B$25</f>
        <v>6051726.3918412803</v>
      </c>
      <c r="G27" s="3">
        <f>G5*$B$25</f>
        <v>8101543.7486901591</v>
      </c>
      <c r="H27" s="3">
        <f>H5*$B$25</f>
        <v>8385309.7144657932</v>
      </c>
      <c r="I27" s="3">
        <f>I5*$B$25</f>
        <v>10764097.914934874</v>
      </c>
      <c r="J27" s="3">
        <f>J5*$B$25</f>
        <v>11086372.860331969</v>
      </c>
    </row>
    <row r="28" spans="1:10">
      <c r="A28" s="13" t="s">
        <v>20</v>
      </c>
      <c r="C28" s="3">
        <f>C27-B27</f>
        <v>98223</v>
      </c>
      <c r="D28" s="3">
        <f t="shared" ref="D28" si="8">D27-C27</f>
        <v>401592</v>
      </c>
      <c r="F28" s="3">
        <f>F27-D27</f>
        <v>655261.39184128027</v>
      </c>
      <c r="G28" s="3">
        <f>G27-F27</f>
        <v>2049817.3568488788</v>
      </c>
      <c r="H28" s="3">
        <f t="shared" ref="H28:J28" si="9">H27-G27</f>
        <v>283765.96577563416</v>
      </c>
      <c r="I28" s="3">
        <f t="shared" si="9"/>
        <v>2378788.2004690804</v>
      </c>
      <c r="J28" s="3">
        <f t="shared" si="9"/>
        <v>322274.94539709575</v>
      </c>
    </row>
    <row r="29" spans="1:10">
      <c r="A29" s="26"/>
    </row>
    <row r="32" spans="1:10">
      <c r="A32" s="139" t="s">
        <v>184</v>
      </c>
      <c r="B32" s="157">
        <f>(100000000*G2)/(100000000*(1-0.0275))</f>
        <v>0.11691516709511569</v>
      </c>
      <c r="C32" s="9"/>
      <c r="D32" s="9"/>
    </row>
    <row r="33" spans="1:5">
      <c r="A33" s="3" t="s">
        <v>185</v>
      </c>
      <c r="B33">
        <v>100000000</v>
      </c>
      <c r="C33"/>
      <c r="D33"/>
      <c r="E33"/>
    </row>
    <row r="34" spans="1:5">
      <c r="B34"/>
      <c r="C34"/>
      <c r="D34"/>
      <c r="E34"/>
    </row>
    <row r="35" spans="1:5">
      <c r="B35"/>
      <c r="C35"/>
      <c r="D35"/>
      <c r="E35"/>
    </row>
  </sheetData>
  <mergeCells count="2">
    <mergeCell ref="F3:J3"/>
    <mergeCell ref="B3:D3"/>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L62"/>
  <sheetViews>
    <sheetView topLeftCell="A19" workbookViewId="0">
      <selection activeCell="E37" sqref="E37"/>
    </sheetView>
  </sheetViews>
  <sheetFormatPr defaultRowHeight="15"/>
  <cols>
    <col min="1" max="1" width="38.140625" bestFit="1" customWidth="1"/>
    <col min="2" max="4" width="13.5703125" bestFit="1" customWidth="1"/>
    <col min="5" max="5" width="7" bestFit="1" customWidth="1"/>
    <col min="6" max="6" width="16.42578125" bestFit="1" customWidth="1"/>
    <col min="7" max="10" width="13.5703125" bestFit="1" customWidth="1"/>
  </cols>
  <sheetData>
    <row r="1" spans="1:12">
      <c r="A1" s="3"/>
      <c r="B1" s="3"/>
      <c r="C1" s="3"/>
      <c r="D1" s="3"/>
      <c r="E1" s="3"/>
      <c r="F1" s="3"/>
      <c r="G1" s="3"/>
      <c r="H1" s="3"/>
      <c r="I1" s="3"/>
      <c r="J1" s="3"/>
      <c r="K1" s="3"/>
      <c r="L1" s="3"/>
    </row>
    <row r="2" spans="1:12">
      <c r="A2" s="3"/>
      <c r="B2" s="3"/>
      <c r="C2" s="3"/>
      <c r="D2" s="155" t="s">
        <v>180</v>
      </c>
      <c r="E2" s="3">
        <v>0.35</v>
      </c>
      <c r="F2" s="155" t="s">
        <v>194</v>
      </c>
      <c r="G2" s="154">
        <f>WACC!B39</f>
        <v>0.10577050691244093</v>
      </c>
      <c r="H2" s="3"/>
      <c r="I2" s="3"/>
      <c r="J2" s="3"/>
      <c r="K2" s="3"/>
      <c r="L2" s="3"/>
    </row>
    <row r="3" spans="1:12" ht="15.75">
      <c r="A3" s="3"/>
      <c r="B3" s="196" t="s">
        <v>100</v>
      </c>
      <c r="C3" s="196"/>
      <c r="D3" s="196"/>
      <c r="E3" s="3"/>
      <c r="F3" s="195" t="s">
        <v>16</v>
      </c>
      <c r="G3" s="195"/>
      <c r="H3" s="195"/>
      <c r="I3" s="195"/>
      <c r="J3" s="195"/>
      <c r="K3" s="3"/>
      <c r="L3" s="3"/>
    </row>
    <row r="4" spans="1:12">
      <c r="A4" s="93" t="s">
        <v>1</v>
      </c>
      <c r="B4" s="94">
        <v>1995</v>
      </c>
      <c r="C4" s="94">
        <v>1996</v>
      </c>
      <c r="D4" s="94">
        <v>1997</v>
      </c>
      <c r="F4" s="95">
        <v>1998</v>
      </c>
      <c r="G4" s="95">
        <v>1999</v>
      </c>
      <c r="H4" s="95">
        <v>2000</v>
      </c>
      <c r="I4" s="95">
        <v>2001</v>
      </c>
      <c r="J4" s="95">
        <v>2002</v>
      </c>
      <c r="K4" s="3"/>
      <c r="L4" s="3"/>
    </row>
    <row r="5" spans="1:12">
      <c r="A5" s="3" t="s">
        <v>3</v>
      </c>
      <c r="B5" s="5">
        <f>'Income satatement'!B4</f>
        <v>168850000</v>
      </c>
      <c r="C5" s="5">
        <f>'Income satatement'!C4</f>
        <v>172237000</v>
      </c>
      <c r="D5" s="5">
        <f>'Income satatement'!D4</f>
        <v>186085000</v>
      </c>
      <c r="E5" s="6"/>
      <c r="F5" s="142">
        <f>B37</f>
        <v>208680220.40832001</v>
      </c>
      <c r="G5" s="142">
        <f t="shared" ref="G5:J5" si="0">C37</f>
        <v>242571577.54103997</v>
      </c>
      <c r="H5" s="142">
        <f t="shared" si="0"/>
        <v>250517010.84364802</v>
      </c>
      <c r="I5" s="142">
        <f t="shared" si="0"/>
        <v>367471390.17016804</v>
      </c>
      <c r="J5" s="142">
        <f t="shared" si="0"/>
        <v>377387319.32179201</v>
      </c>
      <c r="K5" s="3"/>
      <c r="L5" s="3"/>
    </row>
    <row r="6" spans="1:12">
      <c r="A6" s="3" t="s">
        <v>137</v>
      </c>
      <c r="B6" s="9">
        <f>'Income satatement'!B15</f>
        <v>156500000</v>
      </c>
      <c r="C6" s="9">
        <f>'Income satatement'!C15</f>
        <v>159803000</v>
      </c>
      <c r="D6" s="9">
        <f>'Income satatement'!D15</f>
        <v>162494000</v>
      </c>
      <c r="E6" s="3"/>
      <c r="F6" s="3">
        <f>F5*$F$7</f>
        <v>176021765.91441792</v>
      </c>
      <c r="G6" s="3">
        <f>G5*G7</f>
        <v>213462988.23611519</v>
      </c>
      <c r="H6" s="3">
        <f t="shared" ref="H6:J6" si="1">H5*H7</f>
        <v>217949799.43397376</v>
      </c>
      <c r="I6" s="3">
        <f t="shared" si="1"/>
        <v>323374823.3497479</v>
      </c>
      <c r="J6" s="3">
        <f t="shared" si="1"/>
        <v>326440031.21335006</v>
      </c>
      <c r="K6" s="3"/>
      <c r="L6" s="3"/>
    </row>
    <row r="7" spans="1:12">
      <c r="A7" s="3" t="s">
        <v>17</v>
      </c>
      <c r="B7" s="7">
        <f>B6/B5</f>
        <v>0.92685815812851646</v>
      </c>
      <c r="C7" s="7">
        <f>C6/C5</f>
        <v>0.92780877511800597</v>
      </c>
      <c r="D7" s="7">
        <f>D6/D5</f>
        <v>0.87322460166053151</v>
      </c>
      <c r="E7" s="7"/>
      <c r="F7" s="153">
        <v>0.84350000000000003</v>
      </c>
      <c r="G7" s="153">
        <v>0.88</v>
      </c>
      <c r="H7" s="153">
        <v>0.87</v>
      </c>
      <c r="I7" s="153">
        <v>0.88</v>
      </c>
      <c r="J7" s="153">
        <v>0.86499999999999999</v>
      </c>
      <c r="K7" s="3"/>
      <c r="L7" s="3"/>
    </row>
    <row r="8" spans="1:12">
      <c r="A8" s="3"/>
      <c r="B8" s="3"/>
      <c r="C8" s="3"/>
      <c r="D8" s="3"/>
      <c r="E8" s="3"/>
      <c r="F8" s="3"/>
      <c r="G8" s="3"/>
      <c r="H8" s="3"/>
      <c r="I8" s="3"/>
      <c r="J8" s="3"/>
      <c r="K8" s="108"/>
      <c r="L8" s="3"/>
    </row>
    <row r="9" spans="1:12">
      <c r="A9" s="3" t="s">
        <v>48</v>
      </c>
      <c r="B9" s="9">
        <f>B5-B6</f>
        <v>12350000</v>
      </c>
      <c r="C9" s="9">
        <f>C5-C6</f>
        <v>12434000</v>
      </c>
      <c r="D9" s="9">
        <f>D5-D6</f>
        <v>23591000</v>
      </c>
      <c r="E9" s="9"/>
      <c r="F9" s="9">
        <f>F5-F6</f>
        <v>32658454.493902087</v>
      </c>
      <c r="G9" s="9">
        <f>G5-G6</f>
        <v>29108589.304924786</v>
      </c>
      <c r="H9" s="9">
        <f>H5-H6</f>
        <v>32567211.409674257</v>
      </c>
      <c r="I9" s="9">
        <f>I5-I6</f>
        <v>44096566.820420146</v>
      </c>
      <c r="J9" s="9">
        <f>J5-J6</f>
        <v>50947288.108441949</v>
      </c>
      <c r="K9" s="108"/>
      <c r="L9" s="3"/>
    </row>
    <row r="10" spans="1:12">
      <c r="A10" s="3" t="s">
        <v>17</v>
      </c>
      <c r="B10" s="7">
        <f>B9/B5</f>
        <v>7.3141841871483565E-2</v>
      </c>
      <c r="C10" s="7">
        <f>C9/C5</f>
        <v>7.219122488199399E-2</v>
      </c>
      <c r="D10" s="7">
        <f>D9/D5</f>
        <v>0.12677539833946852</v>
      </c>
      <c r="E10" s="7"/>
      <c r="F10" s="7">
        <f>F9/F5</f>
        <v>0.15650000000000003</v>
      </c>
      <c r="G10" s="7">
        <f>G9/G5</f>
        <v>0.11999999999999995</v>
      </c>
      <c r="H10" s="7">
        <f>H9/H5</f>
        <v>0.13000000000000006</v>
      </c>
      <c r="I10" s="7">
        <f>I9/I5</f>
        <v>0.11999999999999995</v>
      </c>
      <c r="J10" s="7">
        <f>J9/J5</f>
        <v>0.13500000000000006</v>
      </c>
      <c r="K10" s="3"/>
      <c r="L10" s="3"/>
    </row>
    <row r="11" spans="1:12">
      <c r="A11" s="3" t="s">
        <v>4</v>
      </c>
      <c r="B11" s="10">
        <f>'Income satatement'!B17</f>
        <v>3613000</v>
      </c>
      <c r="C11" s="10">
        <f>'Income satatement'!C17</f>
        <v>3613000</v>
      </c>
      <c r="D11" s="10">
        <f>'Income satatement'!D17</f>
        <v>3613000</v>
      </c>
      <c r="E11" s="3"/>
      <c r="F11" s="3">
        <f>D11</f>
        <v>3613000</v>
      </c>
      <c r="G11" s="3">
        <f>F11</f>
        <v>3613000</v>
      </c>
      <c r="H11" s="3">
        <f t="shared" ref="H11:J11" si="2">G11</f>
        <v>3613000</v>
      </c>
      <c r="I11" s="3">
        <f t="shared" si="2"/>
        <v>3613000</v>
      </c>
      <c r="J11" s="3">
        <f t="shared" si="2"/>
        <v>3613000</v>
      </c>
      <c r="K11" s="3"/>
      <c r="L11" s="3"/>
    </row>
    <row r="12" spans="1:12">
      <c r="A12" s="3" t="s">
        <v>138</v>
      </c>
      <c r="B12" s="6">
        <f>B9-B11</f>
        <v>8737000</v>
      </c>
      <c r="C12" s="6">
        <f t="shared" ref="C12:J12" si="3">C9-C11</f>
        <v>8821000</v>
      </c>
      <c r="D12" s="6">
        <f t="shared" si="3"/>
        <v>19978000</v>
      </c>
      <c r="E12" s="6"/>
      <c r="F12" s="6">
        <f t="shared" si="3"/>
        <v>29045454.493902087</v>
      </c>
      <c r="G12" s="6">
        <f t="shared" si="3"/>
        <v>25495589.304924786</v>
      </c>
      <c r="H12" s="6">
        <f t="shared" si="3"/>
        <v>28954211.409674257</v>
      </c>
      <c r="I12" s="6">
        <f t="shared" si="3"/>
        <v>40483566.820420146</v>
      </c>
      <c r="J12" s="6">
        <f t="shared" si="3"/>
        <v>47334288.108441949</v>
      </c>
      <c r="K12" s="3"/>
      <c r="L12" s="3"/>
    </row>
    <row r="13" spans="1:12">
      <c r="A13" s="3" t="s">
        <v>178</v>
      </c>
      <c r="B13" s="10">
        <f>'Income satatement'!B19</f>
        <v>128000</v>
      </c>
      <c r="C13" s="10">
        <f>'Income satatement'!C19</f>
        <v>2190000</v>
      </c>
      <c r="D13" s="10">
        <f>'Income satatement'!D19</f>
        <v>7007000</v>
      </c>
      <c r="E13" s="3"/>
      <c r="F13" s="3">
        <f>F12*$E$2</f>
        <v>10165909.07286573</v>
      </c>
      <c r="G13" s="3">
        <f t="shared" ref="G13:J13" si="4">G12*$E$2</f>
        <v>8923456.256723674</v>
      </c>
      <c r="H13" s="3">
        <f t="shared" si="4"/>
        <v>10133973.993385989</v>
      </c>
      <c r="I13" s="3">
        <f t="shared" si="4"/>
        <v>14169248.38714705</v>
      </c>
      <c r="J13" s="3">
        <f t="shared" si="4"/>
        <v>16567000.837954681</v>
      </c>
      <c r="K13" s="3"/>
      <c r="L13" s="3"/>
    </row>
    <row r="14" spans="1:12">
      <c r="A14" s="3" t="s">
        <v>6</v>
      </c>
      <c r="B14" s="6">
        <f>B12-B13</f>
        <v>8609000</v>
      </c>
      <c r="C14" s="6">
        <f t="shared" ref="C14:J14" si="5">C12-C13</f>
        <v>6631000</v>
      </c>
      <c r="D14" s="6">
        <f t="shared" si="5"/>
        <v>12971000</v>
      </c>
      <c r="E14" s="6"/>
      <c r="F14" s="6">
        <f t="shared" si="5"/>
        <v>18879545.421036355</v>
      </c>
      <c r="G14" s="6">
        <f t="shared" si="5"/>
        <v>16572133.048201112</v>
      </c>
      <c r="H14" s="6">
        <f>H12-H13</f>
        <v>18820237.416288268</v>
      </c>
      <c r="I14" s="6">
        <f t="shared" si="5"/>
        <v>26314318.433273096</v>
      </c>
      <c r="J14" s="6">
        <f t="shared" si="5"/>
        <v>30767287.270487268</v>
      </c>
      <c r="K14" s="3"/>
      <c r="L14" s="3"/>
    </row>
    <row r="15" spans="1:12">
      <c r="A15" s="3" t="s">
        <v>179</v>
      </c>
      <c r="B15" s="10"/>
      <c r="C15" s="10"/>
      <c r="D15" s="10">
        <f>'Balance sheet'!B25</f>
        <v>68129000</v>
      </c>
      <c r="E15" s="3"/>
      <c r="F15" s="9">
        <f>D15+F14</f>
        <v>87008545.421036363</v>
      </c>
      <c r="G15" s="9">
        <f>F15+G14</f>
        <v>103580678.46923748</v>
      </c>
      <c r="H15" s="9">
        <f t="shared" ref="H15:J15" si="6">G15+H14</f>
        <v>122400915.88552575</v>
      </c>
      <c r="I15" s="9">
        <f t="shared" si="6"/>
        <v>148715234.31879884</v>
      </c>
      <c r="J15" s="9">
        <f t="shared" si="6"/>
        <v>179482521.58928612</v>
      </c>
      <c r="K15" s="3"/>
      <c r="L15" s="3"/>
    </row>
    <row r="16" spans="1:12">
      <c r="A16" s="3" t="s">
        <v>181</v>
      </c>
      <c r="B16" s="10"/>
      <c r="C16" s="10"/>
      <c r="D16" s="10">
        <f>D15-D27</f>
        <v>62732535</v>
      </c>
      <c r="E16" s="3"/>
      <c r="F16" s="9">
        <f>F15-F27</f>
        <v>80956819.029195085</v>
      </c>
      <c r="G16" s="9">
        <f t="shared" ref="G16:J16" si="7">G15-G27</f>
        <v>96546102.720547318</v>
      </c>
      <c r="H16" s="171">
        <f t="shared" si="7"/>
        <v>115135922.57105996</v>
      </c>
      <c r="I16" s="9">
        <f t="shared" si="7"/>
        <v>138058564.00386396</v>
      </c>
      <c r="J16" s="9">
        <f t="shared" si="7"/>
        <v>168538289.32895416</v>
      </c>
      <c r="K16" s="3"/>
      <c r="L16" s="3"/>
    </row>
    <row r="17" spans="1:12">
      <c r="A17" s="3"/>
      <c r="B17" s="10"/>
      <c r="C17" s="10"/>
      <c r="D17" s="10"/>
      <c r="E17" s="3"/>
      <c r="F17" s="3">
        <f>F5*F20</f>
        <v>7303807.714291201</v>
      </c>
      <c r="G17" s="3"/>
      <c r="H17" s="3"/>
      <c r="I17" s="3"/>
      <c r="J17" s="3"/>
      <c r="K17" s="3"/>
      <c r="L17" s="3"/>
    </row>
    <row r="18" spans="1:12">
      <c r="A18" s="3"/>
      <c r="B18" s="3"/>
      <c r="C18" s="10"/>
      <c r="D18" s="10"/>
      <c r="E18" s="10"/>
      <c r="F18" s="3"/>
      <c r="G18" s="3"/>
      <c r="H18" s="3"/>
      <c r="I18" s="3"/>
      <c r="J18" s="3"/>
      <c r="K18" s="3"/>
      <c r="L18" s="3"/>
    </row>
    <row r="19" spans="1:12">
      <c r="A19" s="3"/>
      <c r="B19" s="7"/>
      <c r="C19" s="7"/>
      <c r="D19" s="7"/>
      <c r="E19" s="7"/>
      <c r="F19" s="3">
        <v>52000000</v>
      </c>
      <c r="G19" s="3">
        <v>20000000</v>
      </c>
      <c r="H19" s="3">
        <f>15000000+85000000</f>
        <v>100000000</v>
      </c>
      <c r="I19" s="3">
        <v>40000000</v>
      </c>
      <c r="J19" s="3">
        <v>5000000</v>
      </c>
      <c r="K19" s="3"/>
      <c r="L19" s="3"/>
    </row>
    <row r="20" spans="1:12">
      <c r="A20" s="3"/>
      <c r="B20" s="3"/>
      <c r="C20" s="3"/>
      <c r="D20" s="3"/>
      <c r="E20" s="3"/>
      <c r="F20" s="154">
        <v>3.5000000000000003E-2</v>
      </c>
      <c r="G20" s="3"/>
      <c r="H20" s="3"/>
      <c r="I20" s="3"/>
      <c r="J20" s="3"/>
      <c r="K20" s="3"/>
      <c r="L20" s="3"/>
    </row>
    <row r="21" spans="1:12">
      <c r="A21" s="3" t="s">
        <v>49</v>
      </c>
      <c r="B21" s="3"/>
      <c r="C21" s="3"/>
      <c r="D21" s="3"/>
      <c r="E21" s="66"/>
      <c r="F21" s="3">
        <f>F5*$F$20+20000000+15000000</f>
        <v>42303807.7142912</v>
      </c>
      <c r="G21" s="3">
        <f>G5*$F$20+I19+J19</f>
        <v>53490005.213936403</v>
      </c>
      <c r="H21" s="3">
        <f>H5*$F$20+J19+H19</f>
        <v>113768095.37952769</v>
      </c>
      <c r="I21" s="3">
        <f>I5*$F$20+J19</f>
        <v>17861498.655955881</v>
      </c>
      <c r="J21" s="3">
        <f>J5*$F$20</f>
        <v>13208556.176262721</v>
      </c>
      <c r="K21" s="3"/>
      <c r="L21" s="3"/>
    </row>
    <row r="22" spans="1:12">
      <c r="A22" s="3" t="s">
        <v>50</v>
      </c>
      <c r="B22" s="3"/>
      <c r="C22" s="7"/>
      <c r="D22" s="3"/>
      <c r="E22" s="66">
        <f>2.5%</f>
        <v>2.5000000000000001E-2</v>
      </c>
      <c r="F22" s="3">
        <f>'Income satatement'!D11</f>
        <v>14285000</v>
      </c>
      <c r="G22" s="3">
        <f>F21*$E$22+$F$22</f>
        <v>15342595.19285728</v>
      </c>
      <c r="H22" s="3">
        <f t="shared" ref="H22" si="8">G21*$E$22+$F$22</f>
        <v>15622250.13034841</v>
      </c>
      <c r="I22" s="3">
        <f>H21*$E$22+$F$22</f>
        <v>17129202.384488191</v>
      </c>
      <c r="J22" s="3">
        <f>I21*$E$22+$F$22</f>
        <v>14731537.466398897</v>
      </c>
      <c r="K22" s="3"/>
      <c r="L22" s="3"/>
    </row>
    <row r="23" spans="1:12">
      <c r="A23" s="3" t="s">
        <v>182</v>
      </c>
      <c r="B23" s="3"/>
      <c r="C23" s="3"/>
      <c r="D23" s="3"/>
      <c r="E23" s="3"/>
      <c r="F23" s="156">
        <f>F21-F16+F19</f>
        <v>13346988.685096115</v>
      </c>
      <c r="G23" s="8"/>
      <c r="H23" s="8"/>
      <c r="I23" s="8"/>
      <c r="J23" s="8"/>
      <c r="K23" s="3"/>
      <c r="L23" s="3"/>
    </row>
    <row r="24" spans="1:12">
      <c r="A24" s="3"/>
      <c r="B24" s="3"/>
      <c r="C24" s="3"/>
      <c r="D24" s="3"/>
      <c r="E24" s="3"/>
      <c r="F24" s="8"/>
      <c r="G24" s="8"/>
      <c r="H24" s="8"/>
      <c r="I24" s="8"/>
      <c r="J24" s="8"/>
      <c r="K24" s="3"/>
      <c r="L24" s="3"/>
    </row>
    <row r="25" spans="1:12">
      <c r="A25" s="3"/>
      <c r="B25" s="3">
        <v>2.9000000000000001E-2</v>
      </c>
      <c r="C25" s="3"/>
      <c r="D25" s="3"/>
      <c r="E25" s="3"/>
      <c r="F25" s="8"/>
      <c r="G25" s="8"/>
      <c r="H25" s="8"/>
      <c r="I25" s="8"/>
      <c r="J25" s="8"/>
      <c r="K25" s="3"/>
      <c r="L25" s="3"/>
    </row>
    <row r="26" spans="1:12">
      <c r="A26" s="11" t="s">
        <v>18</v>
      </c>
      <c r="B26" s="3"/>
      <c r="C26" s="3"/>
      <c r="D26" s="3"/>
      <c r="E26" s="3"/>
      <c r="F26" s="3"/>
      <c r="G26" s="3"/>
      <c r="H26" s="3"/>
      <c r="I26" s="3"/>
      <c r="J26" s="3"/>
      <c r="K26" s="3"/>
      <c r="L26" s="3"/>
    </row>
    <row r="27" spans="1:12">
      <c r="A27" s="12" t="s">
        <v>19</v>
      </c>
      <c r="B27" s="3">
        <f>B5*$B$25</f>
        <v>4896650</v>
      </c>
      <c r="C27" s="3">
        <f>C5*$B$25</f>
        <v>4994873</v>
      </c>
      <c r="D27" s="3">
        <f>D5*$B$25</f>
        <v>5396465</v>
      </c>
      <c r="E27" s="3"/>
      <c r="F27" s="3">
        <f>F5*$B$25</f>
        <v>6051726.3918412803</v>
      </c>
      <c r="G27" s="3">
        <f>G5*$B$25</f>
        <v>7034575.74869016</v>
      </c>
      <c r="H27" s="3">
        <f>H5*$B$25</f>
        <v>7264993.3144657928</v>
      </c>
      <c r="I27" s="3">
        <f>I5*$B$25</f>
        <v>10656670.314934874</v>
      </c>
      <c r="J27" s="3">
        <f>J5*$B$25</f>
        <v>10944232.260331968</v>
      </c>
      <c r="K27" s="3"/>
      <c r="L27" s="3"/>
    </row>
    <row r="28" spans="1:12">
      <c r="A28" s="13" t="s">
        <v>20</v>
      </c>
      <c r="B28" s="3"/>
      <c r="C28" s="3">
        <f>C27-B27</f>
        <v>98223</v>
      </c>
      <c r="D28" s="3">
        <f t="shared" ref="D28" si="9">D27-C27</f>
        <v>401592</v>
      </c>
      <c r="E28" s="3"/>
      <c r="F28" s="3">
        <f>F27-D27</f>
        <v>655261.39184128027</v>
      </c>
      <c r="G28" s="3">
        <f>G27-F27</f>
        <v>982849.35684887972</v>
      </c>
      <c r="H28" s="3">
        <f t="shared" ref="H28:J28" si="10">H27-G27</f>
        <v>230417.56577563286</v>
      </c>
      <c r="I28" s="3">
        <f t="shared" si="10"/>
        <v>3391677.0004690811</v>
      </c>
      <c r="J28" s="3">
        <f t="shared" si="10"/>
        <v>287561.94539709389</v>
      </c>
      <c r="K28" s="3"/>
      <c r="L28" s="3"/>
    </row>
    <row r="29" spans="1:12">
      <c r="A29" s="26"/>
      <c r="B29" s="3"/>
      <c r="C29" s="3"/>
      <c r="D29" s="3"/>
      <c r="E29" s="3"/>
      <c r="F29" s="3"/>
      <c r="G29" s="3"/>
      <c r="H29" s="3"/>
      <c r="I29" s="3"/>
      <c r="J29" s="3"/>
      <c r="K29" s="3"/>
      <c r="L29" s="3"/>
    </row>
    <row r="30" spans="1:12">
      <c r="A30" s="3"/>
      <c r="B30" s="3"/>
      <c r="C30" s="3"/>
      <c r="D30" s="3"/>
      <c r="E30" s="3"/>
      <c r="F30" s="3"/>
      <c r="G30" s="3"/>
      <c r="H30" s="3"/>
      <c r="I30" s="3"/>
      <c r="J30" s="3"/>
      <c r="K30" s="3"/>
      <c r="L30" s="3"/>
    </row>
    <row r="31" spans="1:12">
      <c r="A31" s="3"/>
      <c r="B31" s="3"/>
      <c r="C31" s="3"/>
      <c r="D31" s="3"/>
      <c r="E31" s="3"/>
      <c r="F31" s="3"/>
      <c r="G31" s="3"/>
      <c r="H31" s="3"/>
      <c r="I31" s="3"/>
      <c r="J31" s="3"/>
      <c r="K31" s="3"/>
      <c r="L31" s="3"/>
    </row>
    <row r="32" spans="1:12">
      <c r="A32" s="139" t="s">
        <v>184</v>
      </c>
      <c r="B32" s="157">
        <f>(B33*G2)/(B33*(1-0.04))</f>
        <v>0.11017761136712596</v>
      </c>
      <c r="C32" s="9"/>
      <c r="D32" s="9"/>
      <c r="E32" s="3"/>
      <c r="F32" s="3"/>
      <c r="G32" s="3"/>
      <c r="H32" s="3"/>
      <c r="I32" s="3"/>
      <c r="J32" s="3"/>
      <c r="K32" s="3"/>
      <c r="L32" s="3"/>
    </row>
    <row r="33" spans="1:12">
      <c r="A33" s="3" t="s">
        <v>195</v>
      </c>
      <c r="B33">
        <v>15000000</v>
      </c>
      <c r="F33" s="3"/>
      <c r="G33" s="3"/>
      <c r="H33" s="3"/>
      <c r="I33" s="3"/>
      <c r="J33" s="3"/>
      <c r="K33" s="3"/>
      <c r="L33" s="3"/>
    </row>
    <row r="34" spans="1:12">
      <c r="A34" s="3"/>
      <c r="F34" s="3"/>
      <c r="G34" s="3"/>
      <c r="H34" s="3"/>
      <c r="I34" s="3"/>
      <c r="J34" s="3"/>
      <c r="K34" s="3"/>
      <c r="L34" s="3"/>
    </row>
    <row r="35" spans="1:12">
      <c r="A35" s="3"/>
      <c r="F35" s="3"/>
      <c r="G35" s="3"/>
      <c r="H35" s="3"/>
      <c r="I35" s="3"/>
      <c r="J35" s="3"/>
      <c r="K35" s="3"/>
      <c r="L35" s="3"/>
    </row>
    <row r="36" spans="1:12">
      <c r="A36" s="4" t="s">
        <v>159</v>
      </c>
      <c r="B36" s="108">
        <v>1998</v>
      </c>
      <c r="C36" s="108">
        <v>1999</v>
      </c>
      <c r="D36" s="108">
        <v>2000</v>
      </c>
      <c r="E36" s="108">
        <v>2001</v>
      </c>
      <c r="F36" s="108">
        <v>2002</v>
      </c>
      <c r="G36" s="3"/>
      <c r="H36" s="3"/>
      <c r="I36" s="3"/>
      <c r="J36" s="3"/>
      <c r="K36" s="3"/>
      <c r="L36" s="3"/>
    </row>
    <row r="37" spans="1:12">
      <c r="A37" s="3" t="s">
        <v>160</v>
      </c>
      <c r="B37" s="142">
        <f>((9456*48*0.71*0.91)+(3576*48*0.71*0.04*0.91)+(7966*48*0.71*0.91)+((19353-7966)*48*0.71*0.09))*360</f>
        <v>208680220.40832001</v>
      </c>
      <c r="C37" s="142">
        <f>((9456*49.5*0.73*0.91)+(3576*49.5*0.73*0.04*0.91)+(7966*49.5*0.73*0.91)+((19353-7966)*49.5*0.73*0.09))*360+((400*49.5*0.73*0.91)+(7*200*49.5*0.73*0.91))*360</f>
        <v>242571577.54103997</v>
      </c>
      <c r="D37" s="142">
        <f>((9456*49.6*0.72*0.91)+(3576*49.6*0.72*0.04*0.91)+(7966*49.6*0.72*0.91)+((19353-7966)*49.6*0.72*0.09))*360+((1200*49.6*0.72*0.91)+(7*200*49.6*0.72*0.91)+(120*55*0.6))*360</f>
        <v>250517010.84364802</v>
      </c>
      <c r="E37" s="142">
        <f>((9456*49.7*0.735*0.91)+(3576*49.7*0.735*0.04*0.91)+(7966*49.7*0.735*0.91)+((19353-7966)*49.7*0.735*0.09))*360+((1200*49.7*0.735*0.91+700*190*0.735)+(2000*140*0.735)+(7*200*49.7*0.735*0.91)+(120*2*57*0.69))*360</f>
        <v>367471390.17016804</v>
      </c>
      <c r="F37" s="142">
        <f>((9456*50.2*0.74*0.91)+(3576*50.2*0.74*0.04*0.91)+(7966*50.2*0.74*0.91)+((19353-7966)*50.2*0.74*0.09))*360+((1200*50.2*0.74*0.91+700*190*0.735)+(2000*145*0.74)+(7*200*50.2*0.74*0.91)+(120*3*60*0.75))*360</f>
        <v>377387319.32179201</v>
      </c>
      <c r="G37" s="3"/>
      <c r="H37" s="3"/>
      <c r="I37" s="3"/>
      <c r="J37" s="3"/>
      <c r="K37" s="3"/>
      <c r="L37" s="3"/>
    </row>
    <row r="38" spans="1:12">
      <c r="A38" s="3"/>
      <c r="B38" s="3"/>
      <c r="C38" s="3"/>
      <c r="D38" s="3"/>
      <c r="E38" s="3"/>
      <c r="F38" s="3"/>
      <c r="G38" s="3"/>
      <c r="H38" s="3"/>
      <c r="I38" s="3"/>
      <c r="J38" s="3"/>
      <c r="K38" s="3"/>
      <c r="L38" s="3"/>
    </row>
    <row r="39" spans="1:12">
      <c r="A39" s="3"/>
      <c r="B39" s="3"/>
      <c r="C39" s="3"/>
      <c r="D39" s="3"/>
      <c r="E39" s="3"/>
      <c r="F39" s="3"/>
      <c r="G39" s="3"/>
      <c r="H39" s="3"/>
      <c r="I39" s="3"/>
      <c r="J39" s="3"/>
      <c r="K39" s="3"/>
      <c r="L39" s="3"/>
    </row>
    <row r="40" spans="1:12">
      <c r="A40" s="3"/>
      <c r="B40" s="3"/>
      <c r="C40" s="3"/>
      <c r="D40" s="3"/>
      <c r="E40" s="3"/>
      <c r="F40" s="3"/>
      <c r="G40" s="3"/>
      <c r="H40" s="3"/>
      <c r="I40" s="3"/>
      <c r="J40" s="3"/>
      <c r="K40" s="3"/>
      <c r="L40" s="3"/>
    </row>
    <row r="41" spans="1:12">
      <c r="A41" s="3"/>
      <c r="B41" s="3"/>
      <c r="C41" s="3"/>
      <c r="D41" s="3"/>
      <c r="E41" s="3"/>
      <c r="F41" s="3"/>
      <c r="G41" s="3"/>
      <c r="H41" s="3"/>
      <c r="I41" s="3"/>
      <c r="J41" s="3"/>
      <c r="K41" s="3"/>
      <c r="L41" s="3"/>
    </row>
    <row r="42" spans="1:12">
      <c r="A42" s="3"/>
      <c r="B42" s="3"/>
      <c r="C42" s="3"/>
      <c r="D42" s="3"/>
      <c r="E42" s="3"/>
      <c r="F42" s="3"/>
      <c r="G42" s="3"/>
      <c r="H42" s="3"/>
      <c r="I42" s="3"/>
      <c r="J42" s="3"/>
      <c r="K42" s="3"/>
      <c r="L42" s="3"/>
    </row>
    <row r="43" spans="1:12">
      <c r="A43" s="3"/>
      <c r="B43" s="3"/>
      <c r="C43" s="3"/>
      <c r="D43" s="3"/>
      <c r="E43" s="3"/>
      <c r="F43" s="3"/>
      <c r="G43" s="3"/>
      <c r="H43" s="3"/>
      <c r="I43" s="3"/>
      <c r="J43" s="3"/>
      <c r="K43" s="3"/>
      <c r="L43" s="3"/>
    </row>
    <row r="44" spans="1:12">
      <c r="A44" s="3"/>
      <c r="B44" s="3"/>
      <c r="C44" s="3"/>
      <c r="D44" s="3"/>
      <c r="E44" s="3"/>
      <c r="F44" s="3"/>
      <c r="G44" s="3"/>
      <c r="H44" s="3"/>
      <c r="I44" s="3"/>
      <c r="J44" s="3"/>
      <c r="K44" s="3"/>
      <c r="L44" s="3"/>
    </row>
    <row r="45" spans="1:12">
      <c r="A45" s="3"/>
      <c r="B45" s="3"/>
      <c r="C45" s="3"/>
      <c r="D45" s="3"/>
      <c r="E45" s="3"/>
      <c r="F45" s="3"/>
      <c r="G45" s="3"/>
      <c r="H45" s="3"/>
      <c r="I45" s="3"/>
      <c r="J45" s="3"/>
      <c r="K45" s="3"/>
      <c r="L45" s="3"/>
    </row>
    <row r="46" spans="1:12">
      <c r="A46" s="3"/>
      <c r="B46" s="3"/>
      <c r="C46" s="3"/>
      <c r="D46" s="3"/>
      <c r="E46" s="3"/>
      <c r="F46" s="3"/>
      <c r="G46" s="3"/>
      <c r="H46" s="3"/>
      <c r="I46" s="3"/>
      <c r="J46" s="3"/>
      <c r="K46" s="3"/>
      <c r="L46" s="3"/>
    </row>
    <row r="47" spans="1:12">
      <c r="A47" s="3"/>
      <c r="B47" s="3"/>
      <c r="C47" s="3"/>
      <c r="D47" s="3"/>
      <c r="E47" s="3"/>
      <c r="F47" s="3"/>
      <c r="G47" s="3"/>
      <c r="H47" s="3"/>
      <c r="I47" s="3"/>
      <c r="J47" s="3"/>
      <c r="K47" s="3"/>
      <c r="L47" s="3"/>
    </row>
    <row r="48" spans="1:12">
      <c r="A48" s="3"/>
      <c r="B48" s="3"/>
      <c r="C48" s="3"/>
      <c r="D48" s="3"/>
      <c r="E48" s="3"/>
      <c r="F48" s="3"/>
      <c r="G48" s="3"/>
      <c r="H48" s="3"/>
      <c r="I48" s="3"/>
      <c r="J48" s="3"/>
      <c r="K48" s="3"/>
      <c r="L48" s="3"/>
    </row>
    <row r="49" spans="1:12">
      <c r="A49" s="3"/>
      <c r="B49" s="3"/>
      <c r="C49" s="3"/>
      <c r="D49" s="3"/>
      <c r="E49" s="3"/>
      <c r="F49" s="3"/>
      <c r="G49" s="3"/>
      <c r="H49" s="3"/>
      <c r="I49" s="3"/>
      <c r="J49" s="3"/>
      <c r="K49" s="3"/>
      <c r="L49" s="3"/>
    </row>
    <row r="50" spans="1:12">
      <c r="A50" s="3"/>
      <c r="B50" s="3"/>
      <c r="C50" s="3"/>
      <c r="D50" s="3"/>
      <c r="E50" s="3"/>
      <c r="F50" s="3"/>
      <c r="G50" s="3"/>
      <c r="H50" s="3"/>
      <c r="I50" s="3"/>
      <c r="J50" s="3"/>
      <c r="K50" s="3"/>
      <c r="L50" s="3"/>
    </row>
    <row r="51" spans="1:12">
      <c r="A51" s="3"/>
      <c r="B51" s="3"/>
      <c r="C51" s="3"/>
      <c r="D51" s="3"/>
      <c r="E51" s="3"/>
      <c r="F51" s="3"/>
      <c r="G51" s="3"/>
      <c r="H51" s="3"/>
      <c r="I51" s="3"/>
      <c r="J51" s="3"/>
      <c r="K51" s="3"/>
      <c r="L51" s="3"/>
    </row>
    <row r="52" spans="1:12">
      <c r="A52" s="3"/>
      <c r="B52" s="3"/>
      <c r="C52" s="3"/>
      <c r="D52" s="3"/>
      <c r="E52" s="3"/>
      <c r="F52" s="3"/>
      <c r="G52" s="3"/>
      <c r="H52" s="3"/>
      <c r="I52" s="3"/>
      <c r="J52" s="3"/>
      <c r="K52" s="3"/>
      <c r="L52" s="3"/>
    </row>
    <row r="53" spans="1:12">
      <c r="A53" s="3"/>
      <c r="B53" s="3"/>
      <c r="C53" s="3"/>
      <c r="D53" s="3"/>
      <c r="E53" s="3"/>
      <c r="F53" s="3"/>
      <c r="G53" s="3"/>
      <c r="H53" s="3"/>
      <c r="I53" s="3"/>
      <c r="J53" s="3"/>
      <c r="K53" s="3"/>
      <c r="L53" s="3"/>
    </row>
    <row r="54" spans="1:12">
      <c r="A54" s="3"/>
      <c r="B54" s="3"/>
      <c r="C54" s="3"/>
      <c r="D54" s="3"/>
      <c r="E54" s="3"/>
      <c r="F54" s="3"/>
      <c r="G54" s="3"/>
      <c r="H54" s="3"/>
      <c r="I54" s="3"/>
      <c r="J54" s="3"/>
      <c r="K54" s="3"/>
      <c r="L54" s="3"/>
    </row>
    <row r="55" spans="1:12">
      <c r="A55" s="3"/>
      <c r="B55" s="3"/>
      <c r="C55" s="3"/>
      <c r="D55" s="3"/>
      <c r="E55" s="3"/>
      <c r="F55" s="3"/>
      <c r="G55" s="3"/>
      <c r="H55" s="3"/>
      <c r="I55" s="3"/>
      <c r="J55" s="3"/>
      <c r="K55" s="3"/>
      <c r="L55" s="3"/>
    </row>
    <row r="56" spans="1:12">
      <c r="A56" s="3"/>
      <c r="B56" s="3"/>
      <c r="C56" s="3"/>
      <c r="D56" s="3"/>
      <c r="E56" s="3"/>
      <c r="F56" s="3"/>
      <c r="G56" s="3"/>
      <c r="H56" s="3"/>
      <c r="I56" s="3"/>
      <c r="J56" s="3"/>
      <c r="K56" s="3"/>
      <c r="L56" s="3"/>
    </row>
    <row r="57" spans="1:12">
      <c r="A57" s="3"/>
      <c r="B57" s="3"/>
      <c r="C57" s="3"/>
      <c r="D57" s="3"/>
      <c r="E57" s="3"/>
      <c r="F57" s="3"/>
      <c r="G57" s="3"/>
      <c r="H57" s="3"/>
      <c r="I57" s="3"/>
      <c r="J57" s="3"/>
      <c r="K57" s="3"/>
      <c r="L57" s="3"/>
    </row>
    <row r="58" spans="1:12">
      <c r="A58" s="3"/>
      <c r="B58" s="3"/>
      <c r="C58" s="3"/>
      <c r="D58" s="3"/>
      <c r="E58" s="3"/>
      <c r="F58" s="3"/>
      <c r="G58" s="3"/>
      <c r="H58" s="3"/>
      <c r="I58" s="3"/>
      <c r="J58" s="3"/>
      <c r="K58" s="3"/>
      <c r="L58" s="3"/>
    </row>
    <row r="59" spans="1:12">
      <c r="A59" s="3"/>
      <c r="B59" s="3"/>
      <c r="C59" s="3"/>
      <c r="D59" s="3"/>
      <c r="E59" s="3"/>
      <c r="F59" s="3"/>
      <c r="G59" s="3"/>
      <c r="H59" s="3"/>
      <c r="I59" s="3"/>
      <c r="J59" s="3"/>
      <c r="K59" s="3"/>
      <c r="L59" s="3"/>
    </row>
    <row r="60" spans="1:12">
      <c r="A60" s="3"/>
      <c r="B60" s="3"/>
      <c r="C60" s="3"/>
      <c r="D60" s="3"/>
      <c r="E60" s="3"/>
      <c r="F60" s="3"/>
      <c r="G60" s="3"/>
      <c r="H60" s="3"/>
      <c r="I60" s="3"/>
      <c r="J60" s="3"/>
      <c r="K60" s="3"/>
      <c r="L60" s="3"/>
    </row>
    <row r="61" spans="1:12">
      <c r="A61" s="3"/>
      <c r="B61" s="3"/>
      <c r="C61" s="3"/>
      <c r="D61" s="3"/>
      <c r="E61" s="3"/>
      <c r="F61" s="3"/>
      <c r="G61" s="3"/>
      <c r="H61" s="3"/>
      <c r="I61" s="3"/>
      <c r="J61" s="3"/>
      <c r="K61" s="3"/>
      <c r="L61" s="3"/>
    </row>
    <row r="62" spans="1:12">
      <c r="A62" s="3"/>
      <c r="B62" s="3"/>
      <c r="C62" s="3"/>
      <c r="D62" s="3"/>
      <c r="E62" s="3"/>
      <c r="F62" s="3"/>
      <c r="G62" s="3"/>
      <c r="H62" s="3"/>
      <c r="I62" s="3"/>
      <c r="J62" s="3"/>
      <c r="K62" s="3"/>
      <c r="L62" s="3"/>
    </row>
  </sheetData>
  <mergeCells count="2">
    <mergeCell ref="B3:D3"/>
    <mergeCell ref="F3:J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62"/>
  <sheetViews>
    <sheetView topLeftCell="A19" workbookViewId="0">
      <selection activeCell="B33" sqref="B33"/>
    </sheetView>
  </sheetViews>
  <sheetFormatPr defaultRowHeight="15"/>
  <cols>
    <col min="1" max="1" width="38.140625" bestFit="1" customWidth="1"/>
    <col min="2" max="4" width="13.5703125" bestFit="1" customWidth="1"/>
    <col min="5" max="5" width="7" bestFit="1" customWidth="1"/>
    <col min="6" max="6" width="16.42578125" bestFit="1" customWidth="1"/>
    <col min="7" max="10" width="13.5703125" bestFit="1" customWidth="1"/>
  </cols>
  <sheetData>
    <row r="1" spans="1:12">
      <c r="A1" s="3"/>
      <c r="B1" s="3"/>
      <c r="C1" s="3"/>
      <c r="D1" s="3"/>
      <c r="E1" s="3"/>
      <c r="F1" s="3"/>
      <c r="G1" s="3"/>
      <c r="H1" s="3"/>
      <c r="I1" s="3"/>
      <c r="J1" s="3"/>
      <c r="K1" s="3"/>
      <c r="L1" s="3"/>
    </row>
    <row r="2" spans="1:12">
      <c r="A2" s="3"/>
      <c r="B2" s="3"/>
      <c r="C2" s="3"/>
      <c r="D2" s="155" t="s">
        <v>180</v>
      </c>
      <c r="E2" s="3">
        <v>0.35</v>
      </c>
      <c r="F2" s="155" t="s">
        <v>192</v>
      </c>
      <c r="G2" s="154">
        <v>8.5000000000000006E-2</v>
      </c>
      <c r="H2" s="3"/>
      <c r="I2" s="3"/>
      <c r="J2" s="3"/>
      <c r="K2" s="3"/>
      <c r="L2" s="3"/>
    </row>
    <row r="3" spans="1:12" ht="15.75">
      <c r="A3" s="3"/>
      <c r="B3" s="196" t="s">
        <v>100</v>
      </c>
      <c r="C3" s="196"/>
      <c r="D3" s="196"/>
      <c r="E3" s="3"/>
      <c r="F3" s="195" t="s">
        <v>16</v>
      </c>
      <c r="G3" s="195"/>
      <c r="H3" s="195"/>
      <c r="I3" s="195"/>
      <c r="J3" s="195"/>
      <c r="K3" s="3"/>
      <c r="L3" s="3"/>
    </row>
    <row r="4" spans="1:12">
      <c r="A4" s="172" t="s">
        <v>196</v>
      </c>
      <c r="B4" s="94">
        <v>1995</v>
      </c>
      <c r="C4" s="94">
        <v>1996</v>
      </c>
      <c r="D4" s="94">
        <v>1997</v>
      </c>
      <c r="F4" s="95">
        <v>1998</v>
      </c>
      <c r="G4" s="95">
        <v>1999</v>
      </c>
      <c r="H4" s="95">
        <v>2000</v>
      </c>
      <c r="I4" s="95">
        <v>2001</v>
      </c>
      <c r="J4" s="95">
        <v>2002</v>
      </c>
      <c r="K4" s="3"/>
      <c r="L4" s="3"/>
    </row>
    <row r="5" spans="1:12">
      <c r="A5" s="3" t="s">
        <v>3</v>
      </c>
      <c r="B5" s="5">
        <f>'Income satatement'!B4</f>
        <v>168850000</v>
      </c>
      <c r="C5" s="5">
        <f>'Income satatement'!C4</f>
        <v>172237000</v>
      </c>
      <c r="D5" s="5">
        <f>'Income satatement'!D4</f>
        <v>186085000</v>
      </c>
      <c r="E5" s="6"/>
      <c r="F5" s="142">
        <f>B36</f>
        <v>208680220.40832001</v>
      </c>
      <c r="G5" s="142">
        <f t="shared" ref="G5:J5" si="0">C36</f>
        <v>242571577.54103997</v>
      </c>
      <c r="H5" s="142">
        <f t="shared" si="0"/>
        <v>250517010.84364802</v>
      </c>
      <c r="I5" s="142">
        <f t="shared" si="0"/>
        <v>367471390.17016804</v>
      </c>
      <c r="J5" s="142">
        <f t="shared" si="0"/>
        <v>342195519.32179201</v>
      </c>
      <c r="K5" s="3"/>
      <c r="L5" s="3"/>
    </row>
    <row r="6" spans="1:12">
      <c r="A6" s="3" t="s">
        <v>137</v>
      </c>
      <c r="B6" s="9">
        <f>'Income satatement'!B15</f>
        <v>156500000</v>
      </c>
      <c r="C6" s="9">
        <f>'Income satatement'!C15</f>
        <v>159803000</v>
      </c>
      <c r="D6" s="9">
        <f>'Income satatement'!D15</f>
        <v>162494000</v>
      </c>
      <c r="E6" s="3"/>
      <c r="F6" s="3">
        <f>F5*$F$7</f>
        <v>176021765.91441792</v>
      </c>
      <c r="G6" s="3">
        <f>G5*G7</f>
        <v>213462988.23611519</v>
      </c>
      <c r="H6" s="3">
        <f t="shared" ref="H6:J6" si="1">H5*H7</f>
        <v>220454969.54241025</v>
      </c>
      <c r="I6" s="3">
        <f t="shared" si="1"/>
        <v>323374823.3497479</v>
      </c>
      <c r="J6" s="3">
        <f t="shared" si="1"/>
        <v>295999124.21335006</v>
      </c>
      <c r="K6" s="3"/>
      <c r="L6" s="3"/>
    </row>
    <row r="7" spans="1:12">
      <c r="A7" s="3" t="s">
        <v>17</v>
      </c>
      <c r="B7" s="7">
        <f>B6/B5</f>
        <v>0.92685815812851646</v>
      </c>
      <c r="C7" s="7">
        <f>C6/C5</f>
        <v>0.92780877511800597</v>
      </c>
      <c r="D7" s="7">
        <f>D6/D5</f>
        <v>0.87322460166053151</v>
      </c>
      <c r="E7" s="7"/>
      <c r="F7" s="153">
        <v>0.84350000000000003</v>
      </c>
      <c r="G7" s="153">
        <v>0.88</v>
      </c>
      <c r="H7" s="153">
        <v>0.88</v>
      </c>
      <c r="I7" s="153">
        <v>0.88</v>
      </c>
      <c r="J7" s="153">
        <v>0.86499999999999999</v>
      </c>
      <c r="K7" s="3"/>
      <c r="L7" s="3"/>
    </row>
    <row r="8" spans="1:12">
      <c r="A8" s="3"/>
      <c r="B8" s="3"/>
      <c r="C8" s="3"/>
      <c r="D8" s="3"/>
      <c r="E8" s="3"/>
      <c r="F8" s="3"/>
      <c r="G8" s="3"/>
      <c r="H8" s="3"/>
      <c r="I8" s="3"/>
      <c r="J8" s="3"/>
      <c r="K8" s="108"/>
      <c r="L8" s="3"/>
    </row>
    <row r="9" spans="1:12">
      <c r="A9" s="3" t="s">
        <v>48</v>
      </c>
      <c r="B9" s="9">
        <f>B5-B6</f>
        <v>12350000</v>
      </c>
      <c r="C9" s="9">
        <f>C5-C6</f>
        <v>12434000</v>
      </c>
      <c r="D9" s="9">
        <f>D5-D6</f>
        <v>23591000</v>
      </c>
      <c r="E9" s="9"/>
      <c r="F9" s="9">
        <f>F5-F6</f>
        <v>32658454.493902087</v>
      </c>
      <c r="G9" s="9">
        <f>G5-G6</f>
        <v>29108589.304924786</v>
      </c>
      <c r="H9" s="9">
        <f>H5-H6</f>
        <v>30062041.301237762</v>
      </c>
      <c r="I9" s="9">
        <f>I5-I6</f>
        <v>44096566.820420146</v>
      </c>
      <c r="J9" s="9">
        <f>J5-J6</f>
        <v>46196395.108441949</v>
      </c>
      <c r="K9" s="108"/>
      <c r="L9" s="3"/>
    </row>
    <row r="10" spans="1:12">
      <c r="A10" s="3" t="s">
        <v>17</v>
      </c>
      <c r="B10" s="7">
        <f>B9/B5</f>
        <v>7.3141841871483565E-2</v>
      </c>
      <c r="C10" s="7">
        <f>C9/C5</f>
        <v>7.219122488199399E-2</v>
      </c>
      <c r="D10" s="7">
        <f>D9/D5</f>
        <v>0.12677539833946852</v>
      </c>
      <c r="E10" s="7"/>
      <c r="F10" s="7">
        <f>F9/F5</f>
        <v>0.15650000000000003</v>
      </c>
      <c r="G10" s="7">
        <f>G9/G5</f>
        <v>0.11999999999999995</v>
      </c>
      <c r="H10" s="7">
        <f>H9/H5</f>
        <v>0.12</v>
      </c>
      <c r="I10" s="7">
        <f>I9/I5</f>
        <v>0.11999999999999995</v>
      </c>
      <c r="J10" s="7">
        <f>J9/J5</f>
        <v>0.13500000000000009</v>
      </c>
      <c r="K10" s="3"/>
      <c r="L10" s="3"/>
    </row>
    <row r="11" spans="1:12">
      <c r="A11" s="3" t="s">
        <v>4</v>
      </c>
      <c r="B11" s="10">
        <f>'Income satatement'!B17</f>
        <v>3613000</v>
      </c>
      <c r="C11" s="10">
        <f>'Income satatement'!C17</f>
        <v>3613000</v>
      </c>
      <c r="D11" s="10">
        <f>'Income satatement'!D17</f>
        <v>3613000</v>
      </c>
      <c r="E11" s="3"/>
      <c r="F11" s="3">
        <f>D11/2</f>
        <v>1806500</v>
      </c>
      <c r="G11" s="3">
        <f>$B$33*$G$2</f>
        <v>1275000</v>
      </c>
      <c r="H11" s="3">
        <f t="shared" ref="H11" si="2">$B$33*$G$2</f>
        <v>1275000</v>
      </c>
      <c r="I11" s="3"/>
      <c r="J11" s="3"/>
      <c r="K11" s="3"/>
      <c r="L11" s="3"/>
    </row>
    <row r="12" spans="1:12">
      <c r="A12" s="3" t="s">
        <v>138</v>
      </c>
      <c r="B12" s="6">
        <f>B9-B11</f>
        <v>8737000</v>
      </c>
      <c r="C12" s="6">
        <f t="shared" ref="C12:J12" si="3">C9-C11</f>
        <v>8821000</v>
      </c>
      <c r="D12" s="6">
        <f t="shared" si="3"/>
        <v>19978000</v>
      </c>
      <c r="E12" s="6"/>
      <c r="F12" s="6">
        <f t="shared" si="3"/>
        <v>30851954.493902087</v>
      </c>
      <c r="G12" s="6">
        <f t="shared" si="3"/>
        <v>27833589.304924786</v>
      </c>
      <c r="H12" s="6">
        <f t="shared" si="3"/>
        <v>28787041.301237762</v>
      </c>
      <c r="I12" s="6">
        <f t="shared" si="3"/>
        <v>44096566.820420146</v>
      </c>
      <c r="J12" s="6">
        <f t="shared" si="3"/>
        <v>46196395.108441949</v>
      </c>
      <c r="K12" s="3"/>
      <c r="L12" s="3"/>
    </row>
    <row r="13" spans="1:12">
      <c r="A13" s="3" t="s">
        <v>178</v>
      </c>
      <c r="B13" s="10">
        <f>'Income satatement'!B19</f>
        <v>128000</v>
      </c>
      <c r="C13" s="10">
        <f>'Income satatement'!C19</f>
        <v>2190000</v>
      </c>
      <c r="D13" s="10">
        <f>'Income satatement'!D19</f>
        <v>7007000</v>
      </c>
      <c r="E13" s="3"/>
      <c r="F13" s="3">
        <f>F12*$E$2</f>
        <v>10798184.07286573</v>
      </c>
      <c r="G13" s="3">
        <f t="shared" ref="G13:J13" si="4">G12*$E$2</f>
        <v>9741756.256723674</v>
      </c>
      <c r="H13" s="3">
        <f t="shared" si="4"/>
        <v>10075464.455433216</v>
      </c>
      <c r="I13" s="3">
        <f t="shared" si="4"/>
        <v>15433798.38714705</v>
      </c>
      <c r="J13" s="3">
        <f t="shared" si="4"/>
        <v>16168738.287954681</v>
      </c>
      <c r="K13" s="3"/>
      <c r="L13" s="3"/>
    </row>
    <row r="14" spans="1:12">
      <c r="A14" s="3" t="s">
        <v>6</v>
      </c>
      <c r="B14" s="6">
        <f>B12-B13</f>
        <v>8609000</v>
      </c>
      <c r="C14" s="6">
        <f t="shared" ref="C14:J14" si="5">C12-C13</f>
        <v>6631000</v>
      </c>
      <c r="D14" s="6">
        <f t="shared" si="5"/>
        <v>12971000</v>
      </c>
      <c r="E14" s="6"/>
      <c r="F14" s="6">
        <f t="shared" si="5"/>
        <v>20053770.421036355</v>
      </c>
      <c r="G14" s="6">
        <f t="shared" si="5"/>
        <v>18091833.048201114</v>
      </c>
      <c r="H14" s="6">
        <f>H12-H13</f>
        <v>18711576.845804546</v>
      </c>
      <c r="I14" s="6">
        <f t="shared" si="5"/>
        <v>28662768.433273096</v>
      </c>
      <c r="J14" s="6">
        <f t="shared" si="5"/>
        <v>30027656.820487268</v>
      </c>
      <c r="K14" s="3"/>
      <c r="L14" s="3"/>
    </row>
    <row r="15" spans="1:12">
      <c r="A15" s="3" t="s">
        <v>179</v>
      </c>
      <c r="B15" s="10"/>
      <c r="C15" s="10"/>
      <c r="D15" s="10">
        <f>'Balance sheet'!B25</f>
        <v>68129000</v>
      </c>
      <c r="E15" s="3"/>
      <c r="F15" s="9">
        <f>D15+F14</f>
        <v>88182770.421036363</v>
      </c>
      <c r="G15" s="9">
        <f>F15+G14</f>
        <v>106274603.46923748</v>
      </c>
      <c r="H15" s="9">
        <f t="shared" ref="H15:J15" si="6">G15+H14</f>
        <v>124986180.31504202</v>
      </c>
      <c r="I15" s="9">
        <f t="shared" si="6"/>
        <v>153648948.74831513</v>
      </c>
      <c r="J15" s="9">
        <f t="shared" si="6"/>
        <v>183676605.56880239</v>
      </c>
      <c r="K15" s="3"/>
      <c r="L15" s="3"/>
    </row>
    <row r="16" spans="1:12">
      <c r="A16" s="3" t="s">
        <v>181</v>
      </c>
      <c r="B16" s="10"/>
      <c r="C16" s="10"/>
      <c r="D16" s="10">
        <f>D15-D27</f>
        <v>62732535</v>
      </c>
      <c r="E16" s="3"/>
      <c r="F16" s="9">
        <f>F15-F27</f>
        <v>82131044.029195085</v>
      </c>
      <c r="G16" s="9">
        <f t="shared" ref="G16:J16" si="7">G15-G27</f>
        <v>99240027.720547318</v>
      </c>
      <c r="H16" s="171">
        <f t="shared" si="7"/>
        <v>117721187.00057623</v>
      </c>
      <c r="I16" s="9">
        <f t="shared" si="7"/>
        <v>142992278.43338025</v>
      </c>
      <c r="J16" s="9">
        <f t="shared" si="7"/>
        <v>173752935.50847042</v>
      </c>
      <c r="K16" s="3"/>
      <c r="L16" s="3"/>
    </row>
    <row r="17" spans="1:12">
      <c r="A17" s="3"/>
      <c r="B17" s="10"/>
      <c r="C17" s="10"/>
      <c r="D17" s="10"/>
      <c r="E17" s="3"/>
      <c r="F17" s="3">
        <f>F5*F20</f>
        <v>7303807.714291201</v>
      </c>
      <c r="G17" s="3"/>
      <c r="H17" s="3"/>
      <c r="I17" s="3"/>
      <c r="J17" s="3"/>
      <c r="K17" s="3"/>
      <c r="L17" s="3"/>
    </row>
    <row r="18" spans="1:12">
      <c r="A18" s="3"/>
      <c r="B18" s="3"/>
      <c r="C18" s="10"/>
      <c r="D18" s="10"/>
      <c r="E18" s="10"/>
      <c r="F18" s="3"/>
      <c r="G18" s="3"/>
      <c r="H18" s="3"/>
      <c r="I18" s="3"/>
      <c r="J18" s="3"/>
      <c r="K18" s="3"/>
      <c r="L18" s="3"/>
    </row>
    <row r="19" spans="1:12">
      <c r="A19" s="3"/>
      <c r="B19" s="7"/>
      <c r="C19" s="7"/>
      <c r="D19" s="7"/>
      <c r="E19" s="7"/>
      <c r="F19" s="3">
        <v>52000000</v>
      </c>
      <c r="G19" s="3">
        <v>20000000</v>
      </c>
      <c r="H19" s="3">
        <f>85000000+15000000</f>
        <v>100000000</v>
      </c>
      <c r="I19" s="3">
        <v>40000000</v>
      </c>
      <c r="J19" s="3">
        <v>5000000</v>
      </c>
      <c r="K19" s="3"/>
      <c r="L19" s="3"/>
    </row>
    <row r="20" spans="1:12">
      <c r="A20" s="3"/>
      <c r="B20" s="3"/>
      <c r="C20" s="3"/>
      <c r="D20" s="3"/>
      <c r="E20" s="3"/>
      <c r="F20" s="154">
        <v>3.5000000000000003E-2</v>
      </c>
      <c r="G20" s="3"/>
      <c r="H20" s="3"/>
      <c r="I20" s="3"/>
      <c r="J20" s="3"/>
      <c r="K20" s="3"/>
      <c r="L20" s="3"/>
    </row>
    <row r="21" spans="1:12">
      <c r="A21" s="3" t="s">
        <v>49</v>
      </c>
      <c r="B21" s="3"/>
      <c r="C21" s="3"/>
      <c r="D21" s="3"/>
      <c r="E21" s="66"/>
      <c r="F21" s="3">
        <f>F5*$F$20+20000000+15000000</f>
        <v>42303807.7142912</v>
      </c>
      <c r="G21" s="3">
        <f>G5*$F$20+I19+J19</f>
        <v>53490005.213936403</v>
      </c>
      <c r="H21" s="3">
        <f>H5*$F$20+J19+H19</f>
        <v>113768095.37952769</v>
      </c>
      <c r="I21" s="3">
        <f>I5*$F$20+J19</f>
        <v>17861498.655955881</v>
      </c>
      <c r="J21" s="3">
        <f>J5*$F$20</f>
        <v>11976843.176262721</v>
      </c>
      <c r="K21" s="3"/>
      <c r="L21" s="3"/>
    </row>
    <row r="22" spans="1:12">
      <c r="A22" s="3" t="s">
        <v>50</v>
      </c>
      <c r="B22" s="3"/>
      <c r="C22" s="7"/>
      <c r="D22" s="3"/>
      <c r="E22" s="66">
        <f>2.5%</f>
        <v>2.5000000000000001E-2</v>
      </c>
      <c r="F22" s="3">
        <f>'Income satatement'!D11</f>
        <v>14285000</v>
      </c>
      <c r="G22" s="3">
        <f>F21*$E$22+$F$22</f>
        <v>15342595.19285728</v>
      </c>
      <c r="H22" s="3">
        <f t="shared" ref="H22" si="8">G21*$E$22+$F$22</f>
        <v>15622250.13034841</v>
      </c>
      <c r="I22" s="3">
        <f>H21*$E$22+$F$22</f>
        <v>17129202.384488191</v>
      </c>
      <c r="J22" s="3">
        <f>I21*$E$22+$F$22</f>
        <v>14731537.466398897</v>
      </c>
      <c r="K22" s="3"/>
      <c r="L22" s="3"/>
    </row>
    <row r="23" spans="1:12">
      <c r="A23" s="3" t="s">
        <v>182</v>
      </c>
      <c r="B23" s="3"/>
      <c r="C23" s="3"/>
      <c r="D23" s="3"/>
      <c r="E23" s="3"/>
      <c r="F23" s="156">
        <f>F21-F16+F19</f>
        <v>12172763.685096115</v>
      </c>
      <c r="G23" s="8"/>
      <c r="H23" s="8"/>
      <c r="I23" s="8"/>
      <c r="J23" s="8"/>
      <c r="K23" s="3"/>
      <c r="L23" s="3"/>
    </row>
    <row r="24" spans="1:12">
      <c r="A24" s="3"/>
      <c r="B24" s="3"/>
      <c r="C24" s="3"/>
      <c r="D24" s="3"/>
      <c r="E24" s="3"/>
      <c r="F24" s="8"/>
      <c r="G24" s="8"/>
      <c r="H24" s="8"/>
      <c r="I24" s="8"/>
      <c r="J24" s="8"/>
      <c r="K24" s="3"/>
      <c r="L24" s="3"/>
    </row>
    <row r="25" spans="1:12">
      <c r="A25" s="3"/>
      <c r="B25" s="3">
        <v>2.9000000000000001E-2</v>
      </c>
      <c r="C25" s="3"/>
      <c r="D25" s="3"/>
      <c r="E25" s="3"/>
      <c r="F25" s="8"/>
      <c r="G25" s="8"/>
      <c r="H25" s="8"/>
      <c r="I25" s="8"/>
      <c r="J25" s="8"/>
      <c r="K25" s="3"/>
      <c r="L25" s="3"/>
    </row>
    <row r="26" spans="1:12">
      <c r="A26" s="11" t="s">
        <v>18</v>
      </c>
      <c r="B26" s="3"/>
      <c r="C26" s="3"/>
      <c r="D26" s="3"/>
      <c r="E26" s="3"/>
      <c r="F26" s="3"/>
      <c r="G26" s="3"/>
      <c r="H26" s="3"/>
      <c r="I26" s="3"/>
      <c r="J26" s="3"/>
      <c r="K26" s="3"/>
      <c r="L26" s="3"/>
    </row>
    <row r="27" spans="1:12">
      <c r="A27" s="12" t="s">
        <v>19</v>
      </c>
      <c r="B27" s="3">
        <f>B5*$B$25</f>
        <v>4896650</v>
      </c>
      <c r="C27" s="3">
        <f>C5*$B$25</f>
        <v>4994873</v>
      </c>
      <c r="D27" s="3">
        <f>D5*$B$25</f>
        <v>5396465</v>
      </c>
      <c r="E27" s="3"/>
      <c r="F27" s="3">
        <f>F5*$B$25</f>
        <v>6051726.3918412803</v>
      </c>
      <c r="G27" s="3">
        <f>G5*$B$25</f>
        <v>7034575.74869016</v>
      </c>
      <c r="H27" s="3">
        <f>H5*$B$25</f>
        <v>7264993.3144657928</v>
      </c>
      <c r="I27" s="3">
        <f>I5*$B$25</f>
        <v>10656670.314934874</v>
      </c>
      <c r="J27" s="3">
        <f>J5*$B$25</f>
        <v>9923670.0603319686</v>
      </c>
      <c r="K27" s="3"/>
      <c r="L27" s="3"/>
    </row>
    <row r="28" spans="1:12">
      <c r="A28" s="13" t="s">
        <v>20</v>
      </c>
      <c r="B28" s="3"/>
      <c r="C28" s="3">
        <f>C27-B27</f>
        <v>98223</v>
      </c>
      <c r="D28" s="3">
        <f t="shared" ref="D28" si="9">D27-C27</f>
        <v>401592</v>
      </c>
      <c r="E28" s="3"/>
      <c r="F28" s="3">
        <f>F27-D27</f>
        <v>655261.39184128027</v>
      </c>
      <c r="G28" s="3">
        <f>G27-F27</f>
        <v>982849.35684887972</v>
      </c>
      <c r="H28" s="3">
        <f t="shared" ref="H28:J28" si="10">H27-G27</f>
        <v>230417.56577563286</v>
      </c>
      <c r="I28" s="3">
        <f t="shared" si="10"/>
        <v>3391677.0004690811</v>
      </c>
      <c r="J28" s="3">
        <f t="shared" si="10"/>
        <v>-733000.25460290536</v>
      </c>
      <c r="K28" s="3"/>
      <c r="L28" s="3"/>
    </row>
    <row r="29" spans="1:12">
      <c r="A29" s="26"/>
      <c r="B29" s="3"/>
      <c r="C29" s="3"/>
      <c r="D29" s="3"/>
      <c r="E29" s="3"/>
      <c r="F29" s="3"/>
      <c r="G29" s="3"/>
      <c r="H29" s="3"/>
      <c r="I29" s="3"/>
      <c r="J29" s="3"/>
      <c r="K29" s="3"/>
      <c r="L29" s="3"/>
    </row>
    <row r="30" spans="1:12">
      <c r="A30" s="3"/>
      <c r="B30" s="3"/>
      <c r="C30" s="3"/>
      <c r="D30" s="3"/>
      <c r="E30" s="3"/>
      <c r="F30" s="3"/>
      <c r="G30" s="3"/>
      <c r="H30" s="3"/>
      <c r="I30" s="3"/>
      <c r="J30" s="3"/>
      <c r="K30" s="3"/>
      <c r="L30" s="3"/>
    </row>
    <row r="31" spans="1:12">
      <c r="A31" s="3"/>
      <c r="B31" s="3"/>
      <c r="C31" s="3"/>
      <c r="D31" s="3"/>
      <c r="E31" s="3"/>
      <c r="F31" s="3"/>
      <c r="G31" s="3"/>
      <c r="H31" s="3"/>
      <c r="I31" s="3"/>
      <c r="J31" s="3"/>
      <c r="K31" s="3"/>
      <c r="L31" s="3"/>
    </row>
    <row r="32" spans="1:12">
      <c r="A32" s="139" t="s">
        <v>184</v>
      </c>
      <c r="B32" s="157">
        <f>(100000000*G2)/(100000000*(1-0.0375))</f>
        <v>8.8311688311688313E-2</v>
      </c>
      <c r="C32" s="9"/>
      <c r="D32" s="9"/>
      <c r="E32" s="3"/>
      <c r="F32" s="3"/>
      <c r="G32" s="3"/>
      <c r="H32" s="3"/>
      <c r="I32" s="3"/>
      <c r="J32" s="3"/>
      <c r="K32" s="3"/>
      <c r="L32" s="3"/>
    </row>
    <row r="33" spans="1:12">
      <c r="A33" s="3" t="s">
        <v>193</v>
      </c>
      <c r="B33">
        <v>15000000</v>
      </c>
      <c r="F33" s="3"/>
      <c r="G33" s="3"/>
      <c r="H33" s="3"/>
      <c r="I33" s="3"/>
      <c r="J33" s="3"/>
      <c r="K33" s="3"/>
      <c r="L33" s="3"/>
    </row>
    <row r="34" spans="1:12">
      <c r="A34" s="3" t="s">
        <v>195</v>
      </c>
      <c r="B34">
        <f>(B33/1000)*100</f>
        <v>1500000</v>
      </c>
      <c r="F34" s="3"/>
      <c r="G34" s="3"/>
      <c r="H34" s="3"/>
      <c r="I34" s="3"/>
      <c r="J34" s="3"/>
      <c r="K34" s="3"/>
      <c r="L34" s="3"/>
    </row>
    <row r="35" spans="1:12">
      <c r="A35" s="4" t="s">
        <v>159</v>
      </c>
      <c r="B35" s="108">
        <v>1998</v>
      </c>
      <c r="C35" s="108">
        <v>1999</v>
      </c>
      <c r="D35" s="108">
        <v>2000</v>
      </c>
      <c r="E35" s="108">
        <v>2001</v>
      </c>
      <c r="F35" s="108">
        <v>2002</v>
      </c>
      <c r="G35" s="3"/>
      <c r="H35" s="3"/>
      <c r="I35" s="3"/>
      <c r="J35" s="3"/>
      <c r="K35" s="3"/>
      <c r="L35" s="3"/>
    </row>
    <row r="36" spans="1:12">
      <c r="A36" s="3" t="s">
        <v>160</v>
      </c>
      <c r="B36" s="142">
        <f>((9456*48*0.71*0.91)+(3576*48*0.71*0.04*0.91)+(7966*48*0.71*0.91)+((19353-7966)*48*0.71*0.09))*360</f>
        <v>208680220.40832001</v>
      </c>
      <c r="C36" s="142">
        <f>((9456*49.5*0.73*0.91)+(3576*49.5*0.73*0.04*0.91)+(7966*49.5*0.73*0.91)+((19353-7966)*49.5*0.73*0.09))*360+((400*49.5*0.73*0.91)+(7*200*49.5*0.73*0.91))*360</f>
        <v>242571577.54103997</v>
      </c>
      <c r="D36" s="142">
        <f>((9456*49.6*0.72*0.91)+(3576*49.6*0.72*0.04*0.91)+(7966*49.6*0.72*0.91)+((19353-7966)*49.6*0.72*0.09))*360+((1200*49.6*0.72*0.91)+(7*200*49.6*0.72*0.91)+(120*55*0.6))*360</f>
        <v>250517010.84364802</v>
      </c>
      <c r="E36" s="142">
        <f>((9456*49.7*0.735*0.91)+(3576*49.7*0.735*0.04*0.91)+(7966*49.7*0.735*0.91)+((19353-7966)*49.7*0.735*0.09))*360+((1200*49.7*0.735*0.91+700*190*0.735)+(2000*140*0.735)+(7*200*49.7*0.735*0.91)+(120*2*57*0.69))*360</f>
        <v>367471390.17016804</v>
      </c>
      <c r="F36" s="142">
        <f>((9456*50.2*0.74*0.91)+(3576*50.2*0.74*0.04*0.91)+(7966*50.2*0.74*0.91)+((19353-7966)*50.2*0.74*0.09))*360+((1200*50.2*0.74*0.91)+(2000*145*0.74)+(7*200*50.2*0.74*0.91)+(120*3*60*0.75))*360</f>
        <v>342195519.32179201</v>
      </c>
      <c r="G36" s="3"/>
      <c r="H36" s="3"/>
      <c r="I36" s="3"/>
      <c r="J36" s="3"/>
      <c r="K36" s="3"/>
      <c r="L36" s="3"/>
    </row>
    <row r="37" spans="1:12">
      <c r="A37" s="3"/>
      <c r="B37" s="3"/>
      <c r="C37" s="3"/>
      <c r="D37" s="3"/>
      <c r="E37" s="3"/>
      <c r="F37" s="3"/>
      <c r="G37" s="3"/>
      <c r="H37" s="3"/>
      <c r="I37" s="3"/>
      <c r="J37" s="3"/>
      <c r="K37" s="3"/>
      <c r="L37" s="3"/>
    </row>
    <row r="38" spans="1:12">
      <c r="A38" s="3"/>
      <c r="B38" s="3"/>
      <c r="C38" s="3"/>
      <c r="D38" s="3"/>
      <c r="E38" s="3"/>
      <c r="F38" s="3"/>
      <c r="G38" s="3"/>
      <c r="H38" s="3"/>
      <c r="I38" s="3"/>
      <c r="J38" s="3"/>
      <c r="K38" s="3"/>
      <c r="L38" s="3"/>
    </row>
    <row r="39" spans="1:12">
      <c r="A39" s="3"/>
      <c r="B39" s="3"/>
      <c r="C39" s="3"/>
      <c r="D39" s="3"/>
      <c r="E39" s="3"/>
      <c r="F39" s="3"/>
      <c r="G39" s="3"/>
      <c r="H39" s="3"/>
      <c r="I39" s="3"/>
      <c r="J39" s="3"/>
      <c r="K39" s="3"/>
      <c r="L39" s="3"/>
    </row>
    <row r="40" spans="1:12">
      <c r="A40" s="3"/>
      <c r="B40" s="3"/>
      <c r="C40" s="3"/>
      <c r="D40" s="3"/>
      <c r="E40" s="3"/>
      <c r="F40" s="3"/>
      <c r="G40" s="3"/>
      <c r="H40" s="3"/>
      <c r="I40" s="3"/>
      <c r="J40" s="3"/>
      <c r="K40" s="3"/>
      <c r="L40" s="3"/>
    </row>
    <row r="41" spans="1:12">
      <c r="A41" s="3"/>
      <c r="B41" s="3"/>
      <c r="C41" s="3"/>
      <c r="D41" s="3"/>
      <c r="E41" s="3"/>
      <c r="F41" s="3"/>
      <c r="G41" s="3"/>
      <c r="H41" s="3"/>
      <c r="I41" s="3"/>
      <c r="J41" s="3"/>
      <c r="K41" s="3"/>
      <c r="L41" s="3"/>
    </row>
    <row r="42" spans="1:12">
      <c r="A42" s="3"/>
      <c r="B42" s="3"/>
      <c r="C42" s="3"/>
      <c r="D42" s="3"/>
      <c r="E42" s="3"/>
      <c r="F42" s="3"/>
      <c r="G42" s="3"/>
      <c r="H42" s="3"/>
      <c r="I42" s="3"/>
      <c r="J42" s="3"/>
      <c r="K42" s="3"/>
      <c r="L42" s="3"/>
    </row>
    <row r="43" spans="1:12">
      <c r="A43" s="3"/>
      <c r="B43" s="3"/>
      <c r="C43" s="3"/>
      <c r="D43" s="3"/>
      <c r="E43" s="3"/>
      <c r="F43" s="3"/>
      <c r="G43" s="3"/>
      <c r="H43" s="3"/>
      <c r="I43" s="3"/>
      <c r="J43" s="3"/>
      <c r="K43" s="3"/>
      <c r="L43" s="3"/>
    </row>
    <row r="44" spans="1:12">
      <c r="A44" s="3"/>
      <c r="B44" s="3"/>
      <c r="C44" s="3"/>
      <c r="D44" s="3"/>
      <c r="E44" s="3"/>
      <c r="F44" s="3"/>
      <c r="G44" s="3"/>
      <c r="H44" s="3"/>
      <c r="I44" s="3"/>
      <c r="J44" s="3"/>
      <c r="K44" s="3"/>
      <c r="L44" s="3"/>
    </row>
    <row r="45" spans="1:12">
      <c r="A45" s="3"/>
      <c r="B45" s="3"/>
      <c r="C45" s="3"/>
      <c r="D45" s="3"/>
      <c r="E45" s="3"/>
      <c r="F45" s="3"/>
      <c r="G45" s="3"/>
      <c r="H45" s="3"/>
      <c r="I45" s="3"/>
      <c r="J45" s="3"/>
      <c r="K45" s="3"/>
      <c r="L45" s="3"/>
    </row>
    <row r="46" spans="1:12">
      <c r="A46" s="3"/>
      <c r="B46" s="3"/>
      <c r="C46" s="3"/>
      <c r="D46" s="3"/>
      <c r="E46" s="3"/>
      <c r="F46" s="3"/>
      <c r="G46" s="3"/>
      <c r="H46" s="3"/>
      <c r="I46" s="3"/>
      <c r="J46" s="3"/>
      <c r="K46" s="3"/>
      <c r="L46" s="3"/>
    </row>
    <row r="47" spans="1:12">
      <c r="A47" s="3"/>
      <c r="B47" s="3"/>
      <c r="C47" s="3"/>
      <c r="D47" s="3"/>
      <c r="E47" s="3"/>
      <c r="F47" s="3"/>
      <c r="G47" s="3"/>
      <c r="H47" s="3"/>
      <c r="I47" s="3"/>
      <c r="J47" s="3"/>
      <c r="K47" s="3"/>
      <c r="L47" s="3"/>
    </row>
    <row r="48" spans="1:12">
      <c r="A48" s="3"/>
      <c r="B48" s="3"/>
      <c r="C48" s="3"/>
      <c r="D48" s="3"/>
      <c r="E48" s="3"/>
      <c r="F48" s="3"/>
      <c r="G48" s="3"/>
      <c r="H48" s="3"/>
      <c r="I48" s="3"/>
      <c r="J48" s="3"/>
      <c r="K48" s="3"/>
      <c r="L48" s="3"/>
    </row>
    <row r="49" spans="1:12">
      <c r="A49" s="3"/>
      <c r="B49" s="3"/>
      <c r="C49" s="3"/>
      <c r="D49" s="3"/>
      <c r="E49" s="3"/>
      <c r="F49" s="3"/>
      <c r="G49" s="3"/>
      <c r="H49" s="3"/>
      <c r="I49" s="3"/>
      <c r="J49" s="3"/>
      <c r="K49" s="3"/>
      <c r="L49" s="3"/>
    </row>
    <row r="50" spans="1:12">
      <c r="A50" s="3"/>
      <c r="B50" s="3"/>
      <c r="C50" s="3"/>
      <c r="D50" s="3"/>
      <c r="E50" s="3"/>
      <c r="F50" s="3"/>
      <c r="G50" s="3"/>
      <c r="H50" s="3"/>
      <c r="I50" s="3"/>
      <c r="J50" s="3"/>
      <c r="K50" s="3"/>
      <c r="L50" s="3"/>
    </row>
    <row r="51" spans="1:12">
      <c r="A51" s="3"/>
      <c r="B51" s="3"/>
      <c r="C51" s="3"/>
      <c r="D51" s="3"/>
      <c r="E51" s="3"/>
      <c r="F51" s="3"/>
      <c r="G51" s="3"/>
      <c r="H51" s="3"/>
      <c r="I51" s="3"/>
      <c r="J51" s="3"/>
      <c r="K51" s="3"/>
      <c r="L51" s="3"/>
    </row>
    <row r="52" spans="1:12">
      <c r="A52" s="3"/>
      <c r="B52" s="3"/>
      <c r="C52" s="3"/>
      <c r="D52" s="3"/>
      <c r="E52" s="3"/>
      <c r="F52" s="3"/>
      <c r="G52" s="3"/>
      <c r="H52" s="3"/>
      <c r="I52" s="3"/>
      <c r="J52" s="3"/>
      <c r="K52" s="3"/>
      <c r="L52" s="3"/>
    </row>
    <row r="53" spans="1:12">
      <c r="A53" s="3"/>
      <c r="B53" s="3"/>
      <c r="C53" s="3"/>
      <c r="D53" s="3"/>
      <c r="E53" s="3"/>
      <c r="F53" s="3"/>
      <c r="G53" s="3"/>
      <c r="H53" s="3"/>
      <c r="I53" s="3"/>
      <c r="J53" s="3"/>
      <c r="K53" s="3"/>
      <c r="L53" s="3"/>
    </row>
    <row r="54" spans="1:12">
      <c r="A54" s="3"/>
      <c r="B54" s="3"/>
      <c r="C54" s="3"/>
      <c r="D54" s="3"/>
      <c r="E54" s="3"/>
      <c r="F54" s="3"/>
      <c r="G54" s="3"/>
      <c r="H54" s="3"/>
      <c r="I54" s="3"/>
      <c r="J54" s="3"/>
      <c r="K54" s="3"/>
      <c r="L54" s="3"/>
    </row>
    <row r="55" spans="1:12">
      <c r="A55" s="3"/>
      <c r="B55" s="3"/>
      <c r="C55" s="3"/>
      <c r="D55" s="3"/>
      <c r="E55" s="3"/>
      <c r="F55" s="3"/>
      <c r="G55" s="3"/>
      <c r="H55" s="3"/>
      <c r="I55" s="3"/>
      <c r="J55" s="3"/>
      <c r="K55" s="3"/>
      <c r="L55" s="3"/>
    </row>
    <row r="56" spans="1:12">
      <c r="A56" s="3"/>
      <c r="B56" s="3"/>
      <c r="C56" s="3"/>
      <c r="D56" s="3"/>
      <c r="E56" s="3"/>
      <c r="F56" s="3"/>
      <c r="G56" s="3"/>
      <c r="H56" s="3"/>
      <c r="I56" s="3"/>
      <c r="J56" s="3"/>
      <c r="K56" s="3"/>
      <c r="L56" s="3"/>
    </row>
    <row r="57" spans="1:12">
      <c r="A57" s="3"/>
      <c r="B57" s="3"/>
      <c r="C57" s="3"/>
      <c r="D57" s="3"/>
      <c r="E57" s="3"/>
      <c r="F57" s="3"/>
      <c r="G57" s="3"/>
      <c r="H57" s="3"/>
      <c r="I57" s="3"/>
      <c r="J57" s="3"/>
      <c r="K57" s="3"/>
      <c r="L57" s="3"/>
    </row>
    <row r="58" spans="1:12">
      <c r="A58" s="3"/>
      <c r="B58" s="3"/>
      <c r="C58" s="3"/>
      <c r="D58" s="3"/>
      <c r="E58" s="3"/>
      <c r="F58" s="3"/>
      <c r="G58" s="3"/>
      <c r="H58" s="3"/>
      <c r="I58" s="3"/>
      <c r="J58" s="3"/>
      <c r="K58" s="3"/>
      <c r="L58" s="3"/>
    </row>
    <row r="59" spans="1:12">
      <c r="A59" s="3"/>
      <c r="B59" s="3"/>
      <c r="C59" s="3"/>
      <c r="D59" s="3"/>
      <c r="E59" s="3"/>
      <c r="F59" s="3"/>
      <c r="G59" s="3"/>
      <c r="H59" s="3"/>
      <c r="I59" s="3"/>
      <c r="J59" s="3"/>
      <c r="K59" s="3"/>
      <c r="L59" s="3"/>
    </row>
    <row r="60" spans="1:12">
      <c r="A60" s="3"/>
      <c r="B60" s="3"/>
      <c r="C60" s="3"/>
      <c r="D60" s="3"/>
      <c r="E60" s="3"/>
      <c r="F60" s="3"/>
      <c r="G60" s="3"/>
      <c r="H60" s="3"/>
      <c r="I60" s="3"/>
      <c r="J60" s="3"/>
      <c r="K60" s="3"/>
      <c r="L60" s="3"/>
    </row>
    <row r="61" spans="1:12">
      <c r="A61" s="3"/>
      <c r="B61" s="3"/>
      <c r="C61" s="3"/>
      <c r="D61" s="3"/>
      <c r="E61" s="3"/>
      <c r="F61" s="3"/>
      <c r="G61" s="3"/>
      <c r="H61" s="3"/>
      <c r="I61" s="3"/>
      <c r="J61" s="3"/>
      <c r="K61" s="3"/>
      <c r="L61" s="3"/>
    </row>
    <row r="62" spans="1:12">
      <c r="A62" s="3"/>
      <c r="B62" s="3"/>
      <c r="C62" s="3"/>
      <c r="D62" s="3"/>
      <c r="E62" s="3"/>
      <c r="F62" s="3"/>
      <c r="G62" s="3"/>
      <c r="H62" s="3"/>
      <c r="I62" s="3"/>
      <c r="J62" s="3"/>
      <c r="K62" s="3"/>
      <c r="L62" s="3"/>
    </row>
  </sheetData>
  <mergeCells count="2">
    <mergeCell ref="B3:D3"/>
    <mergeCell ref="F3:J3"/>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L62"/>
  <sheetViews>
    <sheetView topLeftCell="A19" workbookViewId="0">
      <selection activeCell="F6" sqref="F6"/>
    </sheetView>
  </sheetViews>
  <sheetFormatPr defaultRowHeight="15"/>
  <cols>
    <col min="1" max="1" width="38.140625" bestFit="1" customWidth="1"/>
    <col min="2" max="4" width="13.5703125" bestFit="1" customWidth="1"/>
    <col min="5" max="5" width="7" bestFit="1" customWidth="1"/>
    <col min="6" max="6" width="16.42578125" bestFit="1" customWidth="1"/>
    <col min="7" max="10" width="13.5703125" bestFit="1" customWidth="1"/>
  </cols>
  <sheetData>
    <row r="1" spans="1:12">
      <c r="A1" s="3"/>
      <c r="B1" s="3"/>
      <c r="C1" s="3"/>
      <c r="D1" s="3"/>
      <c r="E1" s="3"/>
      <c r="F1" s="3"/>
      <c r="G1" s="3"/>
      <c r="H1" s="3"/>
      <c r="I1" s="3"/>
      <c r="J1" s="3"/>
      <c r="K1" s="3"/>
      <c r="L1" s="3"/>
    </row>
    <row r="2" spans="1:12">
      <c r="A2" s="3"/>
      <c r="B2" s="3"/>
      <c r="C2" s="3"/>
      <c r="D2" s="155" t="s">
        <v>180</v>
      </c>
      <c r="E2" s="3">
        <v>0.35</v>
      </c>
      <c r="F2" s="155" t="s">
        <v>192</v>
      </c>
      <c r="G2" s="154">
        <v>8.5000000000000006E-2</v>
      </c>
      <c r="H2" s="3"/>
      <c r="I2" s="3"/>
      <c r="J2" s="3"/>
      <c r="K2" s="3"/>
      <c r="L2" s="3"/>
    </row>
    <row r="3" spans="1:12" ht="15.75">
      <c r="A3" s="3"/>
      <c r="B3" s="196" t="s">
        <v>100</v>
      </c>
      <c r="C3" s="196"/>
      <c r="D3" s="196"/>
      <c r="E3" s="3"/>
      <c r="F3" s="195" t="s">
        <v>16</v>
      </c>
      <c r="G3" s="195"/>
      <c r="H3" s="195"/>
      <c r="I3" s="195"/>
      <c r="J3" s="195"/>
      <c r="K3" s="3"/>
      <c r="L3" s="3"/>
    </row>
    <row r="4" spans="1:12">
      <c r="A4" s="93"/>
      <c r="B4" s="94">
        <v>1995</v>
      </c>
      <c r="C4" s="94">
        <v>1996</v>
      </c>
      <c r="D4" s="94">
        <v>1997</v>
      </c>
      <c r="F4" s="95">
        <v>1998</v>
      </c>
      <c r="G4" s="95">
        <v>1999</v>
      </c>
      <c r="H4" s="95">
        <v>2000</v>
      </c>
      <c r="I4" s="95">
        <v>2001</v>
      </c>
      <c r="J4" s="95">
        <v>2002</v>
      </c>
      <c r="K4" s="3"/>
      <c r="L4" s="3"/>
    </row>
    <row r="5" spans="1:12">
      <c r="A5" s="3" t="s">
        <v>3</v>
      </c>
      <c r="B5" s="5">
        <f>'Income satatement'!B4</f>
        <v>168850000</v>
      </c>
      <c r="C5" s="5">
        <f>'Income satatement'!C4</f>
        <v>172237000</v>
      </c>
      <c r="D5" s="5">
        <f>'Income satatement'!D4</f>
        <v>186085000</v>
      </c>
      <c r="E5" s="6"/>
      <c r="F5" s="142">
        <f>B36</f>
        <v>208680220.40832001</v>
      </c>
      <c r="G5" s="142">
        <f t="shared" ref="G5:J5" si="0">C36</f>
        <v>242571577.54103997</v>
      </c>
      <c r="H5" s="142">
        <f t="shared" si="0"/>
        <v>250517010.84364802</v>
      </c>
      <c r="I5" s="142">
        <f t="shared" si="0"/>
        <v>332279590.17016804</v>
      </c>
      <c r="J5" s="142">
        <f t="shared" si="0"/>
        <v>378559119.32179201</v>
      </c>
      <c r="K5" s="3"/>
      <c r="L5" s="3"/>
    </row>
    <row r="6" spans="1:12">
      <c r="A6" s="3" t="s">
        <v>137</v>
      </c>
      <c r="B6" s="9">
        <f>'Income satatement'!B15</f>
        <v>156500000</v>
      </c>
      <c r="C6" s="9">
        <f>'Income satatement'!C15</f>
        <v>159803000</v>
      </c>
      <c r="D6" s="9">
        <f>'Income satatement'!D15</f>
        <v>162494000</v>
      </c>
      <c r="E6" s="3"/>
      <c r="F6" s="3">
        <f>F5*$F$7</f>
        <v>176021765.91441792</v>
      </c>
      <c r="G6" s="3">
        <f>G5*G7</f>
        <v>213462988.23611519</v>
      </c>
      <c r="H6" s="3">
        <f t="shared" ref="H6:J6" si="1">H5*H7</f>
        <v>220454969.54241025</v>
      </c>
      <c r="I6" s="3">
        <f t="shared" si="1"/>
        <v>292406039.3497479</v>
      </c>
      <c r="J6" s="3">
        <f t="shared" si="1"/>
        <v>327453638.21335006</v>
      </c>
      <c r="K6" s="3"/>
      <c r="L6" s="3"/>
    </row>
    <row r="7" spans="1:12">
      <c r="A7" s="3" t="s">
        <v>17</v>
      </c>
      <c r="B7" s="7">
        <f>B6/B5</f>
        <v>0.92685815812851646</v>
      </c>
      <c r="C7" s="7">
        <f>C6/C5</f>
        <v>0.92780877511800597</v>
      </c>
      <c r="D7" s="7">
        <f>D6/D5</f>
        <v>0.87322460166053151</v>
      </c>
      <c r="E7" s="7"/>
      <c r="F7" s="153">
        <v>0.84350000000000003</v>
      </c>
      <c r="G7" s="153">
        <v>0.88</v>
      </c>
      <c r="H7" s="153">
        <v>0.88</v>
      </c>
      <c r="I7" s="153">
        <v>0.88</v>
      </c>
      <c r="J7" s="153">
        <v>0.86499999999999999</v>
      </c>
      <c r="K7" s="3"/>
      <c r="L7" s="3"/>
    </row>
    <row r="8" spans="1:12">
      <c r="A8" s="3"/>
      <c r="B8" s="3"/>
      <c r="C8" s="3"/>
      <c r="D8" s="3"/>
      <c r="E8" s="3"/>
      <c r="F8" s="3"/>
      <c r="G8" s="3"/>
      <c r="H8" s="3"/>
      <c r="I8" s="3"/>
      <c r="J8" s="3"/>
      <c r="K8" s="108"/>
      <c r="L8" s="3"/>
    </row>
    <row r="9" spans="1:12">
      <c r="A9" s="3" t="s">
        <v>48</v>
      </c>
      <c r="B9" s="9">
        <f>B5-B6</f>
        <v>12350000</v>
      </c>
      <c r="C9" s="9">
        <f>C5-C6</f>
        <v>12434000</v>
      </c>
      <c r="D9" s="9">
        <f>D5-D6</f>
        <v>23591000</v>
      </c>
      <c r="E9" s="9"/>
      <c r="F9" s="9">
        <f>F5-F6</f>
        <v>32658454.493902087</v>
      </c>
      <c r="G9" s="9">
        <f>G5-G6</f>
        <v>29108589.304924786</v>
      </c>
      <c r="H9" s="9">
        <f>H5-H6</f>
        <v>30062041.301237762</v>
      </c>
      <c r="I9" s="9">
        <f>I5-I6</f>
        <v>39873550.820420146</v>
      </c>
      <c r="J9" s="9">
        <f>J5-J6</f>
        <v>51105481.108441949</v>
      </c>
      <c r="K9" s="108"/>
      <c r="L9" s="3"/>
    </row>
    <row r="10" spans="1:12">
      <c r="A10" s="3" t="s">
        <v>17</v>
      </c>
      <c r="B10" s="7">
        <f>B9/B5</f>
        <v>7.3141841871483565E-2</v>
      </c>
      <c r="C10" s="7">
        <f>C9/C5</f>
        <v>7.219122488199399E-2</v>
      </c>
      <c r="D10" s="7">
        <f>D9/D5</f>
        <v>0.12677539833946852</v>
      </c>
      <c r="E10" s="7"/>
      <c r="F10" s="7">
        <f>F9/F5</f>
        <v>0.15650000000000003</v>
      </c>
      <c r="G10" s="7">
        <f>G9/G5</f>
        <v>0.11999999999999995</v>
      </c>
      <c r="H10" s="7">
        <f>H9/H5</f>
        <v>0.12</v>
      </c>
      <c r="I10" s="7">
        <f>I9/I5</f>
        <v>0.11999999999999994</v>
      </c>
      <c r="J10" s="7">
        <f>J9/J5</f>
        <v>0.13500000000000006</v>
      </c>
      <c r="K10" s="3"/>
      <c r="L10" s="3"/>
    </row>
    <row r="11" spans="1:12">
      <c r="A11" s="3" t="s">
        <v>4</v>
      </c>
      <c r="B11" s="10">
        <f>'Income satatement'!B17</f>
        <v>3613000</v>
      </c>
      <c r="C11" s="10">
        <f>'Income satatement'!C17</f>
        <v>3613000</v>
      </c>
      <c r="D11" s="10">
        <f>'Income satatement'!D17</f>
        <v>3613000</v>
      </c>
      <c r="E11" s="3"/>
      <c r="F11" s="3">
        <f>D11/2</f>
        <v>1806500</v>
      </c>
      <c r="G11" s="3">
        <f>$B$33*$G$2</f>
        <v>1275000</v>
      </c>
      <c r="H11" s="3">
        <f t="shared" ref="H11" si="2">$B$33*$G$2</f>
        <v>1275000</v>
      </c>
      <c r="I11" s="3"/>
      <c r="J11" s="3"/>
      <c r="K11" s="3"/>
      <c r="L11" s="3"/>
    </row>
    <row r="12" spans="1:12">
      <c r="A12" s="3" t="s">
        <v>138</v>
      </c>
      <c r="B12" s="6">
        <f>B9-B11</f>
        <v>8737000</v>
      </c>
      <c r="C12" s="6">
        <f t="shared" ref="C12:J12" si="3">C9-C11</f>
        <v>8821000</v>
      </c>
      <c r="D12" s="6">
        <f t="shared" si="3"/>
        <v>19978000</v>
      </c>
      <c r="E12" s="6"/>
      <c r="F12" s="6">
        <f t="shared" si="3"/>
        <v>30851954.493902087</v>
      </c>
      <c r="G12" s="6">
        <f t="shared" si="3"/>
        <v>27833589.304924786</v>
      </c>
      <c r="H12" s="6">
        <f t="shared" si="3"/>
        <v>28787041.301237762</v>
      </c>
      <c r="I12" s="6">
        <f t="shared" si="3"/>
        <v>39873550.820420146</v>
      </c>
      <c r="J12" s="6">
        <f t="shared" si="3"/>
        <v>51105481.108441949</v>
      </c>
      <c r="K12" s="3"/>
      <c r="L12" s="3"/>
    </row>
    <row r="13" spans="1:12">
      <c r="A13" s="3" t="s">
        <v>178</v>
      </c>
      <c r="B13" s="10">
        <f>'Income satatement'!B19</f>
        <v>128000</v>
      </c>
      <c r="C13" s="10">
        <f>'Income satatement'!C19</f>
        <v>2190000</v>
      </c>
      <c r="D13" s="10">
        <f>'Income satatement'!D19</f>
        <v>7007000</v>
      </c>
      <c r="E13" s="3"/>
      <c r="F13" s="3">
        <f>F12*$E$2</f>
        <v>10798184.07286573</v>
      </c>
      <c r="G13" s="3">
        <f t="shared" ref="G13:J13" si="4">G12*$E$2</f>
        <v>9741756.256723674</v>
      </c>
      <c r="H13" s="3">
        <f t="shared" si="4"/>
        <v>10075464.455433216</v>
      </c>
      <c r="I13" s="3">
        <f t="shared" si="4"/>
        <v>13955742.787147051</v>
      </c>
      <c r="J13" s="3">
        <f t="shared" si="4"/>
        <v>17886918.387954682</v>
      </c>
      <c r="K13" s="3"/>
      <c r="L13" s="3"/>
    </row>
    <row r="14" spans="1:12">
      <c r="A14" s="3" t="s">
        <v>6</v>
      </c>
      <c r="B14" s="6">
        <f>B12-B13</f>
        <v>8609000</v>
      </c>
      <c r="C14" s="6">
        <f t="shared" ref="C14:J14" si="5">C12-C13</f>
        <v>6631000</v>
      </c>
      <c r="D14" s="6">
        <f t="shared" si="5"/>
        <v>12971000</v>
      </c>
      <c r="E14" s="6"/>
      <c r="F14" s="6">
        <f t="shared" si="5"/>
        <v>20053770.421036355</v>
      </c>
      <c r="G14" s="6">
        <f t="shared" si="5"/>
        <v>18091833.048201114</v>
      </c>
      <c r="H14" s="6">
        <f>H12-H13</f>
        <v>18711576.845804546</v>
      </c>
      <c r="I14" s="6">
        <f t="shared" si="5"/>
        <v>25917808.033273093</v>
      </c>
      <c r="J14" s="6">
        <f t="shared" si="5"/>
        <v>33218562.720487267</v>
      </c>
      <c r="K14" s="3"/>
      <c r="L14" s="3"/>
    </row>
    <row r="15" spans="1:12">
      <c r="A15" s="3" t="s">
        <v>179</v>
      </c>
      <c r="B15" s="10"/>
      <c r="C15" s="10"/>
      <c r="D15" s="10">
        <f>'Balance sheet'!B25</f>
        <v>68129000</v>
      </c>
      <c r="E15" s="3"/>
      <c r="F15" s="9">
        <f>D15+F14</f>
        <v>88182770.421036363</v>
      </c>
      <c r="G15" s="9">
        <f>F15+G14</f>
        <v>106274603.46923748</v>
      </c>
      <c r="H15" s="9">
        <f t="shared" ref="H15:J15" si="6">G15+H14</f>
        <v>124986180.31504202</v>
      </c>
      <c r="I15" s="9">
        <f t="shared" si="6"/>
        <v>150903988.34831512</v>
      </c>
      <c r="J15" s="9">
        <f t="shared" si="6"/>
        <v>184122551.06880239</v>
      </c>
      <c r="K15" s="3"/>
      <c r="L15" s="3"/>
    </row>
    <row r="16" spans="1:12">
      <c r="A16" s="3" t="s">
        <v>181</v>
      </c>
      <c r="B16" s="10"/>
      <c r="C16" s="10"/>
      <c r="D16" s="10">
        <f>D15-D27</f>
        <v>62732535</v>
      </c>
      <c r="E16" s="3"/>
      <c r="F16" s="9">
        <f>F15-F27</f>
        <v>82131044.029195085</v>
      </c>
      <c r="G16" s="9">
        <f t="shared" ref="G16:J16" si="7">G15-G27</f>
        <v>99240027.720547318</v>
      </c>
      <c r="H16" s="171">
        <f t="shared" si="7"/>
        <v>117721187.00057623</v>
      </c>
      <c r="I16" s="9">
        <f t="shared" si="7"/>
        <v>141267880.23338026</v>
      </c>
      <c r="J16" s="9">
        <f t="shared" si="7"/>
        <v>173144336.60847041</v>
      </c>
      <c r="K16" s="3"/>
      <c r="L16" s="3"/>
    </row>
    <row r="17" spans="1:12">
      <c r="A17" s="3"/>
      <c r="B17" s="10"/>
      <c r="C17" s="10"/>
      <c r="D17" s="10"/>
      <c r="E17" s="3"/>
      <c r="F17" s="3">
        <f>F5*F20</f>
        <v>7303807.714291201</v>
      </c>
      <c r="G17" s="3"/>
      <c r="H17" s="3"/>
      <c r="I17" s="3"/>
      <c r="J17" s="3"/>
      <c r="K17" s="3"/>
      <c r="L17" s="3"/>
    </row>
    <row r="18" spans="1:12">
      <c r="A18" s="3"/>
      <c r="B18" s="3"/>
      <c r="C18" s="10"/>
      <c r="D18" s="10"/>
      <c r="E18" s="10"/>
      <c r="F18" s="3"/>
      <c r="G18" s="3"/>
      <c r="H18" s="3"/>
      <c r="I18" s="3">
        <f>85000000</f>
        <v>85000000</v>
      </c>
      <c r="J18" s="3"/>
      <c r="K18" s="3"/>
      <c r="L18" s="3"/>
    </row>
    <row r="19" spans="1:12">
      <c r="A19" s="3"/>
      <c r="B19" s="7"/>
      <c r="C19" s="7"/>
      <c r="D19" s="7"/>
      <c r="E19" s="7"/>
      <c r="F19" s="3">
        <v>52000000</v>
      </c>
      <c r="G19" s="3">
        <v>20000000</v>
      </c>
      <c r="H19" s="3">
        <f>15000000</f>
        <v>15000000</v>
      </c>
      <c r="I19" s="3">
        <f>40000000+I18</f>
        <v>125000000</v>
      </c>
      <c r="J19" s="3">
        <v>5000000</v>
      </c>
      <c r="K19" s="3"/>
      <c r="L19" s="3"/>
    </row>
    <row r="20" spans="1:12">
      <c r="A20" s="3"/>
      <c r="B20" s="3"/>
      <c r="C20" s="3"/>
      <c r="D20" s="3"/>
      <c r="E20" s="3"/>
      <c r="F20" s="154">
        <v>3.5000000000000003E-2</v>
      </c>
      <c r="G20" s="3"/>
      <c r="H20" s="3"/>
      <c r="I20" s="3"/>
      <c r="J20" s="3"/>
      <c r="K20" s="3"/>
      <c r="L20" s="3"/>
    </row>
    <row r="21" spans="1:12">
      <c r="A21" s="3" t="s">
        <v>49</v>
      </c>
      <c r="B21" s="3"/>
      <c r="C21" s="3"/>
      <c r="D21" s="3"/>
      <c r="E21" s="66"/>
      <c r="F21" s="3">
        <f>F5*$F$20+20000000+15000000</f>
        <v>42303807.7142912</v>
      </c>
      <c r="G21" s="3">
        <f>G5*$F$20+I19+J19</f>
        <v>138490005.21393639</v>
      </c>
      <c r="H21" s="3">
        <f>H5*$F$20+J19+H19</f>
        <v>28768095.379527681</v>
      </c>
      <c r="I21" s="3">
        <f>I5*$F$20+J19</f>
        <v>16629785.655955883</v>
      </c>
      <c r="J21" s="3">
        <f>J5*$F$20</f>
        <v>13249569.176262721</v>
      </c>
      <c r="K21" s="3"/>
      <c r="L21" s="3"/>
    </row>
    <row r="22" spans="1:12">
      <c r="A22" s="3" t="s">
        <v>50</v>
      </c>
      <c r="B22" s="3"/>
      <c r="C22" s="7"/>
      <c r="D22" s="3"/>
      <c r="E22" s="66">
        <f>2.5%</f>
        <v>2.5000000000000001E-2</v>
      </c>
      <c r="F22" s="3">
        <f>'Income satatement'!D11</f>
        <v>14285000</v>
      </c>
      <c r="G22" s="3">
        <f>F21*$E$22+$F$22</f>
        <v>15342595.19285728</v>
      </c>
      <c r="H22" s="3">
        <f t="shared" ref="H22" si="8">G21*$E$22+$F$22</f>
        <v>17747250.13034841</v>
      </c>
      <c r="I22" s="3">
        <f>H21*$E$22+$F$22</f>
        <v>15004202.384488191</v>
      </c>
      <c r="J22" s="3">
        <f>I21*$E$22+$F$22</f>
        <v>14700744.641398897</v>
      </c>
      <c r="K22" s="3"/>
      <c r="L22" s="3"/>
    </row>
    <row r="23" spans="1:12">
      <c r="A23" s="3" t="s">
        <v>182</v>
      </c>
      <c r="B23" s="3"/>
      <c r="C23" s="3"/>
      <c r="D23" s="3"/>
      <c r="E23" s="3"/>
      <c r="F23" s="156">
        <f>F21-F16+F19</f>
        <v>12172763.685096115</v>
      </c>
      <c r="G23" s="8"/>
      <c r="H23" s="8"/>
      <c r="I23" s="8"/>
      <c r="J23" s="8"/>
      <c r="K23" s="3"/>
      <c r="L23" s="3"/>
    </row>
    <row r="24" spans="1:12">
      <c r="A24" s="3"/>
      <c r="B24" s="3"/>
      <c r="C24" s="3"/>
      <c r="D24" s="3"/>
      <c r="E24" s="3"/>
      <c r="F24" s="8"/>
      <c r="G24" s="8"/>
      <c r="H24" s="8"/>
      <c r="I24" s="8"/>
      <c r="J24" s="8"/>
      <c r="K24" s="3"/>
      <c r="L24" s="3"/>
    </row>
    <row r="25" spans="1:12">
      <c r="A25" s="3"/>
      <c r="B25" s="3">
        <v>2.9000000000000001E-2</v>
      </c>
      <c r="C25" s="3"/>
      <c r="D25" s="3"/>
      <c r="E25" s="3"/>
      <c r="F25" s="8"/>
      <c r="G25" s="8"/>
      <c r="H25" s="8"/>
      <c r="I25" s="8"/>
      <c r="J25" s="8"/>
      <c r="K25" s="3"/>
      <c r="L25" s="3"/>
    </row>
    <row r="26" spans="1:12">
      <c r="A26" s="11" t="s">
        <v>18</v>
      </c>
      <c r="B26" s="3"/>
      <c r="C26" s="3"/>
      <c r="D26" s="3"/>
      <c r="E26" s="3"/>
      <c r="F26" s="3"/>
      <c r="G26" s="3"/>
      <c r="H26" s="3"/>
      <c r="I26" s="3"/>
      <c r="J26" s="3"/>
      <c r="K26" s="3"/>
      <c r="L26" s="3"/>
    </row>
    <row r="27" spans="1:12">
      <c r="A27" s="12" t="s">
        <v>19</v>
      </c>
      <c r="B27" s="3">
        <f>B5*$B$25</f>
        <v>4896650</v>
      </c>
      <c r="C27" s="3">
        <f>C5*$B$25</f>
        <v>4994873</v>
      </c>
      <c r="D27" s="3">
        <f>D5*$B$25</f>
        <v>5396465</v>
      </c>
      <c r="E27" s="3"/>
      <c r="F27" s="3">
        <f>F5*$B$25</f>
        <v>6051726.3918412803</v>
      </c>
      <c r="G27" s="3">
        <f>G5*$B$25</f>
        <v>7034575.74869016</v>
      </c>
      <c r="H27" s="3">
        <f>H5*$B$25</f>
        <v>7264993.3144657928</v>
      </c>
      <c r="I27" s="3">
        <f>I5*$B$25</f>
        <v>9636108.1149348728</v>
      </c>
      <c r="J27" s="3">
        <f>J5*$B$25</f>
        <v>10978214.460331969</v>
      </c>
      <c r="K27" s="3"/>
      <c r="L27" s="3"/>
    </row>
    <row r="28" spans="1:12">
      <c r="A28" s="13" t="s">
        <v>20</v>
      </c>
      <c r="B28" s="3"/>
      <c r="C28" s="3">
        <f>C27-B27</f>
        <v>98223</v>
      </c>
      <c r="D28" s="3">
        <f t="shared" ref="D28" si="9">D27-C27</f>
        <v>401592</v>
      </c>
      <c r="E28" s="3"/>
      <c r="F28" s="3">
        <f>F27-D27</f>
        <v>655261.39184128027</v>
      </c>
      <c r="G28" s="3">
        <f>G27-F27</f>
        <v>982849.35684887972</v>
      </c>
      <c r="H28" s="3">
        <f t="shared" ref="H28:J28" si="10">H27-G27</f>
        <v>230417.56577563286</v>
      </c>
      <c r="I28" s="3">
        <f t="shared" si="10"/>
        <v>2371114.80046908</v>
      </c>
      <c r="J28" s="3">
        <f t="shared" si="10"/>
        <v>1342106.3453970961</v>
      </c>
      <c r="K28" s="3"/>
      <c r="L28" s="3"/>
    </row>
    <row r="29" spans="1:12">
      <c r="A29" s="26"/>
      <c r="B29" s="3"/>
      <c r="C29" s="3"/>
      <c r="D29" s="3"/>
      <c r="E29" s="3"/>
      <c r="F29" s="3"/>
      <c r="G29" s="3"/>
      <c r="H29" s="3"/>
      <c r="I29" s="3"/>
      <c r="J29" s="3"/>
      <c r="K29" s="3"/>
      <c r="L29" s="3"/>
    </row>
    <row r="30" spans="1:12">
      <c r="A30" s="3"/>
      <c r="B30" s="3"/>
      <c r="C30" s="3"/>
      <c r="D30" s="3"/>
      <c r="E30" s="3"/>
      <c r="F30" s="3"/>
      <c r="G30" s="3"/>
      <c r="H30" s="3"/>
      <c r="I30" s="3"/>
      <c r="J30" s="3"/>
      <c r="K30" s="3"/>
      <c r="L30" s="3"/>
    </row>
    <row r="31" spans="1:12">
      <c r="A31" s="3"/>
      <c r="B31" s="3"/>
      <c r="C31" s="3"/>
      <c r="D31" s="3"/>
      <c r="E31" s="3"/>
      <c r="F31" s="3"/>
      <c r="G31" s="3"/>
      <c r="H31" s="3"/>
      <c r="I31" s="3"/>
      <c r="J31" s="3"/>
      <c r="K31" s="3"/>
      <c r="L31" s="3"/>
    </row>
    <row r="32" spans="1:12">
      <c r="A32" s="139" t="s">
        <v>184</v>
      </c>
      <c r="B32" s="157">
        <f>(100000000*G2)/(100000000*(1-0.0375))</f>
        <v>8.8311688311688313E-2</v>
      </c>
      <c r="C32" s="9"/>
      <c r="D32" s="9"/>
      <c r="E32" s="3"/>
      <c r="F32" s="3"/>
      <c r="G32" s="3"/>
      <c r="H32" s="3"/>
      <c r="I32" s="3"/>
      <c r="J32" s="3"/>
      <c r="K32" s="3"/>
      <c r="L32" s="3"/>
    </row>
    <row r="33" spans="1:12">
      <c r="A33" s="3" t="s">
        <v>193</v>
      </c>
      <c r="B33">
        <v>15000000</v>
      </c>
      <c r="F33" s="3"/>
      <c r="G33" s="3"/>
      <c r="H33" s="3"/>
      <c r="I33" s="3"/>
      <c r="J33" s="3"/>
      <c r="K33" s="3"/>
      <c r="L33" s="3"/>
    </row>
    <row r="34" spans="1:12">
      <c r="A34" s="3"/>
      <c r="F34" s="3"/>
      <c r="G34" s="3"/>
      <c r="H34" s="3"/>
      <c r="I34" s="3"/>
      <c r="J34" s="3"/>
      <c r="K34" s="3"/>
      <c r="L34" s="3"/>
    </row>
    <row r="35" spans="1:12">
      <c r="A35" s="4" t="s">
        <v>159</v>
      </c>
      <c r="B35" s="108">
        <v>1998</v>
      </c>
      <c r="C35" s="108">
        <v>1999</v>
      </c>
      <c r="D35" s="108">
        <v>2000</v>
      </c>
      <c r="E35" s="108">
        <v>2001</v>
      </c>
      <c r="F35" s="108">
        <v>2002</v>
      </c>
      <c r="G35" s="3"/>
      <c r="H35" s="3"/>
      <c r="I35" s="3"/>
      <c r="J35" s="3"/>
      <c r="K35" s="3"/>
      <c r="L35" s="3"/>
    </row>
    <row r="36" spans="1:12">
      <c r="A36" s="3" t="s">
        <v>160</v>
      </c>
      <c r="B36" s="142">
        <f>((9456*48*0.71*0.91)+(3576*48*0.71*0.04*0.91)+(7966*48*0.71*0.91)+((19353-7966)*48*0.71*0.09))*360</f>
        <v>208680220.40832001</v>
      </c>
      <c r="C36" s="142">
        <f>((9456*49.5*0.73*0.91)+(3576*49.5*0.73*0.04*0.91)+(7966*49.5*0.73*0.91)+((19353-7966)*49.5*0.73*0.09))*360+((400*49.5*0.73*0.91)+(7*200*49.5*0.73*0.91))*360</f>
        <v>242571577.54103997</v>
      </c>
      <c r="D36" s="142">
        <f>((9456*49.6*0.72*0.91)+(3576*49.6*0.72*0.04*0.91)+(7966*49.6*0.72*0.91)+((19353-7966)*49.6*0.72*0.09))*360+((1200*49.6*0.72*0.91)+(7*200*49.6*0.72*0.91)+(120*55*0.6))*360</f>
        <v>250517010.84364802</v>
      </c>
      <c r="E36" s="142">
        <f>((9456*49.7*0.735*0.91)+(3576*49.7*0.735*0.04*0.91)+(7966*49.7*0.735*0.91)+((19353-7966)*49.7*0.735*0.09))*360+((1200*49.7*0.735*0.91)+(2000*140*0.735)+(7*200*49.7*0.735*0.91)+(120*2*57*0.69))*360</f>
        <v>332279590.17016804</v>
      </c>
      <c r="F36" s="142">
        <f>((9456*50.2*0.74*0.91)+(3576*50.2*0.74*0.04*0.91)+(7966*50.2*0.74*0.91)+((19353-7966)*50.2*0.74*0.09))*360+((1200*50.2*0.74*0.91+700*195*0.74)+(2000*145*0.74)+(7*200*50.2*0.74*0.91)+(120*3*60*0.75))*360</f>
        <v>378559119.32179201</v>
      </c>
      <c r="G36" s="3"/>
      <c r="H36" s="3"/>
      <c r="I36" s="3"/>
      <c r="J36" s="3"/>
      <c r="K36" s="3"/>
      <c r="L36" s="3"/>
    </row>
    <row r="37" spans="1:12">
      <c r="A37" s="3"/>
      <c r="B37" s="3"/>
      <c r="C37" s="3"/>
      <c r="D37" s="3"/>
      <c r="E37" s="3"/>
      <c r="F37" s="3"/>
      <c r="G37" s="3"/>
      <c r="H37" s="3"/>
      <c r="I37" s="3"/>
      <c r="J37" s="3"/>
      <c r="K37" s="3"/>
      <c r="L37" s="3"/>
    </row>
    <row r="38" spans="1:12">
      <c r="A38" s="3"/>
      <c r="B38" s="3"/>
      <c r="C38" s="3"/>
      <c r="D38" s="3"/>
      <c r="E38" s="3"/>
      <c r="F38" s="3"/>
      <c r="G38" s="3"/>
      <c r="H38" s="3"/>
      <c r="I38" s="3"/>
      <c r="J38" s="3"/>
      <c r="K38" s="3"/>
      <c r="L38" s="3"/>
    </row>
    <row r="39" spans="1:12">
      <c r="A39" s="3"/>
      <c r="B39" s="3"/>
      <c r="C39" s="3"/>
      <c r="D39" s="3"/>
      <c r="E39" s="3"/>
      <c r="F39" s="3"/>
      <c r="G39" s="3"/>
      <c r="H39" s="3"/>
      <c r="I39" s="3"/>
      <c r="J39" s="3"/>
      <c r="K39" s="3"/>
      <c r="L39" s="3"/>
    </row>
    <row r="40" spans="1:12">
      <c r="A40" s="3"/>
      <c r="B40" s="3"/>
      <c r="C40" s="3"/>
      <c r="D40" s="3"/>
      <c r="E40" s="3"/>
      <c r="F40" s="3"/>
      <c r="G40" s="3"/>
      <c r="H40" s="3"/>
      <c r="I40" s="3"/>
      <c r="J40" s="3"/>
      <c r="K40" s="3"/>
      <c r="L40" s="3"/>
    </row>
    <row r="41" spans="1:12">
      <c r="A41" s="3"/>
      <c r="B41" s="3"/>
      <c r="C41" s="3"/>
      <c r="D41" s="3"/>
      <c r="E41" s="3"/>
      <c r="F41" s="3"/>
      <c r="G41" s="3"/>
      <c r="H41" s="3"/>
      <c r="I41" s="3"/>
      <c r="J41" s="3"/>
      <c r="K41" s="3"/>
      <c r="L41" s="3"/>
    </row>
    <row r="42" spans="1:12">
      <c r="A42" s="3"/>
      <c r="B42" s="3"/>
      <c r="C42" s="3"/>
      <c r="D42" s="3"/>
      <c r="E42" s="3"/>
      <c r="F42" s="3"/>
      <c r="G42" s="3"/>
      <c r="H42" s="3"/>
      <c r="I42" s="3"/>
      <c r="J42" s="3"/>
      <c r="K42" s="3"/>
      <c r="L42" s="3"/>
    </row>
    <row r="43" spans="1:12">
      <c r="A43" s="3"/>
      <c r="B43" s="3"/>
      <c r="C43" s="3"/>
      <c r="D43" s="3"/>
      <c r="E43" s="3"/>
      <c r="F43" s="3"/>
      <c r="G43" s="3"/>
      <c r="H43" s="3"/>
      <c r="I43" s="3"/>
      <c r="J43" s="3"/>
      <c r="K43" s="3"/>
      <c r="L43" s="3"/>
    </row>
    <row r="44" spans="1:12">
      <c r="A44" s="3"/>
      <c r="B44" s="3"/>
      <c r="C44" s="3"/>
      <c r="D44" s="3"/>
      <c r="E44" s="3"/>
      <c r="F44" s="3"/>
      <c r="G44" s="3"/>
      <c r="H44" s="3"/>
      <c r="I44" s="3"/>
      <c r="J44" s="3"/>
      <c r="K44" s="3"/>
      <c r="L44" s="3"/>
    </row>
    <row r="45" spans="1:12">
      <c r="A45" s="3"/>
      <c r="B45" s="3"/>
      <c r="C45" s="3"/>
      <c r="D45" s="3"/>
      <c r="E45" s="3"/>
      <c r="F45" s="3"/>
      <c r="G45" s="3"/>
      <c r="H45" s="3"/>
      <c r="I45" s="3"/>
      <c r="J45" s="3"/>
      <c r="K45" s="3"/>
      <c r="L45" s="3"/>
    </row>
    <row r="46" spans="1:12">
      <c r="A46" s="3"/>
      <c r="B46" s="3"/>
      <c r="C46" s="3"/>
      <c r="D46" s="3"/>
      <c r="E46" s="3"/>
      <c r="F46" s="3"/>
      <c r="G46" s="3"/>
      <c r="H46" s="3"/>
      <c r="I46" s="3"/>
      <c r="J46" s="3"/>
      <c r="K46" s="3"/>
      <c r="L46" s="3"/>
    </row>
    <row r="47" spans="1:12">
      <c r="A47" s="3"/>
      <c r="B47" s="3"/>
      <c r="C47" s="3"/>
      <c r="D47" s="3"/>
      <c r="E47" s="3"/>
      <c r="F47" s="3"/>
      <c r="G47" s="3"/>
      <c r="H47" s="3"/>
      <c r="I47" s="3"/>
      <c r="J47" s="3"/>
      <c r="K47" s="3"/>
      <c r="L47" s="3"/>
    </row>
    <row r="48" spans="1:12">
      <c r="A48" s="3"/>
      <c r="B48" s="3"/>
      <c r="C48" s="3"/>
      <c r="D48" s="3"/>
      <c r="E48" s="3"/>
      <c r="F48" s="3"/>
      <c r="G48" s="3"/>
      <c r="H48" s="3"/>
      <c r="I48" s="3"/>
      <c r="J48" s="3"/>
      <c r="K48" s="3"/>
      <c r="L48" s="3"/>
    </row>
    <row r="49" spans="1:12">
      <c r="A49" s="3"/>
      <c r="B49" s="3"/>
      <c r="C49" s="3"/>
      <c r="D49" s="3"/>
      <c r="E49" s="3"/>
      <c r="F49" s="3"/>
      <c r="G49" s="3"/>
      <c r="H49" s="3"/>
      <c r="I49" s="3"/>
      <c r="J49" s="3"/>
      <c r="K49" s="3"/>
      <c r="L49" s="3"/>
    </row>
    <row r="50" spans="1:12">
      <c r="A50" s="3"/>
      <c r="B50" s="3"/>
      <c r="C50" s="3"/>
      <c r="D50" s="3"/>
      <c r="E50" s="3"/>
      <c r="F50" s="3"/>
      <c r="G50" s="3"/>
      <c r="H50" s="3"/>
      <c r="I50" s="3"/>
      <c r="J50" s="3"/>
      <c r="K50" s="3"/>
      <c r="L50" s="3"/>
    </row>
    <row r="51" spans="1:12">
      <c r="A51" s="3"/>
      <c r="B51" s="3"/>
      <c r="C51" s="3"/>
      <c r="D51" s="3"/>
      <c r="E51" s="3"/>
      <c r="F51" s="3"/>
      <c r="G51" s="3"/>
      <c r="H51" s="3"/>
      <c r="I51" s="3"/>
      <c r="J51" s="3"/>
      <c r="K51" s="3"/>
      <c r="L51" s="3"/>
    </row>
    <row r="52" spans="1:12">
      <c r="A52" s="3"/>
      <c r="B52" s="3"/>
      <c r="C52" s="3"/>
      <c r="D52" s="3"/>
      <c r="E52" s="3"/>
      <c r="F52" s="3"/>
      <c r="G52" s="3"/>
      <c r="H52" s="3"/>
      <c r="I52" s="3"/>
      <c r="J52" s="3"/>
      <c r="K52" s="3"/>
      <c r="L52" s="3"/>
    </row>
    <row r="53" spans="1:12">
      <c r="A53" s="3"/>
      <c r="B53" s="3"/>
      <c r="C53" s="3"/>
      <c r="D53" s="3"/>
      <c r="E53" s="3"/>
      <c r="F53" s="3"/>
      <c r="G53" s="3"/>
      <c r="H53" s="3"/>
      <c r="I53" s="3"/>
      <c r="J53" s="3"/>
      <c r="K53" s="3"/>
      <c r="L53" s="3"/>
    </row>
    <row r="54" spans="1:12">
      <c r="A54" s="3"/>
      <c r="B54" s="3"/>
      <c r="C54" s="3"/>
      <c r="D54" s="3"/>
      <c r="E54" s="3"/>
      <c r="F54" s="3"/>
      <c r="G54" s="3"/>
      <c r="H54" s="3"/>
      <c r="I54" s="3"/>
      <c r="J54" s="3"/>
      <c r="K54" s="3"/>
      <c r="L54" s="3"/>
    </row>
    <row r="55" spans="1:12">
      <c r="A55" s="3"/>
      <c r="B55" s="3"/>
      <c r="C55" s="3"/>
      <c r="D55" s="3"/>
      <c r="E55" s="3"/>
      <c r="F55" s="3"/>
      <c r="G55" s="3"/>
      <c r="H55" s="3"/>
      <c r="I55" s="3"/>
      <c r="J55" s="3"/>
      <c r="K55" s="3"/>
      <c r="L55" s="3"/>
    </row>
    <row r="56" spans="1:12">
      <c r="A56" s="3"/>
      <c r="B56" s="3"/>
      <c r="C56" s="3"/>
      <c r="D56" s="3"/>
      <c r="E56" s="3"/>
      <c r="F56" s="3"/>
      <c r="G56" s="3"/>
      <c r="H56" s="3"/>
      <c r="I56" s="3"/>
      <c r="J56" s="3"/>
      <c r="K56" s="3"/>
      <c r="L56" s="3"/>
    </row>
    <row r="57" spans="1:12">
      <c r="A57" s="3"/>
      <c r="B57" s="3"/>
      <c r="C57" s="3"/>
      <c r="D57" s="3"/>
      <c r="E57" s="3"/>
      <c r="F57" s="3"/>
      <c r="G57" s="3"/>
      <c r="H57" s="3"/>
      <c r="I57" s="3"/>
      <c r="J57" s="3"/>
      <c r="K57" s="3"/>
      <c r="L57" s="3"/>
    </row>
    <row r="58" spans="1:12">
      <c r="A58" s="3"/>
      <c r="B58" s="3"/>
      <c r="C58" s="3"/>
      <c r="D58" s="3"/>
      <c r="E58" s="3"/>
      <c r="F58" s="3"/>
      <c r="G58" s="3"/>
      <c r="H58" s="3"/>
      <c r="I58" s="3"/>
      <c r="J58" s="3"/>
      <c r="K58" s="3"/>
      <c r="L58" s="3"/>
    </row>
    <row r="59" spans="1:12">
      <c r="A59" s="3"/>
      <c r="B59" s="3"/>
      <c r="C59" s="3"/>
      <c r="D59" s="3"/>
      <c r="E59" s="3"/>
      <c r="F59" s="3"/>
      <c r="G59" s="3"/>
      <c r="H59" s="3"/>
      <c r="I59" s="3"/>
      <c r="J59" s="3"/>
      <c r="K59" s="3"/>
      <c r="L59" s="3"/>
    </row>
    <row r="60" spans="1:12">
      <c r="A60" s="3"/>
      <c r="B60" s="3"/>
      <c r="C60" s="3"/>
      <c r="D60" s="3"/>
      <c r="E60" s="3"/>
      <c r="F60" s="3"/>
      <c r="G60" s="3"/>
      <c r="H60" s="3"/>
      <c r="I60" s="3"/>
      <c r="J60" s="3"/>
      <c r="K60" s="3"/>
      <c r="L60" s="3"/>
    </row>
    <row r="61" spans="1:12">
      <c r="A61" s="3"/>
      <c r="B61" s="3"/>
      <c r="C61" s="3"/>
      <c r="D61" s="3"/>
      <c r="E61" s="3"/>
      <c r="F61" s="3"/>
      <c r="G61" s="3"/>
      <c r="H61" s="3"/>
      <c r="I61" s="3"/>
      <c r="J61" s="3"/>
      <c r="K61" s="3"/>
      <c r="L61" s="3"/>
    </row>
    <row r="62" spans="1:12">
      <c r="A62" s="3"/>
      <c r="B62" s="3"/>
      <c r="C62" s="3"/>
      <c r="D62" s="3"/>
      <c r="E62" s="3"/>
      <c r="F62" s="3"/>
      <c r="G62" s="3"/>
      <c r="H62" s="3"/>
      <c r="I62" s="3"/>
      <c r="J62" s="3"/>
      <c r="K62" s="3"/>
      <c r="L62" s="3"/>
    </row>
  </sheetData>
  <mergeCells count="2">
    <mergeCell ref="B3:D3"/>
    <mergeCell ref="F3: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65"/>
  <sheetViews>
    <sheetView topLeftCell="A26" workbookViewId="0">
      <selection activeCell="B48" sqref="B48"/>
    </sheetView>
  </sheetViews>
  <sheetFormatPr defaultRowHeight="15"/>
  <cols>
    <col min="1" max="1" width="41.85546875" bestFit="1" customWidth="1"/>
    <col min="2" max="2" width="13.28515625" bestFit="1" customWidth="1"/>
    <col min="4" max="4" width="16.85546875" customWidth="1"/>
    <col min="5" max="6" width="14.28515625" customWidth="1"/>
    <col min="7" max="7" width="11.7109375" customWidth="1"/>
    <col min="8" max="8" width="14.28515625" customWidth="1"/>
    <col min="10" max="10" width="17.7109375" customWidth="1"/>
    <col min="11" max="11" width="14.28515625" bestFit="1" customWidth="1"/>
  </cols>
  <sheetData>
    <row r="1" spans="1:3">
      <c r="A1" t="s">
        <v>257</v>
      </c>
      <c r="B1" s="175">
        <v>1E-4</v>
      </c>
    </row>
    <row r="3" spans="1:3">
      <c r="A3" s="109" t="s">
        <v>107</v>
      </c>
      <c r="B3" s="110"/>
    </row>
    <row r="4" spans="1:3" ht="15.75">
      <c r="A4" s="15" t="s">
        <v>21</v>
      </c>
      <c r="B4" s="69">
        <v>5.62E-2</v>
      </c>
      <c r="C4" s="48"/>
    </row>
    <row r="5" spans="1:3" ht="15.75">
      <c r="A5" s="15" t="s">
        <v>22</v>
      </c>
      <c r="B5" s="69">
        <v>0.106</v>
      </c>
      <c r="C5" s="48"/>
    </row>
    <row r="6" spans="1:3" ht="15.75">
      <c r="A6" s="15" t="s">
        <v>23</v>
      </c>
      <c r="B6" s="69">
        <f>'Business risk'!D51</f>
        <v>0.99539170506909502</v>
      </c>
      <c r="C6" s="48"/>
    </row>
    <row r="7" spans="1:3">
      <c r="A7" s="16" t="s">
        <v>24</v>
      </c>
      <c r="B7" s="71">
        <f>'Calculation equity'!B32</f>
        <v>0.11017761136712596</v>
      </c>
      <c r="C7" s="48"/>
    </row>
    <row r="8" spans="1:3">
      <c r="A8" s="16" t="s">
        <v>25</v>
      </c>
      <c r="B8" s="69">
        <f>('Income satatement'!D17+'Income satatement'!D12)/('Balance sheet'!B16+'Balance sheet'!B17)</f>
        <v>5.9029591534505509E-2</v>
      </c>
      <c r="C8" s="48"/>
    </row>
    <row r="9" spans="1:3">
      <c r="A9" s="16" t="s">
        <v>26</v>
      </c>
      <c r="B9" s="69">
        <f>B8*(1-B15)</f>
        <v>3.836923449742858E-2</v>
      </c>
      <c r="C9" s="48"/>
    </row>
    <row r="10" spans="1:3">
      <c r="A10" s="16" t="s">
        <v>27</v>
      </c>
      <c r="B10" s="71">
        <f>B12/B14</f>
        <v>0.71763548777919262</v>
      </c>
      <c r="C10" s="48"/>
    </row>
    <row r="11" spans="1:3">
      <c r="A11" s="16" t="s">
        <v>28</v>
      </c>
      <c r="B11" s="71">
        <f>B13/B14</f>
        <v>0.28236451222080733</v>
      </c>
      <c r="C11" s="48"/>
    </row>
    <row r="12" spans="1:3">
      <c r="A12" s="16" t="s">
        <v>29</v>
      </c>
      <c r="B12" s="72">
        <f>'Balance sheet'!B17+'Balance sheet'!B16</f>
        <v>371390000</v>
      </c>
      <c r="C12" s="48"/>
    </row>
    <row r="13" spans="1:3">
      <c r="A13" s="16" t="s">
        <v>30</v>
      </c>
      <c r="B13" s="72">
        <f>'Balance sheet'!B26</f>
        <v>146129000</v>
      </c>
      <c r="C13" s="48"/>
    </row>
    <row r="14" spans="1:3">
      <c r="A14" s="16" t="s">
        <v>31</v>
      </c>
      <c r="B14" s="72">
        <f>B13+B12</f>
        <v>517519000</v>
      </c>
    </row>
    <row r="15" spans="1:3">
      <c r="A15" s="16" t="s">
        <v>32</v>
      </c>
      <c r="B15" s="69">
        <v>0.35</v>
      </c>
    </row>
    <row r="16" spans="1:3">
      <c r="A16" s="67" t="s">
        <v>33</v>
      </c>
      <c r="B16" s="68">
        <f>B10*B9+B11*B7</f>
        <v>5.8645371805608582E-2</v>
      </c>
    </row>
    <row r="19" spans="1:11">
      <c r="A19" s="109" t="s">
        <v>260</v>
      </c>
      <c r="B19" s="109"/>
    </row>
    <row r="20" spans="1:11" ht="15.75">
      <c r="A20" s="70" t="s">
        <v>21</v>
      </c>
      <c r="B20" s="69">
        <f>B4</f>
        <v>5.62E-2</v>
      </c>
    </row>
    <row r="21" spans="1:11" ht="15.75">
      <c r="A21" s="70" t="s">
        <v>22</v>
      </c>
      <c r="B21" s="69">
        <f>B5</f>
        <v>0.106</v>
      </c>
      <c r="K21" s="20"/>
    </row>
    <row r="22" spans="1:11" ht="15.75">
      <c r="A22" s="70" t="s">
        <v>23</v>
      </c>
      <c r="B22" s="69">
        <f>B6</f>
        <v>0.99539170506909502</v>
      </c>
      <c r="K22" s="19"/>
    </row>
    <row r="23" spans="1:11">
      <c r="A23" s="16" t="s">
        <v>24</v>
      </c>
      <c r="B23" s="71">
        <f>B20+(B21-B20)*B22</f>
        <v>0.10577050691244093</v>
      </c>
      <c r="K23" s="2"/>
    </row>
    <row r="24" spans="1:11">
      <c r="A24" s="16" t="s">
        <v>25</v>
      </c>
      <c r="B24" s="158">
        <f>'Calculation convertible '!B32</f>
        <v>8.8311688311688313E-2</v>
      </c>
      <c r="K24" s="19"/>
    </row>
    <row r="25" spans="1:11">
      <c r="A25" s="16" t="s">
        <v>26</v>
      </c>
      <c r="B25" s="69">
        <f>B24*(1-B31)</f>
        <v>5.7402597402597406E-2</v>
      </c>
    </row>
    <row r="26" spans="1:11">
      <c r="A26" s="16" t="s">
        <v>27</v>
      </c>
      <c r="B26" s="71">
        <f>B28/B30</f>
        <v>0.71763548777919262</v>
      </c>
    </row>
    <row r="27" spans="1:11">
      <c r="A27" s="16" t="s">
        <v>28</v>
      </c>
      <c r="B27" s="71">
        <f>B29/B30</f>
        <v>0.28236451222080733</v>
      </c>
      <c r="K27" s="20"/>
    </row>
    <row r="28" spans="1:11">
      <c r="A28" s="16" t="s">
        <v>29</v>
      </c>
      <c r="B28" s="72">
        <f>B12</f>
        <v>371390000</v>
      </c>
    </row>
    <row r="29" spans="1:11">
      <c r="A29" s="16" t="s">
        <v>30</v>
      </c>
      <c r="B29" s="72">
        <f>B13</f>
        <v>146129000</v>
      </c>
    </row>
    <row r="30" spans="1:11">
      <c r="A30" s="16" t="s">
        <v>31</v>
      </c>
      <c r="B30" s="72">
        <f>B29+B28</f>
        <v>517519000</v>
      </c>
    </row>
    <row r="31" spans="1:11">
      <c r="A31" s="16" t="s">
        <v>32</v>
      </c>
      <c r="B31" s="69">
        <f>B15</f>
        <v>0.35</v>
      </c>
    </row>
    <row r="32" spans="1:11">
      <c r="A32" s="67" t="s">
        <v>33</v>
      </c>
      <c r="B32" s="68">
        <f>(B26*B25+B27*B23)+B1</f>
        <v>7.1159978578484523E-2</v>
      </c>
    </row>
    <row r="35" spans="1:2">
      <c r="A35" s="109" t="s">
        <v>261</v>
      </c>
      <c r="B35" s="109"/>
    </row>
    <row r="36" spans="1:2" ht="15.75">
      <c r="A36" s="70" t="s">
        <v>21</v>
      </c>
      <c r="B36" s="69">
        <f>B20</f>
        <v>5.62E-2</v>
      </c>
    </row>
    <row r="37" spans="1:2" ht="15.75">
      <c r="A37" s="70" t="s">
        <v>22</v>
      </c>
      <c r="B37" s="69">
        <f>B21</f>
        <v>0.106</v>
      </c>
    </row>
    <row r="38" spans="1:2" ht="15.75">
      <c r="A38" s="70" t="s">
        <v>23</v>
      </c>
      <c r="B38" s="69">
        <f>B6</f>
        <v>0.99539170506909502</v>
      </c>
    </row>
    <row r="39" spans="1:2">
      <c r="A39" s="16" t="s">
        <v>24</v>
      </c>
      <c r="B39" s="71">
        <f>B36+(B37-B36)*B38</f>
        <v>0.10577050691244093</v>
      </c>
    </row>
    <row r="40" spans="1:2">
      <c r="A40" s="16" t="s">
        <v>25</v>
      </c>
      <c r="B40" s="69">
        <f>B8</f>
        <v>5.9029591534505509E-2</v>
      </c>
    </row>
    <row r="41" spans="1:2">
      <c r="A41" s="16" t="s">
        <v>26</v>
      </c>
      <c r="B41" s="69">
        <f>B40*(1-B47)</f>
        <v>3.836923449742858E-2</v>
      </c>
    </row>
    <row r="42" spans="1:2">
      <c r="A42" s="16" t="s">
        <v>27</v>
      </c>
      <c r="B42" s="71">
        <f>B44/B46</f>
        <v>0.69742112488005126</v>
      </c>
    </row>
    <row r="43" spans="1:2">
      <c r="A43" s="16" t="s">
        <v>28</v>
      </c>
      <c r="B43" s="71">
        <f>B45/B46</f>
        <v>0.3025788751199488</v>
      </c>
    </row>
    <row r="44" spans="1:2">
      <c r="A44" s="16" t="s">
        <v>29</v>
      </c>
      <c r="B44" s="72">
        <f>B28</f>
        <v>371390000</v>
      </c>
    </row>
    <row r="45" spans="1:2">
      <c r="A45" s="16" t="s">
        <v>30</v>
      </c>
      <c r="B45" s="73">
        <f>B29+B51</f>
        <v>161129000</v>
      </c>
    </row>
    <row r="46" spans="1:2">
      <c r="A46" s="16" t="s">
        <v>31</v>
      </c>
      <c r="B46" s="72">
        <f>B44+B45</f>
        <v>532519000</v>
      </c>
    </row>
    <row r="47" spans="1:2">
      <c r="A47" s="16" t="s">
        <v>32</v>
      </c>
      <c r="B47" s="69">
        <f>B31</f>
        <v>0.35</v>
      </c>
    </row>
    <row r="48" spans="1:2">
      <c r="A48" s="67" t="s">
        <v>33</v>
      </c>
      <c r="B48" s="178">
        <f>(B39*B43)+(B41*B42)+B1</f>
        <v>5.8863435686416249E-2</v>
      </c>
    </row>
    <row r="49" spans="1:4">
      <c r="A49" s="168"/>
      <c r="B49" s="169"/>
    </row>
    <row r="50" spans="1:4">
      <c r="A50" s="168" t="s">
        <v>190</v>
      </c>
      <c r="B50" s="169">
        <f>15000000/9.12</f>
        <v>1644736.8421052634</v>
      </c>
    </row>
    <row r="51" spans="1:4">
      <c r="A51" s="168" t="s">
        <v>191</v>
      </c>
      <c r="B51">
        <v>15000000</v>
      </c>
    </row>
    <row r="52" spans="1:4">
      <c r="A52" s="109" t="s">
        <v>262</v>
      </c>
      <c r="B52" s="160">
        <v>1998</v>
      </c>
    </row>
    <row r="53" spans="1:4" ht="15.75">
      <c r="A53" s="70" t="s">
        <v>21</v>
      </c>
      <c r="B53" s="69">
        <f>B36</f>
        <v>5.62E-2</v>
      </c>
    </row>
    <row r="54" spans="1:4" ht="15.75">
      <c r="A54" s="70" t="s">
        <v>22</v>
      </c>
      <c r="B54" s="69">
        <f>B37</f>
        <v>0.106</v>
      </c>
    </row>
    <row r="55" spans="1:4" ht="15.75">
      <c r="A55" s="70" t="s">
        <v>23</v>
      </c>
      <c r="B55" s="69">
        <f>B6</f>
        <v>0.99539170506909502</v>
      </c>
    </row>
    <row r="56" spans="1:4">
      <c r="A56" s="16" t="s">
        <v>24</v>
      </c>
      <c r="B56" s="71">
        <f>B53+(B54-B53)*B55</f>
        <v>0.10577050691244093</v>
      </c>
      <c r="D56" s="159"/>
    </row>
    <row r="57" spans="1:4">
      <c r="A57" s="16" t="s">
        <v>25</v>
      </c>
      <c r="B57" s="158">
        <f>'Calculation High Yield'!B32</f>
        <v>0.11691516709511569</v>
      </c>
    </row>
    <row r="58" spans="1:4">
      <c r="A58" s="16" t="s">
        <v>26</v>
      </c>
      <c r="B58" s="69">
        <f>B57*(1-B64)</f>
        <v>7.59948586118252E-2</v>
      </c>
    </row>
    <row r="59" spans="1:4">
      <c r="A59" s="16" t="s">
        <v>27</v>
      </c>
      <c r="B59" s="71">
        <f>B61/B63</f>
        <v>0.7130191939430911</v>
      </c>
    </row>
    <row r="60" spans="1:4">
      <c r="A60" s="16" t="s">
        <v>28</v>
      </c>
      <c r="B60" s="71">
        <f>B62/B63</f>
        <v>0.2869808060569089</v>
      </c>
    </row>
    <row r="61" spans="1:4">
      <c r="A61" s="16" t="s">
        <v>29</v>
      </c>
      <c r="B61" s="73">
        <f>'Calculation High Yield'!B33+'Balance sheet'!B17</f>
        <v>412890000</v>
      </c>
    </row>
    <row r="62" spans="1:4">
      <c r="A62" s="16" t="s">
        <v>30</v>
      </c>
      <c r="B62" s="73">
        <f>'Balance sheet'!B24+'Calculation convertible '!F15</f>
        <v>166182770.42103636</v>
      </c>
    </row>
    <row r="63" spans="1:4">
      <c r="A63" s="16" t="s">
        <v>31</v>
      </c>
      <c r="B63" s="72">
        <f>B62+B61</f>
        <v>579072770.42103636</v>
      </c>
    </row>
    <row r="64" spans="1:4">
      <c r="A64" s="16" t="s">
        <v>32</v>
      </c>
      <c r="B64" s="69">
        <f>B47</f>
        <v>0.35</v>
      </c>
    </row>
    <row r="65" spans="1:2">
      <c r="A65" s="67" t="s">
        <v>33</v>
      </c>
      <c r="B65" s="68">
        <f>(B59*B58+B60*B56)+B1</f>
        <v>8.4639898162002944E-2</v>
      </c>
    </row>
  </sheetData>
  <pageMargins left="0.7" right="0.7" top="0.75" bottom="0.75" header="0.3" footer="0.3"/>
  <ignoredErrors>
    <ignoredError sqref="B46 B63" formula="1"/>
  </ignoredErrors>
</worksheet>
</file>

<file path=xl/worksheets/sheet11.xml><?xml version="1.0" encoding="utf-8"?>
<worksheet xmlns="http://schemas.openxmlformats.org/spreadsheetml/2006/main" xmlns:r="http://schemas.openxmlformats.org/officeDocument/2006/relationships">
  <dimension ref="A1:P31"/>
  <sheetViews>
    <sheetView workbookViewId="0"/>
  </sheetViews>
  <sheetFormatPr defaultRowHeight="15"/>
  <cols>
    <col min="1" max="7" width="36.7109375" customWidth="1"/>
  </cols>
  <sheetData>
    <row r="1" spans="1:16">
      <c r="A1" s="1" t="s">
        <v>108</v>
      </c>
    </row>
    <row r="2" spans="1:16">
      <c r="P2" t="e">
        <f ca="1">CB.RecalcCounterFN()</f>
        <v>#NAME?</v>
      </c>
    </row>
    <row r="3" spans="1:16">
      <c r="A3" t="s">
        <v>109</v>
      </c>
      <c r="B3" t="s">
        <v>110</v>
      </c>
      <c r="C3">
        <v>0</v>
      </c>
    </row>
    <row r="4" spans="1:16">
      <c r="A4" t="s">
        <v>111</v>
      </c>
    </row>
    <row r="5" spans="1:16">
      <c r="A5" t="s">
        <v>112</v>
      </c>
    </row>
    <row r="7" spans="1:16">
      <c r="A7" s="1" t="s">
        <v>113</v>
      </c>
      <c r="B7" t="s">
        <v>114</v>
      </c>
    </row>
    <row r="8" spans="1:16">
      <c r="B8">
        <v>7</v>
      </c>
    </row>
    <row r="10" spans="1:16">
      <c r="A10" t="s">
        <v>115</v>
      </c>
    </row>
    <row r="11" spans="1:16">
      <c r="A11" t="e">
        <f>CB_DATA_!#REF!</f>
        <v>#REF!</v>
      </c>
      <c r="G11" t="e">
        <f>'Crystal ball High'!#REF!</f>
        <v>#REF!</v>
      </c>
    </row>
    <row r="13" spans="1:16">
      <c r="A13" t="s">
        <v>116</v>
      </c>
    </row>
    <row r="14" spans="1:16">
      <c r="A14" t="s">
        <v>120</v>
      </c>
      <c r="G14" t="s">
        <v>189</v>
      </c>
    </row>
    <row r="16" spans="1:16">
      <c r="A16" t="s">
        <v>117</v>
      </c>
    </row>
    <row r="19" spans="1:7">
      <c r="A19" t="s">
        <v>118</v>
      </c>
    </row>
    <row r="20" spans="1:7">
      <c r="A20">
        <v>31</v>
      </c>
      <c r="G20">
        <v>31</v>
      </c>
    </row>
    <row r="25" spans="1:7">
      <c r="A25" s="1" t="s">
        <v>119</v>
      </c>
    </row>
    <row r="26" spans="1:7">
      <c r="A26" s="111" t="s">
        <v>121</v>
      </c>
      <c r="G26" s="111" t="s">
        <v>125</v>
      </c>
    </row>
    <row r="27" spans="1:7">
      <c r="A27" t="s">
        <v>188</v>
      </c>
      <c r="G27" t="s">
        <v>263</v>
      </c>
    </row>
    <row r="28" spans="1:7">
      <c r="A28" s="111" t="s">
        <v>122</v>
      </c>
      <c r="G28" s="111" t="s">
        <v>122</v>
      </c>
    </row>
    <row r="29" spans="1:7">
      <c r="A29" s="111" t="s">
        <v>125</v>
      </c>
      <c r="G29" s="111" t="s">
        <v>121</v>
      </c>
    </row>
    <row r="30" spans="1:7">
      <c r="A30" t="s">
        <v>259</v>
      </c>
      <c r="G30" t="s">
        <v>258</v>
      </c>
    </row>
    <row r="31" spans="1:7">
      <c r="A31" s="111" t="s">
        <v>122</v>
      </c>
      <c r="G31" s="111"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J29"/>
  <sheetViews>
    <sheetView topLeftCell="A5" workbookViewId="0">
      <selection activeCell="B29" sqref="B29"/>
    </sheetView>
  </sheetViews>
  <sheetFormatPr defaultRowHeight="15"/>
  <cols>
    <col min="1" max="1" width="34.7109375" bestFit="1" customWidth="1"/>
    <col min="2" max="2" width="15" bestFit="1" customWidth="1"/>
    <col min="3" max="9" width="12.5703125" bestFit="1" customWidth="1"/>
    <col min="10" max="10" width="10" bestFit="1" customWidth="1"/>
  </cols>
  <sheetData>
    <row r="2" spans="1:10">
      <c r="A2" s="166" t="s">
        <v>34</v>
      </c>
    </row>
    <row r="3" spans="1:10">
      <c r="A3" t="s">
        <v>35</v>
      </c>
      <c r="B3">
        <v>0.35</v>
      </c>
    </row>
    <row r="5" spans="1:10">
      <c r="A5" t="s">
        <v>36</v>
      </c>
      <c r="B5">
        <v>0.03</v>
      </c>
    </row>
    <row r="6" spans="1:10">
      <c r="A6" t="s">
        <v>33</v>
      </c>
      <c r="B6">
        <f>WACC!B65</f>
        <v>8.4639898162002944E-2</v>
      </c>
    </row>
    <row r="9" spans="1:10" ht="15.75" thickBot="1"/>
    <row r="10" spans="1:10">
      <c r="A10" s="117" t="s">
        <v>55</v>
      </c>
      <c r="B10" s="118" t="s">
        <v>37</v>
      </c>
      <c r="C10" s="197" t="s">
        <v>38</v>
      </c>
      <c r="D10" s="197"/>
      <c r="E10" s="197"/>
      <c r="F10" s="197"/>
      <c r="G10" s="197"/>
      <c r="H10" s="197"/>
      <c r="I10" s="198"/>
      <c r="J10" s="21"/>
    </row>
    <row r="11" spans="1:10">
      <c r="A11" s="125" t="s">
        <v>187</v>
      </c>
      <c r="B11" s="112">
        <v>1995</v>
      </c>
      <c r="C11" s="112">
        <v>1996</v>
      </c>
      <c r="D11" s="112">
        <v>1997</v>
      </c>
      <c r="E11" s="112">
        <v>1998</v>
      </c>
      <c r="F11" s="112">
        <v>1999</v>
      </c>
      <c r="G11" s="112">
        <v>2000</v>
      </c>
      <c r="H11" s="112">
        <v>2001</v>
      </c>
      <c r="I11" s="112">
        <v>2002</v>
      </c>
      <c r="J11" s="162" t="s">
        <v>197</v>
      </c>
    </row>
    <row r="12" spans="1:10">
      <c r="A12" s="116" t="s">
        <v>124</v>
      </c>
      <c r="B12" s="116">
        <f>'Income satatement'!B4</f>
        <v>168850000</v>
      </c>
      <c r="C12" s="116">
        <f>'Income satatement'!C4</f>
        <v>172237000</v>
      </c>
      <c r="D12" s="116">
        <f>'Income satatement'!D4</f>
        <v>186085000</v>
      </c>
      <c r="E12" s="116">
        <f>'Calculation High Yield'!F5</f>
        <v>208680220.40832001</v>
      </c>
      <c r="F12" s="116">
        <f>'Calculation High Yield'!G5</f>
        <v>279363577.54103994</v>
      </c>
      <c r="G12" s="116">
        <f>'Calculation High Yield'!H5</f>
        <v>289148610.84364802</v>
      </c>
      <c r="H12" s="116">
        <f>'Calculation High Yield'!I5</f>
        <v>371175790.17016804</v>
      </c>
      <c r="I12" s="116">
        <f>'Calculation High Yield'!J5</f>
        <v>382288719.32179201</v>
      </c>
      <c r="J12" s="23"/>
    </row>
    <row r="13" spans="1:10">
      <c r="A13" s="121"/>
      <c r="B13" s="116"/>
      <c r="C13" s="116"/>
      <c r="D13" s="116"/>
      <c r="E13" s="116"/>
      <c r="F13" s="116"/>
      <c r="G13" s="116"/>
      <c r="H13" s="116"/>
      <c r="I13" s="120"/>
      <c r="J13" s="17"/>
    </row>
    <row r="14" spans="1:10">
      <c r="A14" s="74" t="s">
        <v>2</v>
      </c>
      <c r="B14" s="116">
        <f>'Calculation High Yield'!B6</f>
        <v>156500000</v>
      </c>
      <c r="C14" s="116">
        <f>'Calculation High Yield'!C6</f>
        <v>159803000</v>
      </c>
      <c r="D14" s="116">
        <f>'Calculation High Yield'!D6</f>
        <v>162494000</v>
      </c>
      <c r="E14" s="116">
        <f>'Calculation High Yield'!F6</f>
        <v>176021765.91441792</v>
      </c>
      <c r="F14" s="116">
        <f>'Calculation High Yield'!G6</f>
        <v>245839948.23611516</v>
      </c>
      <c r="G14" s="116">
        <f>'Calculation High Yield'!H6</f>
        <v>254450777.54241025</v>
      </c>
      <c r="H14" s="116">
        <f>'Calculation High Yield'!I6</f>
        <v>326634695.3497479</v>
      </c>
      <c r="I14" s="116">
        <f>'Calculation High Yield'!J6</f>
        <v>330679742.21335006</v>
      </c>
      <c r="J14" s="17"/>
    </row>
    <row r="15" spans="1:10">
      <c r="A15" s="74"/>
      <c r="B15" s="116"/>
      <c r="C15" s="116"/>
      <c r="D15" s="116"/>
      <c r="E15" s="116"/>
      <c r="F15" s="116"/>
      <c r="G15" s="116"/>
      <c r="H15" s="116"/>
      <c r="I15" s="120"/>
      <c r="J15" s="17"/>
    </row>
    <row r="16" spans="1:10">
      <c r="A16" s="119" t="s">
        <v>48</v>
      </c>
      <c r="B16" s="116">
        <f>B12-B14</f>
        <v>12350000</v>
      </c>
      <c r="C16" s="116">
        <f t="shared" ref="C16:I16" si="0">C12-C14</f>
        <v>12434000</v>
      </c>
      <c r="D16" s="116">
        <f t="shared" si="0"/>
        <v>23591000</v>
      </c>
      <c r="E16" s="116">
        <f t="shared" si="0"/>
        <v>32658454.493902087</v>
      </c>
      <c r="F16" s="116">
        <f t="shared" si="0"/>
        <v>33523629.304924786</v>
      </c>
      <c r="G16" s="116">
        <f t="shared" si="0"/>
        <v>34697833.301237762</v>
      </c>
      <c r="H16" s="116">
        <f t="shared" si="0"/>
        <v>44541094.820420146</v>
      </c>
      <c r="I16" s="116">
        <f t="shared" si="0"/>
        <v>51608977.108441949</v>
      </c>
      <c r="J16" s="17"/>
    </row>
    <row r="17" spans="1:10">
      <c r="A17" s="121" t="s">
        <v>39</v>
      </c>
      <c r="B17" s="116">
        <f t="array" ref="B17">B16*(1-$B$3)</f>
        <v>8027500</v>
      </c>
      <c r="C17" s="116">
        <f t="array" ref="C17">C16*(1-$B$3)</f>
        <v>8082100</v>
      </c>
      <c r="D17" s="116">
        <f t="array" ref="D17">D16*(1-$B$3)</f>
        <v>15334150</v>
      </c>
      <c r="E17" s="116">
        <f t="array" ref="E17">E16*(1-$B$3)</f>
        <v>21227995.421036359</v>
      </c>
      <c r="F17" s="116">
        <f t="array" ref="F17">F16*(1-$B$3)</f>
        <v>21790359.04820111</v>
      </c>
      <c r="G17" s="116">
        <f t="array" ref="G17">G16*(1-$B$3)</f>
        <v>22553591.645804547</v>
      </c>
      <c r="H17" s="116">
        <f t="array" ref="H17">H16*(1-$B$3)</f>
        <v>28951711.633273095</v>
      </c>
      <c r="I17" s="116">
        <f t="array" ref="I17">I16*(1-$B$3)</f>
        <v>33545835.120487269</v>
      </c>
      <c r="J17" s="22"/>
    </row>
    <row r="18" spans="1:10">
      <c r="A18" s="121" t="s">
        <v>40</v>
      </c>
      <c r="B18" s="116">
        <f>'Income satatement'!B11</f>
        <v>13892000</v>
      </c>
      <c r="C18" s="116">
        <f>'Income satatement'!C11</f>
        <v>14354000</v>
      </c>
      <c r="D18" s="116">
        <f>'Income satatement'!D11</f>
        <v>14285000</v>
      </c>
      <c r="E18" s="116">
        <f>'Calculation High Yield'!F22</f>
        <v>14285000</v>
      </c>
      <c r="F18" s="116">
        <f>'Calculation High Yield'!G22</f>
        <v>17467595.19285728</v>
      </c>
      <c r="G18" s="116">
        <f>'Calculation High Yield'!H22</f>
        <v>15654443.13034841</v>
      </c>
      <c r="H18" s="116">
        <f>'Calculation High Yield'!I22</f>
        <v>14663005.034488192</v>
      </c>
      <c r="I18" s="116">
        <f>'Calculation High Yield'!J22</f>
        <v>14734778.816398896</v>
      </c>
      <c r="J18" s="24"/>
    </row>
    <row r="19" spans="1:10">
      <c r="A19" s="121" t="s">
        <v>41</v>
      </c>
      <c r="B19" s="116"/>
      <c r="C19" s="116">
        <f>'Calculation High Yield'!C28</f>
        <v>98223</v>
      </c>
      <c r="D19" s="116">
        <f>'Calculation High Yield'!D28</f>
        <v>401592</v>
      </c>
      <c r="E19" s="116">
        <f>'Calculation High Yield'!F28</f>
        <v>655261.39184128027</v>
      </c>
      <c r="F19" s="116">
        <f>'Calculation High Yield'!G28</f>
        <v>2049817.3568488788</v>
      </c>
      <c r="G19" s="116">
        <f>'Calculation High Yield'!H28</f>
        <v>283765.96577563416</v>
      </c>
      <c r="H19" s="116">
        <f>'Calculation High Yield'!I28</f>
        <v>2378788.2004690804</v>
      </c>
      <c r="I19" s="116">
        <f>'Calculation High Yield'!J28</f>
        <v>322274.94539709575</v>
      </c>
      <c r="J19" s="17"/>
    </row>
    <row r="20" spans="1:10">
      <c r="A20" s="121" t="s">
        <v>42</v>
      </c>
      <c r="B20" s="116">
        <f>'Calculation High Yield'!B5*'Calculation High Yield'!$B$25</f>
        <v>4896650</v>
      </c>
      <c r="C20" s="116">
        <f>'Calculation High Yield'!C5*'Calculation High Yield'!$B$25</f>
        <v>4994873</v>
      </c>
      <c r="D20" s="116">
        <f>'Calculation High Yield'!D5*'Calculation High Yield'!$B$25</f>
        <v>5396465</v>
      </c>
      <c r="E20" s="116">
        <f>'Calculation High Yield'!F21</f>
        <v>127303807.7142912</v>
      </c>
      <c r="F20" s="116">
        <f>'Calculation High Yield'!G21</f>
        <v>54777725.213936403</v>
      </c>
      <c r="G20" s="116">
        <f>'Calculation High Yield'!H21</f>
        <v>15120201.379527682</v>
      </c>
      <c r="H20" s="116">
        <f>'Calculation High Yield'!I21</f>
        <v>17991152.655955881</v>
      </c>
      <c r="I20" s="116">
        <f>'Calculation High Yield'!J21</f>
        <v>13380105.176262721</v>
      </c>
      <c r="J20" s="17"/>
    </row>
    <row r="21" spans="1:10">
      <c r="A21" s="122" t="s">
        <v>51</v>
      </c>
      <c r="B21" s="116">
        <f>B17+B18-B19-B20</f>
        <v>17022850</v>
      </c>
      <c r="C21" s="116">
        <f>C17+C18-C19-C20</f>
        <v>17343004</v>
      </c>
      <c r="D21" s="116">
        <f t="shared" ref="D21:I21" si="1">D17+D18-D19-D20</f>
        <v>23821093</v>
      </c>
      <c r="E21" s="116">
        <f t="shared" si="1"/>
        <v>-92446073.685096115</v>
      </c>
      <c r="F21" s="116">
        <f t="shared" si="1"/>
        <v>-17569588.32972689</v>
      </c>
      <c r="G21" s="116">
        <f t="shared" si="1"/>
        <v>22804067.430849642</v>
      </c>
      <c r="H21" s="116">
        <f t="shared" si="1"/>
        <v>23244775.811336324</v>
      </c>
      <c r="I21" s="116">
        <f t="shared" si="1"/>
        <v>34578233.815226346</v>
      </c>
      <c r="J21" s="17"/>
    </row>
    <row r="22" spans="1:10" ht="15.75" thickBot="1">
      <c r="A22" s="123" t="s">
        <v>52</v>
      </c>
      <c r="B22" s="124"/>
      <c r="C22" s="124"/>
      <c r="D22" s="124"/>
      <c r="E22" s="161">
        <f>E21/(1+B6)^0.5</f>
        <v>-88765802.329479933</v>
      </c>
      <c r="F22" s="161">
        <f>F21/(1+B6)^1.5</f>
        <v>-15553682.237252457</v>
      </c>
      <c r="G22" s="161">
        <f>G21/(1+B6)^2.5</f>
        <v>18612228.55924917</v>
      </c>
      <c r="H22" s="161">
        <f>H21/(1+B6)^3.5</f>
        <v>17491451.356543835</v>
      </c>
      <c r="I22" s="161">
        <f>I21/(1+B6)^4.5</f>
        <v>23989307.733691067</v>
      </c>
      <c r="J22" s="17">
        <f>(I21*(1+B5)/(B6-B5))/(1+B6)^4.5</f>
        <v>452215099.16511232</v>
      </c>
    </row>
    <row r="23" spans="1:10">
      <c r="J23" s="18"/>
    </row>
    <row r="24" spans="1:10">
      <c r="A24" s="113" t="s">
        <v>43</v>
      </c>
      <c r="B24" s="114">
        <f>SUM(E22:J22)</f>
        <v>407988602.24786401</v>
      </c>
    </row>
    <row r="25" spans="1:10">
      <c r="A25" s="113" t="s">
        <v>123</v>
      </c>
      <c r="B25" s="114">
        <f>'Calculation High Yield'!F27</f>
        <v>6051726.3918412803</v>
      </c>
    </row>
    <row r="26" spans="1:10">
      <c r="A26" s="113" t="s">
        <v>44</v>
      </c>
      <c r="B26" s="114">
        <f>'Calculation High Yield'!B33+'Balance sheet'!B17</f>
        <v>412890000</v>
      </c>
    </row>
    <row r="27" spans="1:10">
      <c r="A27" s="113" t="s">
        <v>45</v>
      </c>
      <c r="B27" s="114">
        <f>B24+B25-B26</f>
        <v>1150328.6397053003</v>
      </c>
    </row>
    <row r="28" spans="1:10">
      <c r="A28" s="113" t="s">
        <v>46</v>
      </c>
      <c r="B28" s="115">
        <f>'Income satatement'!D23</f>
        <v>37299945</v>
      </c>
    </row>
    <row r="29" spans="1:10">
      <c r="A29" t="s">
        <v>47</v>
      </c>
      <c r="B29">
        <f>B27/B28</f>
        <v>3.0839955386135296E-2</v>
      </c>
    </row>
  </sheetData>
  <mergeCells count="1">
    <mergeCell ref="C10:I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M29"/>
  <sheetViews>
    <sheetView workbookViewId="0">
      <selection activeCell="B5" sqref="B5"/>
    </sheetView>
  </sheetViews>
  <sheetFormatPr defaultRowHeight="15"/>
  <cols>
    <col min="1" max="1" width="33.42578125" bestFit="1" customWidth="1"/>
    <col min="2" max="2" width="15" bestFit="1" customWidth="1"/>
    <col min="3" max="3" width="14.28515625" bestFit="1" customWidth="1"/>
    <col min="4" max="4" width="10" bestFit="1" customWidth="1"/>
    <col min="5" max="6" width="12.7109375" bestFit="1" customWidth="1"/>
    <col min="7" max="7" width="19" bestFit="1" customWidth="1"/>
    <col min="8" max="11" width="12" bestFit="1" customWidth="1"/>
    <col min="12" max="12" width="10" bestFit="1" customWidth="1"/>
  </cols>
  <sheetData>
    <row r="2" spans="1:13">
      <c r="A2" t="s">
        <v>34</v>
      </c>
    </row>
    <row r="3" spans="1:13">
      <c r="A3" t="s">
        <v>35</v>
      </c>
      <c r="B3" s="176">
        <v>0.35</v>
      </c>
    </row>
    <row r="5" spans="1:13">
      <c r="A5" t="s">
        <v>36</v>
      </c>
      <c r="B5" s="176">
        <v>0.03</v>
      </c>
    </row>
    <row r="6" spans="1:13">
      <c r="A6" t="s">
        <v>33</v>
      </c>
      <c r="B6" s="176">
        <v>8.4639898162002944E-2</v>
      </c>
    </row>
    <row r="10" spans="1:13">
      <c r="A10" t="s">
        <v>55</v>
      </c>
      <c r="B10" t="s">
        <v>37</v>
      </c>
      <c r="C10" t="s">
        <v>38</v>
      </c>
    </row>
    <row r="11" spans="1:13">
      <c r="A11" t="s">
        <v>187</v>
      </c>
      <c r="B11">
        <v>1995</v>
      </c>
      <c r="C11">
        <v>1996</v>
      </c>
      <c r="D11">
        <v>1997</v>
      </c>
      <c r="E11">
        <v>1998</v>
      </c>
      <c r="F11">
        <v>1999</v>
      </c>
      <c r="H11">
        <v>2000</v>
      </c>
      <c r="I11">
        <v>2001</v>
      </c>
      <c r="J11">
        <v>2002</v>
      </c>
      <c r="K11" t="s">
        <v>186</v>
      </c>
    </row>
    <row r="12" spans="1:13">
      <c r="A12" t="s">
        <v>124</v>
      </c>
      <c r="B12" s="165">
        <v>168850000</v>
      </c>
      <c r="C12">
        <v>172237000</v>
      </c>
      <c r="D12">
        <v>186085000</v>
      </c>
      <c r="E12" s="165">
        <v>208680220.40832001</v>
      </c>
      <c r="F12">
        <v>279363577.54103994</v>
      </c>
      <c r="G12" t="s">
        <v>124</v>
      </c>
      <c r="H12" s="176">
        <v>289148610.84364802</v>
      </c>
      <c r="I12">
        <v>371175790.17016804</v>
      </c>
      <c r="J12">
        <v>382288719.32179201</v>
      </c>
      <c r="L12">
        <v>257228614.78562099</v>
      </c>
      <c r="M12">
        <v>86673068.733615696</v>
      </c>
    </row>
    <row r="14" spans="1:13">
      <c r="A14" t="s">
        <v>2</v>
      </c>
      <c r="B14" s="165">
        <v>156500000</v>
      </c>
      <c r="C14">
        <v>159803000</v>
      </c>
      <c r="D14">
        <v>162494000</v>
      </c>
      <c r="E14" s="165">
        <v>176021765.91441792</v>
      </c>
      <c r="F14">
        <v>245839948.23611516</v>
      </c>
      <c r="G14" t="s">
        <v>2</v>
      </c>
      <c r="H14" s="176">
        <v>254450777.54241025</v>
      </c>
      <c r="I14">
        <v>326634695.3497479</v>
      </c>
      <c r="J14">
        <v>330679742.21335006</v>
      </c>
      <c r="L14">
        <v>226552991.15700519</v>
      </c>
      <c r="M14">
        <v>73706893.417028889</v>
      </c>
    </row>
    <row r="16" spans="1:13">
      <c r="A16" t="s">
        <v>48</v>
      </c>
      <c r="B16">
        <f>B12-B14</f>
        <v>12350000</v>
      </c>
      <c r="C16">
        <f t="shared" ref="C16:J16" si="0">C12-C14</f>
        <v>12434000</v>
      </c>
      <c r="D16">
        <f t="shared" si="0"/>
        <v>23591000</v>
      </c>
      <c r="E16">
        <f t="shared" si="0"/>
        <v>32658454.493902087</v>
      </c>
      <c r="F16">
        <f t="shared" si="0"/>
        <v>33523629.304924786</v>
      </c>
      <c r="H16">
        <f t="shared" si="0"/>
        <v>34697833.301237762</v>
      </c>
      <c r="I16">
        <f t="shared" si="0"/>
        <v>44541094.820420146</v>
      </c>
      <c r="J16">
        <f t="shared" si="0"/>
        <v>51608977.108441949</v>
      </c>
    </row>
    <row r="17" spans="1:11">
      <c r="A17" t="s">
        <v>39</v>
      </c>
      <c r="B17">
        <f>B16*(1-$B$3)</f>
        <v>8027500</v>
      </c>
      <c r="C17">
        <f t="shared" ref="C17:J17" si="1">C16*(1-$B$3)</f>
        <v>8082100</v>
      </c>
      <c r="D17">
        <f t="shared" si="1"/>
        <v>15334150</v>
      </c>
      <c r="E17">
        <f t="shared" si="1"/>
        <v>21227995.421036359</v>
      </c>
      <c r="F17">
        <f t="shared" si="1"/>
        <v>21790359.04820111</v>
      </c>
      <c r="H17">
        <f t="shared" si="1"/>
        <v>22553591.645804547</v>
      </c>
      <c r="I17">
        <f t="shared" si="1"/>
        <v>28951711.633273095</v>
      </c>
      <c r="J17">
        <f t="shared" si="1"/>
        <v>33545835.120487269</v>
      </c>
    </row>
    <row r="18" spans="1:11">
      <c r="A18" t="s">
        <v>40</v>
      </c>
      <c r="B18">
        <v>13892000</v>
      </c>
      <c r="C18">
        <v>14354000</v>
      </c>
      <c r="D18">
        <v>14285000</v>
      </c>
      <c r="E18">
        <v>14285000</v>
      </c>
      <c r="F18">
        <v>17467595.19285728</v>
      </c>
      <c r="H18">
        <v>15654443.13034841</v>
      </c>
      <c r="I18">
        <v>14663005.034488192</v>
      </c>
      <c r="J18">
        <v>14734778.816398896</v>
      </c>
    </row>
    <row r="19" spans="1:11">
      <c r="A19" t="s">
        <v>41</v>
      </c>
      <c r="C19">
        <v>98223</v>
      </c>
      <c r="D19">
        <v>401592</v>
      </c>
      <c r="E19">
        <v>655261.39184128027</v>
      </c>
      <c r="F19">
        <v>2049817.3568488788</v>
      </c>
      <c r="H19">
        <v>283765.96577563416</v>
      </c>
      <c r="I19">
        <v>2378788.2004690804</v>
      </c>
      <c r="J19">
        <v>322274.94539709575</v>
      </c>
    </row>
    <row r="20" spans="1:11">
      <c r="A20" t="s">
        <v>42</v>
      </c>
      <c r="B20">
        <v>4896650</v>
      </c>
      <c r="C20">
        <v>4994873</v>
      </c>
      <c r="D20">
        <v>5396465</v>
      </c>
      <c r="E20">
        <v>127303807.7142912</v>
      </c>
      <c r="F20">
        <v>54777725.213936403</v>
      </c>
      <c r="H20">
        <v>15120201.379527682</v>
      </c>
      <c r="I20">
        <v>17991152.655955881</v>
      </c>
      <c r="J20">
        <v>13380105.176262721</v>
      </c>
    </row>
    <row r="21" spans="1:11">
      <c r="A21" t="s">
        <v>51</v>
      </c>
      <c r="B21">
        <f>B17+B18-B19-B20</f>
        <v>17022850</v>
      </c>
      <c r="C21">
        <f t="shared" ref="C21:J21" si="2">C17+C18-C19-C20</f>
        <v>17343004</v>
      </c>
      <c r="D21">
        <f t="shared" si="2"/>
        <v>23821093</v>
      </c>
      <c r="E21">
        <f t="shared" si="2"/>
        <v>-92446073.685096115</v>
      </c>
      <c r="F21">
        <f t="shared" si="2"/>
        <v>-17569588.32972689</v>
      </c>
      <c r="H21">
        <f t="shared" si="2"/>
        <v>22804067.430849642</v>
      </c>
      <c r="I21">
        <f t="shared" si="2"/>
        <v>23244775.811336324</v>
      </c>
      <c r="J21">
        <f t="shared" si="2"/>
        <v>34578233.815226346</v>
      </c>
    </row>
    <row r="22" spans="1:11">
      <c r="A22" t="s">
        <v>52</v>
      </c>
      <c r="E22">
        <f>E21/(1+$B$6)^0.5</f>
        <v>-88765802.329479933</v>
      </c>
      <c r="F22">
        <f>F21/(1+$B$6)^1.5</f>
        <v>-15553682.237252457</v>
      </c>
      <c r="H22">
        <f>H21/(1+$B$6)^2.5</f>
        <v>18612228.55924917</v>
      </c>
      <c r="I22">
        <f>I21/(1+$B$6)^3.5</f>
        <v>17491451.356543835</v>
      </c>
      <c r="J22">
        <f>J21/(1+$B$6)^4.5</f>
        <v>23989307.733691067</v>
      </c>
      <c r="K22" s="17">
        <f>(J21*(1+B5)/(B6-B5))/(1+B6)^4.5</f>
        <v>452215099.16511232</v>
      </c>
    </row>
    <row r="24" spans="1:11">
      <c r="A24" t="s">
        <v>43</v>
      </c>
      <c r="B24" s="167">
        <f>E22+F22+H22+I22+J22+K22</f>
        <v>407988602.24786401</v>
      </c>
    </row>
    <row r="25" spans="1:11">
      <c r="A25" t="s">
        <v>123</v>
      </c>
      <c r="B25" s="114">
        <f>'Calculation High Yield'!F27</f>
        <v>6051726.3918412803</v>
      </c>
    </row>
    <row r="26" spans="1:11">
      <c r="A26" t="s">
        <v>44</v>
      </c>
      <c r="B26" s="114">
        <f>'Calculation High Yield'!B33+'Balance sheet'!B17</f>
        <v>412890000</v>
      </c>
    </row>
    <row r="27" spans="1:11">
      <c r="A27" t="s">
        <v>45</v>
      </c>
      <c r="B27" s="114">
        <f>B24+B25-B26</f>
        <v>1150328.6397053003</v>
      </c>
    </row>
    <row r="28" spans="1:11">
      <c r="A28" t="s">
        <v>46</v>
      </c>
      <c r="B28" s="115">
        <f>'Income satatement'!D23</f>
        <v>37299945</v>
      </c>
    </row>
    <row r="29" spans="1:11">
      <c r="A29" t="s">
        <v>47</v>
      </c>
      <c r="B29" s="177">
        <f>B27/B28</f>
        <v>3.0839955386135296E-2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J29"/>
  <sheetViews>
    <sheetView tabSelected="1" topLeftCell="A5" workbookViewId="0">
      <selection activeCell="L20" sqref="L20"/>
    </sheetView>
  </sheetViews>
  <sheetFormatPr defaultRowHeight="15"/>
  <cols>
    <col min="1" max="1" width="34.7109375" bestFit="1" customWidth="1"/>
    <col min="2" max="2" width="16.5703125" bestFit="1" customWidth="1"/>
    <col min="3" max="9" width="12.5703125" bestFit="1" customWidth="1"/>
    <col min="10" max="10" width="10" bestFit="1" customWidth="1"/>
  </cols>
  <sheetData>
    <row r="2" spans="1:10">
      <c r="A2" s="166" t="s">
        <v>34</v>
      </c>
    </row>
    <row r="3" spans="1:10">
      <c r="A3" t="s">
        <v>35</v>
      </c>
      <c r="B3">
        <v>0.35</v>
      </c>
    </row>
    <row r="5" spans="1:10">
      <c r="A5" t="s">
        <v>36</v>
      </c>
      <c r="B5">
        <v>0.03</v>
      </c>
    </row>
    <row r="6" spans="1:10">
      <c r="A6" t="s">
        <v>33</v>
      </c>
      <c r="B6" s="179">
        <f>WACC!B48</f>
        <v>5.8863435686416249E-2</v>
      </c>
    </row>
    <row r="9" spans="1:10" ht="15.75" thickBot="1"/>
    <row r="10" spans="1:10">
      <c r="A10" s="117" t="s">
        <v>55</v>
      </c>
      <c r="B10" s="118" t="s">
        <v>37</v>
      </c>
      <c r="C10" s="197" t="s">
        <v>38</v>
      </c>
      <c r="D10" s="197"/>
      <c r="E10" s="197"/>
      <c r="F10" s="197"/>
      <c r="G10" s="197"/>
      <c r="H10" s="197"/>
      <c r="I10" s="198"/>
      <c r="J10" s="21"/>
    </row>
    <row r="11" spans="1:10">
      <c r="A11" s="125" t="s">
        <v>187</v>
      </c>
      <c r="B11" s="112">
        <v>1995</v>
      </c>
      <c r="C11" s="112">
        <v>1996</v>
      </c>
      <c r="D11" s="112">
        <v>1997</v>
      </c>
      <c r="E11" s="112">
        <v>1998</v>
      </c>
      <c r="F11" s="112">
        <v>1999</v>
      </c>
      <c r="G11" s="112">
        <v>2000</v>
      </c>
      <c r="H11" s="112">
        <v>2001</v>
      </c>
      <c r="I11" s="112">
        <v>2002</v>
      </c>
      <c r="J11" s="162" t="s">
        <v>186</v>
      </c>
    </row>
    <row r="12" spans="1:10">
      <c r="A12" s="116" t="s">
        <v>124</v>
      </c>
      <c r="B12" s="116">
        <f>'Income satatement'!B4</f>
        <v>168850000</v>
      </c>
      <c r="C12" s="116">
        <f>'Income satatement'!C4</f>
        <v>172237000</v>
      </c>
      <c r="D12" s="116">
        <f>'Income satatement'!D4</f>
        <v>186085000</v>
      </c>
      <c r="E12" s="116">
        <f>'Calculation equity'!F5</f>
        <v>208680220.40832001</v>
      </c>
      <c r="F12" s="116">
        <f>'Calculation equity'!G5</f>
        <v>242571577.54103997</v>
      </c>
      <c r="G12" s="116">
        <f>'Calculation equity'!H5</f>
        <v>250517010.84364802</v>
      </c>
      <c r="H12" s="116">
        <f>'Calculation equity'!I5</f>
        <v>367471390.17016804</v>
      </c>
      <c r="I12" s="116">
        <f>'Calculation equity'!J5</f>
        <v>377387319.32179201</v>
      </c>
      <c r="J12" s="23"/>
    </row>
    <row r="13" spans="1:10">
      <c r="A13" s="121"/>
      <c r="B13" s="116"/>
      <c r="C13" s="116"/>
      <c r="D13" s="116"/>
      <c r="E13" s="116"/>
      <c r="F13" s="116"/>
      <c r="G13" s="116"/>
      <c r="H13" s="116"/>
      <c r="I13" s="120"/>
      <c r="J13" s="17"/>
    </row>
    <row r="14" spans="1:10">
      <c r="A14" s="74" t="s">
        <v>2</v>
      </c>
      <c r="B14" s="116">
        <f>'Calculation High Yield'!B6</f>
        <v>156500000</v>
      </c>
      <c r="C14" s="116">
        <f>'Calculation High Yield'!C6</f>
        <v>159803000</v>
      </c>
      <c r="D14" s="116">
        <f>'Calculation High Yield'!D6</f>
        <v>162494000</v>
      </c>
      <c r="E14" s="116">
        <f>'Calculation equity'!F6</f>
        <v>176021765.91441792</v>
      </c>
      <c r="F14" s="116">
        <f>'Calculation equity'!G6</f>
        <v>213462988.23611519</v>
      </c>
      <c r="G14" s="116">
        <f>'Calculation equity'!H6</f>
        <v>217949799.43397376</v>
      </c>
      <c r="H14" s="116">
        <f>'Calculation equity'!I6</f>
        <v>323374823.3497479</v>
      </c>
      <c r="I14" s="116">
        <f>'Calculation equity'!J6</f>
        <v>326440031.21335006</v>
      </c>
      <c r="J14" s="17"/>
    </row>
    <row r="15" spans="1:10">
      <c r="A15" s="74"/>
      <c r="B15" s="116"/>
      <c r="C15" s="116"/>
      <c r="D15" s="116"/>
      <c r="E15" s="116"/>
      <c r="F15" s="116"/>
      <c r="G15" s="116"/>
      <c r="H15" s="116"/>
      <c r="I15" s="120"/>
      <c r="J15" s="17"/>
    </row>
    <row r="16" spans="1:10">
      <c r="A16" s="119" t="s">
        <v>48</v>
      </c>
      <c r="B16" s="116">
        <f>B12-B14</f>
        <v>12350000</v>
      </c>
      <c r="C16" s="116">
        <f t="shared" ref="C16:I16" si="0">C12-C14</f>
        <v>12434000</v>
      </c>
      <c r="D16" s="116">
        <f t="shared" si="0"/>
        <v>23591000</v>
      </c>
      <c r="E16" s="116">
        <f t="shared" si="0"/>
        <v>32658454.493902087</v>
      </c>
      <c r="F16" s="116">
        <f t="shared" si="0"/>
        <v>29108589.304924786</v>
      </c>
      <c r="G16" s="116">
        <f t="shared" si="0"/>
        <v>32567211.409674257</v>
      </c>
      <c r="H16" s="116">
        <f t="shared" si="0"/>
        <v>44096566.820420146</v>
      </c>
      <c r="I16" s="116">
        <f t="shared" si="0"/>
        <v>50947288.108441949</v>
      </c>
      <c r="J16" s="17"/>
    </row>
    <row r="17" spans="1:10">
      <c r="A17" s="121" t="s">
        <v>39</v>
      </c>
      <c r="B17" s="116">
        <f t="array" ref="B17">B16*(1-$B$3)</f>
        <v>8027500</v>
      </c>
      <c r="C17" s="116">
        <f t="array" ref="C17">C16*(1-$B$3)</f>
        <v>8082100</v>
      </c>
      <c r="D17" s="116">
        <f t="array" ref="D17">D16*(1-$B$3)</f>
        <v>15334150</v>
      </c>
      <c r="E17" s="116">
        <f t="array" ref="E17">E16*(1-$B$3)</f>
        <v>21227995.421036359</v>
      </c>
      <c r="F17" s="116">
        <f t="array" ref="F17">F16*(1-$B$3)</f>
        <v>18920583.04820111</v>
      </c>
      <c r="G17" s="116">
        <f t="array" ref="G17">G16*(1-$B$3)</f>
        <v>21168687.416288268</v>
      </c>
      <c r="H17" s="116">
        <f t="array" ref="H17">H16*(1-$B$3)</f>
        <v>28662768.433273096</v>
      </c>
      <c r="I17" s="116">
        <f t="array" ref="I17">I16*(1-$B$3)</f>
        <v>33115737.270487268</v>
      </c>
      <c r="J17" s="22"/>
    </row>
    <row r="18" spans="1:10">
      <c r="A18" s="121" t="s">
        <v>40</v>
      </c>
      <c r="B18" s="116">
        <f>'Income satatement'!B11</f>
        <v>13892000</v>
      </c>
      <c r="C18" s="116">
        <f>'Income satatement'!C11</f>
        <v>14354000</v>
      </c>
      <c r="D18" s="116">
        <f>'Income satatement'!D11</f>
        <v>14285000</v>
      </c>
      <c r="E18" s="116">
        <f>'Calculation High Yield'!F22</f>
        <v>14285000</v>
      </c>
      <c r="F18" s="116">
        <f>'Calculation High Yield'!G22</f>
        <v>17467595.19285728</v>
      </c>
      <c r="G18" s="116">
        <f>'Calculation High Yield'!H22</f>
        <v>15654443.13034841</v>
      </c>
      <c r="H18" s="116">
        <f>'Calculation High Yield'!I22</f>
        <v>14663005.034488192</v>
      </c>
      <c r="I18" s="116">
        <f>'Calculation High Yield'!J22</f>
        <v>14734778.816398896</v>
      </c>
      <c r="J18" s="24"/>
    </row>
    <row r="19" spans="1:10">
      <c r="A19" s="121" t="s">
        <v>41</v>
      </c>
      <c r="B19" s="116"/>
      <c r="C19" s="116">
        <f>'Calculation High Yield'!C28</f>
        <v>98223</v>
      </c>
      <c r="D19" s="116">
        <f>'Calculation High Yield'!D28</f>
        <v>401592</v>
      </c>
      <c r="E19" s="116">
        <f>'Calculation High Yield'!F28</f>
        <v>655261.39184128027</v>
      </c>
      <c r="F19" s="116">
        <f>'Calculation High Yield'!G28</f>
        <v>2049817.3568488788</v>
      </c>
      <c r="G19" s="116">
        <f>'Calculation High Yield'!H28</f>
        <v>283765.96577563416</v>
      </c>
      <c r="H19" s="116">
        <f>'Calculation High Yield'!I28</f>
        <v>2378788.2004690804</v>
      </c>
      <c r="I19" s="116">
        <f>'Calculation High Yield'!J28</f>
        <v>322274.94539709575</v>
      </c>
      <c r="J19" s="17"/>
    </row>
    <row r="20" spans="1:10">
      <c r="A20" s="121" t="s">
        <v>42</v>
      </c>
      <c r="B20" s="116">
        <f>'Calculation High Yield'!B5*'Calculation High Yield'!$B$25</f>
        <v>4896650</v>
      </c>
      <c r="C20" s="116">
        <f>'Calculation High Yield'!C5*'Calculation High Yield'!$B$25</f>
        <v>4994873</v>
      </c>
      <c r="D20" s="116">
        <f>'Calculation High Yield'!D5*'Calculation High Yield'!$B$25</f>
        <v>5396465</v>
      </c>
      <c r="E20" s="116">
        <f>'Calculation High Yield'!F21</f>
        <v>127303807.7142912</v>
      </c>
      <c r="F20" s="116">
        <f>'Calculation High Yield'!G21</f>
        <v>54777725.213936403</v>
      </c>
      <c r="G20" s="116">
        <f>'Calculation High Yield'!H21</f>
        <v>15120201.379527682</v>
      </c>
      <c r="H20" s="116">
        <f>'Calculation High Yield'!I21</f>
        <v>17991152.655955881</v>
      </c>
      <c r="I20" s="116">
        <f>'Calculation High Yield'!J21</f>
        <v>13380105.176262721</v>
      </c>
      <c r="J20" s="17"/>
    </row>
    <row r="21" spans="1:10">
      <c r="A21" s="122" t="s">
        <v>51</v>
      </c>
      <c r="B21" s="116">
        <f>B17+B18-B19-B20</f>
        <v>17022850</v>
      </c>
      <c r="C21" s="116">
        <f>C17+C18-C19-C20</f>
        <v>17343004</v>
      </c>
      <c r="D21" s="116">
        <f t="shared" ref="D21:I21" si="1">D17+D18-D19-D20</f>
        <v>23821093</v>
      </c>
      <c r="E21" s="116">
        <f>E17+E18-E19-E20</f>
        <v>-92446073.685096115</v>
      </c>
      <c r="F21" s="116">
        <f t="shared" si="1"/>
        <v>-20439364.32972689</v>
      </c>
      <c r="G21" s="116">
        <f t="shared" si="1"/>
        <v>21419163.201333366</v>
      </c>
      <c r="H21" s="116">
        <f t="shared" si="1"/>
        <v>22955832.611336321</v>
      </c>
      <c r="I21" s="116">
        <f t="shared" si="1"/>
        <v>34148135.965226352</v>
      </c>
      <c r="J21" s="17"/>
    </row>
    <row r="22" spans="1:10" ht="15.75" thickBot="1">
      <c r="A22" s="123" t="s">
        <v>52</v>
      </c>
      <c r="B22" s="124"/>
      <c r="C22" s="124"/>
      <c r="D22" s="124"/>
      <c r="E22" s="161">
        <f>E21/(1+B6)^0.5</f>
        <v>-89839741.773472473</v>
      </c>
      <c r="F22" s="161">
        <f>F21/(1+B6)^1.5</f>
        <v>-18758903.854490999</v>
      </c>
      <c r="G22" s="161">
        <f>G21/(1+B6)^2.5</f>
        <v>18565327.757269546</v>
      </c>
      <c r="H22" s="161">
        <f>H21/(1+B6)^3.5</f>
        <v>18791143.908290956</v>
      </c>
      <c r="I22" s="161">
        <f>I21/(1+B6)^4.5</f>
        <v>26398984.408425249</v>
      </c>
      <c r="J22" s="17">
        <f>(I21*(1+B5)/(B6-B5))/(1+B6)^4.5</f>
        <v>942055347.6755594</v>
      </c>
    </row>
    <row r="23" spans="1:10">
      <c r="J23" s="18"/>
    </row>
    <row r="24" spans="1:10">
      <c r="A24" s="113" t="s">
        <v>43</v>
      </c>
      <c r="B24" s="114">
        <f>SUM(E22:J22)</f>
        <v>897212158.12158167</v>
      </c>
    </row>
    <row r="25" spans="1:10">
      <c r="A25" s="113" t="s">
        <v>123</v>
      </c>
      <c r="B25" s="114">
        <f>'Calculation High Yield'!F27</f>
        <v>6051726.3918412803</v>
      </c>
    </row>
    <row r="26" spans="1:10">
      <c r="A26" s="113" t="s">
        <v>44</v>
      </c>
      <c r="B26" s="114">
        <f>'Calculation High Yield'!B33+'Balance sheet'!B17</f>
        <v>412890000</v>
      </c>
    </row>
    <row r="27" spans="1:10">
      <c r="A27" s="113" t="s">
        <v>45</v>
      </c>
      <c r="B27" s="114">
        <f>B24+B25-B26+WACC!B51</f>
        <v>505373884.51342297</v>
      </c>
    </row>
    <row r="28" spans="1:10">
      <c r="A28" s="113" t="s">
        <v>46</v>
      </c>
      <c r="B28" s="115">
        <f>'Income satatement'!D23+WACC!B50</f>
        <v>38944681.842105262</v>
      </c>
    </row>
    <row r="29" spans="1:10">
      <c r="A29" t="s">
        <v>47</v>
      </c>
      <c r="B29" s="166">
        <f>B27/B28</f>
        <v>12.976711083746361</v>
      </c>
    </row>
  </sheetData>
  <mergeCells count="1">
    <mergeCell ref="C10:I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J29"/>
  <sheetViews>
    <sheetView topLeftCell="A13" workbookViewId="0">
      <selection activeCell="B29" sqref="B29"/>
    </sheetView>
  </sheetViews>
  <sheetFormatPr defaultRowHeight="15"/>
  <cols>
    <col min="1" max="1" width="34.7109375" bestFit="1" customWidth="1"/>
    <col min="2" max="2" width="15.5703125" bestFit="1" customWidth="1"/>
    <col min="3" max="9" width="12.5703125" bestFit="1" customWidth="1"/>
    <col min="10" max="10" width="10" bestFit="1" customWidth="1"/>
  </cols>
  <sheetData>
    <row r="2" spans="1:10">
      <c r="A2" s="166" t="s">
        <v>34</v>
      </c>
    </row>
    <row r="3" spans="1:10">
      <c r="A3" t="s">
        <v>35</v>
      </c>
      <c r="B3">
        <v>0.35</v>
      </c>
    </row>
    <row r="5" spans="1:10">
      <c r="A5" t="s">
        <v>36</v>
      </c>
      <c r="B5">
        <v>0.03</v>
      </c>
    </row>
    <row r="6" spans="1:10">
      <c r="A6" t="s">
        <v>33</v>
      </c>
      <c r="B6" s="170">
        <f>WACC!B32</f>
        <v>7.1159978578484523E-2</v>
      </c>
    </row>
    <row r="9" spans="1:10" ht="15.75" thickBot="1"/>
    <row r="10" spans="1:10">
      <c r="A10" s="117" t="s">
        <v>55</v>
      </c>
      <c r="B10" s="118" t="s">
        <v>37</v>
      </c>
      <c r="C10" s="197" t="s">
        <v>38</v>
      </c>
      <c r="D10" s="197"/>
      <c r="E10" s="197"/>
      <c r="F10" s="197"/>
      <c r="G10" s="197"/>
      <c r="H10" s="197"/>
      <c r="I10" s="198"/>
      <c r="J10" s="21"/>
    </row>
    <row r="11" spans="1:10">
      <c r="A11" s="125" t="s">
        <v>187</v>
      </c>
      <c r="B11" s="112">
        <v>1995</v>
      </c>
      <c r="C11" s="112">
        <v>1996</v>
      </c>
      <c r="D11" s="112">
        <v>1997</v>
      </c>
      <c r="E11" s="112">
        <v>1998</v>
      </c>
      <c r="F11" s="112">
        <v>1999</v>
      </c>
      <c r="G11" s="112">
        <v>2000</v>
      </c>
      <c r="H11" s="112">
        <v>2001</v>
      </c>
      <c r="I11" s="112">
        <v>2002</v>
      </c>
      <c r="J11" s="162" t="s">
        <v>186</v>
      </c>
    </row>
    <row r="12" spans="1:10">
      <c r="A12" s="116" t="s">
        <v>124</v>
      </c>
      <c r="B12" s="116">
        <f>'Income satatement'!B4</f>
        <v>168850000</v>
      </c>
      <c r="C12" s="116">
        <f>'Income satatement'!C4</f>
        <v>172237000</v>
      </c>
      <c r="D12" s="116">
        <f>'Income satatement'!D4</f>
        <v>186085000</v>
      </c>
      <c r="E12" s="116">
        <f>'Calculation convertible '!B36</f>
        <v>208680220.40832001</v>
      </c>
      <c r="F12" s="116">
        <f>'Calculation convertible '!C36</f>
        <v>242571577.54103997</v>
      </c>
      <c r="G12" s="116">
        <f>'Calculation convertible '!D36</f>
        <v>250517010.84364802</v>
      </c>
      <c r="H12" s="116">
        <f>'Calculation convertible '!E36</f>
        <v>367471390.17016804</v>
      </c>
      <c r="I12" s="116">
        <f>'Calculation convertible '!F36</f>
        <v>342195519.32179201</v>
      </c>
      <c r="J12" s="23"/>
    </row>
    <row r="13" spans="1:10">
      <c r="A13" s="121"/>
      <c r="B13" s="116"/>
      <c r="C13" s="116"/>
      <c r="D13" s="116"/>
      <c r="E13" s="116"/>
      <c r="F13" s="116"/>
      <c r="G13" s="116"/>
      <c r="H13" s="116"/>
      <c r="I13" s="120"/>
      <c r="J13" s="17"/>
    </row>
    <row r="14" spans="1:10">
      <c r="A14" s="74" t="s">
        <v>2</v>
      </c>
      <c r="B14" s="116">
        <f>'Calculation High Yield'!B6</f>
        <v>156500000</v>
      </c>
      <c r="C14" s="116">
        <f>'Calculation High Yield'!C6</f>
        <v>159803000</v>
      </c>
      <c r="D14" s="116">
        <f>'Calculation High Yield'!D6</f>
        <v>162494000</v>
      </c>
      <c r="E14" s="116">
        <f>'Calculation convertible '!F6</f>
        <v>176021765.91441792</v>
      </c>
      <c r="F14" s="116">
        <f>'Calculation convertible '!G6</f>
        <v>213462988.23611519</v>
      </c>
      <c r="G14" s="116">
        <f>'Calculation convertible '!H6</f>
        <v>220454969.54241025</v>
      </c>
      <c r="H14" s="116">
        <f>'Calculation convertible '!I6</f>
        <v>323374823.3497479</v>
      </c>
      <c r="I14" s="116">
        <f>'Calculation convertible '!J6</f>
        <v>295999124.21335006</v>
      </c>
      <c r="J14" s="17"/>
    </row>
    <row r="15" spans="1:10">
      <c r="A15" s="74"/>
      <c r="B15" s="116"/>
      <c r="C15" s="116"/>
      <c r="D15" s="116"/>
      <c r="E15" s="116"/>
      <c r="F15" s="116"/>
      <c r="G15" s="116"/>
      <c r="H15" s="116"/>
      <c r="I15" s="120"/>
      <c r="J15" s="17"/>
    </row>
    <row r="16" spans="1:10">
      <c r="A16" s="119" t="s">
        <v>48</v>
      </c>
      <c r="B16" s="116">
        <f>B12-B14</f>
        <v>12350000</v>
      </c>
      <c r="C16" s="116">
        <f t="shared" ref="C16:I16" si="0">C12-C14</f>
        <v>12434000</v>
      </c>
      <c r="D16" s="116">
        <f t="shared" si="0"/>
        <v>23591000</v>
      </c>
      <c r="E16" s="116">
        <f t="shared" si="0"/>
        <v>32658454.493902087</v>
      </c>
      <c r="F16" s="116">
        <f>F12-F14</f>
        <v>29108589.304924786</v>
      </c>
      <c r="G16" s="116">
        <f t="shared" si="0"/>
        <v>30062041.301237762</v>
      </c>
      <c r="H16" s="116">
        <f t="shared" si="0"/>
        <v>44096566.820420146</v>
      </c>
      <c r="I16" s="116">
        <f t="shared" si="0"/>
        <v>46196395.108441949</v>
      </c>
      <c r="J16" s="17"/>
    </row>
    <row r="17" spans="1:10">
      <c r="A17" s="121" t="s">
        <v>39</v>
      </c>
      <c r="B17" s="116">
        <f t="array" ref="B17">B16*(1-$B$3)</f>
        <v>8027500</v>
      </c>
      <c r="C17" s="116">
        <f t="array" ref="C17">C16*(1-$B$3)</f>
        <v>8082100</v>
      </c>
      <c r="D17" s="116">
        <f t="array" ref="D17">D16*(1-$B$3)</f>
        <v>15334150</v>
      </c>
      <c r="E17" s="116">
        <f t="array" ref="E17">E16*(1-$B$3)</f>
        <v>21227995.421036359</v>
      </c>
      <c r="F17" s="116">
        <f t="array" ref="F17">F16*(1-$B$3)</f>
        <v>18920583.04820111</v>
      </c>
      <c r="G17" s="116">
        <f t="array" ref="G17">G16*(1-$B$3)</f>
        <v>19540326.845804546</v>
      </c>
      <c r="H17" s="116">
        <f t="array" ref="H17">H16*(1-$B$3)</f>
        <v>28662768.433273096</v>
      </c>
      <c r="I17" s="116">
        <f t="array" ref="I17">I16*(1-$B$3)</f>
        <v>30027656.820487268</v>
      </c>
      <c r="J17" s="22"/>
    </row>
    <row r="18" spans="1:10">
      <c r="A18" s="121" t="s">
        <v>40</v>
      </c>
      <c r="B18" s="116">
        <f>'Income satatement'!B11</f>
        <v>13892000</v>
      </c>
      <c r="C18" s="116">
        <f>'Income satatement'!C11</f>
        <v>14354000</v>
      </c>
      <c r="D18" s="116">
        <f>'Income satatement'!D11</f>
        <v>14285000</v>
      </c>
      <c r="E18" s="116">
        <f>'Calculation High Yield'!F22</f>
        <v>14285000</v>
      </c>
      <c r="F18" s="116">
        <f>'Calculation High Yield'!G22</f>
        <v>17467595.19285728</v>
      </c>
      <c r="G18" s="116">
        <f>'Calculation High Yield'!H22</f>
        <v>15654443.13034841</v>
      </c>
      <c r="H18" s="116">
        <f>'Calculation High Yield'!I22</f>
        <v>14663005.034488192</v>
      </c>
      <c r="I18" s="116">
        <f>'Calculation High Yield'!J22</f>
        <v>14734778.816398896</v>
      </c>
      <c r="J18" s="24"/>
    </row>
    <row r="19" spans="1:10">
      <c r="A19" s="121" t="s">
        <v>41</v>
      </c>
      <c r="B19" s="116"/>
      <c r="C19" s="116">
        <f>'Calculation High Yield'!C28</f>
        <v>98223</v>
      </c>
      <c r="D19" s="116">
        <f>'Calculation High Yield'!D28</f>
        <v>401592</v>
      </c>
      <c r="E19" s="116">
        <f>'Calculation High Yield'!F28</f>
        <v>655261.39184128027</v>
      </c>
      <c r="F19" s="116">
        <f>'Calculation High Yield'!G28</f>
        <v>2049817.3568488788</v>
      </c>
      <c r="G19" s="116">
        <f>'Calculation High Yield'!H28</f>
        <v>283765.96577563416</v>
      </c>
      <c r="H19" s="116">
        <f>'Calculation High Yield'!I28</f>
        <v>2378788.2004690804</v>
      </c>
      <c r="I19" s="116">
        <f>'Calculation High Yield'!J28</f>
        <v>322274.94539709575</v>
      </c>
      <c r="J19" s="17"/>
    </row>
    <row r="20" spans="1:10">
      <c r="A20" s="121" t="s">
        <v>42</v>
      </c>
      <c r="B20" s="116">
        <f>'Calculation High Yield'!B5*'Calculation High Yield'!$B$25</f>
        <v>4896650</v>
      </c>
      <c r="C20" s="116">
        <f>'Calculation High Yield'!C5*'Calculation High Yield'!$B$25</f>
        <v>4994873</v>
      </c>
      <c r="D20" s="116">
        <f>'Calculation High Yield'!D5*'Calculation High Yield'!$B$25</f>
        <v>5396465</v>
      </c>
      <c r="E20" s="116">
        <f>'Calculation High Yield'!F21</f>
        <v>127303807.7142912</v>
      </c>
      <c r="F20" s="116">
        <f>'Calculation High Yield'!G21</f>
        <v>54777725.213936403</v>
      </c>
      <c r="G20" s="116">
        <f>'Calculation High Yield'!H21</f>
        <v>15120201.379527682</v>
      </c>
      <c r="H20" s="116">
        <f>'Calculation High Yield'!I21</f>
        <v>17991152.655955881</v>
      </c>
      <c r="I20" s="116">
        <f>'Calculation High Yield'!J21</f>
        <v>13380105.176262721</v>
      </c>
      <c r="J20" s="17"/>
    </row>
    <row r="21" spans="1:10">
      <c r="A21" s="122" t="s">
        <v>51</v>
      </c>
      <c r="B21" s="116">
        <f>B17+B18-B19-B20</f>
        <v>17022850</v>
      </c>
      <c r="C21" s="116">
        <f>C17+C18-C19-C20</f>
        <v>17343004</v>
      </c>
      <c r="D21" s="116">
        <f t="shared" ref="D21:I21" si="1">D17+D18-D19-D20</f>
        <v>23821093</v>
      </c>
      <c r="E21" s="116">
        <f t="shared" si="1"/>
        <v>-92446073.685096115</v>
      </c>
      <c r="F21" s="116">
        <f t="shared" si="1"/>
        <v>-20439364.32972689</v>
      </c>
      <c r="G21" s="116">
        <f t="shared" si="1"/>
        <v>19790802.630849645</v>
      </c>
      <c r="H21" s="116">
        <f t="shared" si="1"/>
        <v>22955832.611336321</v>
      </c>
      <c r="I21" s="116">
        <f t="shared" si="1"/>
        <v>31060055.515226349</v>
      </c>
      <c r="J21" s="17"/>
    </row>
    <row r="22" spans="1:10" ht="15.75" thickBot="1">
      <c r="A22" s="123" t="s">
        <v>52</v>
      </c>
      <c r="B22" s="124"/>
      <c r="C22" s="124"/>
      <c r="D22" s="124"/>
      <c r="E22" s="161">
        <f>E21/(1+B6)^0.5</f>
        <v>-89322588.857609078</v>
      </c>
      <c r="F22" s="161">
        <f>F21/(1+B6)^1.5</f>
        <v>-18436814.162164975</v>
      </c>
      <c r="G22" s="161">
        <f>G21/(1+B6)^2.5</f>
        <v>16665853.618629515</v>
      </c>
      <c r="H22" s="161">
        <f>H21/(1+B6)^3.5</f>
        <v>18046910.588597853</v>
      </c>
      <c r="I22" s="161">
        <f>I21/(1+B6)^4.5</f>
        <v>22795950.596603848</v>
      </c>
      <c r="J22" s="17">
        <f>(I21*(1+B5)/(B6-B5))/(1+B6)^4.5</f>
        <v>570452899.28249693</v>
      </c>
    </row>
    <row r="23" spans="1:10">
      <c r="J23" s="18"/>
    </row>
    <row r="24" spans="1:10">
      <c r="A24" s="113" t="s">
        <v>43</v>
      </c>
      <c r="B24" s="114">
        <f>SUM(E22:J22)</f>
        <v>520202211.06655407</v>
      </c>
    </row>
    <row r="25" spans="1:10">
      <c r="A25" s="113" t="s">
        <v>123</v>
      </c>
      <c r="B25" s="114">
        <f>'Calculation High Yield'!F27</f>
        <v>6051726.3918412803</v>
      </c>
    </row>
    <row r="26" spans="1:10">
      <c r="A26" s="113" t="s">
        <v>44</v>
      </c>
      <c r="B26" s="114">
        <f>'Calculation High Yield'!B33+'Balance sheet'!B17</f>
        <v>412890000</v>
      </c>
    </row>
    <row r="27" spans="1:10">
      <c r="A27" s="113" t="s">
        <v>45</v>
      </c>
      <c r="B27" s="114">
        <f>B24+B25-B26+'Calculation convertible '!B33</f>
        <v>128363937.45839536</v>
      </c>
    </row>
    <row r="28" spans="1:10">
      <c r="A28" s="113" t="s">
        <v>46</v>
      </c>
      <c r="B28" s="115">
        <f>'Income satatement'!D23+'Calculation convertible '!B34</f>
        <v>38799945</v>
      </c>
    </row>
    <row r="29" spans="1:10">
      <c r="A29" t="s">
        <v>47</v>
      </c>
      <c r="B29">
        <f>B27/B28</f>
        <v>3.3083535932433761</v>
      </c>
    </row>
  </sheetData>
  <mergeCells count="1">
    <mergeCell ref="C10:I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J32"/>
  <sheetViews>
    <sheetView topLeftCell="A8" workbookViewId="0">
      <selection activeCell="G32" sqref="G32"/>
    </sheetView>
  </sheetViews>
  <sheetFormatPr defaultRowHeight="15"/>
  <cols>
    <col min="1" max="1" width="34.7109375" bestFit="1" customWidth="1"/>
    <col min="2" max="2" width="15.5703125" bestFit="1" customWidth="1"/>
    <col min="3" max="9" width="12.5703125" bestFit="1" customWidth="1"/>
    <col min="10" max="10" width="10" bestFit="1" customWidth="1"/>
  </cols>
  <sheetData>
    <row r="2" spans="1:10">
      <c r="A2" s="166" t="s">
        <v>34</v>
      </c>
    </row>
    <row r="3" spans="1:10">
      <c r="A3" t="s">
        <v>35</v>
      </c>
      <c r="B3">
        <v>0.35</v>
      </c>
    </row>
    <row r="5" spans="1:10">
      <c r="A5" t="s">
        <v>36</v>
      </c>
      <c r="B5">
        <v>0.03</v>
      </c>
    </row>
    <row r="6" spans="1:10">
      <c r="A6" t="s">
        <v>33</v>
      </c>
      <c r="B6" s="170">
        <f>WACC!B32</f>
        <v>7.1159978578484523E-2</v>
      </c>
    </row>
    <row r="9" spans="1:10" ht="15.75" thickBot="1"/>
    <row r="10" spans="1:10">
      <c r="A10" s="117" t="s">
        <v>55</v>
      </c>
      <c r="B10" s="118" t="s">
        <v>37</v>
      </c>
      <c r="C10" s="197" t="s">
        <v>38</v>
      </c>
      <c r="D10" s="197"/>
      <c r="E10" s="197"/>
      <c r="F10" s="197"/>
      <c r="G10" s="197"/>
      <c r="H10" s="197"/>
      <c r="I10" s="198"/>
      <c r="J10" s="21"/>
    </row>
    <row r="11" spans="1:10">
      <c r="A11" s="125" t="s">
        <v>187</v>
      </c>
      <c r="B11" s="112">
        <v>1995</v>
      </c>
      <c r="C11" s="112">
        <v>1996</v>
      </c>
      <c r="D11" s="112">
        <v>1997</v>
      </c>
      <c r="E11" s="112">
        <v>1998</v>
      </c>
      <c r="F11" s="112">
        <v>1999</v>
      </c>
      <c r="G11" s="112">
        <v>2000</v>
      </c>
      <c r="H11" s="112">
        <v>2001</v>
      </c>
      <c r="I11" s="112">
        <v>2002</v>
      </c>
      <c r="J11" s="162" t="s">
        <v>186</v>
      </c>
    </row>
    <row r="12" spans="1:10">
      <c r="A12" s="116" t="s">
        <v>124</v>
      </c>
      <c r="B12" s="116">
        <f>'Income satatement'!B4</f>
        <v>168850000</v>
      </c>
      <c r="C12" s="116">
        <f>'Income satatement'!C4</f>
        <v>172237000</v>
      </c>
      <c r="D12" s="116">
        <f>'Income satatement'!D4</f>
        <v>186085000</v>
      </c>
      <c r="E12" s="116">
        <f>'non convertible 1'!B36</f>
        <v>208680220.40832001</v>
      </c>
      <c r="F12" s="116">
        <f>'non convertible 1'!C36</f>
        <v>242571577.54103997</v>
      </c>
      <c r="G12" s="116">
        <f>'non convertible 1'!D36</f>
        <v>250517010.84364802</v>
      </c>
      <c r="H12" s="116">
        <f>'non convertible 1'!E36</f>
        <v>332279590.17016804</v>
      </c>
      <c r="I12" s="116">
        <f>'non convertible 1'!F36</f>
        <v>378559119.32179201</v>
      </c>
      <c r="J12" s="23"/>
    </row>
    <row r="13" spans="1:10">
      <c r="A13" s="121"/>
      <c r="B13" s="116"/>
      <c r="C13" s="116"/>
      <c r="D13" s="116"/>
      <c r="E13" s="116"/>
      <c r="F13" s="116"/>
      <c r="G13" s="116"/>
      <c r="H13" s="116"/>
      <c r="I13" s="120"/>
      <c r="J13" s="17"/>
    </row>
    <row r="14" spans="1:10">
      <c r="A14" s="74" t="s">
        <v>2</v>
      </c>
      <c r="B14" s="116">
        <f>'Calculation High Yield'!B6</f>
        <v>156500000</v>
      </c>
      <c r="C14" s="116">
        <f>'Calculation High Yield'!C6</f>
        <v>159803000</v>
      </c>
      <c r="D14" s="116">
        <f>'Calculation High Yield'!D6</f>
        <v>162494000</v>
      </c>
      <c r="E14" s="116">
        <f>'non convertible 1'!F6</f>
        <v>176021765.91441792</v>
      </c>
      <c r="F14" s="116">
        <f>'non convertible 1'!G6</f>
        <v>213462988.23611519</v>
      </c>
      <c r="G14" s="116">
        <f>'non convertible 1'!H6</f>
        <v>220454969.54241025</v>
      </c>
      <c r="H14" s="116">
        <f>'non convertible 1'!I6</f>
        <v>292406039.3497479</v>
      </c>
      <c r="I14" s="116">
        <f>'non convertible 1'!J6</f>
        <v>327453638.21335006</v>
      </c>
      <c r="J14" s="17"/>
    </row>
    <row r="15" spans="1:10">
      <c r="A15" s="74"/>
      <c r="B15" s="116"/>
      <c r="C15" s="116"/>
      <c r="D15" s="116"/>
      <c r="E15" s="116"/>
      <c r="F15" s="116"/>
      <c r="G15" s="116"/>
      <c r="H15" s="116"/>
      <c r="I15" s="120"/>
      <c r="J15" s="17"/>
    </row>
    <row r="16" spans="1:10">
      <c r="A16" s="119" t="s">
        <v>48</v>
      </c>
      <c r="B16" s="116">
        <f>B12-B14</f>
        <v>12350000</v>
      </c>
      <c r="C16" s="116">
        <f t="shared" ref="C16:I16" si="0">C12-C14</f>
        <v>12434000</v>
      </c>
      <c r="D16" s="116">
        <f t="shared" si="0"/>
        <v>23591000</v>
      </c>
      <c r="E16" s="116">
        <f t="shared" si="0"/>
        <v>32658454.493902087</v>
      </c>
      <c r="F16" s="116">
        <f t="shared" si="0"/>
        <v>29108589.304924786</v>
      </c>
      <c r="G16" s="116">
        <f t="shared" si="0"/>
        <v>30062041.301237762</v>
      </c>
      <c r="H16" s="116">
        <f t="shared" si="0"/>
        <v>39873550.820420146</v>
      </c>
      <c r="I16" s="116">
        <f t="shared" si="0"/>
        <v>51105481.108441949</v>
      </c>
      <c r="J16" s="17"/>
    </row>
    <row r="17" spans="1:10">
      <c r="A17" s="121" t="s">
        <v>39</v>
      </c>
      <c r="B17" s="116">
        <f t="array" ref="B17">B16*(1-$B$3)</f>
        <v>8027500</v>
      </c>
      <c r="C17" s="116">
        <f t="array" ref="C17">C16*(1-$B$3)</f>
        <v>8082100</v>
      </c>
      <c r="D17" s="116">
        <f t="array" ref="D17">D16*(1-$B$3)</f>
        <v>15334150</v>
      </c>
      <c r="E17" s="116">
        <f t="array" ref="E17">E16*(1-$B$3)</f>
        <v>21227995.421036359</v>
      </c>
      <c r="F17" s="116">
        <f t="array" ref="F17">F16*(1-$B$3)</f>
        <v>18920583.04820111</v>
      </c>
      <c r="G17" s="116">
        <f t="array" ref="G17">G16*(1-$B$3)</f>
        <v>19540326.845804546</v>
      </c>
      <c r="H17" s="116">
        <f t="array" ref="H17">H16*(1-$B$3)</f>
        <v>25917808.033273097</v>
      </c>
      <c r="I17" s="116">
        <f t="array" ref="I17">I16*(1-$B$3)</f>
        <v>33218562.720487267</v>
      </c>
      <c r="J17" s="22"/>
    </row>
    <row r="18" spans="1:10">
      <c r="A18" s="121" t="s">
        <v>40</v>
      </c>
      <c r="B18" s="116">
        <f>'Income satatement'!B11</f>
        <v>13892000</v>
      </c>
      <c r="C18" s="116">
        <f>'Income satatement'!C11</f>
        <v>14354000</v>
      </c>
      <c r="D18" s="116">
        <f>'Income satatement'!D11</f>
        <v>14285000</v>
      </c>
      <c r="E18" s="116">
        <f>'Calculation High Yield'!F22</f>
        <v>14285000</v>
      </c>
      <c r="F18" s="116">
        <f>'Calculation High Yield'!G22</f>
        <v>17467595.19285728</v>
      </c>
      <c r="G18" s="116">
        <f>'Calculation High Yield'!H22</f>
        <v>15654443.13034841</v>
      </c>
      <c r="H18" s="116">
        <f>'Calculation High Yield'!I22</f>
        <v>14663005.034488192</v>
      </c>
      <c r="I18" s="116">
        <f>'Calculation High Yield'!J22</f>
        <v>14734778.816398896</v>
      </c>
      <c r="J18" s="24"/>
    </row>
    <row r="19" spans="1:10">
      <c r="A19" s="121" t="s">
        <v>41</v>
      </c>
      <c r="B19" s="116"/>
      <c r="C19" s="116">
        <f>'Calculation High Yield'!C28</f>
        <v>98223</v>
      </c>
      <c r="D19" s="116">
        <f>'Calculation High Yield'!D28</f>
        <v>401592</v>
      </c>
      <c r="E19" s="116">
        <f>'Calculation High Yield'!F28</f>
        <v>655261.39184128027</v>
      </c>
      <c r="F19" s="116">
        <f>'Calculation High Yield'!G28</f>
        <v>2049817.3568488788</v>
      </c>
      <c r="G19" s="116">
        <f>'Calculation High Yield'!H28</f>
        <v>283765.96577563416</v>
      </c>
      <c r="H19" s="116">
        <f>'Calculation High Yield'!I28</f>
        <v>2378788.2004690804</v>
      </c>
      <c r="I19" s="116">
        <f>'Calculation High Yield'!J28</f>
        <v>322274.94539709575</v>
      </c>
      <c r="J19" s="17"/>
    </row>
    <row r="20" spans="1:10">
      <c r="A20" s="121" t="s">
        <v>42</v>
      </c>
      <c r="B20" s="116">
        <f>'Calculation High Yield'!B5*'Calculation High Yield'!$B$25</f>
        <v>4896650</v>
      </c>
      <c r="C20" s="116">
        <f>'Calculation High Yield'!C5*'Calculation High Yield'!$B$25</f>
        <v>4994873</v>
      </c>
      <c r="D20" s="116">
        <f>'Calculation High Yield'!D5*'Calculation High Yield'!$B$25</f>
        <v>5396465</v>
      </c>
      <c r="E20" s="116">
        <f>'Calculation High Yield'!F21</f>
        <v>127303807.7142912</v>
      </c>
      <c r="F20" s="116">
        <f>'Calculation High Yield'!G21</f>
        <v>54777725.213936403</v>
      </c>
      <c r="G20" s="116">
        <f>'Calculation High Yield'!H21</f>
        <v>15120201.379527682</v>
      </c>
      <c r="H20" s="116">
        <f>'Calculation High Yield'!I21</f>
        <v>17991152.655955881</v>
      </c>
      <c r="I20" s="116">
        <f>'Calculation High Yield'!J21</f>
        <v>13380105.176262721</v>
      </c>
      <c r="J20" s="17"/>
    </row>
    <row r="21" spans="1:10">
      <c r="A21" s="122" t="s">
        <v>51</v>
      </c>
      <c r="B21" s="116">
        <f>B17+B18-B19-B20</f>
        <v>17022850</v>
      </c>
      <c r="C21" s="116">
        <f>C17+C18-C19-C20</f>
        <v>17343004</v>
      </c>
      <c r="D21" s="116">
        <f t="shared" ref="D21:I21" si="1">D17+D18-D19-D20</f>
        <v>23821093</v>
      </c>
      <c r="E21" s="116">
        <f t="shared" si="1"/>
        <v>-92446073.685096115</v>
      </c>
      <c r="F21" s="116">
        <f t="shared" si="1"/>
        <v>-20439364.32972689</v>
      </c>
      <c r="G21" s="116">
        <f t="shared" si="1"/>
        <v>19790802.630849645</v>
      </c>
      <c r="H21" s="116">
        <f t="shared" si="1"/>
        <v>20210872.21133633</v>
      </c>
      <c r="I21" s="116">
        <f t="shared" si="1"/>
        <v>34250961.415226348</v>
      </c>
      <c r="J21" s="17"/>
    </row>
    <row r="22" spans="1:10" ht="15.75" thickBot="1">
      <c r="A22" s="123" t="s">
        <v>52</v>
      </c>
      <c r="B22" s="124"/>
      <c r="C22" s="124"/>
      <c r="D22" s="124"/>
      <c r="E22" s="161">
        <f>E21/(1+B6)^0.5</f>
        <v>-89322588.857609078</v>
      </c>
      <c r="F22" s="161">
        <f>F21/(1+B6)^1.5</f>
        <v>-18436814.162164975</v>
      </c>
      <c r="G22" s="161">
        <f>G21/(1+B6)^2.5</f>
        <v>16665853.618629515</v>
      </c>
      <c r="H22" s="161">
        <f>H21/(1+B6)^3.5</f>
        <v>15888938.113943279</v>
      </c>
      <c r="I22" s="161">
        <f>I21/(1+B6)^4.5</f>
        <v>25137856.689435944</v>
      </c>
      <c r="J22" s="17">
        <f>(I21*(1+B5)/(B6-B5))/(1+B6)^4.5</f>
        <v>629057479.72506213</v>
      </c>
    </row>
    <row r="23" spans="1:10">
      <c r="J23" s="18"/>
    </row>
    <row r="24" spans="1:10">
      <c r="A24" s="113" t="s">
        <v>43</v>
      </c>
      <c r="B24" s="114">
        <f>SUM(E22:J22)</f>
        <v>578990725.12729681</v>
      </c>
    </row>
    <row r="25" spans="1:10">
      <c r="A25" s="113" t="s">
        <v>123</v>
      </c>
      <c r="B25" s="114">
        <f>'Calculation High Yield'!F27</f>
        <v>6051726.3918412803</v>
      </c>
    </row>
    <row r="26" spans="1:10">
      <c r="A26" s="113" t="s">
        <v>44</v>
      </c>
      <c r="B26" s="114">
        <f>'Calculation High Yield'!B33+'Balance sheet'!B17</f>
        <v>412890000</v>
      </c>
    </row>
    <row r="27" spans="1:10">
      <c r="A27" s="113" t="s">
        <v>45</v>
      </c>
      <c r="B27" s="114">
        <f>B24+B25-B26+'Calculation convertible '!B33</f>
        <v>187152451.5191381</v>
      </c>
    </row>
    <row r="28" spans="1:10">
      <c r="A28" s="113" t="s">
        <v>46</v>
      </c>
      <c r="B28" s="115">
        <f>'Income satatement'!D23+'Calculation convertible '!B34</f>
        <v>38799945</v>
      </c>
    </row>
    <row r="29" spans="1:10">
      <c r="A29" t="s">
        <v>47</v>
      </c>
      <c r="B29">
        <f>B27/B28</f>
        <v>4.8235236291994257</v>
      </c>
    </row>
    <row r="32" spans="1:10">
      <c r="D32" s="199" t="s">
        <v>47</v>
      </c>
      <c r="E32" s="199"/>
      <c r="F32" s="199"/>
      <c r="G32">
        <f>B29*0.5+'Valuation convertible'!B29*0.5</f>
        <v>4.0659386112214007</v>
      </c>
    </row>
  </sheetData>
  <mergeCells count="2">
    <mergeCell ref="C10:I10"/>
    <mergeCell ref="D32:F3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F70"/>
  <sheetViews>
    <sheetView topLeftCell="A48" workbookViewId="0">
      <selection activeCell="A67" sqref="A67:C70"/>
    </sheetView>
  </sheetViews>
  <sheetFormatPr defaultRowHeight="15"/>
  <cols>
    <col min="1" max="1" width="36.7109375" customWidth="1"/>
    <col min="2" max="2" width="33" bestFit="1" customWidth="1"/>
    <col min="3" max="3" width="10.5703125" bestFit="1" customWidth="1"/>
    <col min="5" max="5" width="30.42578125" bestFit="1" customWidth="1"/>
    <col min="6" max="6" width="21.28515625" customWidth="1"/>
  </cols>
  <sheetData>
    <row r="2" spans="1:6" ht="26.25">
      <c r="A2" s="173" t="s">
        <v>198</v>
      </c>
      <c r="B2" s="173" t="s">
        <v>199</v>
      </c>
      <c r="C2" t="s">
        <v>255</v>
      </c>
    </row>
    <row r="3" spans="1:6" ht="26.25">
      <c r="A3" t="s">
        <v>200</v>
      </c>
      <c r="B3">
        <v>12</v>
      </c>
      <c r="C3">
        <f>SUM(C17:C19)</f>
        <v>7.5</v>
      </c>
      <c r="E3" s="173"/>
      <c r="F3" s="173"/>
    </row>
    <row r="4" spans="1:6">
      <c r="A4" t="s">
        <v>201</v>
      </c>
      <c r="B4">
        <v>12</v>
      </c>
      <c r="C4">
        <f>SUM(C21:C23)</f>
        <v>6</v>
      </c>
    </row>
    <row r="5" spans="1:6">
      <c r="A5" t="s">
        <v>202</v>
      </c>
      <c r="B5">
        <v>12</v>
      </c>
      <c r="C5">
        <f>SUM(C25:C27)</f>
        <v>10.5</v>
      </c>
    </row>
    <row r="6" spans="1:6">
      <c r="A6" t="s">
        <v>203</v>
      </c>
      <c r="B6">
        <v>12</v>
      </c>
      <c r="C6">
        <f>SUM(C29:C31)</f>
        <v>11.5</v>
      </c>
    </row>
    <row r="7" spans="1:6">
      <c r="A7" t="s">
        <v>204</v>
      </c>
      <c r="B7">
        <v>12</v>
      </c>
      <c r="C7">
        <f>SUM(C33:C35)</f>
        <v>9.3999999999999986</v>
      </c>
    </row>
    <row r="8" spans="1:6">
      <c r="A8" t="s">
        <v>205</v>
      </c>
      <c r="B8">
        <v>6</v>
      </c>
      <c r="C8">
        <f>C37</f>
        <v>2.5</v>
      </c>
    </row>
    <row r="9" spans="1:6">
      <c r="A9" t="s">
        <v>206</v>
      </c>
      <c r="B9">
        <v>6</v>
      </c>
      <c r="C9">
        <f>C39</f>
        <v>6</v>
      </c>
    </row>
    <row r="10" spans="1:6">
      <c r="A10" t="s">
        <v>207</v>
      </c>
      <c r="B10">
        <v>6</v>
      </c>
      <c r="C10">
        <f t="shared" ref="C10:C13" si="0">C40</f>
        <v>6</v>
      </c>
    </row>
    <row r="11" spans="1:6">
      <c r="A11" t="s">
        <v>208</v>
      </c>
      <c r="B11">
        <v>6</v>
      </c>
      <c r="C11">
        <f t="shared" si="0"/>
        <v>4.5</v>
      </c>
    </row>
    <row r="12" spans="1:6">
      <c r="A12" t="s">
        <v>209</v>
      </c>
      <c r="B12">
        <v>6</v>
      </c>
      <c r="C12">
        <f t="shared" si="0"/>
        <v>5.8</v>
      </c>
    </row>
    <row r="13" spans="1:6">
      <c r="A13" t="s">
        <v>210</v>
      </c>
      <c r="B13">
        <v>6</v>
      </c>
      <c r="C13">
        <f t="shared" si="0"/>
        <v>3.5</v>
      </c>
    </row>
    <row r="14" spans="1:6">
      <c r="A14" t="s">
        <v>211</v>
      </c>
      <c r="B14">
        <v>4</v>
      </c>
      <c r="C14">
        <f>C45</f>
        <v>2.5</v>
      </c>
    </row>
    <row r="15" spans="1:6">
      <c r="A15" t="s">
        <v>79</v>
      </c>
      <c r="B15">
        <f>SUM(B3:B14)</f>
        <v>100</v>
      </c>
      <c r="C15">
        <f>SUM(C3:C14)</f>
        <v>75.7</v>
      </c>
    </row>
    <row r="17" spans="1:3">
      <c r="A17" t="s">
        <v>244</v>
      </c>
      <c r="B17" t="s">
        <v>212</v>
      </c>
      <c r="C17">
        <v>3</v>
      </c>
    </row>
    <row r="18" spans="1:3">
      <c r="B18" t="s">
        <v>213</v>
      </c>
      <c r="C18">
        <v>2</v>
      </c>
    </row>
    <row r="19" spans="1:3">
      <c r="B19" t="s">
        <v>214</v>
      </c>
      <c r="C19">
        <v>2.5</v>
      </c>
    </row>
    <row r="21" spans="1:3">
      <c r="A21" t="s">
        <v>245</v>
      </c>
      <c r="B21" t="s">
        <v>215</v>
      </c>
      <c r="C21">
        <v>1.5</v>
      </c>
    </row>
    <row r="22" spans="1:3">
      <c r="B22" t="s">
        <v>216</v>
      </c>
      <c r="C22">
        <v>2.8</v>
      </c>
    </row>
    <row r="23" spans="1:3">
      <c r="B23" t="s">
        <v>217</v>
      </c>
      <c r="C23">
        <v>1.7</v>
      </c>
    </row>
    <row r="25" spans="1:3">
      <c r="A25" t="s">
        <v>246</v>
      </c>
      <c r="B25" t="s">
        <v>218</v>
      </c>
      <c r="C25">
        <v>3.5</v>
      </c>
    </row>
    <row r="26" spans="1:3">
      <c r="B26" t="s">
        <v>219</v>
      </c>
      <c r="C26">
        <v>3.5</v>
      </c>
    </row>
    <row r="27" spans="1:3">
      <c r="B27" t="s">
        <v>220</v>
      </c>
      <c r="C27">
        <v>3.5</v>
      </c>
    </row>
    <row r="29" spans="1:3">
      <c r="A29" t="s">
        <v>247</v>
      </c>
      <c r="B29" t="s">
        <v>221</v>
      </c>
      <c r="C29">
        <v>4</v>
      </c>
    </row>
    <row r="30" spans="1:3">
      <c r="B30" t="s">
        <v>222</v>
      </c>
      <c r="C30">
        <v>4</v>
      </c>
    </row>
    <row r="31" spans="1:3">
      <c r="B31" t="s">
        <v>223</v>
      </c>
      <c r="C31">
        <v>3.5</v>
      </c>
    </row>
    <row r="33" spans="1:3">
      <c r="A33" t="s">
        <v>248</v>
      </c>
      <c r="B33" t="s">
        <v>224</v>
      </c>
      <c r="C33">
        <v>3.9</v>
      </c>
    </row>
    <row r="34" spans="1:3">
      <c r="B34" t="s">
        <v>225</v>
      </c>
      <c r="C34">
        <v>2.7</v>
      </c>
    </row>
    <row r="35" spans="1:3">
      <c r="B35" t="s">
        <v>226</v>
      </c>
      <c r="C35">
        <v>2.8</v>
      </c>
    </row>
    <row r="37" spans="1:3">
      <c r="A37" t="s">
        <v>249</v>
      </c>
      <c r="C37">
        <v>2.5</v>
      </c>
    </row>
    <row r="39" spans="1:3">
      <c r="A39" t="s">
        <v>250</v>
      </c>
      <c r="C39">
        <v>6</v>
      </c>
    </row>
    <row r="40" spans="1:3">
      <c r="A40" t="s">
        <v>251</v>
      </c>
      <c r="C40">
        <v>6</v>
      </c>
    </row>
    <row r="41" spans="1:3">
      <c r="A41" t="s">
        <v>252</v>
      </c>
      <c r="C41">
        <v>4.5</v>
      </c>
    </row>
    <row r="42" spans="1:3">
      <c r="A42" t="s">
        <v>253</v>
      </c>
      <c r="C42">
        <v>5.8</v>
      </c>
    </row>
    <row r="43" spans="1:3">
      <c r="A43" t="s">
        <v>254</v>
      </c>
      <c r="C43">
        <v>3.5</v>
      </c>
    </row>
    <row r="45" spans="1:3">
      <c r="A45" t="s">
        <v>256</v>
      </c>
      <c r="C45">
        <v>2.5</v>
      </c>
    </row>
    <row r="50" spans="1:5" ht="18.75">
      <c r="A50" s="174" t="s">
        <v>227</v>
      </c>
      <c r="E50" s="174"/>
    </row>
    <row r="52" spans="1:5">
      <c r="A52" t="s">
        <v>228</v>
      </c>
      <c r="B52">
        <v>2.5</v>
      </c>
      <c r="C52">
        <v>2.5</v>
      </c>
    </row>
    <row r="53" spans="1:5">
      <c r="A53" t="s">
        <v>229</v>
      </c>
      <c r="B53">
        <v>9</v>
      </c>
      <c r="C53">
        <v>9</v>
      </c>
    </row>
    <row r="54" spans="1:5">
      <c r="A54" t="s">
        <v>230</v>
      </c>
      <c r="B54">
        <v>7.5</v>
      </c>
      <c r="C54">
        <v>7.5</v>
      </c>
    </row>
    <row r="55" spans="1:5">
      <c r="A55" t="s">
        <v>231</v>
      </c>
      <c r="B55">
        <v>8.5</v>
      </c>
      <c r="C55">
        <v>8.5</v>
      </c>
    </row>
    <row r="56" spans="1:5">
      <c r="A56" t="s">
        <v>232</v>
      </c>
      <c r="B56">
        <v>13.5</v>
      </c>
      <c r="C56">
        <v>13.5</v>
      </c>
    </row>
    <row r="57" spans="1:5" ht="21">
      <c r="A57" s="180" t="s">
        <v>79</v>
      </c>
      <c r="B57">
        <f>SUM(B52:B56)</f>
        <v>41</v>
      </c>
      <c r="C57">
        <f>SUM(C52:C56)</f>
        <v>41</v>
      </c>
    </row>
    <row r="59" spans="1:5" ht="18.75">
      <c r="A59" s="174" t="s">
        <v>233</v>
      </c>
    </row>
    <row r="60" spans="1:5">
      <c r="A60" t="s">
        <v>234</v>
      </c>
      <c r="B60">
        <v>7</v>
      </c>
      <c r="C60">
        <v>7</v>
      </c>
    </row>
    <row r="61" spans="1:5">
      <c r="A61" t="s">
        <v>235</v>
      </c>
      <c r="B61">
        <v>7.5</v>
      </c>
      <c r="C61">
        <v>7.5</v>
      </c>
    </row>
    <row r="62" spans="1:5">
      <c r="A62" t="s">
        <v>236</v>
      </c>
      <c r="B62">
        <v>11</v>
      </c>
      <c r="C62">
        <v>11</v>
      </c>
    </row>
    <row r="63" spans="1:5">
      <c r="A63" t="s">
        <v>237</v>
      </c>
      <c r="B63">
        <v>2.5</v>
      </c>
      <c r="C63">
        <v>2.5</v>
      </c>
    </row>
    <row r="64" spans="1:5">
      <c r="A64" t="s">
        <v>238</v>
      </c>
      <c r="B64">
        <v>9</v>
      </c>
      <c r="C64">
        <v>9</v>
      </c>
    </row>
    <row r="65" spans="1:3" ht="18.75">
      <c r="A65" s="174" t="s">
        <v>79</v>
      </c>
      <c r="B65">
        <f>SUM(B60:B64)</f>
        <v>37</v>
      </c>
      <c r="C65">
        <f>SUM(C60:C64)</f>
        <v>37</v>
      </c>
    </row>
    <row r="67" spans="1:3" ht="18.75">
      <c r="A67" s="174" t="s">
        <v>239</v>
      </c>
      <c r="B67" s="181" t="s">
        <v>240</v>
      </c>
      <c r="C67" s="174">
        <f>0.5*(C15+C57+C65)</f>
        <v>76.849999999999994</v>
      </c>
    </row>
    <row r="68" spans="1:3" ht="18.75">
      <c r="B68" t="s">
        <v>241</v>
      </c>
      <c r="C68" s="174" t="s">
        <v>264</v>
      </c>
    </row>
    <row r="69" spans="1:3">
      <c r="B69" t="s">
        <v>242</v>
      </c>
    </row>
    <row r="70" spans="1:3">
      <c r="B70" t="s">
        <v>243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Income satatement</vt:lpstr>
      <vt:lpstr>Balance sheet</vt:lpstr>
      <vt:lpstr>Business risk</vt:lpstr>
      <vt:lpstr>Financial risk</vt:lpstr>
      <vt:lpstr>Z-Score</vt:lpstr>
      <vt:lpstr>Calculation High Yield</vt:lpstr>
      <vt:lpstr>Calculation equity</vt:lpstr>
      <vt:lpstr>Calculation convertible </vt:lpstr>
      <vt:lpstr>non convertible 1</vt:lpstr>
      <vt:lpstr>WACC</vt:lpstr>
      <vt:lpstr>Valuation High</vt:lpstr>
      <vt:lpstr>Crystal ball High</vt:lpstr>
      <vt:lpstr>Valuation equity</vt:lpstr>
      <vt:lpstr>Valuation convertible</vt:lpstr>
      <vt:lpstr>valuation non-convertible</vt:lpstr>
      <vt:lpstr>Country risk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dc:creator>
  <cp:lastModifiedBy>user</cp:lastModifiedBy>
  <dcterms:created xsi:type="dcterms:W3CDTF">2016-02-27T16:33:22Z</dcterms:created>
  <dcterms:modified xsi:type="dcterms:W3CDTF">2017-02-26T01:52:27Z</dcterms:modified>
</cp:coreProperties>
</file>