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852" activeTab="3"/>
  </bookViews>
  <sheets>
    <sheet name="Income statement" sheetId="1" r:id="rId1"/>
    <sheet name="Balace sheet" sheetId="2" r:id="rId2"/>
    <sheet name="Ammortization schedule" sheetId="3" r:id="rId3"/>
    <sheet name="Valuation" sheetId="4" r:id="rId4"/>
  </sheets>
  <calcPr calcId="124519"/>
</workbook>
</file>

<file path=xl/calcChain.xml><?xml version="1.0" encoding="utf-8"?>
<calcChain xmlns="http://schemas.openxmlformats.org/spreadsheetml/2006/main">
  <c r="C4" i="3"/>
  <c r="C21" i="4"/>
  <c r="E19"/>
  <c r="F3" i="3"/>
  <c r="E3"/>
  <c r="B2" i="4"/>
  <c r="B6"/>
  <c r="G23"/>
  <c r="F23"/>
  <c r="E23"/>
  <c r="D23"/>
  <c r="C23"/>
  <c r="H23"/>
  <c r="E30" i="2"/>
  <c r="I30"/>
  <c r="G31"/>
  <c r="H31"/>
  <c r="I31"/>
  <c r="J31"/>
  <c r="F31"/>
  <c r="F30"/>
  <c r="G30"/>
  <c r="H30"/>
  <c r="J30"/>
  <c r="D15" i="4"/>
  <c r="D17" s="1"/>
  <c r="D19" s="1"/>
  <c r="D20" s="1"/>
  <c r="E15"/>
  <c r="E17" s="1"/>
  <c r="E20" s="1"/>
  <c r="F15"/>
  <c r="F17" s="1"/>
  <c r="F19" s="1"/>
  <c r="F20" s="1"/>
  <c r="G15"/>
  <c r="G17" s="1"/>
  <c r="G19" s="1"/>
  <c r="G20" s="1"/>
  <c r="H15"/>
  <c r="H17" s="1"/>
  <c r="H19" s="1"/>
  <c r="H20" s="1"/>
  <c r="C15"/>
  <c r="C17" s="1"/>
  <c r="C19" s="1"/>
  <c r="C20" s="1"/>
  <c r="H21" l="1"/>
  <c r="H24" s="1"/>
  <c r="I25" s="1"/>
  <c r="F21"/>
  <c r="F24" s="1"/>
  <c r="F25" s="1"/>
  <c r="D21"/>
  <c r="D24" s="1"/>
  <c r="D25" s="1"/>
  <c r="C24"/>
  <c r="C25" s="1"/>
  <c r="G21"/>
  <c r="G24" s="1"/>
  <c r="G25" s="1"/>
  <c r="E21"/>
  <c r="E24" s="1"/>
  <c r="E25" s="1"/>
  <c r="D6" i="3"/>
  <c r="E18" i="1"/>
  <c r="F17"/>
  <c r="F18" s="1"/>
  <c r="X6" i="3"/>
  <c r="X7" s="1"/>
  <c r="X3"/>
  <c r="F6"/>
  <c r="H17" i="1" s="1"/>
  <c r="H18" s="1"/>
  <c r="G6" i="3"/>
  <c r="I17" i="1" s="1"/>
  <c r="I18" s="1"/>
  <c r="H6" i="3"/>
  <c r="J17" i="1" s="1"/>
  <c r="J18" s="1"/>
  <c r="I6" i="3"/>
  <c r="J6"/>
  <c r="K6"/>
  <c r="L6"/>
  <c r="M6"/>
  <c r="N6"/>
  <c r="O6"/>
  <c r="P6"/>
  <c r="Q6"/>
  <c r="R6"/>
  <c r="S6"/>
  <c r="T6"/>
  <c r="U6"/>
  <c r="V6"/>
  <c r="W6"/>
  <c r="E6"/>
  <c r="G17" i="1" s="1"/>
  <c r="G18" s="1"/>
  <c r="O3" i="3"/>
  <c r="P3" s="1"/>
  <c r="H3"/>
  <c r="I3" s="1"/>
  <c r="G3"/>
  <c r="G7" s="1"/>
  <c r="F7"/>
  <c r="O7"/>
  <c r="D7"/>
  <c r="C3"/>
  <c r="G38" i="2"/>
  <c r="H38"/>
  <c r="I38"/>
  <c r="J38"/>
  <c r="F38"/>
  <c r="B14" s="1"/>
  <c r="E7" i="3" l="1"/>
  <c r="B28" i="4"/>
  <c r="B31" s="1"/>
  <c r="H25"/>
  <c r="Q3" i="3"/>
  <c r="P7"/>
  <c r="J3"/>
  <c r="I7"/>
  <c r="H7"/>
  <c r="R3" l="1"/>
  <c r="Q7"/>
  <c r="K3"/>
  <c r="J7"/>
  <c r="S3" l="1"/>
  <c r="R7"/>
  <c r="L3"/>
  <c r="K7"/>
  <c r="T3" l="1"/>
  <c r="S7"/>
  <c r="M3"/>
  <c r="L7"/>
  <c r="U3" l="1"/>
  <c r="T7"/>
  <c r="N3"/>
  <c r="N7" s="1"/>
  <c r="M7"/>
  <c r="V3" l="1"/>
  <c r="U7"/>
  <c r="W3" l="1"/>
  <c r="W7" s="1"/>
  <c r="V7"/>
</calcChain>
</file>

<file path=xl/sharedStrings.xml><?xml version="1.0" encoding="utf-8"?>
<sst xmlns="http://schemas.openxmlformats.org/spreadsheetml/2006/main" count="85" uniqueCount="72">
  <si>
    <t>Net Sales</t>
  </si>
  <si>
    <t>% Growth</t>
  </si>
  <si>
    <t>Cost of Goods Sold</t>
  </si>
  <si>
    <t>Gross Profit</t>
  </si>
  <si>
    <t>Gross Profit Margin</t>
  </si>
  <si>
    <t>Selling, General, &amp; Administrative</t>
  </si>
  <si>
    <t>EBITDA</t>
  </si>
  <si>
    <t>EBITDA Margin</t>
  </si>
  <si>
    <t>Depreciation</t>
  </si>
  <si>
    <t>EBIT</t>
  </si>
  <si>
    <t>EBIT Margin</t>
  </si>
  <si>
    <t>Pro Forma</t>
  </si>
  <si>
    <t>Projected FYE December 31</t>
  </si>
  <si>
    <t>ASSETS</t>
  </si>
  <si>
    <t>Cash</t>
  </si>
  <si>
    <t>Excess Cash</t>
  </si>
  <si>
    <t>Accounts Receivable</t>
  </si>
  <si>
    <t>Inventories</t>
  </si>
  <si>
    <t>Total Current Assets</t>
  </si>
  <si>
    <t>Net Fixed Assets</t>
  </si>
  <si>
    <t>Goodwill/Intangibles</t>
  </si>
  <si>
    <t>Other</t>
  </si>
  <si>
    <t>Total Assets</t>
  </si>
  <si>
    <t>LIABILITIES &amp; STOCKHOLDERS’</t>
  </si>
  <si>
    <t>EQUITY</t>
  </si>
  <si>
    <t>Revolver</t>
  </si>
  <si>
    <t>Unearned Revenue</t>
  </si>
  <si>
    <t>Current Liabilities</t>
  </si>
  <si>
    <t>Long-Term Debt</t>
  </si>
  <si>
    <t>Total Liabilities</t>
  </si>
  <si>
    <t>Shareholders’ Equity</t>
  </si>
  <si>
    <t>−320.80</t>
  </si>
  <si>
    <t>(in millions)</t>
  </si>
  <si>
    <t>% of sales(55.2%)</t>
  </si>
  <si>
    <t>%</t>
  </si>
  <si>
    <t>other assets g</t>
  </si>
  <si>
    <t>A</t>
  </si>
  <si>
    <t>Interest</t>
  </si>
  <si>
    <t>Total Loan</t>
  </si>
  <si>
    <t>Total payment</t>
  </si>
  <si>
    <t>Interest rate</t>
  </si>
  <si>
    <t>Residual Principal</t>
  </si>
  <si>
    <t>New Debt</t>
  </si>
  <si>
    <t>Old Debt</t>
  </si>
  <si>
    <t>Accounts Payable and Accrued Expenses</t>
  </si>
  <si>
    <t>Interest Expense</t>
  </si>
  <si>
    <t>EBT</t>
  </si>
  <si>
    <t>Tax</t>
  </si>
  <si>
    <t>Assumptions</t>
  </si>
  <si>
    <t>Cost of capital</t>
  </si>
  <si>
    <t>Depreciation (%of sales)</t>
  </si>
  <si>
    <t>Tax Rate</t>
  </si>
  <si>
    <t>COGS(%of sales)</t>
  </si>
  <si>
    <t>CAPEX</t>
  </si>
  <si>
    <t>Sales growth</t>
  </si>
  <si>
    <t>Particulars</t>
  </si>
  <si>
    <t>Estimated year</t>
  </si>
  <si>
    <t>Less/Add: Change in NWC</t>
  </si>
  <si>
    <t>Enterprise Value</t>
  </si>
  <si>
    <t>Add:Cash and Marketable Securities</t>
  </si>
  <si>
    <t>Less: Interest Bearing Debt</t>
  </si>
  <si>
    <t>Equity Value</t>
  </si>
  <si>
    <t>EBIT(1-tax rate)</t>
  </si>
  <si>
    <t>Add: Depreciation</t>
  </si>
  <si>
    <t xml:space="preserve"> Total Liabilities and Equity</t>
  </si>
  <si>
    <t>Net working capital</t>
  </si>
  <si>
    <t>Change in net working capital</t>
  </si>
  <si>
    <t>Less: CAPEX</t>
  </si>
  <si>
    <t>Total Cash flow</t>
  </si>
  <si>
    <t>TV</t>
  </si>
  <si>
    <t>PV of CF</t>
  </si>
  <si>
    <t>Terminal growth rate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</si>
</sst>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2"/>
      <color theme="1"/>
      <name val="Times New Roman"/>
      <family val="1"/>
    </font>
    <font>
      <b/>
      <sz val="9"/>
      <color theme="1"/>
      <name val="Arial"/>
      <family val="2"/>
    </font>
    <font>
      <sz val="11.5"/>
      <color theme="1"/>
      <name val="Times New Roman"/>
      <family val="1"/>
    </font>
    <font>
      <sz val="10.5"/>
      <color theme="1"/>
      <name val="Times New Roman"/>
      <family val="1"/>
    </font>
    <font>
      <sz val="1"/>
      <color theme="1"/>
      <name val="Times New Roman"/>
      <family val="1"/>
    </font>
    <font>
      <sz val="9"/>
      <color theme="1"/>
      <name val="Times New Roman"/>
      <family val="1"/>
    </font>
    <font>
      <sz val="9.5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3" borderId="8" applyNumberFormat="0" applyFont="0" applyAlignment="0" applyProtection="0"/>
    <xf numFmtId="0" fontId="11" fillId="4" borderId="0" applyNumberFormat="0" applyBorder="0" applyAlignment="0" applyProtection="0"/>
    <xf numFmtId="0" fontId="13" fillId="0" borderId="0"/>
    <xf numFmtId="43" fontId="13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wrapText="1"/>
    </xf>
    <xf numFmtId="8" fontId="0" fillId="0" borderId="0" xfId="0" applyNumberFormat="1"/>
    <xf numFmtId="10" fontId="0" fillId="0" borderId="0" xfId="0" applyNumberFormat="1"/>
    <xf numFmtId="10" fontId="3" fillId="0" borderId="0" xfId="0" applyNumberFormat="1" applyFont="1" applyAlignment="1">
      <alignment horizontal="right" wrapText="1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4" fontId="2" fillId="0" borderId="0" xfId="0" applyNumberFormat="1" applyFont="1" applyBorder="1" applyAlignment="1">
      <alignment horizontal="right"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0" fillId="0" borderId="0" xfId="0" applyBorder="1"/>
    <xf numFmtId="9" fontId="0" fillId="0" borderId="0" xfId="1" applyFont="1"/>
    <xf numFmtId="0" fontId="0" fillId="0" borderId="0" xfId="0" applyFill="1" applyBorder="1"/>
    <xf numFmtId="0" fontId="12" fillId="0" borderId="0" xfId="0" applyFont="1"/>
    <xf numFmtId="0" fontId="0" fillId="0" borderId="3" xfId="0" applyBorder="1"/>
    <xf numFmtId="0" fontId="0" fillId="0" borderId="4" xfId="0" applyBorder="1"/>
    <xf numFmtId="0" fontId="12" fillId="0" borderId="2" xfId="0" applyFont="1" applyFill="1" applyBorder="1"/>
    <xf numFmtId="0" fontId="0" fillId="0" borderId="5" xfId="0" applyBorder="1"/>
    <xf numFmtId="0" fontId="0" fillId="0" borderId="2" xfId="0" applyBorder="1"/>
    <xf numFmtId="0" fontId="12" fillId="2" borderId="2" xfId="0" applyFont="1" applyFill="1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2" fillId="0" borderId="2" xfId="0" applyFont="1" applyBorder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right" wrapText="1"/>
    </xf>
    <xf numFmtId="8" fontId="2" fillId="0" borderId="0" xfId="0" applyNumberFormat="1" applyFont="1" applyBorder="1" applyAlignment="1">
      <alignment horizontal="right" wrapText="1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2" fontId="0" fillId="0" borderId="0" xfId="0" applyNumberFormat="1" applyBorder="1"/>
    <xf numFmtId="1" fontId="12" fillId="0" borderId="0" xfId="0" applyNumberFormat="1" applyFont="1" applyBorder="1"/>
    <xf numFmtId="1" fontId="0" fillId="0" borderId="0" xfId="0" applyNumberFormat="1" applyBorder="1"/>
    <xf numFmtId="164" fontId="13" fillId="0" borderId="11" xfId="6" applyNumberFormat="1" applyFont="1" applyFill="1" applyBorder="1"/>
    <xf numFmtId="0" fontId="0" fillId="0" borderId="13" xfId="0" applyBorder="1"/>
    <xf numFmtId="2" fontId="0" fillId="0" borderId="14" xfId="0" applyNumberFormat="1" applyBorder="1"/>
    <xf numFmtId="0" fontId="14" fillId="5" borderId="15" xfId="3" applyNumberFormat="1" applyFont="1" applyFill="1" applyBorder="1" applyAlignment="1" applyProtection="1">
      <alignment horizontal="left" vertical="top"/>
    </xf>
    <xf numFmtId="6" fontId="0" fillId="0" borderId="0" xfId="0" applyNumberFormat="1" applyBorder="1"/>
    <xf numFmtId="0" fontId="14" fillId="5" borderId="0" xfId="3" applyNumberFormat="1" applyFont="1" applyFill="1" applyBorder="1" applyAlignment="1" applyProtection="1">
      <alignment horizontal="left" vertical="top"/>
    </xf>
    <xf numFmtId="0" fontId="11" fillId="0" borderId="0" xfId="4" applyFill="1" applyBorder="1"/>
    <xf numFmtId="0" fontId="11" fillId="0" borderId="0" xfId="4" applyFill="1" applyBorder="1" applyAlignment="1">
      <alignment horizontal="center"/>
    </xf>
    <xf numFmtId="1" fontId="12" fillId="0" borderId="0" xfId="0" applyNumberFormat="1" applyFont="1" applyFill="1" applyBorder="1"/>
    <xf numFmtId="1" fontId="0" fillId="0" borderId="0" xfId="0" applyNumberFormat="1" applyFill="1" applyBorder="1"/>
    <xf numFmtId="2" fontId="0" fillId="0" borderId="11" xfId="0" applyNumberFormat="1" applyBorder="1"/>
    <xf numFmtId="2" fontId="0" fillId="0" borderId="13" xfId="0" applyNumberFormat="1" applyBorder="1"/>
    <xf numFmtId="0" fontId="11" fillId="6" borderId="9" xfId="4" applyFill="1" applyBorder="1"/>
    <xf numFmtId="0" fontId="15" fillId="6" borderId="9" xfId="4" applyFont="1" applyFill="1" applyBorder="1" applyAlignment="1">
      <alignment horizontal="center"/>
    </xf>
    <xf numFmtId="0" fontId="15" fillId="6" borderId="1" xfId="4" applyFont="1" applyFill="1" applyBorder="1" applyAlignment="1">
      <alignment horizontal="center"/>
    </xf>
    <xf numFmtId="0" fontId="15" fillId="6" borderId="10" xfId="4" applyFont="1" applyFill="1" applyBorder="1" applyAlignment="1">
      <alignment horizontal="center"/>
    </xf>
    <xf numFmtId="0" fontId="11" fillId="6" borderId="13" xfId="4" applyFill="1" applyBorder="1"/>
    <xf numFmtId="0" fontId="11" fillId="6" borderId="13" xfId="4" applyFill="1" applyBorder="1" applyAlignment="1">
      <alignment horizontal="center"/>
    </xf>
    <xf numFmtId="0" fontId="11" fillId="6" borderId="14" xfId="4" applyFill="1" applyBorder="1" applyAlignment="1">
      <alignment horizontal="center"/>
    </xf>
    <xf numFmtId="0" fontId="11" fillId="6" borderId="16" xfId="4" applyFill="1" applyBorder="1" applyAlignment="1">
      <alignment horizontal="center"/>
    </xf>
    <xf numFmtId="0" fontId="2" fillId="0" borderId="11" xfId="0" applyFont="1" applyBorder="1" applyAlignment="1">
      <alignment wrapText="1"/>
    </xf>
    <xf numFmtId="8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2" fontId="0" fillId="0" borderId="12" xfId="0" applyNumberFormat="1" applyBorder="1"/>
    <xf numFmtId="0" fontId="5" fillId="0" borderId="0" xfId="0" applyFont="1" applyBorder="1" applyAlignment="1"/>
    <xf numFmtId="0" fontId="2" fillId="0" borderId="0" xfId="0" applyFont="1" applyBorder="1" applyAlignment="1">
      <alignment horizontal="right"/>
    </xf>
    <xf numFmtId="8" fontId="2" fillId="0" borderId="0" xfId="0" applyNumberFormat="1" applyFont="1" applyBorder="1" applyAlignment="1">
      <alignment vertical="top"/>
    </xf>
    <xf numFmtId="4" fontId="2" fillId="0" borderId="0" xfId="0" applyNumberFormat="1" applyFont="1" applyBorder="1" applyAlignment="1"/>
    <xf numFmtId="8" fontId="2" fillId="0" borderId="0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8" fontId="0" fillId="0" borderId="0" xfId="0" applyNumberFormat="1" applyAlignment="1"/>
    <xf numFmtId="0" fontId="6" fillId="0" borderId="0" xfId="0" applyFont="1" applyBorder="1" applyAlignment="1"/>
    <xf numFmtId="0" fontId="0" fillId="0" borderId="0" xfId="0" applyAlignment="1"/>
    <xf numFmtId="8" fontId="2" fillId="0" borderId="0" xfId="0" applyNumberFormat="1" applyFont="1" applyBorder="1" applyAlignment="1"/>
    <xf numFmtId="0" fontId="7" fillId="0" borderId="0" xfId="0" applyFont="1" applyBorder="1" applyAlignment="1"/>
    <xf numFmtId="0" fontId="4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 applyBorder="1" applyAlignment="1"/>
    <xf numFmtId="8" fontId="10" fillId="0" borderId="0" xfId="0" applyNumberFormat="1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9" fontId="0" fillId="0" borderId="0" xfId="0" applyNumberFormat="1"/>
    <xf numFmtId="2" fontId="0" fillId="0" borderId="0" xfId="0" applyNumberFormat="1"/>
    <xf numFmtId="0" fontId="12" fillId="6" borderId="5" xfId="0" applyFont="1" applyFill="1" applyBorder="1" applyAlignment="1">
      <alignment horizontal="center"/>
    </xf>
    <xf numFmtId="0" fontId="12" fillId="6" borderId="7" xfId="0" applyFont="1" applyFill="1" applyBorder="1"/>
    <xf numFmtId="10" fontId="0" fillId="0" borderId="0" xfId="1" applyNumberFormat="1" applyFont="1"/>
    <xf numFmtId="43" fontId="13" fillId="5" borderId="15" xfId="2" applyNumberFormat="1" applyFont="1" applyFill="1" applyBorder="1" applyAlignment="1"/>
    <xf numFmtId="8" fontId="13" fillId="5" borderId="15" xfId="2" applyNumberFormat="1" applyFont="1" applyFill="1" applyBorder="1" applyAlignment="1"/>
    <xf numFmtId="10" fontId="0" fillId="0" borderId="0" xfId="0" applyNumberFormat="1" applyBorder="1" applyAlignment="1"/>
    <xf numFmtId="0" fontId="0" fillId="0" borderId="0" xfId="0" applyBorder="1" applyAlignment="1"/>
    <xf numFmtId="9" fontId="0" fillId="0" borderId="0" xfId="0" applyNumberFormat="1" applyBorder="1" applyAlignment="1"/>
    <xf numFmtId="10" fontId="16" fillId="0" borderId="0" xfId="0" applyNumberFormat="1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wrapText="1"/>
    </xf>
    <xf numFmtId="8" fontId="17" fillId="0" borderId="0" xfId="0" applyNumberFormat="1" applyFont="1" applyBorder="1" applyAlignment="1">
      <alignment horizontal="right"/>
    </xf>
    <xf numFmtId="0" fontId="18" fillId="0" borderId="0" xfId="0" applyFont="1" applyAlignment="1">
      <alignment wrapText="1"/>
    </xf>
    <xf numFmtId="10" fontId="18" fillId="0" borderId="0" xfId="0" applyNumberFormat="1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16" fillId="0" borderId="0" xfId="0" applyFont="1" applyAlignment="1"/>
    <xf numFmtId="0" fontId="14" fillId="5" borderId="17" xfId="3" applyNumberFormat="1" applyFont="1" applyFill="1" applyBorder="1" applyAlignment="1" applyProtection="1">
      <alignment horizontal="left" vertical="top"/>
    </xf>
    <xf numFmtId="43" fontId="13" fillId="5" borderId="17" xfId="2" applyNumberFormat="1" applyFont="1" applyFill="1" applyBorder="1" applyAlignment="1"/>
    <xf numFmtId="43" fontId="13" fillId="5" borderId="0" xfId="2" applyNumberFormat="1" applyFont="1" applyFill="1" applyBorder="1" applyAlignment="1"/>
  </cellXfs>
  <cellStyles count="7">
    <cellStyle name="40% - Accent4" xfId="4" builtinId="43"/>
    <cellStyle name="Comma" xfId="2" builtinId="3"/>
    <cellStyle name="Comma 3" xfId="6"/>
    <cellStyle name="Normal" xfId="0" builtinId="0"/>
    <cellStyle name="Normal 2" xfId="5"/>
    <cellStyle name="Note" xfId="3" builtinId="1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I19"/>
  <sheetViews>
    <sheetView topLeftCell="B1" zoomScale="90" zoomScaleNormal="90" workbookViewId="0">
      <selection activeCell="E7" sqref="E7"/>
    </sheetView>
  </sheetViews>
  <sheetFormatPr defaultRowHeight="15"/>
  <cols>
    <col min="2" max="2" width="9.140625" style="6"/>
    <col min="3" max="4" width="18.5703125" customWidth="1"/>
    <col min="5" max="5" width="10.28515625" bestFit="1" customWidth="1"/>
    <col min="6" max="10" width="12.140625" bestFit="1" customWidth="1"/>
    <col min="11" max="18" width="10.42578125" bestFit="1" customWidth="1"/>
    <col min="19" max="19" width="12" bestFit="1" customWidth="1"/>
    <col min="20" max="20" width="11" bestFit="1" customWidth="1"/>
    <col min="21" max="34" width="12" bestFit="1" customWidth="1"/>
    <col min="35" max="35" width="11" bestFit="1" customWidth="1"/>
  </cols>
  <sheetData>
    <row r="3" spans="2:35">
      <c r="K3" s="92"/>
      <c r="L3" s="93"/>
      <c r="M3" s="93"/>
      <c r="N3" s="93"/>
      <c r="O3" s="93"/>
      <c r="P3" s="94"/>
      <c r="Q3" s="93"/>
      <c r="R3" s="93"/>
      <c r="S3" s="94"/>
      <c r="T3" s="93"/>
      <c r="U3" s="93"/>
      <c r="V3" s="93"/>
      <c r="W3" s="93"/>
      <c r="X3" s="92"/>
      <c r="Y3" s="92"/>
      <c r="Z3" s="32"/>
      <c r="AA3" s="32"/>
      <c r="AB3" s="32"/>
      <c r="AC3" s="32"/>
      <c r="AD3" s="32"/>
      <c r="AE3" s="32"/>
      <c r="AF3" s="5"/>
      <c r="AG3" s="5"/>
      <c r="AH3" s="5"/>
      <c r="AI3" s="5"/>
    </row>
    <row r="4" spans="2:35" ht="15.75">
      <c r="B4" s="95" t="s">
        <v>34</v>
      </c>
      <c r="C4" s="96"/>
      <c r="D4" s="96"/>
      <c r="E4" s="96" t="s">
        <v>11</v>
      </c>
      <c r="F4" s="97" t="s">
        <v>12</v>
      </c>
      <c r="G4" s="97"/>
      <c r="H4" s="97"/>
      <c r="I4" s="97"/>
      <c r="J4" s="97"/>
    </row>
    <row r="5" spans="2:35" ht="15.75">
      <c r="B5" s="95"/>
      <c r="C5" s="96"/>
      <c r="D5" s="96"/>
      <c r="E5" s="96">
        <v>2012</v>
      </c>
      <c r="F5" s="96">
        <v>2013</v>
      </c>
      <c r="G5" s="96">
        <v>2014</v>
      </c>
      <c r="H5" s="96">
        <v>2015</v>
      </c>
      <c r="I5" s="96">
        <v>2016</v>
      </c>
      <c r="J5" s="96">
        <v>2017</v>
      </c>
    </row>
    <row r="6" spans="2:35" ht="15.75">
      <c r="B6" s="95"/>
      <c r="C6" s="98" t="s">
        <v>0</v>
      </c>
      <c r="D6" s="98"/>
      <c r="E6" s="99">
        <v>910.4</v>
      </c>
      <c r="F6" s="99">
        <v>1267.3</v>
      </c>
      <c r="G6" s="99">
        <v>1340.8</v>
      </c>
      <c r="H6" s="99">
        <v>1414.5</v>
      </c>
      <c r="I6" s="99">
        <v>1492.3</v>
      </c>
      <c r="J6" s="99">
        <v>1574.4</v>
      </c>
      <c r="K6" s="2"/>
      <c r="L6" s="2"/>
      <c r="M6" s="2"/>
      <c r="N6" s="2"/>
      <c r="O6" s="2"/>
      <c r="P6" s="2"/>
      <c r="Q6" s="2"/>
      <c r="R6" s="2"/>
    </row>
    <row r="7" spans="2:35" ht="15.75">
      <c r="B7" s="95"/>
      <c r="C7" s="100" t="s">
        <v>1</v>
      </c>
      <c r="D7" s="100"/>
      <c r="E7" s="80"/>
      <c r="F7" s="101">
        <v>0.39200000000000002</v>
      </c>
      <c r="G7" s="101">
        <v>5.8000000000000003E-2</v>
      </c>
      <c r="H7" s="101">
        <v>5.5E-2</v>
      </c>
      <c r="I7" s="101">
        <v>5.5E-2</v>
      </c>
      <c r="J7" s="101">
        <v>5.5E-2</v>
      </c>
    </row>
    <row r="8" spans="2:35" ht="30.75">
      <c r="B8" s="95">
        <v>0.55200000000000005</v>
      </c>
      <c r="C8" s="98" t="s">
        <v>2</v>
      </c>
      <c r="D8" s="98" t="s">
        <v>33</v>
      </c>
      <c r="E8" s="102">
        <v>515</v>
      </c>
      <c r="F8" s="102">
        <v>699.5</v>
      </c>
      <c r="G8" s="102">
        <v>740.1</v>
      </c>
      <c r="H8" s="102">
        <v>780.8</v>
      </c>
      <c r="I8" s="102">
        <v>823.8</v>
      </c>
      <c r="J8" s="102">
        <v>869.1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2:35" ht="15.75">
      <c r="B9" s="95"/>
      <c r="C9" s="98" t="s">
        <v>3</v>
      </c>
      <c r="D9" s="98"/>
      <c r="E9" s="102">
        <v>395.4</v>
      </c>
      <c r="F9" s="102">
        <v>567.70000000000005</v>
      </c>
      <c r="G9" s="102">
        <v>600.70000000000005</v>
      </c>
      <c r="H9" s="102">
        <v>633.70000000000005</v>
      </c>
      <c r="I9" s="102">
        <v>668.6</v>
      </c>
      <c r="J9" s="102">
        <v>705.3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2:35" ht="30.75">
      <c r="B10" s="95"/>
      <c r="C10" s="100" t="s">
        <v>4</v>
      </c>
      <c r="D10" s="100"/>
      <c r="E10" s="101">
        <v>0.434</v>
      </c>
      <c r="F10" s="101">
        <v>0.44800000000000001</v>
      </c>
      <c r="G10" s="101">
        <v>0.44800000000000001</v>
      </c>
      <c r="H10" s="101">
        <v>0.44800000000000001</v>
      </c>
      <c r="I10" s="101">
        <v>0.44800000000000001</v>
      </c>
      <c r="J10" s="101">
        <v>0.44800000000000001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2:35" ht="30.75">
      <c r="B11" s="95">
        <v>8.5000000000000006E-2</v>
      </c>
      <c r="C11" s="98" t="s">
        <v>5</v>
      </c>
      <c r="D11" s="98"/>
      <c r="E11" s="102">
        <v>79.099999999999994</v>
      </c>
      <c r="F11" s="102">
        <v>120.4</v>
      </c>
      <c r="G11" s="102">
        <v>120.7</v>
      </c>
      <c r="H11" s="102">
        <v>120.2</v>
      </c>
      <c r="I11" s="102">
        <v>126.8</v>
      </c>
      <c r="J11" s="102">
        <v>133.80000000000001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2:35" ht="15.75">
      <c r="B12" s="95"/>
      <c r="C12" s="98" t="s">
        <v>6</v>
      </c>
      <c r="D12" s="98"/>
      <c r="E12" s="102">
        <v>316.3</v>
      </c>
      <c r="F12" s="102">
        <v>447.3</v>
      </c>
      <c r="G12" s="102">
        <v>480</v>
      </c>
      <c r="H12" s="102">
        <v>513.5</v>
      </c>
      <c r="I12" s="102">
        <v>541.70000000000005</v>
      </c>
      <c r="J12" s="102">
        <v>571.5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2:35" ht="15.75">
      <c r="B13" s="95"/>
      <c r="C13" s="100" t="s">
        <v>7</v>
      </c>
      <c r="D13" s="100"/>
      <c r="E13" s="101">
        <v>0.34699999999999998</v>
      </c>
      <c r="F13" s="101">
        <v>0.35299999999999998</v>
      </c>
      <c r="G13" s="101">
        <v>0.35799999999999998</v>
      </c>
      <c r="H13" s="101">
        <v>0.36299999999999999</v>
      </c>
      <c r="I13" s="101">
        <v>0.36299999999999999</v>
      </c>
      <c r="J13" s="101">
        <v>0.36299999999999999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2:35" ht="15.75">
      <c r="B14" s="95">
        <v>0.27200000000000002</v>
      </c>
      <c r="C14" s="98" t="s">
        <v>8</v>
      </c>
      <c r="D14" s="98"/>
      <c r="E14" s="102">
        <v>203.8</v>
      </c>
      <c r="F14" s="102">
        <v>344.7</v>
      </c>
      <c r="G14" s="102">
        <v>364.7</v>
      </c>
      <c r="H14" s="102">
        <v>384.7</v>
      </c>
      <c r="I14" s="102">
        <v>405.9</v>
      </c>
      <c r="J14" s="102">
        <v>428.2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2:35" ht="15.75">
      <c r="B15" s="95"/>
      <c r="C15" s="98" t="s">
        <v>9</v>
      </c>
      <c r="D15" s="98"/>
      <c r="E15" s="102">
        <v>112.5</v>
      </c>
      <c r="F15" s="102">
        <v>102.7</v>
      </c>
      <c r="G15" s="102">
        <v>115.3</v>
      </c>
      <c r="H15" s="102">
        <v>128.69999999999999</v>
      </c>
      <c r="I15" s="102">
        <v>135.80000000000001</v>
      </c>
      <c r="J15" s="102">
        <v>143.30000000000001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2:35" ht="15.75">
      <c r="B16" s="95"/>
      <c r="C16" s="100" t="s">
        <v>10</v>
      </c>
      <c r="D16" s="100"/>
      <c r="E16" s="101">
        <v>0.124</v>
      </c>
      <c r="F16" s="101">
        <v>8.1000000000000003E-2</v>
      </c>
      <c r="G16" s="101">
        <v>8.5999999999999993E-2</v>
      </c>
      <c r="H16" s="101">
        <v>9.0999999999999998E-2</v>
      </c>
      <c r="I16" s="101">
        <v>9.0999999999999998E-2</v>
      </c>
      <c r="J16" s="101">
        <v>9.0999999999999998E-2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2:10" ht="15.75">
      <c r="B17" s="95"/>
      <c r="C17" s="98" t="s">
        <v>45</v>
      </c>
      <c r="D17" s="96"/>
      <c r="E17" s="103"/>
      <c r="F17" s="103">
        <f>'Ammortization schedule'!D6</f>
        <v>182.51999999999998</v>
      </c>
      <c r="G17" s="103">
        <f>'Ammortization schedule'!E6</f>
        <v>173.39399999999998</v>
      </c>
      <c r="H17" s="103">
        <f>'Ammortization schedule'!F6</f>
        <v>164.268</v>
      </c>
      <c r="I17" s="103">
        <f>'Ammortization schedule'!G6</f>
        <v>155.142</v>
      </c>
      <c r="J17" s="103">
        <f>'Ammortization schedule'!H6</f>
        <v>146.01599999999999</v>
      </c>
    </row>
    <row r="18" spans="2:10" ht="15.75">
      <c r="B18" s="95"/>
      <c r="C18" s="98" t="s">
        <v>46</v>
      </c>
      <c r="D18" s="96"/>
      <c r="E18" s="103">
        <f>E15-E17</f>
        <v>112.5</v>
      </c>
      <c r="F18" s="103">
        <f t="shared" ref="F18:Y18" si="0">F15-F17</f>
        <v>-79.819999999999979</v>
      </c>
      <c r="G18" s="103">
        <f t="shared" si="0"/>
        <v>-58.09399999999998</v>
      </c>
      <c r="H18" s="103">
        <f t="shared" si="0"/>
        <v>-35.568000000000012</v>
      </c>
      <c r="I18" s="103">
        <f t="shared" si="0"/>
        <v>-19.341999999999985</v>
      </c>
      <c r="J18" s="103">
        <f t="shared" si="0"/>
        <v>-2.7159999999999798</v>
      </c>
    </row>
    <row r="19" spans="2:10" ht="15.75">
      <c r="B19" s="95"/>
      <c r="C19" s="98" t="s">
        <v>47</v>
      </c>
      <c r="D19" s="96"/>
      <c r="E19" s="96"/>
      <c r="F19" s="96"/>
      <c r="G19" s="96"/>
      <c r="H19" s="96"/>
      <c r="I19" s="96"/>
      <c r="J19" s="96"/>
    </row>
  </sheetData>
  <mergeCells count="1">
    <mergeCell ref="F4:J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AI43"/>
  <sheetViews>
    <sheetView zoomScale="110" zoomScaleNormal="110" workbookViewId="0">
      <selection activeCell="C41" sqref="C41"/>
    </sheetView>
  </sheetViews>
  <sheetFormatPr defaultRowHeight="15"/>
  <cols>
    <col min="3" max="3" width="34" bestFit="1" customWidth="1"/>
    <col min="6" max="6" width="11.42578125" customWidth="1"/>
    <col min="10" max="10" width="11.28515625" customWidth="1"/>
    <col min="11" max="16" width="9.85546875" bestFit="1" customWidth="1"/>
    <col min="17" max="19" width="13" bestFit="1" customWidth="1"/>
    <col min="20" max="31" width="9.85546875" bestFit="1" customWidth="1"/>
    <col min="32" max="35" width="10.85546875" bestFit="1" customWidth="1"/>
  </cols>
  <sheetData>
    <row r="4" spans="2:35" ht="24.75">
      <c r="C4" s="7"/>
      <c r="D4" s="7"/>
      <c r="E4" s="8" t="s">
        <v>11</v>
      </c>
      <c r="F4" s="7" t="s">
        <v>32</v>
      </c>
      <c r="G4" s="38" t="s">
        <v>12</v>
      </c>
      <c r="H4" s="38"/>
      <c r="I4" s="38"/>
      <c r="J4" s="7" t="s">
        <v>32</v>
      </c>
    </row>
    <row r="5" spans="2:35">
      <c r="C5" s="9"/>
      <c r="E5" s="69">
        <v>2012</v>
      </c>
      <c r="F5" s="8">
        <v>2013</v>
      </c>
      <c r="G5" s="8">
        <v>2014</v>
      </c>
      <c r="H5" s="8">
        <v>2015</v>
      </c>
      <c r="I5" s="8">
        <v>2016</v>
      </c>
      <c r="J5" s="8">
        <v>2017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2:35" ht="15.75">
      <c r="C6" s="10" t="s">
        <v>13</v>
      </c>
      <c r="D6" s="7"/>
      <c r="E6" s="7"/>
      <c r="F6" s="7"/>
      <c r="G6" s="7"/>
      <c r="H6" s="7"/>
      <c r="I6" s="7"/>
      <c r="J6" s="7"/>
    </row>
    <row r="7" spans="2:35">
      <c r="B7">
        <v>1.2999999999999999E-2</v>
      </c>
      <c r="C7" s="11" t="s">
        <v>14</v>
      </c>
      <c r="E7" s="71">
        <v>15.9</v>
      </c>
      <c r="F7" s="73">
        <v>16.8</v>
      </c>
      <c r="G7" s="73">
        <v>17.8</v>
      </c>
      <c r="H7" s="73">
        <v>18.8</v>
      </c>
      <c r="I7" s="73">
        <v>19.8</v>
      </c>
      <c r="J7" s="73">
        <v>20.9</v>
      </c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2:35">
      <c r="C8" s="11" t="s">
        <v>15</v>
      </c>
      <c r="D8" s="12"/>
      <c r="E8" s="76"/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</row>
    <row r="9" spans="2:35">
      <c r="B9">
        <v>7.0999999999999994E-2</v>
      </c>
      <c r="C9" s="11" t="s">
        <v>16</v>
      </c>
      <c r="E9" s="31">
        <v>85</v>
      </c>
      <c r="F9" s="70">
        <v>89.9</v>
      </c>
      <c r="G9" s="70">
        <v>95.1</v>
      </c>
      <c r="H9" s="70">
        <v>100.4</v>
      </c>
      <c r="I9" s="70">
        <v>105.9</v>
      </c>
      <c r="J9" s="70">
        <v>111.7</v>
      </c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2:35">
      <c r="C10" s="11" t="s">
        <v>17</v>
      </c>
      <c r="D10" s="13"/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</row>
    <row r="11" spans="2:35">
      <c r="C11" s="11" t="s">
        <v>18</v>
      </c>
      <c r="E11" s="31">
        <v>100.9</v>
      </c>
      <c r="F11" s="70">
        <v>106.8</v>
      </c>
      <c r="G11" s="70">
        <v>112.9</v>
      </c>
      <c r="H11" s="70">
        <v>119.2</v>
      </c>
      <c r="I11" s="70">
        <v>125.7</v>
      </c>
      <c r="J11" s="70">
        <v>132.6</v>
      </c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2:35">
      <c r="B12">
        <v>0.7</v>
      </c>
      <c r="C12" s="11" t="s">
        <v>19</v>
      </c>
      <c r="E12" s="31">
        <v>860.9</v>
      </c>
      <c r="F12" s="70">
        <v>774.7</v>
      </c>
      <c r="G12" s="70">
        <v>683.6</v>
      </c>
      <c r="H12" s="70">
        <v>568.1</v>
      </c>
      <c r="I12" s="70">
        <v>446.4</v>
      </c>
      <c r="J12" s="70">
        <v>317.89999999999998</v>
      </c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2:35">
      <c r="C13" s="11" t="s">
        <v>20</v>
      </c>
      <c r="E13" s="72">
        <v>1692.7</v>
      </c>
      <c r="F13" s="74">
        <v>1692.7</v>
      </c>
      <c r="G13" s="74">
        <v>1692.7</v>
      </c>
      <c r="H13" s="74">
        <v>1692.7</v>
      </c>
      <c r="I13" s="74">
        <v>1692.7</v>
      </c>
      <c r="J13" s="74">
        <v>1692.7</v>
      </c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2:35">
      <c r="B14">
        <f>AVERAGE(F38:J38)+1</f>
        <v>1.0562459580162904</v>
      </c>
      <c r="C14" s="11" t="s">
        <v>21</v>
      </c>
      <c r="D14" s="13"/>
      <c r="E14" s="70">
        <v>148.4</v>
      </c>
      <c r="F14" s="70">
        <v>157</v>
      </c>
      <c r="G14" s="70">
        <v>166.1</v>
      </c>
      <c r="H14" s="70">
        <v>175.2</v>
      </c>
      <c r="I14" s="70">
        <v>184.9</v>
      </c>
      <c r="J14" s="70">
        <v>195.1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</row>
    <row r="15" spans="2:35" ht="15.75">
      <c r="C15" s="11" t="s">
        <v>22</v>
      </c>
      <c r="D15" s="7"/>
      <c r="E15" s="73">
        <v>2802.9</v>
      </c>
      <c r="F15" s="73">
        <v>2731.2</v>
      </c>
      <c r="G15" s="73">
        <v>2655.3</v>
      </c>
      <c r="H15" s="73">
        <v>2555.1999999999998</v>
      </c>
      <c r="I15" s="73">
        <v>2449.6999999999998</v>
      </c>
      <c r="J15" s="73">
        <v>2338.3000000000002</v>
      </c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2:35">
      <c r="C16" s="36"/>
      <c r="D16" s="36"/>
      <c r="E16" s="15"/>
      <c r="F16" s="15"/>
      <c r="G16" s="15"/>
      <c r="H16" s="15"/>
      <c r="I16" s="15"/>
      <c r="J16" s="15"/>
    </row>
    <row r="17" spans="3:14" ht="15.75">
      <c r="C17" s="37" t="s">
        <v>23</v>
      </c>
      <c r="D17" s="37"/>
      <c r="E17" s="37"/>
      <c r="F17" s="7"/>
      <c r="G17" s="7"/>
      <c r="H17" s="7"/>
      <c r="I17" s="7"/>
      <c r="J17" s="7"/>
    </row>
    <row r="18" spans="3:14">
      <c r="C18" s="10" t="s">
        <v>24</v>
      </c>
      <c r="D18" s="79"/>
      <c r="E18" s="79"/>
      <c r="F18" s="79"/>
      <c r="G18" s="79"/>
      <c r="H18" s="79"/>
      <c r="I18" s="79"/>
      <c r="J18" s="79"/>
    </row>
    <row r="19" spans="3:14" ht="15.75">
      <c r="C19" s="11" t="s">
        <v>25</v>
      </c>
      <c r="D19" s="77"/>
      <c r="E19" s="78">
        <v>0</v>
      </c>
      <c r="F19" s="80"/>
      <c r="G19" s="80"/>
      <c r="H19" s="80"/>
      <c r="I19" s="80"/>
      <c r="J19" s="80"/>
    </row>
    <row r="20" spans="3:14">
      <c r="C20" s="11"/>
      <c r="D20" s="81"/>
      <c r="E20" s="81"/>
      <c r="F20" s="81"/>
      <c r="G20" s="81"/>
      <c r="H20" s="81"/>
      <c r="I20" s="81"/>
      <c r="J20" s="81"/>
    </row>
    <row r="21" spans="3:14">
      <c r="C21" s="31" t="s">
        <v>44</v>
      </c>
      <c r="D21" s="77"/>
      <c r="E21" s="31">
        <v>161.30000000000001</v>
      </c>
      <c r="F21" s="70">
        <v>170.7</v>
      </c>
      <c r="G21" s="70">
        <v>180.6</v>
      </c>
      <c r="H21" s="70">
        <v>190.5</v>
      </c>
      <c r="I21" s="70">
        <v>201</v>
      </c>
      <c r="J21" s="70">
        <v>212.1</v>
      </c>
    </row>
    <row r="22" spans="3:14">
      <c r="C22" s="11" t="s">
        <v>26</v>
      </c>
      <c r="D22" s="79"/>
      <c r="E22" s="70">
        <v>42.4</v>
      </c>
      <c r="F22" s="70">
        <v>44.9</v>
      </c>
      <c r="G22" s="70">
        <v>47.5</v>
      </c>
      <c r="H22" s="70">
        <v>50.1</v>
      </c>
      <c r="I22" s="70">
        <v>52.8</v>
      </c>
      <c r="J22" s="70">
        <v>55.7</v>
      </c>
    </row>
    <row r="23" spans="3:14">
      <c r="C23" s="11" t="s">
        <v>27</v>
      </c>
      <c r="D23" s="77"/>
      <c r="E23" s="31">
        <v>203.7</v>
      </c>
      <c r="F23" s="70">
        <v>215.6</v>
      </c>
      <c r="G23" s="70">
        <v>228.1</v>
      </c>
      <c r="H23" s="70">
        <v>240.6</v>
      </c>
      <c r="I23" s="70">
        <v>253.8</v>
      </c>
      <c r="J23" s="70">
        <v>267.8</v>
      </c>
    </row>
    <row r="24" spans="3:14">
      <c r="C24" s="11" t="s">
        <v>28</v>
      </c>
      <c r="D24" s="77"/>
      <c r="E24" s="72">
        <v>2920</v>
      </c>
      <c r="F24" s="77">
        <v>2964</v>
      </c>
      <c r="G24" s="77">
        <v>2808</v>
      </c>
      <c r="H24" s="77">
        <v>2652</v>
      </c>
      <c r="I24" s="77">
        <v>2496</v>
      </c>
      <c r="J24" s="77">
        <v>2340</v>
      </c>
    </row>
    <row r="25" spans="3:14">
      <c r="C25" s="11" t="s">
        <v>21</v>
      </c>
      <c r="D25" s="79"/>
      <c r="E25" s="70">
        <v>0</v>
      </c>
      <c r="F25" s="79"/>
      <c r="G25" s="79"/>
      <c r="H25" s="79"/>
      <c r="I25" s="79"/>
      <c r="J25" s="79"/>
    </row>
    <row r="26" spans="3:14" ht="15.75">
      <c r="C26" s="11" t="s">
        <v>29</v>
      </c>
      <c r="D26" s="77"/>
      <c r="E26" s="78">
        <v>3123.7</v>
      </c>
      <c r="F26" s="80"/>
      <c r="G26" s="80"/>
      <c r="H26" s="80"/>
      <c r="I26" s="80"/>
      <c r="J26" s="80"/>
    </row>
    <row r="27" spans="3:14" ht="15.75">
      <c r="C27" s="11" t="s">
        <v>30</v>
      </c>
      <c r="D27" s="80"/>
      <c r="E27" s="70" t="s">
        <v>31</v>
      </c>
      <c r="F27" s="80"/>
      <c r="G27" s="80"/>
      <c r="H27" s="80"/>
      <c r="I27" s="80"/>
      <c r="J27" s="80"/>
    </row>
    <row r="28" spans="3:14">
      <c r="C28" s="11" t="s">
        <v>64</v>
      </c>
      <c r="D28" s="77"/>
      <c r="E28" s="78">
        <v>2802.9</v>
      </c>
      <c r="F28" s="82"/>
      <c r="G28" s="82"/>
      <c r="H28" s="82"/>
      <c r="I28" s="82"/>
      <c r="J28" s="82"/>
    </row>
    <row r="29" spans="3:14">
      <c r="C29" s="11"/>
      <c r="D29" s="34"/>
      <c r="F29" s="16"/>
      <c r="G29" s="16"/>
      <c r="H29" s="16"/>
      <c r="I29" s="16"/>
      <c r="J29" s="16"/>
    </row>
    <row r="30" spans="3:14">
      <c r="C30" s="11" t="s">
        <v>65</v>
      </c>
      <c r="D30" s="34"/>
      <c r="E30" s="34">
        <f>E11-E23</f>
        <v>-102.79999999999998</v>
      </c>
      <c r="F30" s="34">
        <f t="shared" ref="F30:J30" si="0">F11-F23</f>
        <v>-108.8</v>
      </c>
      <c r="G30" s="34">
        <f t="shared" si="0"/>
        <v>-115.19999999999999</v>
      </c>
      <c r="H30" s="34">
        <f t="shared" si="0"/>
        <v>-121.39999999999999</v>
      </c>
      <c r="I30" s="34">
        <f>I11-I23</f>
        <v>-128.10000000000002</v>
      </c>
      <c r="J30" s="34">
        <f t="shared" si="0"/>
        <v>-135.20000000000002</v>
      </c>
      <c r="K30" s="34"/>
      <c r="L30" s="34"/>
      <c r="M30" s="34"/>
      <c r="N30" s="34"/>
    </row>
    <row r="31" spans="3:14">
      <c r="C31" s="11" t="s">
        <v>66</v>
      </c>
      <c r="D31" s="34"/>
      <c r="E31" s="34"/>
      <c r="F31" s="83">
        <f>F30-E30</f>
        <v>-6.0000000000000142</v>
      </c>
      <c r="G31" s="83">
        <f t="shared" ref="G31:J31" si="1">G30-F30</f>
        <v>-6.3999999999999915</v>
      </c>
      <c r="H31" s="83">
        <f t="shared" si="1"/>
        <v>-6.2000000000000028</v>
      </c>
      <c r="I31" s="83">
        <f t="shared" si="1"/>
        <v>-6.7000000000000313</v>
      </c>
      <c r="J31" s="83">
        <f t="shared" si="1"/>
        <v>-7.0999999999999943</v>
      </c>
    </row>
    <row r="32" spans="3:14">
      <c r="C32" s="11"/>
      <c r="D32" s="34"/>
      <c r="E32" s="34"/>
      <c r="F32" s="16"/>
      <c r="G32" s="16"/>
      <c r="H32" s="16"/>
      <c r="I32" s="16"/>
      <c r="J32" s="16"/>
    </row>
    <row r="33" spans="2:11">
      <c r="C33" s="11"/>
      <c r="D33" s="34"/>
      <c r="E33" s="34"/>
      <c r="F33" s="16"/>
      <c r="G33" s="16"/>
      <c r="H33" s="16"/>
      <c r="I33" s="16"/>
      <c r="J33" s="16"/>
    </row>
    <row r="34" spans="2:11">
      <c r="C34" s="17"/>
      <c r="D34" s="17"/>
      <c r="E34" s="17"/>
      <c r="F34" s="17"/>
      <c r="G34" s="17"/>
      <c r="H34" s="17"/>
      <c r="I34" s="17"/>
      <c r="J34" s="17"/>
    </row>
    <row r="35" spans="2:11">
      <c r="C35" s="17"/>
      <c r="D35" s="17"/>
      <c r="E35" s="17"/>
      <c r="F35" s="17"/>
      <c r="G35" s="17"/>
      <c r="H35" s="17"/>
      <c r="I35" s="17"/>
      <c r="J35" s="17"/>
    </row>
    <row r="36" spans="2:11">
      <c r="B36">
        <v>0.27200000000000002</v>
      </c>
      <c r="C36" s="17" t="s">
        <v>8</v>
      </c>
      <c r="D36" s="17"/>
      <c r="E36" s="17">
        <v>203.8</v>
      </c>
      <c r="F36" s="17">
        <v>344.7</v>
      </c>
      <c r="G36" s="17">
        <v>364.7</v>
      </c>
      <c r="H36" s="17">
        <v>384.7</v>
      </c>
      <c r="I36" s="17">
        <v>405.9</v>
      </c>
      <c r="J36" s="17">
        <v>428.2</v>
      </c>
    </row>
    <row r="37" spans="2:11">
      <c r="B37" s="18">
        <v>0.7</v>
      </c>
      <c r="C37" s="17" t="s">
        <v>19</v>
      </c>
      <c r="E37" s="17">
        <v>860.9</v>
      </c>
      <c r="F37" s="17"/>
      <c r="G37" s="17">
        <v>774.7</v>
      </c>
      <c r="H37" s="17">
        <v>683.6</v>
      </c>
      <c r="I37" s="17">
        <v>568.1</v>
      </c>
      <c r="J37" s="17">
        <v>446.4</v>
      </c>
      <c r="K37" s="17"/>
    </row>
    <row r="38" spans="2:11">
      <c r="C38" s="19" t="s">
        <v>35</v>
      </c>
      <c r="D38" s="17"/>
      <c r="E38" s="17"/>
      <c r="F38" s="17">
        <f>(F14-E14)/E14</f>
        <v>5.7951482479784329E-2</v>
      </c>
      <c r="G38" s="17">
        <f>(G14-F14)/F14</f>
        <v>5.7961783439490412E-2</v>
      </c>
      <c r="H38" s="17">
        <f>(H14-G14)/G14</f>
        <v>5.4786273329319651E-2</v>
      </c>
      <c r="I38" s="17">
        <f>(I14-H14)/H14</f>
        <v>5.5365296803653069E-2</v>
      </c>
      <c r="J38" s="17">
        <f>(J14-I14)/I14</f>
        <v>5.5164954029204911E-2</v>
      </c>
      <c r="K38" s="17"/>
    </row>
    <row r="39" spans="2:11">
      <c r="C39" s="17"/>
      <c r="D39" s="17"/>
      <c r="E39" s="17"/>
      <c r="F39" s="17"/>
      <c r="G39" s="17"/>
      <c r="H39" s="17"/>
      <c r="I39" s="17"/>
      <c r="J39" s="17"/>
    </row>
    <row r="40" spans="2:11">
      <c r="C40" s="17"/>
      <c r="D40" s="17"/>
      <c r="E40" s="17"/>
      <c r="F40" s="17"/>
      <c r="G40" s="17"/>
      <c r="H40" s="17"/>
      <c r="I40" s="17"/>
      <c r="J40" s="17"/>
    </row>
    <row r="41" spans="2:11">
      <c r="C41" s="17"/>
      <c r="D41" s="17"/>
      <c r="E41" s="17"/>
      <c r="F41" s="17"/>
      <c r="G41" s="17"/>
      <c r="H41" s="17"/>
      <c r="I41" s="17"/>
      <c r="J41" s="17"/>
    </row>
    <row r="42" spans="2:11">
      <c r="C42" s="17"/>
      <c r="D42" s="17"/>
      <c r="E42" s="17"/>
      <c r="F42" s="17"/>
      <c r="G42" s="17"/>
      <c r="H42" s="17"/>
      <c r="I42" s="17"/>
      <c r="J42" s="17"/>
    </row>
    <row r="43" spans="2:11">
      <c r="C43" s="17"/>
      <c r="D43" s="17"/>
      <c r="E43" s="17"/>
      <c r="F43" s="17"/>
      <c r="G43" s="17"/>
      <c r="H43" s="17"/>
      <c r="I43" s="17"/>
      <c r="J43" s="17"/>
    </row>
  </sheetData>
  <mergeCells count="3">
    <mergeCell ref="G4:I4"/>
    <mergeCell ref="C16:D16"/>
    <mergeCell ref="C17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1"/>
  <sheetViews>
    <sheetView workbookViewId="0">
      <selection activeCell="D6" sqref="D6:H7"/>
    </sheetView>
  </sheetViews>
  <sheetFormatPr defaultRowHeight="15"/>
  <cols>
    <col min="1" max="1" width="9.85546875" bestFit="1" customWidth="1"/>
    <col min="2" max="2" width="12" bestFit="1" customWidth="1"/>
    <col min="3" max="3" width="13.85546875" bestFit="1" customWidth="1"/>
    <col min="4" max="4" width="16.85546875" bestFit="1" customWidth="1"/>
  </cols>
  <sheetData>
    <row r="1" spans="1:24" ht="15.75" thickBot="1"/>
    <row r="2" spans="1:24" ht="15.75" thickBot="1">
      <c r="A2" s="39" t="s">
        <v>42</v>
      </c>
      <c r="B2" s="29" t="s">
        <v>38</v>
      </c>
      <c r="C2" s="24">
        <v>3120</v>
      </c>
      <c r="E2" s="20"/>
    </row>
    <row r="3" spans="1:24" ht="15.75" thickBot="1">
      <c r="A3" s="40"/>
      <c r="B3" s="21" t="s">
        <v>36</v>
      </c>
      <c r="C3" s="25">
        <f>3120/20</f>
        <v>156</v>
      </c>
      <c r="D3" s="23" t="s">
        <v>41</v>
      </c>
      <c r="E3">
        <f>C2-C3</f>
        <v>2964</v>
      </c>
      <c r="F3">
        <f>E3-$C$3</f>
        <v>2808</v>
      </c>
      <c r="G3">
        <f>F3-$C$3</f>
        <v>2652</v>
      </c>
      <c r="H3">
        <f t="shared" ref="H3:N3" si="0">G3-$C$3</f>
        <v>2496</v>
      </c>
      <c r="I3">
        <f t="shared" si="0"/>
        <v>2340</v>
      </c>
      <c r="J3">
        <f t="shared" si="0"/>
        <v>2184</v>
      </c>
      <c r="K3">
        <f t="shared" si="0"/>
        <v>2028</v>
      </c>
      <c r="L3">
        <f t="shared" si="0"/>
        <v>1872</v>
      </c>
      <c r="M3">
        <f t="shared" si="0"/>
        <v>1716</v>
      </c>
      <c r="N3">
        <f t="shared" si="0"/>
        <v>1560</v>
      </c>
      <c r="O3">
        <f>N3-$C$3</f>
        <v>1404</v>
      </c>
      <c r="P3">
        <f>O3-$C$3</f>
        <v>1248</v>
      </c>
      <c r="Q3">
        <f t="shared" ref="Q3:X3" si="1">P3-$C$3</f>
        <v>1092</v>
      </c>
      <c r="R3">
        <f t="shared" si="1"/>
        <v>936</v>
      </c>
      <c r="S3">
        <f t="shared" si="1"/>
        <v>780</v>
      </c>
      <c r="T3">
        <f t="shared" si="1"/>
        <v>624</v>
      </c>
      <c r="U3">
        <f t="shared" si="1"/>
        <v>468</v>
      </c>
      <c r="V3">
        <f t="shared" si="1"/>
        <v>312</v>
      </c>
      <c r="W3">
        <f t="shared" si="1"/>
        <v>156</v>
      </c>
      <c r="X3">
        <f t="shared" si="1"/>
        <v>0</v>
      </c>
    </row>
    <row r="4" spans="1:24" ht="15.75" thickBot="1">
      <c r="A4" s="40"/>
      <c r="B4" s="21" t="s">
        <v>40</v>
      </c>
      <c r="C4" s="26">
        <f>0.09*0.65</f>
        <v>5.8499999999999996E-2</v>
      </c>
    </row>
    <row r="5" spans="1:24" ht="15.75" thickBot="1">
      <c r="A5" s="40"/>
      <c r="B5" s="24"/>
      <c r="C5" s="25"/>
      <c r="D5" s="21">
        <v>2013</v>
      </c>
      <c r="E5" s="21">
        <v>2014</v>
      </c>
      <c r="F5" s="21">
        <v>2015</v>
      </c>
      <c r="G5" s="21">
        <v>2016</v>
      </c>
      <c r="H5" s="21">
        <v>2017</v>
      </c>
      <c r="I5" s="21">
        <v>2018</v>
      </c>
      <c r="J5" s="21">
        <v>2019</v>
      </c>
      <c r="K5" s="21">
        <v>2020</v>
      </c>
      <c r="L5" s="21">
        <v>2021</v>
      </c>
      <c r="M5" s="21">
        <v>2022</v>
      </c>
      <c r="N5" s="21">
        <v>2023</v>
      </c>
      <c r="O5" s="21">
        <v>2024</v>
      </c>
      <c r="P5" s="21">
        <v>2025</v>
      </c>
      <c r="Q5" s="21">
        <v>2026</v>
      </c>
      <c r="R5" s="21">
        <v>2027</v>
      </c>
      <c r="S5" s="21">
        <v>2028</v>
      </c>
      <c r="T5" s="21">
        <v>2029</v>
      </c>
      <c r="U5" s="21">
        <v>2030</v>
      </c>
      <c r="V5" s="21">
        <v>2031</v>
      </c>
      <c r="W5" s="22">
        <v>2032</v>
      </c>
      <c r="X5" s="21">
        <v>2033</v>
      </c>
    </row>
    <row r="6" spans="1:24" ht="15.75" thickBot="1">
      <c r="A6" s="40"/>
      <c r="B6" s="27"/>
      <c r="C6" s="27" t="s">
        <v>37</v>
      </c>
      <c r="D6">
        <f>C2*$C$4</f>
        <v>182.51999999999998</v>
      </c>
      <c r="E6">
        <f>E3*$C$4</f>
        <v>173.39399999999998</v>
      </c>
      <c r="F6">
        <f t="shared" ref="F6:X6" si="2">F3*$C$4</f>
        <v>164.268</v>
      </c>
      <c r="G6">
        <f t="shared" si="2"/>
        <v>155.142</v>
      </c>
      <c r="H6">
        <f t="shared" si="2"/>
        <v>146.01599999999999</v>
      </c>
      <c r="I6">
        <f t="shared" si="2"/>
        <v>136.88999999999999</v>
      </c>
      <c r="J6">
        <f t="shared" si="2"/>
        <v>127.764</v>
      </c>
      <c r="K6">
        <f t="shared" si="2"/>
        <v>118.63799999999999</v>
      </c>
      <c r="L6">
        <f t="shared" si="2"/>
        <v>109.512</v>
      </c>
      <c r="M6">
        <f t="shared" si="2"/>
        <v>100.386</v>
      </c>
      <c r="N6">
        <f t="shared" si="2"/>
        <v>91.259999999999991</v>
      </c>
      <c r="O6">
        <f t="shared" si="2"/>
        <v>82.134</v>
      </c>
      <c r="P6">
        <f t="shared" si="2"/>
        <v>73.007999999999996</v>
      </c>
      <c r="Q6">
        <f t="shared" si="2"/>
        <v>63.881999999999998</v>
      </c>
      <c r="R6">
        <f t="shared" si="2"/>
        <v>54.756</v>
      </c>
      <c r="S6">
        <f t="shared" si="2"/>
        <v>45.629999999999995</v>
      </c>
      <c r="T6">
        <f t="shared" si="2"/>
        <v>36.503999999999998</v>
      </c>
      <c r="U6">
        <f t="shared" si="2"/>
        <v>27.378</v>
      </c>
      <c r="V6">
        <f t="shared" si="2"/>
        <v>18.251999999999999</v>
      </c>
      <c r="W6">
        <f t="shared" si="2"/>
        <v>9.1259999999999994</v>
      </c>
      <c r="X6">
        <f t="shared" si="2"/>
        <v>0</v>
      </c>
    </row>
    <row r="7" spans="1:24" ht="15.75" thickBot="1">
      <c r="A7" s="41"/>
      <c r="B7" s="28"/>
      <c r="C7" s="25" t="s">
        <v>39</v>
      </c>
      <c r="D7">
        <f>D6+$C$3</f>
        <v>338.52</v>
      </c>
      <c r="E7">
        <f>E6+$C$3</f>
        <v>329.39400000000001</v>
      </c>
      <c r="F7">
        <f t="shared" ref="E7:X7" si="3">F6+$C$3</f>
        <v>320.26800000000003</v>
      </c>
      <c r="G7">
        <f t="shared" si="3"/>
        <v>311.142</v>
      </c>
      <c r="H7">
        <f t="shared" si="3"/>
        <v>302.01599999999996</v>
      </c>
      <c r="I7">
        <f t="shared" si="3"/>
        <v>292.89</v>
      </c>
      <c r="J7">
        <f t="shared" si="3"/>
        <v>283.76400000000001</v>
      </c>
      <c r="K7">
        <f t="shared" si="3"/>
        <v>274.63799999999998</v>
      </c>
      <c r="L7">
        <f t="shared" si="3"/>
        <v>265.512</v>
      </c>
      <c r="M7">
        <f t="shared" si="3"/>
        <v>256.38599999999997</v>
      </c>
      <c r="N7">
        <f t="shared" si="3"/>
        <v>247.26</v>
      </c>
      <c r="O7">
        <f t="shared" si="3"/>
        <v>238.13400000000001</v>
      </c>
      <c r="P7">
        <f t="shared" si="3"/>
        <v>229.00799999999998</v>
      </c>
      <c r="Q7">
        <f t="shared" si="3"/>
        <v>219.88200000000001</v>
      </c>
      <c r="R7">
        <f t="shared" si="3"/>
        <v>210.756</v>
      </c>
      <c r="S7">
        <f t="shared" si="3"/>
        <v>201.63</v>
      </c>
      <c r="T7">
        <f t="shared" si="3"/>
        <v>192.50399999999999</v>
      </c>
      <c r="U7">
        <f t="shared" si="3"/>
        <v>183.37799999999999</v>
      </c>
      <c r="V7">
        <f t="shared" si="3"/>
        <v>174.25200000000001</v>
      </c>
      <c r="W7">
        <f t="shared" si="3"/>
        <v>165.126</v>
      </c>
      <c r="X7">
        <f t="shared" si="3"/>
        <v>156</v>
      </c>
    </row>
    <row r="10" spans="1:24" ht="15.75" thickBot="1"/>
    <row r="11" spans="1:24" ht="15.75" thickBot="1">
      <c r="A11" s="30" t="s">
        <v>43</v>
      </c>
    </row>
  </sheetData>
  <mergeCells count="1">
    <mergeCell ref="A2:A7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6"/>
  <sheetViews>
    <sheetView tabSelected="1" topLeftCell="A13" workbookViewId="0">
      <selection activeCell="H29" sqref="H29"/>
    </sheetView>
  </sheetViews>
  <sheetFormatPr defaultRowHeight="15"/>
  <cols>
    <col min="1" max="1" width="34.7109375" bestFit="1" customWidth="1"/>
    <col min="2" max="2" width="17.28515625" bestFit="1" customWidth="1"/>
    <col min="5" max="5" width="15.85546875" customWidth="1"/>
    <col min="6" max="6" width="17.140625" customWidth="1"/>
    <col min="7" max="7" width="15" customWidth="1"/>
    <col min="8" max="8" width="19" customWidth="1"/>
    <col min="9" max="9" width="13.28515625" customWidth="1"/>
    <col min="10" max="10" width="26.85546875" customWidth="1"/>
  </cols>
  <sheetData>
    <row r="1" spans="1:10">
      <c r="A1" s="35" t="s">
        <v>48</v>
      </c>
      <c r="B1" s="35"/>
    </row>
    <row r="2" spans="1:10">
      <c r="A2" t="s">
        <v>49</v>
      </c>
      <c r="B2" s="89">
        <f>9*(1-0.35)%</f>
        <v>5.8500000000000003E-2</v>
      </c>
    </row>
    <row r="3" spans="1:10">
      <c r="A3" t="s">
        <v>50</v>
      </c>
      <c r="B3" s="89">
        <v>0.27200000000000002</v>
      </c>
    </row>
    <row r="4" spans="1:10">
      <c r="A4" t="s">
        <v>51</v>
      </c>
      <c r="B4" s="89">
        <v>0.35</v>
      </c>
    </row>
    <row r="5" spans="1:10">
      <c r="A5" t="s">
        <v>52</v>
      </c>
      <c r="B5" s="89">
        <v>0.55200000000000005</v>
      </c>
    </row>
    <row r="6" spans="1:10">
      <c r="A6" t="s">
        <v>53</v>
      </c>
      <c r="B6" s="89">
        <f>AVERAGE(C6:G6)</f>
        <v>0.71</v>
      </c>
      <c r="C6" s="85">
        <v>0.75</v>
      </c>
      <c r="D6" s="85">
        <v>0.7</v>
      </c>
      <c r="E6" s="85">
        <v>0.7</v>
      </c>
      <c r="F6" s="85">
        <v>0.7</v>
      </c>
      <c r="G6" s="85">
        <v>0.7</v>
      </c>
    </row>
    <row r="7" spans="1:10">
      <c r="A7" t="s">
        <v>54</v>
      </c>
      <c r="B7" s="89">
        <v>5.5E-2</v>
      </c>
    </row>
    <row r="8" spans="1:10">
      <c r="A8" t="s">
        <v>71</v>
      </c>
      <c r="B8" s="3">
        <v>1.2999999999999999E-2</v>
      </c>
    </row>
    <row r="10" spans="1:10" ht="15.75" thickBot="1">
      <c r="A10" s="51"/>
      <c r="B10" s="51"/>
      <c r="C10" s="52"/>
      <c r="D10" s="52"/>
      <c r="E10" s="52"/>
      <c r="F10" s="52"/>
      <c r="G10" s="52"/>
      <c r="H10" s="52"/>
      <c r="I10" s="52"/>
      <c r="J10" s="19"/>
    </row>
    <row r="11" spans="1:10">
      <c r="A11" s="57" t="s">
        <v>55</v>
      </c>
      <c r="B11" s="58" t="s">
        <v>56</v>
      </c>
      <c r="C11" s="59"/>
      <c r="D11" s="59"/>
      <c r="E11" s="59"/>
      <c r="F11" s="59"/>
      <c r="G11" s="59"/>
      <c r="H11" s="60"/>
      <c r="I11" s="87" t="s">
        <v>69</v>
      </c>
    </row>
    <row r="12" spans="1:10" ht="15.75" thickBot="1">
      <c r="A12" s="61"/>
      <c r="B12" s="62"/>
      <c r="C12" s="63">
        <v>2012</v>
      </c>
      <c r="D12" s="63">
        <v>2013</v>
      </c>
      <c r="E12" s="63">
        <v>2014</v>
      </c>
      <c r="F12" s="63">
        <v>2015</v>
      </c>
      <c r="G12" s="63">
        <v>2016</v>
      </c>
      <c r="H12" s="64">
        <v>2017</v>
      </c>
      <c r="I12" s="88"/>
    </row>
    <row r="13" spans="1:10">
      <c r="A13" s="1" t="s">
        <v>0</v>
      </c>
      <c r="B13" s="65"/>
      <c r="C13" s="34">
        <v>910.4</v>
      </c>
      <c r="D13" s="34">
        <v>1267.3</v>
      </c>
      <c r="E13" s="34">
        <v>1340.8</v>
      </c>
      <c r="F13" s="34">
        <v>1414.5</v>
      </c>
      <c r="G13" s="34">
        <v>1492.3</v>
      </c>
      <c r="H13" s="66">
        <v>1574.4</v>
      </c>
      <c r="I13" s="53"/>
    </row>
    <row r="14" spans="1:10">
      <c r="A14" s="1" t="s">
        <v>2</v>
      </c>
      <c r="B14" s="65"/>
      <c r="C14" s="33">
        <v>515</v>
      </c>
      <c r="D14" s="33">
        <v>699.5</v>
      </c>
      <c r="E14" s="33">
        <v>740.1</v>
      </c>
      <c r="F14" s="33">
        <v>780.8</v>
      </c>
      <c r="G14" s="33">
        <v>823.8</v>
      </c>
      <c r="H14" s="67">
        <v>869.1</v>
      </c>
      <c r="I14" s="54"/>
    </row>
    <row r="15" spans="1:10">
      <c r="A15" s="1" t="s">
        <v>3</v>
      </c>
      <c r="B15" s="65"/>
      <c r="C15" s="34">
        <f>C13-C14</f>
        <v>395.4</v>
      </c>
      <c r="D15" s="34">
        <f t="shared" ref="D15:H15" si="0">D13-D14</f>
        <v>567.79999999999995</v>
      </c>
      <c r="E15" s="34">
        <f t="shared" si="0"/>
        <v>600.69999999999993</v>
      </c>
      <c r="F15" s="34">
        <f t="shared" si="0"/>
        <v>633.70000000000005</v>
      </c>
      <c r="G15" s="34">
        <f t="shared" si="0"/>
        <v>668.5</v>
      </c>
      <c r="H15" s="66">
        <f t="shared" si="0"/>
        <v>705.30000000000007</v>
      </c>
      <c r="I15" s="54"/>
    </row>
    <row r="16" spans="1:10">
      <c r="A16" s="1" t="s">
        <v>5</v>
      </c>
      <c r="B16" s="65"/>
      <c r="C16" s="33">
        <v>79.099999999999994</v>
      </c>
      <c r="D16" s="33">
        <v>120.4</v>
      </c>
      <c r="E16" s="33">
        <v>120.7</v>
      </c>
      <c r="F16" s="33">
        <v>120.2</v>
      </c>
      <c r="G16" s="33">
        <v>126.8</v>
      </c>
      <c r="H16" s="67">
        <v>133.80000000000001</v>
      </c>
      <c r="I16" s="43"/>
    </row>
    <row r="17" spans="1:10">
      <c r="A17" s="1" t="s">
        <v>6</v>
      </c>
      <c r="B17" s="65"/>
      <c r="C17" s="34">
        <f>C15-C16</f>
        <v>316.29999999999995</v>
      </c>
      <c r="D17" s="34">
        <f t="shared" ref="D17:H17" si="1">D15-D16</f>
        <v>447.4</v>
      </c>
      <c r="E17" s="34">
        <f t="shared" si="1"/>
        <v>479.99999999999994</v>
      </c>
      <c r="F17" s="34">
        <f t="shared" si="1"/>
        <v>513.5</v>
      </c>
      <c r="G17" s="34">
        <f t="shared" si="1"/>
        <v>541.70000000000005</v>
      </c>
      <c r="H17" s="66">
        <f t="shared" si="1"/>
        <v>571.5</v>
      </c>
      <c r="I17" s="44"/>
    </row>
    <row r="18" spans="1:10">
      <c r="A18" s="1" t="s">
        <v>8</v>
      </c>
      <c r="B18" s="65"/>
      <c r="C18" s="33">
        <v>203.8</v>
      </c>
      <c r="D18" s="33">
        <v>344.7</v>
      </c>
      <c r="E18" s="33">
        <v>364.7</v>
      </c>
      <c r="F18" s="33">
        <v>384.7</v>
      </c>
      <c r="G18" s="33">
        <v>405.9</v>
      </c>
      <c r="H18" s="67">
        <v>428.2</v>
      </c>
      <c r="I18" s="44"/>
    </row>
    <row r="19" spans="1:10">
      <c r="A19" s="1" t="s">
        <v>9</v>
      </c>
      <c r="B19" s="65"/>
      <c r="C19" s="34">
        <f>C17-C18</f>
        <v>112.49999999999994</v>
      </c>
      <c r="D19" s="34">
        <f t="shared" ref="D19:H19" si="2">D17-D18</f>
        <v>102.69999999999999</v>
      </c>
      <c r="E19" s="34">
        <f>E17-E18</f>
        <v>115.29999999999995</v>
      </c>
      <c r="F19" s="34">
        <f t="shared" si="2"/>
        <v>128.80000000000001</v>
      </c>
      <c r="G19" s="34">
        <f t="shared" si="2"/>
        <v>135.80000000000007</v>
      </c>
      <c r="H19" s="66">
        <f t="shared" si="2"/>
        <v>143.30000000000001</v>
      </c>
      <c r="I19" s="44"/>
    </row>
    <row r="20" spans="1:10">
      <c r="A20" s="45" t="s">
        <v>62</v>
      </c>
      <c r="B20" s="55"/>
      <c r="C20" s="42">
        <f>C19*(1-$B$4)</f>
        <v>73.124999999999972</v>
      </c>
      <c r="D20" s="42">
        <f t="shared" ref="D20:H20" si="3">D19*(1-$B$4)</f>
        <v>66.754999999999995</v>
      </c>
      <c r="E20" s="42">
        <f t="shared" si="3"/>
        <v>74.944999999999979</v>
      </c>
      <c r="F20" s="42">
        <f t="shared" si="3"/>
        <v>83.720000000000013</v>
      </c>
      <c r="G20" s="42">
        <f t="shared" si="3"/>
        <v>88.270000000000053</v>
      </c>
      <c r="H20" s="68">
        <f t="shared" si="3"/>
        <v>93.14500000000001</v>
      </c>
      <c r="I20" s="49"/>
    </row>
    <row r="21" spans="1:10" ht="15.75" thickBot="1">
      <c r="A21" s="46" t="s">
        <v>63</v>
      </c>
      <c r="B21" s="56"/>
      <c r="C21" s="47">
        <f>C20+C18</f>
        <v>276.92499999999995</v>
      </c>
      <c r="D21" s="47">
        <f t="shared" ref="D21:H21" si="4">D20+D18</f>
        <v>411.45499999999998</v>
      </c>
      <c r="E21" s="47">
        <f t="shared" si="4"/>
        <v>439.64499999999998</v>
      </c>
      <c r="F21" s="47">
        <f t="shared" si="4"/>
        <v>468.42</v>
      </c>
      <c r="G21" s="47">
        <f t="shared" si="4"/>
        <v>494.17</v>
      </c>
      <c r="H21" s="47">
        <f t="shared" si="4"/>
        <v>521.34500000000003</v>
      </c>
      <c r="I21" s="17"/>
    </row>
    <row r="22" spans="1:10">
      <c r="A22" s="84" t="s">
        <v>57</v>
      </c>
      <c r="D22">
        <v>-6.0000000000000098</v>
      </c>
      <c r="E22">
        <v>-6.3999999999999915</v>
      </c>
      <c r="F22">
        <v>-6.2000000000000028</v>
      </c>
      <c r="G22">
        <v>-6.7000000000000313</v>
      </c>
      <c r="H22">
        <v>-7.0999999999999943</v>
      </c>
      <c r="I22" s="17"/>
    </row>
    <row r="23" spans="1:10">
      <c r="A23" s="84" t="s">
        <v>67</v>
      </c>
      <c r="C23">
        <f>C18*B6</f>
        <v>144.69800000000001</v>
      </c>
      <c r="D23">
        <f>D18*C6</f>
        <v>258.52499999999998</v>
      </c>
      <c r="E23">
        <f>E18*D6</f>
        <v>255.28999999999996</v>
      </c>
      <c r="F23">
        <f>F18*E6</f>
        <v>269.28999999999996</v>
      </c>
      <c r="G23">
        <f>G18*F6</f>
        <v>284.12999999999994</v>
      </c>
      <c r="H23">
        <f>H18*G6</f>
        <v>299.73999999999995</v>
      </c>
      <c r="I23" s="17"/>
    </row>
    <row r="24" spans="1:10">
      <c r="A24" s="84" t="s">
        <v>68</v>
      </c>
      <c r="C24" s="86">
        <f>C20+C21-C22-C23</f>
        <v>205.35199999999995</v>
      </c>
      <c r="D24" s="86">
        <f t="shared" ref="D24:H24" si="5">D20+D21-D22-D23</f>
        <v>225.685</v>
      </c>
      <c r="E24" s="86">
        <f t="shared" si="5"/>
        <v>265.69999999999993</v>
      </c>
      <c r="F24" s="86">
        <f t="shared" si="5"/>
        <v>289.05000000000007</v>
      </c>
      <c r="G24" s="86">
        <f t="shared" si="5"/>
        <v>305.01000000000016</v>
      </c>
      <c r="H24" s="86">
        <f t="shared" si="5"/>
        <v>321.85000000000008</v>
      </c>
      <c r="I24" s="17"/>
    </row>
    <row r="25" spans="1:10">
      <c r="A25" s="84" t="s">
        <v>70</v>
      </c>
      <c r="C25" s="86">
        <f>C24/(1+$B$2)^1</f>
        <v>194.00283419933865</v>
      </c>
      <c r="D25" s="86">
        <f>D24/(1+$B$2)^2</f>
        <v>201.42852393372229</v>
      </c>
      <c r="E25" s="86">
        <f>E24/(1+$B$2)^3</f>
        <v>224.03659700292698</v>
      </c>
      <c r="F25" s="86">
        <f>F24/(1+$B$2)^4</f>
        <v>230.255241015199</v>
      </c>
      <c r="G25" s="86">
        <f>G24/(1+$B$2)^5</f>
        <v>229.54073423966548</v>
      </c>
      <c r="H25" s="86">
        <f>H24/(1+$B$2)^6</f>
        <v>228.8275650673628</v>
      </c>
      <c r="I25" s="42">
        <f>((H24*(1+B8))/(B2-B8))/(1+B2)^6</f>
        <v>5094.5565585327131</v>
      </c>
    </row>
    <row r="26" spans="1:10">
      <c r="A26" s="84"/>
      <c r="I26" s="17"/>
    </row>
    <row r="27" spans="1:10">
      <c r="I27" s="17"/>
      <c r="J27" s="17"/>
    </row>
    <row r="28" spans="1:10">
      <c r="A28" s="48" t="s">
        <v>58</v>
      </c>
      <c r="B28" s="90">
        <f>SUM(C25:I25)</f>
        <v>6402.648053990928</v>
      </c>
      <c r="I28" s="17"/>
      <c r="J28" s="17"/>
    </row>
    <row r="29" spans="1:10">
      <c r="A29" s="48" t="s">
        <v>59</v>
      </c>
      <c r="B29" s="91">
        <v>15.9</v>
      </c>
      <c r="I29" s="17"/>
      <c r="J29" s="17"/>
    </row>
    <row r="30" spans="1:10">
      <c r="A30" s="48" t="s">
        <v>60</v>
      </c>
      <c r="B30" s="90">
        <v>2920</v>
      </c>
      <c r="I30" s="17"/>
      <c r="J30" s="17"/>
    </row>
    <row r="31" spans="1:10">
      <c r="A31" s="104" t="s">
        <v>61</v>
      </c>
      <c r="B31" s="105">
        <f>B28+B29-B30</f>
        <v>3498.5480539909277</v>
      </c>
      <c r="I31" s="17"/>
      <c r="J31" s="17"/>
    </row>
    <row r="32" spans="1:10">
      <c r="A32" s="50"/>
      <c r="B32" s="106"/>
      <c r="I32" s="17"/>
      <c r="J32" s="17"/>
    </row>
    <row r="33" spans="1:10">
      <c r="A33" s="50"/>
      <c r="B33" s="17"/>
      <c r="G33" s="17"/>
      <c r="H33" s="17"/>
    </row>
    <row r="34" spans="1:10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 spans="1:10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0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 spans="1:10">
      <c r="A37" s="17"/>
      <c r="B37" s="17"/>
      <c r="C37" s="17"/>
      <c r="D37" s="17"/>
      <c r="E37" s="17"/>
      <c r="F37" s="17"/>
      <c r="G37" s="17"/>
      <c r="H37" s="17"/>
      <c r="I37" s="17"/>
      <c r="J37" s="17"/>
    </row>
    <row r="38" spans="1:10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 spans="1:10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0" spans="1:10">
      <c r="A40" s="17"/>
      <c r="B40" s="17"/>
      <c r="C40" s="17"/>
      <c r="D40" s="17"/>
      <c r="E40" s="17"/>
      <c r="F40" s="17"/>
      <c r="G40" s="17"/>
      <c r="H40" s="17"/>
      <c r="I40" s="17"/>
      <c r="J40" s="17"/>
    </row>
    <row r="41" spans="1:10">
      <c r="A41" s="17"/>
      <c r="B41" s="17"/>
      <c r="C41" s="17"/>
      <c r="D41" s="17"/>
      <c r="E41" s="17"/>
      <c r="F41" s="17"/>
      <c r="G41" s="17"/>
      <c r="H41" s="17"/>
      <c r="I41" s="17"/>
      <c r="J41" s="17"/>
    </row>
    <row r="42" spans="1:10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 spans="1:10">
      <c r="A43" s="17"/>
      <c r="B43" s="17"/>
      <c r="C43" s="17"/>
      <c r="D43" s="17"/>
      <c r="E43" s="17"/>
      <c r="F43" s="17"/>
      <c r="G43" s="17"/>
      <c r="H43" s="17"/>
      <c r="I43" s="17"/>
      <c r="J43" s="17"/>
    </row>
    <row r="44" spans="1:10">
      <c r="A44" s="17"/>
      <c r="B44" s="17"/>
      <c r="C44" s="17"/>
      <c r="D44" s="17"/>
      <c r="E44" s="17"/>
      <c r="F44" s="17"/>
      <c r="G44" s="17"/>
      <c r="H44" s="17"/>
      <c r="I44" s="17"/>
      <c r="J44" s="17"/>
    </row>
    <row r="45" spans="1:10">
      <c r="A45" s="17"/>
      <c r="B45" s="17"/>
      <c r="C45" s="17"/>
      <c r="D45" s="17"/>
      <c r="E45" s="17"/>
      <c r="F45" s="17"/>
      <c r="G45" s="17"/>
      <c r="H45" s="17"/>
      <c r="I45" s="17"/>
      <c r="J45" s="17"/>
    </row>
    <row r="46" spans="1:10">
      <c r="A46" s="17"/>
      <c r="B46" s="17"/>
      <c r="C46" s="17"/>
      <c r="D46" s="17"/>
      <c r="E46" s="17"/>
      <c r="F46" s="17"/>
      <c r="G46" s="17"/>
      <c r="H46" s="17"/>
      <c r="I46" s="17"/>
      <c r="J46" s="17"/>
    </row>
    <row r="47" spans="1:10">
      <c r="A47" s="17"/>
      <c r="B47" s="17"/>
      <c r="C47" s="17"/>
      <c r="D47" s="17"/>
      <c r="E47" s="17"/>
      <c r="F47" s="17"/>
      <c r="G47" s="17"/>
      <c r="H47" s="17"/>
      <c r="I47" s="17"/>
      <c r="J47" s="17"/>
    </row>
    <row r="48" spans="1:10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 spans="1:10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 spans="1:10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 spans="1:10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 spans="1:10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 spans="1:10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 spans="1:10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 spans="1:10">
      <c r="A58" s="17"/>
      <c r="B58" s="17"/>
      <c r="C58" s="17"/>
      <c r="D58" s="17"/>
      <c r="E58" s="17"/>
      <c r="F58" s="17"/>
      <c r="G58" s="17"/>
      <c r="H58" s="17"/>
      <c r="I58" s="17"/>
      <c r="J58" s="17"/>
    </row>
    <row r="59" spans="1:10">
      <c r="A59" s="17"/>
      <c r="B59" s="17"/>
      <c r="C59" s="17"/>
      <c r="D59" s="17"/>
      <c r="E59" s="17"/>
      <c r="F59" s="17"/>
      <c r="G59" s="17"/>
      <c r="H59" s="17"/>
      <c r="I59" s="17"/>
      <c r="J59" s="17"/>
    </row>
    <row r="60" spans="1:10">
      <c r="A60" s="17"/>
      <c r="B60" s="17"/>
      <c r="C60" s="17"/>
      <c r="D60" s="17"/>
      <c r="E60" s="17"/>
      <c r="F60" s="17"/>
      <c r="G60" s="17"/>
      <c r="H60" s="17"/>
      <c r="I60" s="17"/>
      <c r="J60" s="17"/>
    </row>
    <row r="61" spans="1:10">
      <c r="A61" s="17"/>
      <c r="B61" s="17"/>
      <c r="C61" s="17"/>
      <c r="D61" s="17"/>
      <c r="E61" s="17"/>
      <c r="F61" s="17"/>
      <c r="G61" s="17"/>
      <c r="H61" s="17"/>
      <c r="I61" s="17"/>
      <c r="J61" s="17"/>
    </row>
    <row r="62" spans="1:10">
      <c r="A62" s="17"/>
      <c r="B62" s="17"/>
      <c r="C62" s="17"/>
      <c r="D62" s="17"/>
      <c r="E62" s="17"/>
      <c r="F62" s="17"/>
      <c r="G62" s="17"/>
      <c r="H62" s="17"/>
      <c r="I62" s="17"/>
      <c r="J62" s="17"/>
    </row>
    <row r="63" spans="1:10">
      <c r="A63" s="17"/>
      <c r="B63" s="17"/>
      <c r="C63" s="17"/>
      <c r="D63" s="17"/>
      <c r="E63" s="17"/>
      <c r="F63" s="17"/>
      <c r="G63" s="17"/>
      <c r="H63" s="17"/>
      <c r="I63" s="17"/>
      <c r="J63" s="17"/>
    </row>
    <row r="64" spans="1:10">
      <c r="A64" s="17"/>
      <c r="B64" s="17"/>
      <c r="C64" s="17"/>
      <c r="D64" s="17"/>
      <c r="E64" s="17"/>
      <c r="F64" s="17"/>
      <c r="G64" s="17"/>
      <c r="H64" s="17"/>
      <c r="I64" s="17"/>
      <c r="J64" s="17"/>
    </row>
    <row r="65" spans="1:10">
      <c r="A65" s="17"/>
      <c r="B65" s="17"/>
      <c r="C65" s="17"/>
      <c r="D65" s="17"/>
      <c r="E65" s="17"/>
      <c r="F65" s="17"/>
      <c r="G65" s="17"/>
      <c r="H65" s="17"/>
      <c r="I65" s="17"/>
      <c r="J65" s="17"/>
    </row>
    <row r="66" spans="1:10">
      <c r="A66" s="17"/>
      <c r="B66" s="17"/>
      <c r="C66" s="17"/>
      <c r="D66" s="17"/>
      <c r="E66" s="17"/>
      <c r="F66" s="17"/>
      <c r="G66" s="17"/>
      <c r="H66" s="17"/>
      <c r="I66" s="17"/>
      <c r="J66" s="17"/>
    </row>
    <row r="67" spans="1:10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68" spans="1:10">
      <c r="A68" s="17"/>
      <c r="B68" s="17"/>
      <c r="C68" s="17"/>
      <c r="D68" s="17"/>
      <c r="E68" s="17"/>
      <c r="F68" s="17"/>
      <c r="G68" s="17"/>
      <c r="H68" s="17"/>
      <c r="I68" s="17"/>
      <c r="J68" s="17"/>
    </row>
    <row r="69" spans="1:10">
      <c r="A69" s="17"/>
      <c r="B69" s="17"/>
      <c r="C69" s="17"/>
      <c r="D69" s="17"/>
      <c r="E69" s="17"/>
      <c r="F69" s="17"/>
      <c r="G69" s="17"/>
      <c r="H69" s="17"/>
      <c r="I69" s="17"/>
      <c r="J69" s="17"/>
    </row>
    <row r="70" spans="1:10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 spans="1:10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2" spans="1:10">
      <c r="A72" s="17"/>
      <c r="B72" s="17"/>
      <c r="C72" s="17"/>
      <c r="D72" s="17"/>
      <c r="E72" s="17"/>
      <c r="F72" s="17"/>
      <c r="G72" s="17"/>
      <c r="H72" s="17"/>
      <c r="I72" s="17"/>
      <c r="J72" s="17"/>
    </row>
    <row r="73" spans="1:10">
      <c r="A73" s="17"/>
      <c r="B73" s="17"/>
      <c r="C73" s="17"/>
      <c r="D73" s="17"/>
      <c r="E73" s="17"/>
      <c r="F73" s="17"/>
      <c r="G73" s="17"/>
      <c r="H73" s="17"/>
      <c r="I73" s="17"/>
      <c r="J73" s="17"/>
    </row>
    <row r="74" spans="1:10">
      <c r="A74" s="17"/>
      <c r="B74" s="17"/>
      <c r="C74" s="17"/>
      <c r="D74" s="17"/>
      <c r="E74" s="17"/>
      <c r="F74" s="17"/>
      <c r="G74" s="17"/>
      <c r="H74" s="17"/>
      <c r="I74" s="17"/>
      <c r="J74" s="17"/>
    </row>
    <row r="75" spans="1:10">
      <c r="A75" s="17"/>
      <c r="B75" s="17"/>
      <c r="C75" s="17"/>
      <c r="D75" s="17"/>
      <c r="E75" s="17"/>
      <c r="F75" s="17"/>
      <c r="G75" s="17"/>
      <c r="H75" s="17"/>
      <c r="I75" s="17"/>
      <c r="J75" s="17"/>
    </row>
    <row r="76" spans="1:10">
      <c r="A76" s="17"/>
      <c r="B76" s="17"/>
      <c r="C76" s="17"/>
      <c r="D76" s="17"/>
      <c r="E76" s="17"/>
      <c r="F76" s="17"/>
      <c r="G76" s="17"/>
      <c r="H76" s="17"/>
      <c r="I76" s="17"/>
      <c r="J76" s="17"/>
    </row>
    <row r="77" spans="1:10">
      <c r="A77" s="17"/>
      <c r="B77" s="17"/>
      <c r="C77" s="17"/>
      <c r="D77" s="17"/>
      <c r="E77" s="17"/>
      <c r="F77" s="17"/>
      <c r="G77" s="17"/>
      <c r="H77" s="17"/>
      <c r="I77" s="17"/>
      <c r="J77" s="17"/>
    </row>
    <row r="78" spans="1:10">
      <c r="A78" s="17"/>
      <c r="B78" s="17"/>
      <c r="C78" s="17"/>
      <c r="D78" s="17"/>
      <c r="E78" s="17"/>
      <c r="F78" s="17"/>
      <c r="G78" s="17"/>
      <c r="H78" s="17"/>
      <c r="I78" s="17"/>
      <c r="J78" s="17"/>
    </row>
    <row r="79" spans="1:10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>
      <c r="A80" s="17"/>
      <c r="B80" s="17"/>
      <c r="C80" s="17"/>
      <c r="D80" s="17"/>
      <c r="E80" s="17"/>
      <c r="F80" s="17"/>
      <c r="G80" s="17"/>
      <c r="H80" s="17"/>
      <c r="I80" s="17"/>
      <c r="J80" s="17"/>
    </row>
    <row r="81" spans="1:10">
      <c r="A81" s="17"/>
      <c r="B81" s="17"/>
      <c r="C81" s="17"/>
      <c r="D81" s="17"/>
      <c r="E81" s="17"/>
      <c r="F81" s="17"/>
      <c r="G81" s="17"/>
      <c r="H81" s="17"/>
      <c r="I81" s="17"/>
      <c r="J81" s="17"/>
    </row>
    <row r="82" spans="1:10">
      <c r="A82" s="17"/>
      <c r="B82" s="17"/>
      <c r="C82" s="17"/>
      <c r="D82" s="17"/>
      <c r="E82" s="17"/>
      <c r="F82" s="17"/>
      <c r="G82" s="17"/>
      <c r="H82" s="17"/>
      <c r="I82" s="17"/>
      <c r="J82" s="17"/>
    </row>
    <row r="83" spans="1:10">
      <c r="A83" s="17"/>
      <c r="B83" s="17"/>
      <c r="C83" s="17"/>
      <c r="D83" s="17"/>
      <c r="E83" s="17"/>
      <c r="F83" s="17"/>
      <c r="G83" s="17"/>
      <c r="H83" s="17"/>
      <c r="I83" s="17"/>
      <c r="J83" s="17"/>
    </row>
    <row r="84" spans="1:10">
      <c r="A84" s="17"/>
      <c r="B84" s="17"/>
      <c r="C84" s="17"/>
      <c r="D84" s="17"/>
      <c r="E84" s="17"/>
      <c r="F84" s="17"/>
      <c r="G84" s="17"/>
      <c r="H84" s="17"/>
      <c r="I84" s="17"/>
      <c r="J84" s="17"/>
    </row>
    <row r="85" spans="1:10">
      <c r="A85" s="17"/>
      <c r="B85" s="17"/>
      <c r="C85" s="17"/>
      <c r="D85" s="17"/>
      <c r="E85" s="17"/>
      <c r="F85" s="17"/>
      <c r="G85" s="17"/>
      <c r="H85" s="17"/>
      <c r="I85" s="17"/>
      <c r="J85" s="17"/>
    </row>
    <row r="86" spans="1:10">
      <c r="A86" s="17"/>
      <c r="B86" s="17"/>
      <c r="C86" s="17"/>
      <c r="D86" s="17"/>
      <c r="E86" s="17"/>
      <c r="F86" s="17"/>
      <c r="G86" s="17"/>
      <c r="H86" s="17"/>
      <c r="I86" s="17"/>
      <c r="J86" s="17"/>
    </row>
  </sheetData>
  <mergeCells count="3">
    <mergeCell ref="A1:B1"/>
    <mergeCell ref="C10:I10"/>
    <mergeCell ref="B11:H1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Balace sheet</vt:lpstr>
      <vt:lpstr>Ammortization schedule</vt:lpstr>
      <vt:lpstr>Valuation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2017-02-28T13:09:42Z</dcterms:modified>
</cp:coreProperties>
</file>