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879" firstSheet="3" activeTab="13"/>
  </bookViews>
  <sheets>
    <sheet name="Income statement" sheetId="1" r:id="rId1"/>
    <sheet name="Balance sheet" sheetId="10" r:id="rId2"/>
    <sheet name="Interest &amp; principal" sheetId="11" r:id="rId3"/>
    <sheet name="Z score" sheetId="9" r:id="rId4"/>
    <sheet name="Business risk" sheetId="6" r:id="rId5"/>
    <sheet name="Financial risk" sheetId="7" r:id="rId6"/>
    <sheet name="CB_DATA_" sheetId="5" state="veryHidden" r:id="rId7"/>
    <sheet name="WACC" sheetId="12" r:id="rId8"/>
    <sheet name="Valuation Bond" sheetId="4" r:id="rId9"/>
    <sheet name="Valuation Bank loan" sheetId="13" r:id="rId10"/>
    <sheet name="Buyback valuation" sheetId="14" r:id="rId11"/>
    <sheet name="Balance sheet buy" sheetId="16" r:id="rId12"/>
    <sheet name="Income statement buy" sheetId="18" r:id="rId13"/>
    <sheet name="Convertible valuation" sheetId="15" r:id="rId14"/>
    <sheet name="Balance sheet conv" sheetId="17" r:id="rId15"/>
    <sheet name="Comparison ROE" sheetId="19" r:id="rId16"/>
  </sheets>
  <externalReferences>
    <externalReference r:id="rId17"/>
  </externalReferences>
  <definedNames>
    <definedName name="CB_2e3d55f923ac46429b13d082214c6f93" localSheetId="6" hidden="1">#N/A</definedName>
    <definedName name="CB_3f23a0b226a646eeafdeb11d775d7bb9" localSheetId="13" hidden="1">'Convertible valuation'!$H$28</definedName>
    <definedName name="CB_53a357a4b6f445c2b40d7de5e02433b2" localSheetId="6" hidden="1">#N/A</definedName>
    <definedName name="CB_57918554933048c6a17a009cc7973d2e" localSheetId="13" hidden="1">'Convertible valuation'!$C$23</definedName>
    <definedName name="CB_5e898d2f3c9348ff95b3363de1f22728" localSheetId="6" hidden="1">#N/A</definedName>
    <definedName name="CB_686e81f5c0a04b6e99ac34106740f489" localSheetId="6" hidden="1">#N/A</definedName>
    <definedName name="CB_73147f299fd54b5d856810ed00e7dff5" localSheetId="13" hidden="1">'Convertible valuation'!$C$17</definedName>
    <definedName name="CB_9dd7dcb9fb82465db51d991f7c8b1578" localSheetId="13" hidden="1">'Convertible valuation'!$C$45</definedName>
    <definedName name="CB_Block_00000000000000000000000000000000" localSheetId="10" hidden="1">"'7.0.0.0"</definedName>
    <definedName name="CB_Block_00000000000000000000000000000000" localSheetId="6" hidden="1">"'7.0.0.0"</definedName>
    <definedName name="CB_Block_00000000000000000000000000000000" localSheetId="13" hidden="1">"'7.0.0.0"</definedName>
    <definedName name="CB_Block_00000000000000000000000000000000" localSheetId="9" hidden="1">"'7.0.0.0"</definedName>
    <definedName name="CB_Block_00000000000000000000000000000000" localSheetId="8" hidden="1">"'7.0.0.0"</definedName>
    <definedName name="CB_Block_00000000000000000000000000000001" localSheetId="10" hidden="1">"'636251229920891466"</definedName>
    <definedName name="CB_Block_00000000000000000000000000000001" localSheetId="6" hidden="1">"'636251273645011270"</definedName>
    <definedName name="CB_Block_00000000000000000000000000000001" localSheetId="13" hidden="1">"'636251273645323271"</definedName>
    <definedName name="CB_Block_00000000000000000000000000000001" localSheetId="9" hidden="1">"'636251227250848748"</definedName>
    <definedName name="CB_Block_00000000000000000000000000000001" localSheetId="8" hidden="1">"'636251227516703954"</definedName>
    <definedName name="CB_Block_00000000000000000000000000000003" localSheetId="10" hidden="1">"'11.1.4512.0"</definedName>
    <definedName name="CB_Block_00000000000000000000000000000003" localSheetId="6" hidden="1">"'11.1.4512.0"</definedName>
    <definedName name="CB_Block_00000000000000000000000000000003" localSheetId="13" hidden="1">"'11.1.4512.0"</definedName>
    <definedName name="CB_Block_00000000000000000000000000000003" localSheetId="9" hidden="1">"'11.1.4512.0"</definedName>
    <definedName name="CB_Block_00000000000000000000000000000003" localSheetId="8" hidden="1">"'11.1.4512.0"</definedName>
    <definedName name="CB_BlockExt_00000000000000000000000000000003" localSheetId="10" hidden="1">"'11.1.2.4.600"</definedName>
    <definedName name="CB_BlockExt_00000000000000000000000000000003" localSheetId="6" hidden="1">"'11.1.2.4.600"</definedName>
    <definedName name="CB_BlockExt_00000000000000000000000000000003" localSheetId="13" hidden="1">"'11.1.2.4.600"</definedName>
    <definedName name="CB_BlockExt_00000000000000000000000000000003" localSheetId="9" hidden="1">"'11.1.2.4.600"</definedName>
    <definedName name="CB_BlockExt_00000000000000000000000000000003" localSheetId="8" hidden="1">"'11.1.2.4.600"</definedName>
    <definedName name="CB_c09c619f3bcf4a7c8704debb30406c93" localSheetId="13" hidden="1">'Convertible valuation'!$H$33</definedName>
    <definedName name="CB_d210d99e48d64bd099d6d2c62361d347" localSheetId="6" hidden="1">#N/A</definedName>
    <definedName name="CB_eab670eeeb534d0898a40de79ce99c36" localSheetId="6" hidden="1">#N/A</definedName>
    <definedName name="CB_f0a62031be6942cdb4b38facb118e795" localSheetId="13" hidden="1">'Convertible valuation'!$H$29</definedName>
    <definedName name="CBWorkbookPriority" localSheetId="6" hidden="1">-743121734323465</definedName>
    <definedName name="CBx_4a0d791738ed45acb59a42effc275757" localSheetId="6" hidden="1">"'CB_DATA_'!$A$1"</definedName>
    <definedName name="CBx_89a286d2bf784472b7b0aad71d29c0eb" localSheetId="6" hidden="1">"'Valuation Bond'!$A$1"</definedName>
    <definedName name="CBx_94b7c8e9e6eb45f2919ecf093f68d923" localSheetId="6" hidden="1">"'Valuation Bank loan'!$A$1"</definedName>
    <definedName name="CBx_bd123e073bb045d18a60c9e2e1bfbea0" localSheetId="6" hidden="1">"'Buyback valuation'!$A$1"</definedName>
    <definedName name="CBx_fc7d2a45af7643559e025f01195ce7e3" localSheetId="6" hidden="1">"'Convertible valuation'!$A$1"</definedName>
    <definedName name="CBx_Sheet_Guid" localSheetId="10" hidden="1">"'bd123e07-3bb0-45d1-8a60-c9e2e1bfbea0"</definedName>
    <definedName name="CBx_Sheet_Guid" localSheetId="6" hidden="1">"'4a0d7917-38ed-45ac-b59a-42effc275757"</definedName>
    <definedName name="CBx_Sheet_Guid" localSheetId="13" hidden="1">"'fc7d2a45-af76-4355-9e02-5f01195ce7e3"</definedName>
    <definedName name="CBx_Sheet_Guid" localSheetId="9" hidden="1">"'94b7c8e9-e6eb-45f2-919e-cf093f68d923"</definedName>
    <definedName name="CBx_Sheet_Guid" localSheetId="8" hidden="1">"'89a286d2-bf78-4472-b7b0-aad71d29c0eb"</definedName>
    <definedName name="CBx_SheetRef" localSheetId="10" hidden="1">CB_DATA_!$D$14</definedName>
    <definedName name="CBx_SheetRef" localSheetId="6" hidden="1">CB_DATA_!$A$14</definedName>
    <definedName name="CBx_SheetRef" localSheetId="13" hidden="1">CB_DATA_!$E$14</definedName>
    <definedName name="CBx_SheetRef" localSheetId="9" hidden="1">CB_DATA_!$C$14</definedName>
    <definedName name="CBx_SheetRef" localSheetId="8" hidden="1">CB_DATA_!$B$14</definedName>
    <definedName name="CBx_StorageType" localSheetId="10" hidden="1">2</definedName>
    <definedName name="CBx_StorageType" localSheetId="6" hidden="1">2</definedName>
    <definedName name="CBx_StorageType" localSheetId="13" hidden="1">2</definedName>
    <definedName name="CBx_StorageType" localSheetId="9" hidden="1">2</definedName>
    <definedName name="CBx_StorageType" localSheetId="8" hidden="1">2</definedName>
    <definedName name="OLE_LINK1" localSheetId="1">'Balance sheet'!$B$4</definedName>
  </definedNames>
  <calcPr calcId="124519" concurrentCalc="0"/>
</workbook>
</file>

<file path=xl/calcChain.xml><?xml version="1.0" encoding="utf-8"?>
<calcChain xmlns="http://schemas.openxmlformats.org/spreadsheetml/2006/main">
  <c r="C47" i="14"/>
  <c r="C44" i="15"/>
  <c r="E11" i="5"/>
  <c r="D11"/>
  <c r="N18" i="12"/>
  <c r="F18"/>
  <c r="C11" i="5"/>
  <c r="D44" i="1"/>
  <c r="J39" i="15"/>
  <c r="K40"/>
  <c r="H39"/>
  <c r="H40"/>
  <c r="E39"/>
  <c r="E40"/>
  <c r="F39"/>
  <c r="F40"/>
  <c r="I39"/>
  <c r="I40"/>
  <c r="J40"/>
  <c r="C43"/>
  <c r="C45"/>
  <c r="K7" i="19" l="1"/>
  <c r="K40" i="14"/>
  <c r="H39"/>
  <c r="H40"/>
  <c r="C43"/>
  <c r="C48"/>
  <c r="K6" i="19"/>
  <c r="K40" i="13"/>
  <c r="H39"/>
  <c r="H40"/>
  <c r="C43"/>
  <c r="C48"/>
  <c r="K5" i="19"/>
  <c r="D25" i="4"/>
  <c r="E25"/>
  <c r="G24"/>
  <c r="G25"/>
  <c r="H25"/>
  <c r="I25"/>
  <c r="J25"/>
  <c r="B28"/>
  <c r="B33"/>
  <c r="K4" i="19"/>
  <c r="G4" i="15"/>
  <c r="H4"/>
  <c r="I4"/>
  <c r="J4"/>
  <c r="K4"/>
  <c r="K6"/>
  <c r="K8"/>
  <c r="K9"/>
  <c r="K11"/>
  <c r="G8"/>
  <c r="G9"/>
  <c r="H6"/>
  <c r="H8"/>
  <c r="H9"/>
  <c r="H11"/>
  <c r="H3" i="17"/>
  <c r="H2"/>
  <c r="J32"/>
  <c r="K32"/>
  <c r="I32"/>
  <c r="H32"/>
  <c r="H26"/>
  <c r="I26"/>
  <c r="J26"/>
  <c r="K26"/>
  <c r="G26" i="16"/>
  <c r="G32"/>
  <c r="H26"/>
  <c r="I26"/>
  <c r="J26"/>
  <c r="D13" i="13"/>
  <c r="E13"/>
  <c r="F13"/>
  <c r="G13"/>
  <c r="H13"/>
  <c r="I13"/>
  <c r="J13"/>
  <c r="K13"/>
  <c r="C13"/>
  <c r="K26" i="16"/>
  <c r="K28"/>
  <c r="H41"/>
  <c r="I41"/>
  <c r="J41"/>
  <c r="K41"/>
  <c r="G41"/>
  <c r="G31"/>
  <c r="G12"/>
  <c r="G31" i="10"/>
  <c r="G32"/>
  <c r="G26"/>
  <c r="H31"/>
  <c r="G21"/>
  <c r="G7"/>
  <c r="H3"/>
  <c r="H21"/>
  <c r="H7"/>
  <c r="H2"/>
  <c r="H32"/>
  <c r="H26"/>
  <c r="I31"/>
  <c r="I3"/>
  <c r="I21"/>
  <c r="I7"/>
  <c r="I2"/>
  <c r="I32"/>
  <c r="I26"/>
  <c r="J31"/>
  <c r="J3"/>
  <c r="J21"/>
  <c r="J7"/>
  <c r="J2"/>
  <c r="J32"/>
  <c r="J26"/>
  <c r="K31"/>
  <c r="K3"/>
  <c r="K21"/>
  <c r="K7"/>
  <c r="K2"/>
  <c r="K32"/>
  <c r="K26"/>
  <c r="K41"/>
  <c r="J41"/>
  <c r="I41"/>
  <c r="H41"/>
  <c r="G41"/>
  <c r="F41"/>
  <c r="E41"/>
  <c r="D41"/>
  <c r="C41"/>
  <c r="G3" i="16"/>
  <c r="G21"/>
  <c r="G7"/>
  <c r="H3"/>
  <c r="H21"/>
  <c r="H7"/>
  <c r="I3"/>
  <c r="I21"/>
  <c r="I7"/>
  <c r="J3"/>
  <c r="J21"/>
  <c r="J7"/>
  <c r="K3"/>
  <c r="E39" i="14"/>
  <c r="E40"/>
  <c r="F39"/>
  <c r="F40"/>
  <c r="I39"/>
  <c r="I40"/>
  <c r="J39"/>
  <c r="J40"/>
  <c r="I6" i="15"/>
  <c r="I8"/>
  <c r="I9"/>
  <c r="I11"/>
  <c r="I3" i="17"/>
  <c r="I2"/>
  <c r="J6" i="15"/>
  <c r="J8"/>
  <c r="J9"/>
  <c r="J11"/>
  <c r="J3" i="17"/>
  <c r="J2"/>
  <c r="K3"/>
  <c r="K2"/>
  <c r="K28"/>
  <c r="J28"/>
  <c r="D40"/>
  <c r="E40"/>
  <c r="F40"/>
  <c r="G11" i="15"/>
  <c r="G40" i="17"/>
  <c r="H40"/>
  <c r="I40"/>
  <c r="J40"/>
  <c r="K40"/>
  <c r="C40"/>
  <c r="G3"/>
  <c r="H31" i="16"/>
  <c r="H32"/>
  <c r="H40"/>
  <c r="I31"/>
  <c r="I32"/>
  <c r="I40"/>
  <c r="J31"/>
  <c r="J32"/>
  <c r="J40"/>
  <c r="K31"/>
  <c r="K32"/>
  <c r="K40"/>
  <c r="G40"/>
  <c r="I24"/>
  <c r="J24"/>
  <c r="K24"/>
  <c r="G28"/>
  <c r="H28"/>
  <c r="I28"/>
  <c r="J28"/>
  <c r="J7" i="18"/>
  <c r="K7"/>
  <c r="L7"/>
  <c r="I7"/>
  <c r="G44"/>
  <c r="F44"/>
  <c r="E44"/>
  <c r="D44"/>
  <c r="H7"/>
  <c r="L8"/>
  <c r="L9"/>
  <c r="L11"/>
  <c r="L15"/>
  <c r="L16"/>
  <c r="L18"/>
  <c r="K8"/>
  <c r="K9"/>
  <c r="K11"/>
  <c r="K15"/>
  <c r="K16"/>
  <c r="K18"/>
  <c r="J8"/>
  <c r="J9"/>
  <c r="J11"/>
  <c r="J15"/>
  <c r="J16"/>
  <c r="J18"/>
  <c r="I8"/>
  <c r="I9"/>
  <c r="I11"/>
  <c r="I15"/>
  <c r="I16"/>
  <c r="I18"/>
  <c r="H8"/>
  <c r="H9"/>
  <c r="H11"/>
  <c r="H15"/>
  <c r="H16"/>
  <c r="H18"/>
  <c r="G31" i="17"/>
  <c r="G32"/>
  <c r="G26"/>
  <c r="H31"/>
  <c r="G21"/>
  <c r="G7"/>
  <c r="H21"/>
  <c r="H7"/>
  <c r="I31"/>
  <c r="I21"/>
  <c r="I7"/>
  <c r="J31"/>
  <c r="J21"/>
  <c r="J7"/>
  <c r="K31"/>
  <c r="K21"/>
  <c r="K7"/>
  <c r="G38"/>
  <c r="H38"/>
  <c r="I38"/>
  <c r="J38"/>
  <c r="K38"/>
  <c r="G39"/>
  <c r="G12"/>
  <c r="H12"/>
  <c r="I12"/>
  <c r="J12"/>
  <c r="K12"/>
  <c r="K35"/>
  <c r="K37"/>
  <c r="J35"/>
  <c r="J37"/>
  <c r="I35"/>
  <c r="I37"/>
  <c r="H35"/>
  <c r="H37"/>
  <c r="G35"/>
  <c r="G37"/>
  <c r="K36"/>
  <c r="J36"/>
  <c r="I36"/>
  <c r="H36"/>
  <c r="G2"/>
  <c r="G33"/>
  <c r="I28"/>
  <c r="H28"/>
  <c r="G28"/>
  <c r="K11"/>
  <c r="K16"/>
  <c r="J11"/>
  <c r="J16"/>
  <c r="I11"/>
  <c r="I16"/>
  <c r="H11"/>
  <c r="H16"/>
  <c r="G11"/>
  <c r="G16"/>
  <c r="G38" i="16"/>
  <c r="H2"/>
  <c r="H38"/>
  <c r="I2"/>
  <c r="I38"/>
  <c r="J2"/>
  <c r="J38"/>
  <c r="K21"/>
  <c r="K7"/>
  <c r="K2"/>
  <c r="K38"/>
  <c r="G39"/>
  <c r="H12"/>
  <c r="I12"/>
  <c r="J12"/>
  <c r="K12"/>
  <c r="K35"/>
  <c r="K37"/>
  <c r="J35"/>
  <c r="J37"/>
  <c r="I35"/>
  <c r="I37"/>
  <c r="H35"/>
  <c r="H37"/>
  <c r="G35"/>
  <c r="G37"/>
  <c r="K36"/>
  <c r="J36"/>
  <c r="I36"/>
  <c r="H36"/>
  <c r="K33"/>
  <c r="J33"/>
  <c r="I33"/>
  <c r="H33"/>
  <c r="G2"/>
  <c r="G33"/>
  <c r="K11"/>
  <c r="K16"/>
  <c r="J11"/>
  <c r="J16"/>
  <c r="I11"/>
  <c r="I16"/>
  <c r="H11"/>
  <c r="H16"/>
  <c r="G11"/>
  <c r="G16"/>
  <c r="K6" i="14"/>
  <c r="K8"/>
  <c r="K9"/>
  <c r="J6"/>
  <c r="J8"/>
  <c r="J9"/>
  <c r="I6"/>
  <c r="I8"/>
  <c r="I9"/>
  <c r="H6"/>
  <c r="H8"/>
  <c r="H9"/>
  <c r="G8"/>
  <c r="G9"/>
  <c r="K36" i="10"/>
  <c r="K14" i="12"/>
  <c r="K10"/>
  <c r="L14"/>
  <c r="L10"/>
  <c r="M14"/>
  <c r="M10"/>
  <c r="N14"/>
  <c r="N10"/>
  <c r="O14"/>
  <c r="O10"/>
  <c r="P14"/>
  <c r="P10"/>
  <c r="K11"/>
  <c r="L11"/>
  <c r="M11"/>
  <c r="N11"/>
  <c r="O11"/>
  <c r="P11"/>
  <c r="K9"/>
  <c r="K7"/>
  <c r="K16"/>
  <c r="L16"/>
  <c r="M16"/>
  <c r="N16"/>
  <c r="O16"/>
  <c r="P16"/>
  <c r="P9"/>
  <c r="P7"/>
  <c r="O9"/>
  <c r="O7"/>
  <c r="N9"/>
  <c r="N7"/>
  <c r="M9"/>
  <c r="M7"/>
  <c r="L9"/>
  <c r="L7"/>
  <c r="E39" i="13"/>
  <c r="E40"/>
  <c r="F39"/>
  <c r="F40"/>
  <c r="I39"/>
  <c r="I40"/>
  <c r="J39"/>
  <c r="J40"/>
  <c r="K6"/>
  <c r="J6"/>
  <c r="I6"/>
  <c r="H6"/>
  <c r="D3" i="11"/>
  <c r="D5"/>
  <c r="E3"/>
  <c r="E5"/>
  <c r="F3"/>
  <c r="F5"/>
  <c r="C3"/>
  <c r="C5"/>
  <c r="K8" i="13"/>
  <c r="K9"/>
  <c r="K11"/>
  <c r="J8"/>
  <c r="J9"/>
  <c r="J11"/>
  <c r="I8"/>
  <c r="I9"/>
  <c r="I11"/>
  <c r="H8"/>
  <c r="H9"/>
  <c r="H11"/>
  <c r="G8"/>
  <c r="G9"/>
  <c r="G11"/>
  <c r="C13" i="12"/>
  <c r="C14"/>
  <c r="C10"/>
  <c r="C11"/>
  <c r="C16"/>
  <c r="G28" i="10"/>
  <c r="D13" i="12"/>
  <c r="D14"/>
  <c r="D10"/>
  <c r="D11"/>
  <c r="D16"/>
  <c r="E12"/>
  <c r="H28" i="10"/>
  <c r="E13" i="12"/>
  <c r="E14"/>
  <c r="E10"/>
  <c r="E11"/>
  <c r="E16"/>
  <c r="F12"/>
  <c r="I28" i="10"/>
  <c r="F13" i="12"/>
  <c r="F14"/>
  <c r="F10"/>
  <c r="F11"/>
  <c r="F16"/>
  <c r="G12"/>
  <c r="J28" i="10"/>
  <c r="G13" i="12"/>
  <c r="G14"/>
  <c r="G10"/>
  <c r="G11"/>
  <c r="G16"/>
  <c r="H12"/>
  <c r="K28" i="10"/>
  <c r="H13" i="12"/>
  <c r="H14"/>
  <c r="H10"/>
  <c r="H11"/>
  <c r="H16"/>
  <c r="C9"/>
  <c r="L4" i="9"/>
  <c r="L5"/>
  <c r="L6"/>
  <c r="L7"/>
  <c r="L8"/>
  <c r="L10"/>
  <c r="L17"/>
  <c r="L18"/>
  <c r="L20"/>
  <c r="L25"/>
  <c r="L26"/>
  <c r="L27"/>
  <c r="L29"/>
  <c r="L31"/>
  <c r="L32"/>
  <c r="L34"/>
  <c r="L37"/>
  <c r="K4"/>
  <c r="K5"/>
  <c r="K6"/>
  <c r="K7"/>
  <c r="K8"/>
  <c r="K10"/>
  <c r="K17"/>
  <c r="K18"/>
  <c r="K20"/>
  <c r="K25"/>
  <c r="K26"/>
  <c r="K27"/>
  <c r="K29"/>
  <c r="K31"/>
  <c r="K32"/>
  <c r="K34"/>
  <c r="K37"/>
  <c r="J4"/>
  <c r="J5"/>
  <c r="J6"/>
  <c r="J7"/>
  <c r="J8"/>
  <c r="J10"/>
  <c r="J17"/>
  <c r="J18"/>
  <c r="J20"/>
  <c r="J25"/>
  <c r="J26"/>
  <c r="J27"/>
  <c r="J29"/>
  <c r="J31"/>
  <c r="J32"/>
  <c r="J34"/>
  <c r="J37"/>
  <c r="I4"/>
  <c r="I5"/>
  <c r="I6"/>
  <c r="I7"/>
  <c r="I8"/>
  <c r="I10"/>
  <c r="I17"/>
  <c r="I18"/>
  <c r="I20"/>
  <c r="I25"/>
  <c r="I26"/>
  <c r="I27"/>
  <c r="I29"/>
  <c r="I31"/>
  <c r="I32"/>
  <c r="I34"/>
  <c r="I37"/>
  <c r="H4"/>
  <c r="H5"/>
  <c r="H6"/>
  <c r="H7"/>
  <c r="H8"/>
  <c r="H10"/>
  <c r="H17"/>
  <c r="H18"/>
  <c r="H20"/>
  <c r="H25"/>
  <c r="H27"/>
  <c r="H29"/>
  <c r="H31"/>
  <c r="H32"/>
  <c r="H34"/>
  <c r="H37"/>
  <c r="G4"/>
  <c r="G5"/>
  <c r="G6"/>
  <c r="G7"/>
  <c r="G8"/>
  <c r="G10"/>
  <c r="G12"/>
  <c r="G13"/>
  <c r="G15"/>
  <c r="G17"/>
  <c r="G18"/>
  <c r="G20"/>
  <c r="G25"/>
  <c r="G27"/>
  <c r="G29"/>
  <c r="G31"/>
  <c r="G32"/>
  <c r="G34"/>
  <c r="G37"/>
  <c r="F4"/>
  <c r="F5"/>
  <c r="F6"/>
  <c r="F7"/>
  <c r="F8"/>
  <c r="F10"/>
  <c r="F12"/>
  <c r="F13"/>
  <c r="F15"/>
  <c r="F17"/>
  <c r="F18"/>
  <c r="F20"/>
  <c r="F25"/>
  <c r="F27"/>
  <c r="F29"/>
  <c r="F31"/>
  <c r="F32"/>
  <c r="F34"/>
  <c r="F37"/>
  <c r="E4"/>
  <c r="E5"/>
  <c r="E6"/>
  <c r="E7"/>
  <c r="E8"/>
  <c r="E10"/>
  <c r="E12"/>
  <c r="E13"/>
  <c r="E15"/>
  <c r="E17"/>
  <c r="E18"/>
  <c r="E20"/>
  <c r="E25"/>
  <c r="E27"/>
  <c r="E29"/>
  <c r="E31"/>
  <c r="E32"/>
  <c r="E34"/>
  <c r="E37"/>
  <c r="D4"/>
  <c r="D5"/>
  <c r="D6"/>
  <c r="D7"/>
  <c r="D8"/>
  <c r="D10"/>
  <c r="D13"/>
  <c r="D15"/>
  <c r="D17"/>
  <c r="D18"/>
  <c r="D20"/>
  <c r="D25"/>
  <c r="D27"/>
  <c r="D29"/>
  <c r="D31"/>
  <c r="D32"/>
  <c r="D34"/>
  <c r="D37"/>
  <c r="D24" i="4"/>
  <c r="E24"/>
  <c r="H24"/>
  <c r="I24"/>
  <c r="G8" i="11"/>
  <c r="F8"/>
  <c r="E8"/>
  <c r="D8"/>
  <c r="G38" i="10"/>
  <c r="H38"/>
  <c r="I38"/>
  <c r="J38"/>
  <c r="K38"/>
  <c r="G39"/>
  <c r="G12"/>
  <c r="G35"/>
  <c r="G37"/>
  <c r="H12"/>
  <c r="H35"/>
  <c r="H37"/>
  <c r="I12"/>
  <c r="I35"/>
  <c r="I37"/>
  <c r="J12"/>
  <c r="J35"/>
  <c r="J37"/>
  <c r="K12"/>
  <c r="K35"/>
  <c r="K37"/>
  <c r="D9" i="12"/>
  <c r="E9"/>
  <c r="F9"/>
  <c r="G9"/>
  <c r="H9"/>
  <c r="G11" i="10"/>
  <c r="G16"/>
  <c r="H11"/>
  <c r="H16"/>
  <c r="I11"/>
  <c r="I16"/>
  <c r="J11"/>
  <c r="J16"/>
  <c r="K11"/>
  <c r="K16"/>
  <c r="G3"/>
  <c r="L11" i="1"/>
  <c r="K11"/>
  <c r="J11"/>
  <c r="I11"/>
  <c r="H11"/>
  <c r="I9"/>
  <c r="J9"/>
  <c r="K9"/>
  <c r="L9"/>
  <c r="H9"/>
  <c r="I13" i="6"/>
  <c r="J13"/>
  <c r="K13"/>
  <c r="L13"/>
  <c r="H13"/>
  <c r="I6"/>
  <c r="J6"/>
  <c r="K6"/>
  <c r="L6"/>
  <c r="H6"/>
  <c r="I36" i="10"/>
  <c r="J36"/>
  <c r="H36"/>
  <c r="J6" i="7"/>
  <c r="K6"/>
  <c r="L6"/>
  <c r="I6"/>
  <c r="I33" i="10"/>
  <c r="J33"/>
  <c r="K33"/>
  <c r="H33"/>
  <c r="G2"/>
  <c r="G33"/>
  <c r="I8" i="1"/>
  <c r="J8"/>
  <c r="K8"/>
  <c r="L8"/>
  <c r="H8"/>
  <c r="I15"/>
  <c r="I16"/>
  <c r="J15"/>
  <c r="J16"/>
  <c r="K15"/>
  <c r="K16"/>
  <c r="L15"/>
  <c r="L16"/>
  <c r="H15"/>
  <c r="H16"/>
  <c r="I18"/>
  <c r="J18"/>
  <c r="K18"/>
  <c r="L18"/>
  <c r="H18"/>
  <c r="I24" i="10"/>
  <c r="D4" i="11"/>
  <c r="J24" i="10"/>
  <c r="E4" i="11"/>
  <c r="K24" i="10"/>
  <c r="F4" i="11"/>
  <c r="C4"/>
  <c r="D7" i="12"/>
  <c r="E7"/>
  <c r="F7"/>
  <c r="G7"/>
  <c r="H7"/>
  <c r="C7"/>
  <c r="E44" i="1"/>
  <c r="F44"/>
  <c r="G44"/>
  <c r="H7"/>
  <c r="I7"/>
  <c r="J7"/>
  <c r="K7"/>
  <c r="L7"/>
  <c r="G6" i="6"/>
  <c r="G13"/>
  <c r="H20"/>
  <c r="H5" i="7"/>
  <c r="H15"/>
  <c r="H16"/>
  <c r="I20" i="6"/>
  <c r="I5" i="7"/>
  <c r="I15"/>
  <c r="I16"/>
  <c r="I17"/>
  <c r="I23"/>
  <c r="J20" i="6"/>
  <c r="J5" i="7"/>
  <c r="J15"/>
  <c r="J16"/>
  <c r="J17"/>
  <c r="J23"/>
  <c r="K20" i="6"/>
  <c r="K5" i="7"/>
  <c r="K15"/>
  <c r="K16"/>
  <c r="K17"/>
  <c r="K23"/>
  <c r="L20" i="6"/>
  <c r="L5" i="7"/>
  <c r="L15"/>
  <c r="L16"/>
  <c r="L17"/>
  <c r="L23"/>
  <c r="F14"/>
  <c r="F22"/>
  <c r="G14"/>
  <c r="G22"/>
  <c r="H14"/>
  <c r="H22"/>
  <c r="I14"/>
  <c r="I22"/>
  <c r="J14"/>
  <c r="J22"/>
  <c r="K14"/>
  <c r="K22"/>
  <c r="L14"/>
  <c r="L22"/>
  <c r="G16"/>
  <c r="E13" i="6"/>
  <c r="E20"/>
  <c r="E5" i="7"/>
  <c r="E15"/>
  <c r="F13" i="6"/>
  <c r="F20"/>
  <c r="F5" i="7"/>
  <c r="F15"/>
  <c r="G20" i="6"/>
  <c r="G5" i="7"/>
  <c r="G15"/>
  <c r="I7"/>
  <c r="I11"/>
  <c r="J7"/>
  <c r="J11"/>
  <c r="K7"/>
  <c r="K11"/>
  <c r="L7"/>
  <c r="L11"/>
  <c r="H10"/>
  <c r="I10"/>
  <c r="J10"/>
  <c r="K10"/>
  <c r="L10"/>
  <c r="D13" i="6"/>
  <c r="D20"/>
  <c r="D5" i="7"/>
  <c r="H21" i="6"/>
  <c r="H22"/>
  <c r="G22"/>
  <c r="H23"/>
  <c r="H24"/>
  <c r="H28"/>
  <c r="I21"/>
  <c r="I22"/>
  <c r="I23"/>
  <c r="I24"/>
  <c r="I28"/>
  <c r="J21"/>
  <c r="J22"/>
  <c r="J23"/>
  <c r="J24"/>
  <c r="J28"/>
  <c r="K21"/>
  <c r="K22"/>
  <c r="K23"/>
  <c r="K24"/>
  <c r="K28"/>
  <c r="L21"/>
  <c r="L22"/>
  <c r="L23"/>
  <c r="L24"/>
  <c r="L28"/>
  <c r="F21"/>
  <c r="F6"/>
  <c r="F22"/>
  <c r="E6"/>
  <c r="E22"/>
  <c r="F23"/>
  <c r="F24"/>
  <c r="F28"/>
  <c r="G21"/>
  <c r="G23"/>
  <c r="G24"/>
  <c r="G28"/>
  <c r="G27"/>
  <c r="H27"/>
  <c r="I27"/>
  <c r="J27"/>
  <c r="K27"/>
  <c r="L27"/>
  <c r="D6"/>
  <c r="D22"/>
  <c r="H19"/>
  <c r="I19"/>
  <c r="J19"/>
  <c r="K19"/>
  <c r="L19"/>
  <c r="D15"/>
  <c r="D7"/>
  <c r="D8"/>
  <c r="D9"/>
  <c r="D14"/>
  <c r="H12"/>
  <c r="I12"/>
  <c r="J12"/>
  <c r="K12"/>
  <c r="L12"/>
  <c r="E21"/>
  <c r="E23"/>
  <c r="E24"/>
  <c r="E28"/>
  <c r="E16" i="7"/>
  <c r="F16"/>
  <c r="D15"/>
  <c r="D16"/>
  <c r="G10"/>
  <c r="D16" i="6"/>
  <c r="G12"/>
  <c r="G19"/>
  <c r="E14" i="7"/>
  <c r="E22"/>
  <c r="D14"/>
  <c r="D22"/>
  <c r="F10"/>
  <c r="E10"/>
  <c r="D10"/>
  <c r="F12" i="6"/>
  <c r="F19"/>
  <c r="F27"/>
  <c r="E12"/>
  <c r="E19"/>
  <c r="E27"/>
  <c r="D12"/>
  <c r="D19"/>
  <c r="D27"/>
  <c r="B11" i="5"/>
  <c r="A11"/>
</calcChain>
</file>

<file path=xl/sharedStrings.xml><?xml version="1.0" encoding="utf-8"?>
<sst xmlns="http://schemas.openxmlformats.org/spreadsheetml/2006/main" count="832" uniqueCount="297">
  <si>
    <t>Cost of Goods Sold</t>
  </si>
  <si>
    <t>Gross Profit</t>
  </si>
  <si>
    <t>Depreciation</t>
  </si>
  <si>
    <t>EBIT</t>
  </si>
  <si>
    <t>Accounts Receivable</t>
  </si>
  <si>
    <t>Total Assets</t>
  </si>
  <si>
    <t>Current Liabilities</t>
  </si>
  <si>
    <t>Interest</t>
  </si>
  <si>
    <t>Assumptions</t>
  </si>
  <si>
    <t>Cost of capital</t>
  </si>
  <si>
    <t>Depreciation (%of sales)</t>
  </si>
  <si>
    <t>Tax Rate</t>
  </si>
  <si>
    <t>COGS(%of sales)</t>
  </si>
  <si>
    <t>Sales growth</t>
  </si>
  <si>
    <t>Particulars</t>
  </si>
  <si>
    <t>Estimated year</t>
  </si>
  <si>
    <t>Equity Value</t>
  </si>
  <si>
    <t>TV</t>
  </si>
  <si>
    <t>PV of CF</t>
  </si>
  <si>
    <t>Terminal growth rate</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</si>
  <si>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</si>
  <si>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</si>
  <si>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</si>
  <si>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</si>
  <si>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</si>
  <si>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</si>
  <si>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</si>
  <si>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</si>
  <si>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</si>
  <si>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</si>
  <si>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</si>
  <si>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</si>
  <si>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4a0d7917-38ed-45ac-b59a-42effc275757</t>
  </si>
  <si>
    <t>CB_Block_0</t>
  </si>
  <si>
    <t>㜸〱敤㕣㕢㙣ㅣ㔷ㄹ摥㌳摥㔹敦慣敤搸㡤搳㑢㑡㘹つ愵戴搴挱㡤搳㠶㔲㈰〴㕦㥡㑢㜱㘲㌷㜶㔲㄰㔴㥢昱敥㤹㜸㥡㥤ㄹ㜷㘶搶㠹㑢愵㔶搰㜲ㄱ㌷㠹㥢㈸㤴㡢㉡㠴㠴㤰戸〸〹㈸㤷〷㈴㈴㄰㉡ㄲて敤〳ㄲて愵㐲昰㐰㠵㠲㜸改〳㔲昹扥㌳㌳扢戳扢摥戱扢㙤挱㐵㍥改晥㍥㜳㙥㜳捥昹慦攷晦捦㌴㈷㜲戹摣㡢㐸晣换㤴㘷收㥡挵昵㈰㤴捥挴㡣㔷慢挹㑡㘸㝢㙥㌰㌱攵晢收晡㥣ㅤ㠴㝤㘸㔰㈸摢愸て昴㜲㘰㍦㈰㡢攵㌵改〷㘸愴攷㜲挵愲愱愱㥥㠳昰㌷㤲㍣ㄸ散㌵㤸〷㔸㥡㤹㥥㕦扥て愳㉥㠶㥥㉦昷㡤㥤㠹晡ㅥ㥡㥣㥣㤸㥣戸敤攰攴㠱㠹晤晢挶㘶敡戵戰敥换㐳慥慣㠷扥㔹摢㌷戶㔰㕦慥搹㤵昷捡昵㈵敦扣㜴て挹攵晤户㉥㥢户扤㝤昲戶㠳〷慤㍢敥㜸晢㈰㕥㥤㍢㌹㌳扤攰㑢㉢㜸㠵挶搴㌹攵摢㘶㘵挵收摡愴昴㙤昷摣挴捣㌴晥㑢捤ㅦ㑦户㑦㉣慥㐸ㄹ昲搵搲㤷㙥㐵〶〶㍡づ㌸㔳㐱㔰㜷㔶戹㜹㠶㜳〴㑢慤㤸㐱愸㍢㌳戲㔶㌳㥣㘴搴愲㌳㡦扤慢㤹敢㠳捥愲㜴〳㍢戴搷散㜰扤攰㉣㘱愰敡㤰㜳㍡㤰愷㑣昷㥣㍣㘹㍡㔲㜷㡥搶敤㙡㍥㑡戹扥ㅢ㤳㈱搲ㄳ㔳换㥦㤸ち㥣㤹ㄵ搳㔷㌳ち戸㌱ㄹ㙤㡦昸㤵搶戶搷㜷ㅦ㤷㔳㔷㙦攰㤸㌷㜴㙦㠷㥡㌳愶摦㘸㌹摥扤㘵扣昸搶ㄹ摣搲扤㝤㙡㡦㕡晢扣愵㝢ㅦ戵㤵慤慤挵㐰㑣摦㙡㐷戱ㄸ愳㐰搰㑦㔰㈴㈰〲㡤ㄲ挱〰挱㈰㠰挸晦ぢ㕣㤲敥挸㉡慤㙣㙡攵㘵慤㕣搱捡㔵慤㉣戵戲愵㤵捦㘹攵ㄵ慤㙣㙢攵晢戴昲㜹戴㐹㔲戱扦㕦㡢搳愵搳㍦㝡收挵敦㝥㝦晡㤷挵㝦ㅥ㝤㝥摦搷ㅥㅡ摣㠵㐶㜷挷㤳㥡昵捤ぢ㈰戵㈶ㄵ㠳㈳昸㙦㜳慥〰㔳㔸〷慤摢慤挹挹敡挱晤收慤愶捥㘵㘵㈰扦㠵㔰㐶搰㜶搰扡挷㜶慢摥〵㠵扢㙢愶捤㐰㌶㌷㙥㍣慥㥢昶敡㙥㌵㜸摤挶㤵㡢愱ㄹ捡慢摢敢㥡㠳㜴㜴㕢〴㕢挹㐰扤敦摡昶㙥㘷捣㕡㕤㑥㕤戴愳敡搷户㔵㍢ぢ扥户摣扤昶㠸㉦敦㙦搴㜶捣㘸ち㐲㙤㑤㡤摤戱捡愸㉡㥡搷搸捣㡡ㄷ㐸㔷㑤㙦摣㔹戰㉢攷愵扦㈸㈹ㄲ㘵㔵㉤昵㜲㔶挵㕣㍦㍥敦㘲愱攰搶敡ㅢ搳愵搶㥤ㄷ㐳㌰戳慣㘲扥慢搲て搷㤷捣攵㥡扣愲愵㐹昴㑥㔴散㙤㈹㍥攲㔵敡挱㡣攷㠶扥㔷㙢慤㤹慡慥㤹㤰㌴搵ㄳ㕥㔵收昳㌹㈵ㄴ㈰㜰晢晡㠴挸摤摣㥤ㄷㄴ㈲㔲㈸㈶㈳㕦搵㑡㜶ㄳ愷戰㍡慣愲㈶㐹㤳摡㥢㌶ㄹ㡣昳㔵㌲㈶㠳〳㔳㙢愲晥攰㑢㙦摡㘴搸〶收㕥摤挶㥡㌶ㅡ慦晥捥㌵改㠶挷㑣户㕡㤳㝥愶昶ㄳ㥣㤱㌱っ愰㕦㠲㐰攸扡㝢㔴㜵攲愲㔸搷㉦搸搵㜰愵戰㈲敤㜳㉢㈱捡愰㈱㡢㐵㙥㙤㐷㌲㉥㐳㤱戱㥢㘰ㄴ愰㔴捡ㄵ昶戰㔱愱㠴㤴搳㈹㥤㌲㜸戹㐵㤰戳㕦ぢ㉦て㕡㐷散㕡㈸㈳愱㍣㙣〱㈳㤱㔶㔳攸ㅢ㈲㠹晡㘶㈵㔲ㄸ㝢慣ㄹ㔰愹㘹扢攱㝡㤳㙦㍢戸㈴㈲愲ㅤ㔹戰敤㘴〱㐵㐱慢㍣挸攰㌵㄰㑤㥢㌴挸㙥㥣㈲㈲戲㐱㠶㘶挷挸慤㐴挶昶ㄹ㌲〲敤搳㐴挸搶晢扢换〸ㄲ㝢㈷㤱戲㔳㔷㝥摣㤱㘶ㅢ搹昲㤱㌴扢ㅣㅢ㘷㕣㐱㜰㈵挱㔵〴㝢〱挴㕦㈱攱㈸攵㤰㙦㑤挶敢昰㙣㕣㐳昰㝡〰挸㈷㠳㌲㈷ㄶ㔵戴愱戶㘲㐷戲摤㄰散㘴㘵ㄴ㐷愲㠸㤶㜱挳捥ㅣ㜲ㄴ愲㘳慢㜳㝢攸摡扣搲戱㙦敥㑥㥢改攵㤰㈲㌳㥡愶搷扡㐹搳昴㐶戰㘹㡦㝡敢㍡㜴㌵挶〸摥〰㔰㌲摥㐸〸攵㐲㠳㜷㙢ㄶ㍤㑤捡搷㠴㔹ㄴㄹ㐳㍤㉡昸㤸㤰㜹〴挸㄰㜲ㅤ挷㤷ㅤㅢ㥡收攰戸昵㥡户愱昷㜵攷敦ㄸ改㙤㝡㜳㐷敦搰㕦昴ㄲ慤攸敢挱㕥攲㑦㕤㜵捣つ愸㌶摥㑣㜰㈳㐰㥢㡥攱改晢愵㝡ち㤴㔹散愴㌰户㥢㕥ㄷ㘵攵㉥慤慦㑡愵㠱〶慤㈵搳㍦㈷㐳㜸㌰㡥捦挲ㄶ昶㝣㕦搶㜰愸慤慡〲㥥㕦慥㙣㉤っ㡥昸㥥挳昲ㅤㅢ㌹㜸㑤㈸㠶㝣㕥敢换戵搹挸ㄹ戶㘶捡攷㤴愲ㅣ敡攰㕢扢ぢ㠹㔴愷㔶昲㘲扦散昳攵㡥㈴改㐱㤲扣〵摢㙡摣っ〰㈹㈱㥥改㉡㔱昶戱搹㕢㔵戳㔶㡢㤵ㅥ扥㡣搳㐹㥢て戱㐳㡥っ㐴づ摢㘹昸て㠲㈱㘷搱㜶ㅡ挲㘲挰㔹㤰㝥〵扥〵扢㈶㑢㤱㕢㤶愲㘶㐷㔶扣㐶㘴㐵㕦㕦挷㜹㍡挳扦愶攸愴㑤㑡㘴㜲㝢㘶㘵挶㔹扣㐹㔴㜴㐳㔲愸㘴戸㠶ㅡㄲ㠸㤴挷戶㍢㈲愶〷ㄱ㜳ぢ㌶捥搸㑦㌰㐹㜰〰㐰晦㍤㈴捤㔶㌷㥥攱戰晥㌵扡戴换攵㕣㤱㘸㔰㉥挲愷扡ち慢㠳㝣捤摢〸㙥〷㘸㌳㝦攸㠰捣㈰㐴㠵昲ㄴ㈱慡㌰㠶㜵挶㤶ㄷ㐸〳扢㉣〴㤶㘶敡㐱攸㌹㡣㉣つ㔹戳摥㐹㉦㥣戵㠳㔵㐴愲㐶慤㌸㜳捦㡡㜴㐱㕤㍥㙣㥦戶㌲㙦㜵㔵㔶つ㙢搱慢㐳戴ㅤ㥦摤づ〷㜳㙣〷㙣㐹㜵㌶搷〴㔲㙦攷㘳っ㈱戰搳捡摦㑡㙦散㤶扣摦㍣昴つ㌷㜷㜴挹づ㙢㜲挰㡡㤸㡥昹愲㠵㕤㐴攴愰摡㙦㉤慤昸㔲捥づ㔹㐷㝤扢㕡戳㕤㐹㘴挰挶㘴戰㙥㑥㥥㐳㤴㘰挱㘳っ搰㜳㠷慣㈵摦㜴㠳㔵㤳〱挵昵摤㉤㑦㉡㉣愲㕢搳戶ㅢ攰㌵ち㡢捣て㕢㡢㉢摥〵㐴㙣敢㡥㝢搴㕣つ戶〵㔶㐸昴㔱㔲愸ㄱ㥡搰㌴㔱搴㡡扤攲㠷〷昲㕣㡥扣㤷㈷㔰戸捡改昴㤹㘷㘸㙦摡昵㜱㡣㠶㜶㍡攷㌴㠸攸㔱愳戰㉦㔳ち㤳㔳㡤㍢搸攷ㅤ〰㜷ㅤ㍤㝤扣ㄹ㤹㝢㔹㌱㙢㥤㕥晥っㄹ慦挸愲ㄱ〸愱㡦㙥㔷㐴㉡㉣㈳攵㠰〳㠱㜱㍥戵㤳㕦挹㔲㙤㐸㝤扢㥡搹㈳㠸㈴つ㕡㜳收戲慣㈱ㅥ敤㤸攱慥攸㠱㘶慣㘳搶㠲戸㙥挶㜳ㅣ㤳愴㐵戲㕣慣㤸愴攰愹㝡攸㥤戰㕤挳〲㔰昴ㄷㄷ㤹ㄷ㔱㘴㕥㔴㐵㠳搶㈹㠶〶㔵㥥㘳㜹攷㑣摦づ㔷ㅣ扢㔲攴〳挳㜷摢㠲㈶挱攴㤴扣㐹㑡㘴挶㔸㥢㌵㝦ㅡ㈶㕢㌰〱㜴㑦㐰㡥㜲敢㠸㝥㔰慥㈶ち昸㈷㝡㜴㉣㐱挰㈸㑦愹昱㉥㡣愶慢摢ㄱ㄰㌹㉡㕤㑡敥㘰㕣㝡〸㈵㤱㄰㈲搶㌳㐸〴㕥挱㤴㤰愷㡢扢㘰㥤㜶敤㄰搸㈳挶㡥搸攱㙣〰㤴〳㈰慢㡥户㔷㉢慣愶㍡㡤㌷戴挲㜵㥤㔵㉤㙡攲摡捥晡戴摥㜸搳〶搵㤱㐶㐹㈹㤲捤ㅡ㈹捤戲挱ㅣ户㤳慡ㄱ㑡㜱㈷摡㐶㘴戹㑤㥢晢㑥㈹昲㌲ㄴ㤳愲㤹㥣昱㙥㐵㈸〸昴挶㍡㡡㍥晢㙣昲㐸㐵㙣㘸〳㤴愸愷愲戲愱㌸㈴㜸ㅣ搷㑥慡戲ㄴ㍦㠱扦㜷挵搹昹㝡搸㔲㘳㕥ㅣ㡤㙢愶㙡戵㜹ㄷ㔶㐲挵昴慢摢㠴愵戱戶㐸挳㈸敥散㔵晢㐷摢㥢㘲挴㤸つㄹㄶ挹昰〳㠳つ挱㕣愹㠸㉡慤戳㈱㙥㜵愳戸挸愷ㄳ搲㜴ㄵ〶ㄶ挳敡慣㕣㔳㘶㔸搳㤲ㅦ㔵ㅤㅡ愷㐵㈵㐷つ㙢㙡㌹㠰㑡て㈹挷攳㥣㘲㜰挳㍡㐵户ㄴ㉥㌱㐰散挶戹㠵㑡㠸搰㙥㘳〰㥥っ戶て㜶戰㈳㔱攸㠴搶ㄹ㈵㘸㈱㠳㜰㕢ㄷ㐱摥改ㄱ愳㄰愴㤶㑡晦㌸㉣扥昲ㄸ搳㜷づ攷㤲㑣捣㐴っ㜷㘵㔸て㐰㙥㍡㌲㐹㉥ㅡ㑤〲收㤱㘴㔳㐲㙢㌰㈹愳㠹㌱㐴㤳捦て㜱㡢㠷戱慣㘱戲㑤つ昷摣㐲ㅢ摡戴戶扥换㍡敥㔶㙡昵慡㔴慡㌸㤱搵㑡㈳㙦ぢ㝣愹㉢㠰ㄱ㌷㘵散㑢扣㈹挷㜱㤴攲㤲㠹愴摥敤㙥攳㌰扡㉢㈱㠷㌱㈲搵挷〰㘴㠶㕢㑥〵挴㍡敥㈹搰㍥摣摤扣挰愰㉥捦㐱愴㜵ㄴ㔱㤶捤攱㍥㕥㈳㡡慣戸㉤搵㙣捥㥢昳㘸戳愷㡡㡥搹㔱搱戶挰ㄱ搶ㄹ〹扣㐲〱挶㐸㡦摣挱㐱㜲㤷攲攸敥愵㠷搴㘳敥ㄲ㔰愱㌰㈰ㄸ攳攵㈹㈸㠷㕤〵㈳搱攰搶㥡㔶户㘰昴㤷㤶户㌱〵㈰ㄸ〶愶㐱㡢㤶㤱㠱㌳㠳晣收〶捥㜵㘸㤵ㄱ㈱㑤〷㔳ㄹ愳ㅣ㠵挳ㅥ㐸〳㌷昱㈰扤攴㐱〹㠵㝢搴挵戰攴㙥攲戸㠳㈳㤰攷㕦搱㔶戸㘰㠶戸晥攲敥㙤㉢㥥慡㔶㘹敥挲㍦户㉤戰㡡慢ㅢ㤱㌹扡愷敤㔲㤶㕡ㄳ敤扢敢摢㉡攲换㠲〷㘶㈷㡥㤹㘱㘵㘵㌱㕣㡦㉥㙥昵㑡ㄲ晡㉦攰㡦搸昰敤戴㤹昳㉥㉦愲慥㜱敦㑢攷㕤敦㠲慢收愵〷扣昵〷ち挱ㄵ捡㝥㑥戲㤴㝢ㄱ晦㔴搲㜲晡捦㌱攲㔶愶捤〱㥡づㄲ㡥愳㔲㈴つ挶㤰捦愰ㄳ搸敥㡤㕢〳愴㤳㍤㙤㜴愲〴挱づ愱戸攷㕥㌱㐲ㄱ㍦〳㕡㐹㉣搱㤱ㅣ㝢晥㙤戰扥㜸ㄲ㈵㐴㌸㥥㘳㌱愲扦〱戹っ搴㈹㐱ㅥ㕦昱攰㠵㤰晦ㅦ㉣㈵摣扣㈱㍢晤ㄷ㤸㔹晣戴ㅤ㐵搷ㄲ㐵㍦改㐰㤱攰㌵㄰挵扦㜷㈱㤳㈴㥤攱搹㤷ㄴ〸攷㥡㜶づ愰慦晡㠵摦晦攱〱㜴㉥㈶づ㘵愳㈱搴㜶〳㥥ㅢ㈶㐲㕦㠷㠹挰攰扤㌲ㄱ㑥㈰㈳ㄸ挵㡦㑣㠴搸〷㌲㡦㠲捤㑤〴挶昶㌲っ挱㔴愸㌵攵搶攰〹散ち㠷晥戱㘳戸㜸㉢〳挴昳愱戴㠲ㄹ㜸愴慥散㉣㕥㌰㝤搳搹慢捡㡦晡ㄲ捡捣㕦挲㑤㙥搵㠵㍤慥摥戰㐶㜵摡挰㔷㤱㜸搹㜷晣㈹㕢扢扦づ㑣㐵㈹㜲摦㡢愲㈸扣っ㑦㠹攰戹㈱昷愱㍤摦㍢晡攷〷ㅥ㌹捣摢㙡㌱慤敡㌷㈳摦㑢挸㥥昶〴㠲扡愹㡢㈲㤷昳挳㥣ㄳ昸㐴挹㕥慤挹㘹搳㔷㔶㔰㘰㌸㐹㌶㈲扣ㄴ㘱㐶挴户ㅤ㑣㑣摣㝢㠸㑣捣㠹㌶㜷愷晡戰㐹戹〸㈷㔲ㄳ㔷㍥扤㈴㙣㈸扡㉡戲ㅥ慤㑤晤〷㔰㐵㉦㜱㈲慤㔶㈲㑦㥤㑣㐲㝣扦㕤搷ㅤ愴慥㡢づ㌲っ晢㈷㔲ち昱〷㔲㐸晡㈰挳ぢ〱㑡㑡㥤㐲㐶扦〵㈰㈳戲搶ㅥ攲愵㍦㘰㐷〸挸挶愵扦ㅥ㍦㘲挱㉥〲㡢㠹㉦扥搷ㄳ㉤㙤搱㐴㌵㌱㔴慢㙣㥡㐵㘴搴攱㠵〵㤳㐹改ㄲ㌲㐹搲て㈰户㘵㜷ㄴ㕦㌲攴㐴㠱户㠸戱㜵㠷扥戶㤲㜳愷㕢挷捤て攸㤹㠲㔲ㄸ敥㙥ㄶ攳㐰慡㘲㜴㔱搳㔲㔴㐴㌸ㅣ㘵ㅢ㥤〶攲㉡攸㉣㜷㉦㑥愵〸晥昱㑢㈱搶㡦㌷㠷扥扣扤㠶㍡捥敤挷〲昹㠳晤㜵㙤〶㘳攳慤攴ㄸ㐸搸㉤戵㉡㐶搷挳㑦愳ぢㄷ㥤ㄳ㐶㌳慢㥥挵㐱晣㐹㌸慢㑦敢搰晦㡣㕥㉢捥㍡挳摥っ㘳户攸晦昷愱㘰㔳晤㉦ㄸ㝢㔳㠸㝣㝦㥣攱㠳捥昸挹愶㈱ㅢ敥〸㍣摢〸摥愸㠳戱愱戲っ㜹㐷戹㐵㝣扣ㅡ㔵㉢〹づ扦㔷扥晤㙡㐴愳㉦㙤摢㠱慥〲㤰戱㈱晤摢㄰㐱㕤晢户捡慤攴㜴㕢昸〰㍡敥㌹㘱㔷㝣㉦昰慣㜰㙣ㄱ㐱摦㌱㝥㝢㘶挱收㤹ㄲ摦㙡ㄷ㙡搷㘳㈷〶敦㐵㥦㤳昳㄰搸㈷㘵昸㑡挵㈲ㄹ㔹搸㕡㈴㠳摦㈱㡤愴挲㑢搴づ挱㘵搶摤㜵戳㠶㑦㔷攷攱敢っ㔹戴㉤㤴㕤攴㜱㙥扦愱挱慤挳ㅤ慤昷挲ㅦ㈴㙢ㄳ〸㡥愹㈵㝣攰㕥敥㙢晢ㅥ戴戶㡤搷ㄶ戰㘵㙦㍥户㤲晥〴㜰扡戵户戴㤲っ摦挹㉦㤲㑢㐶㤹㄰㤷昶て攳敦搶ㅤ戴ㅣ㙤ㄴ㜴ㅥ㝦搰㑤㐷搸㜸つ敥戳㉤㐴扦捦愲慢㤸㈲挰捦㌰攳っㅦ〴扤㝣㘴㐵昱㜵㉣㡢っ㠰㝣慥㔰〱攸㑥搵㡦㙦㐴搵㈳㜷戱㈷㤲攰ㄹ㠳攴㔸ㄲ㕦㐵㐳㙥㔷戴㙣戰〴㤷㉤搴㔹〲㜹㈳改㠱㝣㑥昰㉣愱㈶昲㘵㜴㘸㑣挴㐶㘹昷㠹㝣㘹愳㠹〸㕡〱㙡愱改昱㐷ㄲ㉤㘲搴㔰㙤㌸〴㉥㠱〷㌰㤲㈸㤳㘱捡㐷ち㥤㐲ㄴ㘳㜸㤲㈸㐲晡㐳晣昷搹挳扦㝦㡡改昹挳㐲㐹㐴㔴戵慥㠲ㄲ㔱慤攲戳改㔵昸㈸敤扥㡡㑦㙦戴㡡ㄱち㑢捥挴〸〱㠶晡㐴ㄹ㝦搴慡敡挸㜰㐳昹ㄳ㘷〹昰㙢㤹挵㠸㠹ㄲ搵昷〲㌲攸换㥤㔷慤㉥㈲㤳昴搵戹ㄱㄹ㕦昹㈸㐳㠹㌷㈲改搴㈹㐴㕥搹㐲愴ㅥ㡢㑥散㡥摤ㄶ㐲〲㑢攲㘷戳㕤㘵㝢愱挷㔰扦昸㔸㠲㤸㘳挷㤲㑦愸戴㌸昸〴挲㠸㑣㔳ㄲㄲ㌷㔲㝣㌴㘹晣挳ㅦ㌷㝤愷愸㐰〲昵㐴㡤㐹㜰慡昱愳㐹攳〳昸㍣㑢戵挹昱㉡〱搳戳㐹㘳ㄲ愶㙡晣㐸搲昸敦〷昶㌶ㅡ㈷㜴ㄸ㡤慣㤳㐸㌲㡣㕥㜵っ㐸㝤慡㍤㡣收扡㐵㐵㍡㘰㐵挵ㄴ愱㉡㠶㕣㔳慡㜴㄰户㐲㝣㝣㉣㍤㠷㑢㑥戸ぢ〲㘹ㅢ晤㍦ㄳ㡥攳昲搳慣ㄹ㥡昸ㄶ㝡つ㔱㘷摦㔰㑦散㕣戰收㝤ㄴ昴㕢挷〳ㅣ慥慡摢㡡㐴㘰ㄷ攴愳晤摤挴㍢㥦㘱㐳㌶昷㈳㠹㤶㘹扣㑣搲㥢ㄶ㔱ㄱ㤶扣昸㜰㠲搹摣挳㑤㥡㌱ㅥ〲㜲㈰㈶〱㤹㌱ㅥ〶㡣㈲㌲㝢㔸㌰㐲晥㔷捣晤㘱㔶㝣㠴攰ㄱ㠰㤲㈰戳㤳づち㡦〲っ㈷晦挷㡡戱㌵攵㌸搱挴〳挹换搲㘴㘴㝣㡣ㅤ㍥づ搰〷㍦慥㠸㠹戰㘴㝣〲㈵改㤷㔲㜰愸㤷㝥㤲ㄵ㥦㈲昸㌴㐰㐹攷㘴户扣㙢㕣㔳㡦㉡散㌳攸㉡ㅥ㈶挰捦昸㙣㥣攱㠳捥㝤㜸㘷㜷愳㤹㘷攲攴ぢ㝦挴㍣㕢㍥攵扦ㄳ㥦收慦㜳搱㝤昸㍦㤳攸捡挲捦㙢敦攸㙤㉣㌲〱㡤㜳昵㕢挵㘶扦㡣㜱戸慥㘶㈸㠵㈳㔲愹ㄴ戵㠲㈰扥戹㘰攱攱つ㝣换㈱㔵㈱〴㘹㐰㔵戸㜱挵㘱ㄴㄸ㥦㘷㔳攲㤸㜸㌲扥挰㈷愲㔶㙤攲ㄷ攳っㅦ〴昱慡扡摦ㄷ㜷㑦㕥㐸㕣慢ち扢敤㠵挴扦慡㔸㐹扦昰㌱づ愶㤰㠵㑣慢㔶㈲搲ㄴつ㝤ㄵ㤹愱扥㘱捥敤ㅥ晣戴㡢愲㜲戶㝡昶散ぢ挳昹戱慢昳敦㝢捦攰㘳捦晥敥戹捦㍤晤挱㐳㝦晢昷攳㡦㍦晤㤷捦㍤昵敦㕦㉣ㅦ晡捤ㄳ㑦晣晡慥㙦㍣昵摣㙥敢㥢摡㡦㕦㤸晢收㠳㤳攷ㅦ扣摦㍡㝤昳搱〷摦㝦摦摤㤳ぢ㤷㡤昷昵昵昷摦㌸晡摢慢㙥ㅡ㜹昸晥㥦㡡㕦晤昱㑡㔷愸攵攲〵慤搳攰戲搵㌴扥㠶っ愶挱ㄹ扦慡搳攰㜲搵㐶㉤挷ㅢ㌵㡤㠲㈲㥣ㅢ㥣㠰慡㌰㕢㉢〶晥〳㝥㥤戵㍡</t>
  </si>
  <si>
    <t>Decisioneering:7.0.0.0</t>
  </si>
  <si>
    <t>89a286d2-bf78-4472-b7b0-aad71d29c0eb</t>
  </si>
  <si>
    <t>CB_Block_7.0.0.0:1</t>
  </si>
  <si>
    <t>Business Risk</t>
  </si>
  <si>
    <t>Sales Variability</t>
  </si>
  <si>
    <t xml:space="preserve">Revenue </t>
  </si>
  <si>
    <t>Standerd deviation</t>
  </si>
  <si>
    <t>Mean</t>
  </si>
  <si>
    <t>Coefficient of Variation (CV)</t>
  </si>
  <si>
    <t>Variability in EBIT</t>
  </si>
  <si>
    <t>Income before income taxes and interest</t>
  </si>
  <si>
    <t>Degree Of Operating Leverage</t>
  </si>
  <si>
    <t>Year</t>
  </si>
  <si>
    <t>Change of EBIT</t>
  </si>
  <si>
    <t>Revenue</t>
  </si>
  <si>
    <t>∆ Revenue</t>
  </si>
  <si>
    <t>Operating leverage</t>
  </si>
  <si>
    <t>Degree of Operating leverage</t>
  </si>
  <si>
    <t>Financial Risk</t>
  </si>
  <si>
    <t>Degree Of Financial Leverage</t>
  </si>
  <si>
    <t xml:space="preserve">Interest </t>
  </si>
  <si>
    <t>DFL</t>
  </si>
  <si>
    <t>Degree of Financial leverage</t>
  </si>
  <si>
    <t>Interest coverage ratio</t>
  </si>
  <si>
    <t>Interest coverage ratio (TIE)</t>
  </si>
  <si>
    <t>Current Assets</t>
  </si>
  <si>
    <t>Working Capital</t>
  </si>
  <si>
    <t>X1</t>
  </si>
  <si>
    <t>Working Capital/Total Assets</t>
  </si>
  <si>
    <t>Weight</t>
  </si>
  <si>
    <t>Total</t>
  </si>
  <si>
    <t>Retained Earnings</t>
  </si>
  <si>
    <t>X2</t>
  </si>
  <si>
    <t>Retained Earnings/Total Assets</t>
  </si>
  <si>
    <t>X3</t>
  </si>
  <si>
    <t>EBIT/Total Assets</t>
  </si>
  <si>
    <t xml:space="preserve"> Equity</t>
  </si>
  <si>
    <t>Total Debt</t>
  </si>
  <si>
    <t xml:space="preserve"> Equity/Total Debt</t>
  </si>
  <si>
    <t>X4</t>
  </si>
  <si>
    <t>Sales</t>
  </si>
  <si>
    <t>Sales/Total Assets</t>
  </si>
  <si>
    <t>X5</t>
  </si>
  <si>
    <t>Altman Z SCORE</t>
  </si>
  <si>
    <t>Risk Distribution</t>
  </si>
  <si>
    <t>Z &gt; 2.9</t>
  </si>
  <si>
    <t>Safe Zone</t>
  </si>
  <si>
    <t>1.81 &lt; Z &lt; 2.99</t>
  </si>
  <si>
    <t>Gray Zone</t>
  </si>
  <si>
    <t>Z &lt; 1.81</t>
  </si>
  <si>
    <t>Distress Zone</t>
  </si>
  <si>
    <t>ROE</t>
  </si>
  <si>
    <t>Fiscal Year Ending March 31 (¥ Billions)</t>
  </si>
  <si>
    <t>Income Statement</t>
  </si>
  <si>
    <t>SG&amp;A Expense</t>
  </si>
  <si>
    <t>¥59.7</t>
  </si>
  <si>
    <t>Operating Profit</t>
  </si>
  <si>
    <t>¥164.1</t>
  </si>
  <si>
    <t>Interest Income</t>
  </si>
  <si>
    <t>Other Inc., Exp. &amp; Unsual Items</t>
  </si>
  <si>
    <t>Profit Before Tax</t>
  </si>
  <si>
    <t>Income Tax Expense</t>
  </si>
  <si>
    <t>Minority Interest</t>
  </si>
  <si>
    <t>Net Income</t>
  </si>
  <si>
    <t>¥111.2</t>
  </si>
  <si>
    <t>Per Share Items</t>
  </si>
  <si>
    <t>Basic Earnings per Share (EPS)</t>
  </si>
  <si>
    <t>¥613.7</t>
  </si>
  <si>
    <t>¥709.2</t>
  </si>
  <si>
    <t>¥615.6</t>
  </si>
  <si>
    <t>¥566.9</t>
  </si>
  <si>
    <t>Wgtd. Avg. Basic Shares Out.</t>
  </si>
  <si>
    <t>Dividends (paid in Mar. &amp; Sept.)</t>
  </si>
  <si>
    <t>¥184.1</t>
  </si>
  <si>
    <t>¥212.8</t>
  </si>
  <si>
    <t>¥184.7</t>
  </si>
  <si>
    <t>¥170.1</t>
  </si>
  <si>
    <t>Payout Ratio (%)</t>
  </si>
  <si>
    <t>Dividend Yield (%)</t>
  </si>
  <si>
    <t>Stock Price (end of period)</t>
  </si>
  <si>
    <t>¥12,590</t>
  </si>
  <si>
    <t>¥14,680</t>
  </si>
  <si>
    <t>¥14,490</t>
  </si>
  <si>
    <t>¥18,205</t>
  </si>
  <si>
    <t>Market Capitalization (¥ Billions)</t>
  </si>
  <si>
    <t>¥2,465</t>
  </si>
  <si>
    <t>¥2,873</t>
  </si>
  <si>
    <t>¥2,836</t>
  </si>
  <si>
    <t>¥3,563</t>
  </si>
  <si>
    <t>Other Cash Flow Items</t>
  </si>
  <si>
    <t>Depreciation &amp; Amortization</t>
  </si>
  <si>
    <t>¥13.3</t>
  </si>
  <si>
    <t>¥15.5</t>
  </si>
  <si>
    <t>¥17.9</t>
  </si>
  <si>
    <t>¥18.4</t>
  </si>
  <si>
    <t>Capital Expenditures</t>
  </si>
  <si>
    <t>¥7.1</t>
  </si>
  <si>
    <t>¥44.0</t>
  </si>
  <si>
    <t>¥44.4</t>
  </si>
  <si>
    <t>¥16.6</t>
  </si>
  <si>
    <t>Repurchases of Shares</t>
  </si>
  <si>
    <t>¥0.5</t>
  </si>
  <si>
    <t>¥0.3</t>
  </si>
  <si>
    <t>¥0.2</t>
  </si>
  <si>
    <t>¥0.7</t>
  </si>
  <si>
    <t>Dividends Paid</t>
  </si>
  <si>
    <t>¥25.2</t>
  </si>
  <si>
    <t>¥41.6</t>
  </si>
  <si>
    <t>¥39.4</t>
  </si>
  <si>
    <t>¥31.1</t>
  </si>
  <si>
    <t>Financial Ratios</t>
  </si>
  <si>
    <t>Revenue Growth</t>
  </si>
  <si>
    <t>Profitabiltiy Ratios</t>
  </si>
  <si>
    <t>Gross Margin</t>
  </si>
  <si>
    <t>Operating Margin</t>
  </si>
  <si>
    <t>Net Margin (ROS)</t>
  </si>
  <si>
    <t>Return on Assets (ROA)</t>
  </si>
  <si>
    <t>Return on Equity (ROE, eoy)</t>
  </si>
  <si>
    <t>Effective Tax Rate</t>
  </si>
  <si>
    <t>Number of Employees</t>
  </si>
  <si>
    <t>Balance Sheet</t>
  </si>
  <si>
    <t>Assets</t>
  </si>
  <si>
    <t>Cash &amp; ST Investments</t>
  </si>
  <si>
    <t>Inventory</t>
  </si>
  <si>
    <t>Other Current Assets</t>
  </si>
  <si>
    <t>Net PP&amp;E</t>
  </si>
  <si>
    <t>Goodwill</t>
  </si>
  <si>
    <t>¥17.0</t>
  </si>
  <si>
    <t>¥0.0</t>
  </si>
  <si>
    <t>Intangibles</t>
  </si>
  <si>
    <t>LT Investments</t>
  </si>
  <si>
    <t>Liabilities &amp; Net Worth</t>
  </si>
  <si>
    <t>Accounts Payable</t>
  </si>
  <si>
    <t>Taxes Payable</t>
  </si>
  <si>
    <t>Other Current Liabilities</t>
  </si>
  <si>
    <t>Pension Liabilities</t>
  </si>
  <si>
    <t>Other Non-Current Liabilities</t>
  </si>
  <si>
    <t>Total Liabilties</t>
  </si>
  <si>
    <t>Common Equity</t>
  </si>
  <si>
    <t>Minority Interest &amp; Other</t>
  </si>
  <si>
    <t>Total Equity</t>
  </si>
  <si>
    <t>¥1,199.9</t>
  </si>
  <si>
    <t>Total Liab. &amp; Equity</t>
  </si>
  <si>
    <t>Cash as % of Total Assets</t>
  </si>
  <si>
    <t>Current Ratio (CA/CL)</t>
  </si>
  <si>
    <t>Debt-to-Total Capital (D/TC)</t>
  </si>
  <si>
    <t>Fin. Leverage (Assets/Equity)</t>
  </si>
  <si>
    <t>Working Capital Management</t>
  </si>
  <si>
    <t>Asset Turnover (Sales/Assets)</t>
  </si>
  <si>
    <t>Inventory Turns (COGS/Inv)</t>
  </si>
  <si>
    <t>Days of Receivables</t>
  </si>
  <si>
    <t>Days of Inventory</t>
  </si>
  <si>
    <t>Days of Payables</t>
  </si>
  <si>
    <t>Cash Conversion Cycle (days)</t>
  </si>
  <si>
    <t>Actual</t>
  </si>
  <si>
    <t>Forecast (¥ billions)</t>
  </si>
  <si>
    <t>FY2014</t>
  </si>
  <si>
    <t>FY2015</t>
  </si>
  <si>
    <t>FY2016</t>
  </si>
  <si>
    <t>FY2017</t>
  </si>
  <si>
    <t>FY2018</t>
  </si>
  <si>
    <t>FY2019</t>
  </si>
  <si>
    <t>¥210.0</t>
  </si>
  <si>
    <t>¥198.0</t>
  </si>
  <si>
    <t>¥139.0</t>
  </si>
  <si>
    <t>¥121.0</t>
  </si>
  <si>
    <t>¥137.0</t>
  </si>
  <si>
    <t>¥149.0</t>
  </si>
  <si>
    <t>Average Shares (basic)</t>
  </si>
  <si>
    <t>Earnings per Share (EPS, basic)</t>
  </si>
  <si>
    <t>¥1,011.9</t>
  </si>
  <si>
    <t>¥710.4</t>
  </si>
  <si>
    <t>¥618.4</t>
  </si>
  <si>
    <t>¥700.2</t>
  </si>
  <si>
    <t>¥761.3</t>
  </si>
  <si>
    <t>Dividends per Share</t>
  </si>
  <si>
    <t>¥305.0</t>
  </si>
  <si>
    <t>¥213.1</t>
  </si>
  <si>
    <t>¥185.5</t>
  </si>
  <si>
    <t>¥228.4</t>
  </si>
  <si>
    <t>Cash and ST Investments</t>
  </si>
  <si>
    <t>¥1,343.7</t>
  </si>
  <si>
    <t>¥1,441.0</t>
  </si>
  <si>
    <t>¥1,525.7</t>
  </si>
  <si>
    <t>¥1,621.6</t>
  </si>
  <si>
    <t>¥1,725.9</t>
  </si>
  <si>
    <t>Cash Flow and Other Items</t>
  </si>
  <si>
    <t>¥18.0</t>
  </si>
  <si>
    <t>¥16.0</t>
  </si>
  <si>
    <t>Net Change in Working Capital</t>
  </si>
  <si>
    <t>¥19.0</t>
  </si>
  <si>
    <t>¥29.2</t>
  </si>
  <si>
    <t>-¥31.4</t>
  </si>
  <si>
    <t>-¥15.2</t>
  </si>
  <si>
    <t>¥2.3</t>
  </si>
  <si>
    <t>¥8.5</t>
  </si>
  <si>
    <t>¥15.0</t>
  </si>
  <si>
    <t>¥10.0</t>
  </si>
  <si>
    <t>¥41.7</t>
  </si>
  <si>
    <t>¥36.3</t>
  </si>
  <si>
    <t>¥41.1</t>
  </si>
  <si>
    <t>¥44.7</t>
  </si>
  <si>
    <t>Asset Growth Rate</t>
  </si>
  <si>
    <t>Revenue Growth Rate</t>
  </si>
  <si>
    <t>Operating (EBIT) Margin</t>
  </si>
  <si>
    <t>Return on Sales (ROS)</t>
  </si>
  <si>
    <t>Payout Ratio</t>
  </si>
  <si>
    <t>Debt-to-Total Capital</t>
  </si>
  <si>
    <t>Long term debt</t>
  </si>
  <si>
    <t>CAPEX</t>
  </si>
  <si>
    <t>Risk Free Rate</t>
  </si>
  <si>
    <t>Market Return</t>
  </si>
  <si>
    <t>Beta</t>
  </si>
  <si>
    <t>Cost of Equity</t>
  </si>
  <si>
    <t>Cost of Debt</t>
  </si>
  <si>
    <t>After Tax cost of debt</t>
  </si>
  <si>
    <t>Weight ot Debt</t>
  </si>
  <si>
    <t>Weight of Equity</t>
  </si>
  <si>
    <t>Total Value(Debt+ Equity)</t>
  </si>
  <si>
    <t>Income Tax</t>
  </si>
  <si>
    <t>WACC</t>
  </si>
  <si>
    <t xml:space="preserve"> Bond Issue</t>
  </si>
  <si>
    <t>FV</t>
  </si>
  <si>
    <t>Interest Expense</t>
  </si>
  <si>
    <t>cash</t>
  </si>
  <si>
    <t>excess cash</t>
  </si>
  <si>
    <t>regular capex</t>
  </si>
  <si>
    <t>Extra payout</t>
  </si>
  <si>
    <t>New debt</t>
  </si>
  <si>
    <t>Debt-Equity ratio</t>
  </si>
  <si>
    <t>Dep % of sales</t>
  </si>
  <si>
    <t>CAPEX % of sales</t>
  </si>
  <si>
    <t>CAPEX(% of sales)</t>
  </si>
  <si>
    <t xml:space="preserve">No. of shares </t>
  </si>
  <si>
    <t>value per share</t>
  </si>
  <si>
    <t>Net income</t>
  </si>
  <si>
    <t>Net capital expenditure</t>
  </si>
  <si>
    <t>Change in NWC</t>
  </si>
  <si>
    <t>Debt repayment</t>
  </si>
  <si>
    <t>Amortization</t>
  </si>
  <si>
    <t>FCFE</t>
  </si>
  <si>
    <t>Total score</t>
  </si>
  <si>
    <t>Interest bank</t>
  </si>
  <si>
    <t>Bank loan</t>
  </si>
  <si>
    <t>VPS</t>
  </si>
  <si>
    <t>ROE Bond</t>
  </si>
  <si>
    <t>ROE Bank</t>
  </si>
  <si>
    <t>ROE Buy</t>
  </si>
  <si>
    <t>ROE Conv</t>
  </si>
  <si>
    <t>value per share(Bank loan)</t>
  </si>
  <si>
    <t>value per share(Bond)</t>
  </si>
  <si>
    <t>94b7c8e9-e6eb-45f2-919e-cf093f68d923</t>
  </si>
  <si>
    <t>bd123e07-3bb0-45d1-8a60-c9e2e1bfbea0</t>
  </si>
  <si>
    <t>value per share(buyback)</t>
  </si>
  <si>
    <t>fc7d2a45-af76-4355-9e02-5f01195ce7e3</t>
  </si>
  <si>
    <t>㜸〱敤㕣㕢㙣ㅣ㔷ㄹ摥㌳摥㔹敦慣敤搸㡤搳愶㘹㑢㙢㈸愵愵づ㙥㥣㌶㤴〲㈱昸搲㕣㡡ㄳ扢戱㤳㠲〰㙤挶扢㘷攲㘹㜶㘶摣㤹㔹㈷㉥㤵㕡㐱㑢戹㈳㜱㉦ㄴ愸㉡㔴㠹ㄷ㉥ㄲ㉡搷〷㤰㤰㐰愸㤵㜸㠰〷㈴ㅥち㐲昰〰㐲㤱㜸攱〱〹扥敦捣捣敥散慥㜷散㙥㕢㜰㤱㑦扡扦捦㥣摢㥣㜳晥敢昹晦㌳捤㠹㕣㉥昷㙦㈴晥㘵捡㌳㜳摤攲㝡㄰㑡㘷㘲挶慢搵㘴㈵戴㍤㌷㤸㤸昲㝤㜳㝤捥づ挲㍥㌴㈸㤴㙤搴〷㝡㌹戰ㅦ㤴挵昲㥡昴〳㌴搲㜳戹㘲搱搰㔰捦㐱昸ㅢ㐹ㅥっ昶ㅡ捣〳㉣捤㑣捦㉦摦㡦㔱ㄷ㐳捦㤷晢挷捥㐶㝤て㑦㑥㑥㑣㑥摣㜱㘸昲攰挴㠱晤㘳㌳昵㕡㔸昷攵㘱㔷搶㐳摦慣敤ㅦ㕢愸㉦搷散捡扢攴晡㤲㜷㐱扡㠷攵昲㠱摢㤷捤㍢摥㌲㜹挷愱㐳搶㕤㜷扤㘵㄰慦捥㥤㥡㤹㕥昰愵ㄵ扣㑣㘳敡㥣昲ㅤ戳戲㘲㜳㙤㔲晡戶㝢㝥㘲㘶ㅡ晦愵收㡦愷㍢㈷ㄶ㔷愴っ昹㙡改㑢户㈲〳〳ㅤ〷㥣愹㈰愸㍢慢摣㍣挳㌹㡡愵㔶捣㈰搴㥤ㄹ㔹慢ㄹ㑥㌲㙡搱㤹挷摥搵捣昵㐱㘷㔱扡㠱ㅤ摡㙢㜶戸㕥㜰㤶㌰㔰㜵挸㌹ㄳ挸搳愶㝢㕥㥥㌲ㅤ愹㍢挷敡㜶㌵ㅦ愵㕣摦捤挹㄰改㠹愹攵㑦㑣〵捥捣㡡改慢ㄹ〵摣㤸㡣戶㐷晤㑡㙢摢ㅢ扢㡦换愹慢㌷㜰捣㥢扡户㐳捤㔹搳㙦戴ㅣ敦摥㌲㕥㝣敢っ㙥敢摥㍥戵㐷慤㝤摥搸扤㡦摡捡搶搶㘲㈰愶㙦戵愳㔸㡣㔱㈰攸㈷㈸ㄲ㄰㠱㐶㠹㘰㠰㘰㄰㐰攴晦〱㉥㐹㜷㘴㤵㔶㌶戵昲戲㔶慥㘸攵慡㔶㤶㕡搹搲捡攷戵昲㡡㔶戶戵昲晤㕡昹〲摡㈴愹搸摦慦挵改㡡㉦㕥㝥㝥敦㜷晤㔳ㅦ晢改捡昷慥㝤挷敦ㅦㅢ摣㠵㐶昷挶㤳㥡昵捤㡢㈰戵㈶ㄵ㠳㈳昸㙦㜳慥〰㔳㔸㠷慣㍢慤挹挹敡愱〳收敤愶捥㘵㘵㈰扦㠵㔰㐶搰㜶搰扡捦㜶慢摥㐵㠵扢敢愶捤㐰㌶㌷㙥㍣慥㥢昶敡㙥㌵戸㜶攳捡挵搰っ攵㌵敤㜵捤㐱㍡扡㉤㠲慤㘴愰摥㜷㝤㝢户戳㘶慤㉥愷㉥搹㔱昵㙢摡慡㥤〵摦㕢敥㕥㝢搴㤷て㌴㙡㍢㘶㌴〵愱戶愶挶敥㔸㘵㔴ㄵ捤㙢㙣㘶挵ぢ愴慢愶㌷敥㉣搸㤵ぢ搲㕦㤴ㄴ㠹戲慡㤶㝡㈵慢㘲慥ㅦ㥦㜷戱㔰㜰㙢昵㜵改㔲敢敥㑢㈱㤸㔹㔶㌱摦㔵改㠷敢㑢收㜲㑤㕥搵搲㈴㝡㈷㉡昶戵ㄴㅦ昵㉡昵㘰挶㜳㐳摦慢戵搶㑣㔵搷㑣㐸㥡敡㐹慦㉡昳昹㥣ㄲち㄰戸㝤㝤㐲攴㙥敤捥ぢちㄱ㈹ㄴ㤳㤱慦㙥㈵扢㠹搳㔸ㅤ㔶㔱㤳愴㐹敤昵㥢っ挶昹㉡ㄹ㤳挱㠱愹㌵㔱㝦昰愵户㙣㌲㙣〳㜳慦㙣㘳㑤ㅢ㡤㔷㝦昷㥡㜴挳攳愶㕢慤㐹㍦㔳晢〹捥挸ㄸ〶搰㉦㐳㈰㜴摤㍤慡㍡㜱㐹慣敢ㄷ敤㙡戸㔲㔸㤱昶昹㤵㄰㘵搰㤰挵㈲户戶㈳ㄹ㔷愰挸搸㑤㌰ち㔰㉡攵ち㝢搸愸㔰㐲捡改㤴㑥ㄹ扣摣㈲挸搹慦㠵㤷〷慤愳㜶㉤㤴㤱㔰ㅥ戶㠰㤱㐸慢㈹昴つ㤱㐴㝤戳ㄲ㈹㡣㍤搶っ愸搴戴摤㜰扤挹户ㅤ㕣ㄲㄱ搱㡥㉣搸㜶戲㠰愲愰㔵ㅥ㘴昰ㅡ㠸愶㑤ㅡ㘴㌷㑥ㄱㄱ搹㈰㐳戳㘳攴㔶㈲㘳晢っㄹ㠱昶㘹㈲㘴敢〳摤㘵〴㠹扤㤳㐸搹愹㉢㍦敥㐸戳㡤㙣昹㐸㥡㕤㠹㡤㌳慥㈲搸㑢㜰㌵挱㍥〰昱㘷㐸㌸㑡㌹攴㕢㤳㜱㉤㥥㡤敢〸㕥〳〰昹㘴㔰收挴愲㡡㌶搴㔶散㐸戶ㅢ㠲㥤慣㡣攲㐸ㄴ搱㌲㙥搸㤹㐳㡥㐲㜴㙣㜵㙥て㕤㥢㔷㍡昶つ摤㘹㌳扤ㅣ㔲㘴㐶搳昴㕡㌷㘹㥡摥〸㌶敤㔱㙦摤㠰慥挶ㄸ挱㙢〱㑡挶敢〸愱㕣㘸昰㙥捤愲愷㐹昹慡㌰㡢㈲㘳愸㐷〵ㅦㄳ㌲㡦〰ㄹ㐲慥攳昸戲㘳㐳搳ㅣㅣ户㕥昵㌶昴晥敥晣ㅤ㈳扤㑤㙦敥攸ㅤ晡㡢㕥愴ㄵ㝤㈳搸㑢晣扥慢㡥戹〹搵挶ㅢ〸㙥〶㘸搳㌱㍣㝤扦㔸㑦㠱㌲㡢㥤ㄴ收㜶搳敢愲慣摣愵昵㔵愹㌴搰愰戵㘴晡攷㘵〸て挶㠹㔹搸挲㥥敦换ㅡづ戵㔵㔵挰昳换摥搶挲攰愸敦㌹㉣摦戱㤱㠳㔷㠵㘲挸攷戵扥㕣㥢㡤㥣㘱㙢愶㝣㑥㈹捡愱づ扥扤扢㤰㐸㜵㙡㈵㉦昶换㍥㕦敥㐸㤲ㅥ㈴挹ㅢ戱慤挶慤〰㤰ㄲ攲户㕤㈵捡㝥㌶㝢㤳㙡搶㙡戱搲挳㤷㜱㍡㘹昳㈱㜶挸㤱㠱挸㘱㍢つ晦㐱㌰攴㉣摡㑥㐳㔸っ㌸ぢ搲慦挰户㘰搷㘴㈹㜲换㔲搴散挸㡡㔷㠹慣攸敢敢㌸㑦㘷昸搷ㄴ㥤戴㐹㠹㑣㙥捦慣捣㌸㡢㌷㠹㡡㙥㐸ち㤵っ搷㔰㐳〲㤱昲搸㜶㐷挴昴㈰㘲㙥挳挶ㄹ〷〸㈶〹づ〲攸捦㐳搲㙣㜵攳ㄹづ敢㕦愳㑢扢㕣捥ㄵ㠹〶攵㈲㝣慥慢戰㍡挴搷扣㤹攰㑥㠰㌶昳㠷づ挸っ㐲㔴㈸㑦ㄱ愲ち㘳㔸㘷㙤㜹㤱㌴戰换㐲㘰㘹愶ㅥ㠴㥥挳挸搲㤰㌵敢㥤昲挲㔹㍢㔸㐵㈴㙡搴㡡㌳昷慤㐸ㄷ搴攵挳昶㘹㉢昳㔶㔷㘵搵戰ㄶ扤㍡㐴摢㠹搹敤㜰㌰挷㜶挰㤶㔴㘷㜳㑤㈰昵㜶㍥挶㄰〲㍢慤晣慤昴挶㙥挹晢捤㐳摦㜰㜳㐷㤷散戰㈶〷慣㠸改㤸㉦㕡搸㐵㐴づ慡晤搶搲㡡㉦攵散㤰㜵捣户慢㌵摢㤵㐴〶㙣㑣〶敢收攴㜹㐴〹ㄶ㍣挶〰㍤㜷挸㕡昲㑤㌷㔸㌵ㄹ㔰㕣摦摤昲愴挲㈲扡㌵㙤扢〱㕥愳戰挸晣戰戵戸攲㕤㐴挴戶敥戸挷捣搵㘰㕢㘰㠵㐴ㅦ㈵㠵ㅡ愱〹㑤ㄳ㐵慤搸㉢㝥㜸㈰捦攵挸㝢㜹〲㠵慢㥣㑥㥦㜹㠶昶愶㕤ㅦ挷㘸㘸愷㜳㑥㠳㠸ㅥ㌵ち晢㌲愵㌰㌹搵戸㡢㝤摥ち㜰捦戱㌳㈷㥡㤱戹㤷ㄴ戳搶改攵捦㤰昱㡡㉣ㅡ㠱㄰晡攸㜶㐵愴挲㌲㔲づ㌸㄰ㄸ攷㔳㍢昹㤵㉣搵㠶搴户慢㤹㍤㡡㐸搲愰㌵㘷㉥换ㅡ攲搱㡥ㄹ敥㡡ㅥ㘸挶㍡㘶㉤㠸敢㘶㍣挷㌱㐹㕡㈴换挵㡡㐹ち㥥慡㠷摥㐹摢㌵㉣〰㐵㝦㜱㤱㜹〹㐵收㈵㔵㌴㘸㥤㘶㘸㔰攵㌹㤶㜷摥昴敤㜰挵戱㉢㐵㍥㌰㝣户㉤㘸ㄲ㑣㑥挹㥢愴㐴㘶㡣戵㔹昳㘷㘰戲〵ㄳ㐰昷〴攴㈸户㡥攸〷攵㙡愲㠰㝦愲㐷挷ㄲ〴㡣昲㤴ㅡ㙦挷㘸扡扡ㅤ〱㤱愳搲攵攴づ挶攵㠷㔱ㄲ〹㈱㘲㍤㠳㐴攰ㄵ㑣〹㜹扡戸ぢ搶ㄹ搷づ㠱㍤㘲散愸ㅤ捥〶㐰㌹〰戲敡㜸㝢㡤挲㙡慡搳㜸㐳㉢摣搰㔹搵愲㈶慥敦慣㑦敢㡤搷㙦㔰ㅤ㘹㤴㤴㈲搹慣㤱搲㉣ㅢ捣㜱㍢愹ㅡ愱ㄴ㜷愲㙤㐴㤶摢戴戹敦㤴㈲㉦㐱㌱㈹㥡挹ㄹ敦㔰㠴㠲㐰㙦慣愳攸戳捦㈶㡦㔴挴㠶㌶㐰㠹㝡㉡㉡ㅢ㡡㐳㠲㈷㜰敤愴㉡㑢昱ㄳ昸㝢㔷㥣㥤慦㠷㉤㌵收愵搱戸㘶慡㔶㥢㜷㘱㈵㔴㑣扦扡㑤㔸ㅡ㙢㡢㌴㡣攲捥㕥戵㝦戴扤㈹㐶㡣搹㤰㘱㤱っ㍦㌰搸㄰捣㤵㡡愸搲㍡ㅢ攲㔶㌷㡡㡢㝣㍡㈹㑤㔷㘱㘰㌱慣捥捡㌵㘵㠶㌵㉤昹㔱搵愱㜱㕡㔴㜲搴戰愶㤶〳愸昴㤰㜲㍣捥㈹〶㌷慣搳㜴㑢攱ㄲ〳挴㙥㥣㕢愸㠴〸敤㌶〶攰挹㘰晢㘰〷㍢ㄲ㠵㑥㘸㥤㔱㠲ㄶ㌲〸户㜵ㄱ攴㥤ㅥ㌱ち㐱㙡愹昴昷㈳攲换㑦㌰㝤昳㐸㉥挹挴㑣挴㜰㔷㠶昵〰攴愶㈳㤳攴愲搱㈴㘰ㅥ㐹㌶㈵戴〶㤳㌲㥡ㄸ㐳㌴昹晣㄰户㜸ㄸ换ㅡ㈶摢搴㜰捦㉤戴愱㑤㙢敢扢慣ㄳ㙥愵㔶慦㑡愵㡡ㄳ㔹慤㌴昲戶挰㤷扡〲ㄸ㜱㔳挶扥挴㥢㜲〲㐷㈹㉥㤹㐸敡摤敥㌶㡥愰扢ㄲ㜲ㄸ㈳㔲㝤っ㐰㘶戸攵㔴㐰慣攳㥥〲敤挳摤捤ぢっ敡昲ㅣ㐴㕡㐷ㄱ㘵搹ㅣ敥攳㌵愲挸㡡摢㔲捤收扣㌹㡦㌶㝢慡攸戸ㅤㄵ㙤ぢㅣ㘱㥤㤱挰㉢ㄴ㘰㡣昴挸ㅤㅣ㈴㜷㌹㡥敥㕥㝥㔸㍤收㉥〳ㄵち〳㠲㌱㕥㥥㠲㜲搸㔵㌰ㄲつ㙥慤㘹㜵ぢ㐶㝦㘹㜹ㅢ㔳〰㠲㘱㘰ㅡ戴㘸ㄹㄹ㌸㌳挸㙦㙥攰摣㠰㔶ㄹㄱ搲㜴㌰㤵㌱捡㔱㌸散㠱㌴㜰ㄳて搲㑢ㅥ㤴㔰戸㐷㕤っ㑢敥㈶㡥㍢㌸〲㜹晥㔵㙤㠵ぢ㘶㠸敢㉦敥扥戶攲愹㙡㤵收㉥晣㜳摢〲慢戸扡ㄱ㤹愳㝢摡㉥㘵愹㌵搱扥扢戱慤㈲扥㉣㜸㜰㜶攲戸ㄹ㔶㔶ㄶ挳昵攸攲㔶慦㈴愱晦〴晥㠸つ摦㑥㥢㌹敦昲㈲敡ㅡ昷扥㜴挱昵㉥扡㙡㕥㝡挰㕢㝦愰㄰㕣愱散攷㈴㑢戹㝦攳㥦㑡㕡㑥晦㌱㐶摣捡戴㌹㐰搳㐱挲㜱㔴㡡愴挱ㄸ昲ㄹ㜴〲摢扤㜱㙢㠰㜴戲愷㡤㑥㤴㈰搸㈱ㄴ昷晣换㐶㈸攲㐷㐰㉢㠹㈵㍡㤲㘳捦㥦〱敢㡢ㅦ愲㠴〸挷㜳㉣㐶昴搷㈲㤷㠱㍡㈵挸攳㉢ㅥ扣㄰昲晦㠳愵㠴㥢㌷㘴愷晦〲㌳㡢ㅦ戴愳攸㝡愲攸晢ㅤ㈸ㄲ扣〶愲昸昷ㅥ㘴㤲愴㌳㍣晢愲〲攱㕣搳捥〱昴ㄵ扦昰晢㍦㍣㠰捥挵挴愱㙣㌴㠴摡㙥挲㜳挳㐴攸敢㌰ㄱㄸ扣㔷㈶挲㐹㘴〴愳昸㤱㠹㄰晢㐰收㔱戰戹㠹挰搸㕥㠶㈱㤸ち戵愶摣ㅡ㍣㠱㕤攵搰㍦㜶ㅣㄷ㙦㘵㠰㜸㍥㤴㔶㌰〳㡦搴摥捥攲〵搳㌷㥤㝤慡晣㤸㉦愱捣晣㈵摣攴㔶㕤搸攳㥡つ㙢㔴愷つ㝣ㄵ㠹㤷㝤挷㥦戲戵晢敢挰㔴㤴㈲昷扤㈸㡡挲㑢昰㤴〸㥥ㅢ㜲ㅦ搸昳慤㘳㝦㜸昰搱㈳扣慤ㄶ搳慡㝥㉢昲扤㠴散㘹㑦㈰愸㥢扡㈸㜲㈵㍦捣㌹㠹㑦㤴散搵㥡㥣㌶㝤㘵〵〵㠶㤳㘴㈳挲㑢ㄱ㘶㐴㝣摢挱挴挴扤㠷挸挴㥣㘸㜳㜷慡て㥢㤴㡢㜰㈲㌵㜱攵搳㑢挲㠶愲慢㈲敢搱摡搴扦〳㔵昴㈲㈷搲㙡㈵昲搴挹㈴挴户摢㜵摤㈱敡扡攸㈰挳戰㝦㈲愵㄰㝦㈰㠵愴て㌲扣㄰愰愴搴㘹㘴昴摢〰㌲㈲㙢敤㈱㕥晡〳㜶㠴㠰㙣㕣晡敢昱㈳ㄶ散㈲戰㤸昸攲㝢㍤搱搲ㄶ㑤㔴ㄳ㐳戵捡愶㔹㐴㐶ㅤ㕥㔸㌰㤹㤴㉥㈱㤳㈴晤㈰㜲㕢㜶㐷昱㈵㐳㑥ㄴ㜸㡢ㄸ㕢㜷攸㙢㉢㌹㜷扢㜵摣晣㠰㥥㈹㈸㠵攱敥㘶㌱づ愴㉡㐶ㄷ㌵㉤㐵㐵㠴挳㔱戶搱㘹㈰慥㠲捥㜲昷攱㔴㡡攰ㅦ扦ㄴ㘲晤㜸㜳攸㉢摢㙢愸攳摣㝥㉣㤰㍦搸㕦搷㘷㌰㌶摥㑡㡥㠱㠴摤㔲慢㘲㜴㍤晣っ扡㜰搱㌹㘱㌴戳敡㔹ㅣ挲㥦㠴戳晡戴づ晤捦攸戵攲慣戳散捤㌰㜶㡢晥㝦㌷ち㌶搵晦㠲戱㌷㠵挸昷挴ㄹ㍥攸㡣㥦㙣ㅡ戲攱㡥挰戳㡤攰㡤㍡ㄸㅢ㉡换㤰㜷㤴㕢挴挷慢㔱戵㤲攰昰㝢攵摢慦㐶㌴晡搲戶ㅤ攸㉡〰ㄹㅢ搲㥦㠱〸敡摡扦㔵㙥㈵愷摢挲㝢搱㜱捦㐹扢攲㝢㠱㘷㠵㘳㡢〸晡㡥昱摢㌳ぢ㌶捦㤴昸㐶扢㔰扢ㄱ㍢㌱昸㝥昴㌹㌵て㠱㝤㑡㠶㉦㔷㉣㤲㤱㠵慤㐵㌲昸ㅤ搲㐸㉡扣㐴敤㄰㕣㘱摤㕢㌷㙢昸㜴㜵ㅥ扥捥㤰㐵摢㐲搹㐵ㅥ攷昶ㅢㅡ摣㍡摣搱㝡ㄷ晣㐱戲㌶㠱攰㤸㕡挲㝢摦捦㝤㙤摦㠳搶戶昱摡〲戶散捤攷㔶搲㥦〶㑥户昶㤶㔶㤲攱㍢昹㐵㜲挹㈸ㄳ攲搲晥ㄱ晣摤扡㠳㤶愳㡤㠲捥攳て扡改〸ㅢ慦挱㝤戶㠵攸昷㌹㜴ㄵ㔳〴昸ㄹ㘶㥣攱㠳愰㤷㡦慣㈸扥㠶㘵㤱〱㤰捦ㄵ㉡〰摤愹晡挹㡤愸㝡攴ㅥ昶㐴ㄲ㍣㘳㤰ㅣ㑢攲㉢㘸挸敤㡡㤶つ㤶攰戲㠵㍡㑢㈰㙦㈴㍤㤰捦〹㥥㈵搴㐴扥㠴づ㡤㠹搸㈸敤㍥㤱㉦㙣㌴ㄱ㐱㉢㐰㉤㌴㍤晥㐸愲㐵㡣ㅡ慡つ㠷挰㈵昰〰㐶ㄲ㘵㌲㑣昹㐸愱㔳㠸㘲っ㍦㈴㡡㤰㝥ㅤ晦㝤攱挸昳捦㌱晤敤㠸㔰ㄲㄱ㔵慤慢愰㐴㔴慢昸㜴㝡ㄵ㍥㑡扢慦攲㤳ㅢ慤㘲㠴挲㤲㌳㌱㐲㠰愱㍥㔱挶ㅦ戵慡㍡㌲摣㔰晥挴㌹〲晣㕡㘶㌱㘲愲㐴昵扤㠸っ晡㜲攷㔵慢㑢挸㈴㝤㜵㙥㐴挶㔷㍥捡㔰攲㡤㐸㍡㜵ち㤱㔷戶㄰愹挷愲ㄳ扢㘳户㠵㤰挰㤲昸搹㙣㔷搹㕥攸㌱搴㉦ㅥ㑦㄰㜳晣㜸昲〹㤵ㄶ〷㥦㐰ㄸ㤱㘹㑡㐲攲㐶㡡て㈷㡤扦晢㙣搳㜷㡡ち㈴㔰㑦搴㤸〴愷ㅡ㍦㤶㌴㍥㠸捦戳㔴㥢ㅣ慦ㄲ㌰扤㤰㌴㈶㘱慡挶㡦㈶㡤晦㝡㜰㕦愳㜱㐲㠷搱挸㍡㠹㈴挳攸㔵挷㠰搴愷摡挳㘸慥㕢㔴愴〳㔶㔴㑣ㄱ慡㘲挸㌵愵㑡〷㜱㉢挴挷挷搲㜳戸攴㠴扢㈰㤰戶搱晦㌳攱〴㉥㍦捤㥡愱㠹㙦愱搷㄰㜵昶つ昵挴捥〵㙢摥㐷㐱扦㜵㈲挰攱慡扡慤㐸〴㜶㐱㍥摡摦㑤扣昳ㄹ㌶㘴㜳㍦㤲㘸㤹挶换㈴扤㘹ㄱㄵ㘱挹㡢て㈶㤸捤㍤搲愴ㄹ攳㘱㈰〷㘲ㄲ㤰ㄹ攳ㄱ挰㈸㈲戳㠷〵㈳攴㝦挵摣ㅦ㘴挵㠷〸ㅥ〵㈸〹㌲㍢改愰昰ㄸ挰㜰昲㝦慣ㄸ㕢㔳㡥ㄳ㑤㍣㤸扣㉣㑤㐶挶攳散昰ㄱ㠰㍥昸㜱㐵㑣㠴㈵攳愳㈸㐹扦㤴㠲㐳扤昴攳慣昸〴挱㈷〱㑡㍡㈷扢攵㕤攳㥡㝡㔴㘱㥦㐲㔷昱〸〱㝥挶愷攳っㅦ㜴敥挳摢扡ㅢ捤㍣ㄳ㈷㕦昸㈳收搹昲㈹晦摤昸㌴㝦㥤㡢敥挳晦㤹㐴㔷ㄶ㝥㕥㝢㙢㙦㘳㤱〹㘸㥣慢摦㉡㌶晢㈵㡣挳㜵㌵㐳㈹ㅣ㤱㑡愵愸ㄵ〴昱捤〵ぢて㙦攰㕢づ慢ち㈱㐸〳慡挲㡤㉢㡥愰挰昸㉣㥢ㄲ挷挴㤳昱㌹㍥ㄱ戵㙡ㄳ㍦ㅦ㘷昸㈰㠸㔷搵晤晥戸㝢昲㐲攲㕡㔵搸㙤㉦㈴晥㔵挵㑡晡㠵㑦㜰㌰㠵㉣㘴㕡戵ㄲ㤱愶㘸攸㉢挸っ昵つ㜳㙥昷攱愷㕤ㄲ㤵㜳搵㜳攷晥㌹㥣ㅦ扢㈶晦敥㜷づ㍥昱挲慦晥昸㤹摦扣敦昰㕦晥昵攴㤳扦昹搳㘷㥥晢搷㑦㤶て晦攲改愷㝦㝥捦搷㥦晢攳㙥敢㈹敤搹㝦捥㍤昵搰攴㠵㠷ㅥ戰捥摣㝡散愱昷摣㝦敦攴挲ㄵ攳㝤㝤晤晤㌷㡦晥昲敡㕢㐶ㅥ㜹攰〷攲㘷扦摢敢ち戵㕣扣愰㜵ㅡ㕣戶㥡挶㔷㤱挱㌴㌸攳㔷㜴ㅡ㕣慥摡愸攵㜸愳愶㔱㔰㠴㜳㠳ㄳ㔰ㄵ㘶㙢挵挰㝦〰扡㑣戳慥</t>
  </si>
  <si>
    <t>㜸〱捤㔹つ㜰㔴搵ㄵ㝥㜷㌷扢搹户㐹㘴㐱〲㐲昹〹㠲〵㥡戰ㄲ㐲㄰㝦㈸㘴㌷㍦挴㐰㠸㈴㤰摡㉡摢㤷散摤攴㤱摤昷攲㝢㉦㝦晥戴搴㕡㝦攸㜴愶晥捤㐸㔵㑡㕢挷㔱换㔴愷㔵㘸㙢㕢ㄱ㍢㔶㍢㑥㙢搱搱摡愹ㄵ摡攲㑦搱㍡㍡搰㡥㡡愵攷扢敦㙤昶敦㘵〵㑡㘷㝣捡挹扤昷摣㝢敥㜹摦㍢攷摣㜳敥㑡㑣㤲愴ㄳ昴攰㉦㥥ㄲ㌴㘶㜵㡥㤹ㄶ㑦㠵愳㝡㌲挹㝢㉤㔵搷捣㜰㠳㘱㈸㘳敢㔴搳昲搲〴㝦㑣㈵扥改㡢㤹敡搵㍣㄰ㅢ收㠶㐹㤳㝣㤲ㄴ〸挸ㅥ昰㥤㝦愱㜴㐷挶㉡戹〴㠴㘶㐹㌲㈶挸愵㈰〱㈲攵㌲㤱慥㘸㘴㐳捦㔶摡慥搳搲つ㕥㔳戵搹ㄶ扡慡戶㌶㕣ㅢ㕥㕥㕦扢㉣扣戴愶㉡㍡㤴戴㠶っ扥㑡攳㐳㤶愱㈴㙢慡㍡㠶㝡㤲㙡㙦ㅢㅦ敢搲〷戸戶㡡昷㉣慤敢㔱㤶慦慣㕤㕥㕦㥦戸昰挲㤵攵㐱㤲摣ㄱ㡤慣攵挹㐱㤲㜷愶愴㤶㤱搴昶㘸愴挳攰㠹㌳㈵搳〷㠴㙡ㅢ㜹慦ち㈸㌹㌷㔴慤㉦ㅣ㡤搰晦㔹愸㔰敦㠲昰㠶捥㑥慥㤹慡愵づ慢搶㤸㐰㌳戵愱户㘷戳㤲ㅣ攲晥㤴㔰㈹㤰摡慣ㄸ敤㑡㡡㔷愴㌶㤹㝣愳愲昵㜱昴㝣愹㤶㈱㌵㕥㐲㥦搸扢搸㙤㈳〷愴昰㠶㘸㈴摡慦ㄸ㤶㄰〹〰捦㜷㥢㉤㜶ち㘷愹㈲搶㠸㔱挰挳捡ㅣ㈳挲㥥昸扥㜲㌹㐸〵ㄱ晦㔹㐴捥捥㕡㔹㈵㤶㔶㉤㘷㈵敦㤱㈹㘶㉦㠴㈴㑦㑣昱挴㝡㍣戱㕥㑦㉣敥㠹㜱㑦㉣攱㠹昵㜹㘲晤㥥㤸敡㠹㙤昵挴〶㘸㑥晡〹㤴㤶㝡㥣攷搸搷戴晥㕤晢戴戶ㅤ扢㤷㠷晡搶ㅣ扤㠵挱晡㠴ㄹ㠶愸㈱㑦㈶攲㥦㐲挴㐵㤱ㄵ㡣扤㐳㡡㐰㤹晢扡㝦搰㜹㜴捦晥愶㐷㉢慥㍢㝣㜰㐱摤㡦ㄹ〰ㄷ㔲愶㐲㑡㈵愴㑣㜳㤷㔲挷搸㕢㡥㤴㥤慦㠴づ扣戴昶昹戶ㅤ㉦ㅤ㜸㝡扥昲㐲ぢ㠳晤ぢ㈹攷㐰捡っ㐸㤹改㉥愵㥥戱挳㡥㤴㝦づ敥昹㐷攷㤱挰晡扢敥慢㜸攳㥥户敥㔹挱攰㐰㐲捡㉣㐸㤹つ㈹㜳摣愵搴㌲㜶挸㤱昲挱愶㔵攱摤昳㈳捤㜷㥦晤晣昵昳搶改户㌳㜸愰㤰㔲㐵つ㜹ㅥㄱ晦戹㐴㕣㜰㔹挶搸慢㡥㤴昳扦㜵换㤶摢㉦㌹戱昶捥㥦慣㔸㜵攸晤㠵㡢捡ㄷ搰㤲㜶戲㥣㜰㍢户捥㤰㥢昹㘰㌱㈷㙦愹㤸敤㑢搹㠶摥挸捤㕥ㄹ㕥搰慡挵昹愸㥦㕡攴ㅤ攵愹愸慥㔹㝣搴㙡㔴㉣愵㌴搵愱ㄸ㕣戳㘴㥡㔴㉤㔶搹㉤慣慣㄰㘳改搵㐱愷㐷ㄲ㐲愲㤹㈵愵㑣っ搸㤲ㄸ㠵㑥㙦㠹㑤〳㝥户ㄸ扡㔶㌱晢㉤愵㈷挹ㄷ攴㌹ㄴ㜰㈳ㅦ摥㘴愹㐹㌳㑣㈲㕢っ㝤㘸㄰㠸㥥㈹㌹昰㘲ㄹ㙥攷晦㉣ㄱㄱ昱昱㤷㌶㔸㈳㉦愴㍦㐱挱㤴挱愴て㝣〲㥣っ慦扣㥡㍡愴㘲愳㥥㔲㔴敤っ㝤摣昲ㅡㄲ㝡㤹ㄳ㈳ㅡつ㘵㠴攲㕤㐶㌴〵㝢晣昷挹〱㥦攲㝤愲㍥㜱㐱愲戶㌶㕥扦㔴愹㔳㝣〸㌰愷ㅡ慦攰捡攵愹㙥㔵㡢敢㈳㈲㠰㑤㐹㔱㜴ㄲ㐱愹㙢㙣㤰㡢愱昲㐴㤷㘲昴㜱ち㡡㐶㙢攳搴㐴㔴㌷っ㥥㔴㉣ㅥㄷ〳㌸ㄸ愷攷づ㥡捤㠶㥥挲昸慣㠸㘲昲㑣㜰慣㑥搸ㅢ㐵昴㈱㉤㙥㝥挶㥤搹㘹㤱攸㤹昹扣㡣㤰㠲㘵㥤㜴㘰㜰㔳㘸㍡㈷㝦㤹㌰晥㠶㔱搵㘶捦捥㘳搳㤱愱昷㑣捣㙤㌶昸㔵攳摣〲㡤ㅡ㈸㍢ㄸ收攰ㄷ扣愵捤戲昵愲〰慦㥢㕣ㄳ敡㔵愷㍡搴摥〱㙥㜴㜲攴ㄶ㍣㉥㕥戵ㄲ㉣㑥晥搸换捤敡つ㠰㥥捥慣昸戹搹愳㠹愶㔱㡢㤳㌷挷㐹㕦㍡换慤戱㉥㜸搲戴㥣㈹昶㥥挴㤸㤱㌳摣慣昷づ㤹昰㕡㐳㑦收㜲ㅡ攲挳ち敤ㄹ㕦慦挷㜹㐹㠹挷㉢㤵㐸㈵㜸㈴㍡㈳扤攴捡㑢昳ㅣ㔵ㅣ挸㤰㙤㘶㥦㝣㔹㤶㠳〳慢敥愴ㄶ攵㥡ㄷ搶戹㠵㡣昱戴㡢㥤㤳敢㉢攱㡤㠴ㅥ愱㤴攴㜰㈴㑦㝥㐴挹㔲㌴㘳㌵搸挴㌵㥥摡㙦㤴㠵ㄹ散ㄶ戳ㄷ㑤晣㉡㐲散戸㘵晣㝦㈷㝢㍣㘷㍢㙦摦㌴㑣㌱㝢慤愲挵㤳摣㈸㡥ㄷ㌴㤲㤷㠰㠴㐱捥㈷ㄲ㤴㝣捦㔳㜴㥢㄰㐹㘴〸㙣㤴㡤昹㐶搴戸搵敦敦攷㙡㕦扦㐵㘳㤴搶〶〲㈲㕥搱㌹㘹㔰晦户ㄴ敡摦㐴愶㉣搷㠲㉣㈳ㄲっ〶㈵ㄱ㍦晤㐱㜹戹攸㑢っ㠹〶㑥㈵ㄹ㜹㐶㘱㜰扤〰搳㡡昱ㄸ㤲ㄴ〴㌴昹㘲㤰㑢㐰㔶ㄱ〹㑡㙣㍦扤〷摥攵㐳捡戰挱㑣㙢挴攴搵㤸戵〶戳戲㌴㡡㠸扥挴㐴愴挳〴攴㉣㠵ㅡ㌵㘱㕡㌱ㅥ㐳挲㈳㌴㙡㠵㠰㑢㐱摡戰㐸㘲㡦㍡ㅡ㝤㤵㌰摡㐱㐳㘹㡤㈴㜹㍤㘶戵㘳㔶㤶㐶ㅤ愲㉦㌱㈴㐰〲㈳攴㍦㠵ㅡ㜵㘲㥡㕣㠴挷㤰㍣〹㡤扡㈱攰ぢ㈰㤷㘳㤱挴敥㜷㌴ㅡ㈳㡤ㅥ愴愱㡣㐶㕦挲慣㉢㌰㉢㑢愳㉤愲㉦㌱㈴㔳㐲㈳攴㔲㠵ㅡ㈹㤸㈶ㄷ攱㌱㈴㘲㐲㈳づ〱〹㤰㍥㉣㤲搸㕤㡥㐶慦搱㔷㝢㤷㠶㌲ㅡ愹㤸戵ㄵ戳戲㌴㑡㡡扥挴慡攸慦搰〸㜹㔹愱㐶㍡㡤〶攵㈲㍣㌶㡦㘶〸㡤㑣〸㠰㐹换㐳㔸㈴戱敤㡥㐶〹挲㘸㍢つ㘵㌴ㅡ挱慣㔱捣捡搲攸㙡搱㤷㑡㤰㌳戸戹摦㜸㠶㠳搴㌴戸㑥㔷攲捤㑡㉦搵㜳愵㑥㌵ㄷ㠸敡愹㐱捡扢㡣㄰㘶㐶㈹敡㔲㌴ㅦ㔶攳摣〸㘰愰㤳捡挹ㄲ㉡收㑣扦㌸戳㐸㕢慦㔷昲昹捡〲㙥㝢戵愶㘵㉤㜰㘲㐳㜶戹摡㕡㈰晦敤换㔶慥㈶搸改㜵攸㔵㈵昹ㅡ㤰㙢㠹昸㤶㄰㌹攵㌸㍦㠹ㄶ㑤㑢㜵昶敢㈳㙢㈹㐸㜰搳㉥㤶捣愸愱㕡搳ぢ㠷㈹㐱㔴㔲㌳挴㜸㡢挱改㘸㌷扡攸㠴ㄳ敦㠸ㄵ㌳㕤㌹㘲搱㑣ㄱ㘶戳づ㤸敡挴㘶㤵㡦㈰㉤㤹㕢挸愲㙡㉦㍡㘴㕡扡挸㘷攷ㄴ昲ㅢ昵㜶摤㙡㔴捤挱愴㌲戶挰㠵㙤㜳扡晢戹㐶愷戲㐱㠷昳㈷㑤搲〷〷㜹摣㐵挷㑥㝤挸攸攵慤㡤㥦㠶㜳㥤扥㤴晤㌰㜱愴戳〰昳㝢ㄸ㍤愷㜷愴㠸㜸㈳㕤㌳昵㐷㉤㠷慥扥㘱戵㥦ㄲ〵㐶づ㐲㉥攲挳㌱㜳㍡㐷㍦㡡攳㡡㥣㠴戳ㄲ㘵晢㝡扡敡㔰〷㤳㍣愲ㄸ㘴搸扡㘱捡愹㜴搳㌶扣慣〲摡昶㤶㑦〳搸㤴㍦搹㤹㔳㜸攲捣㈱㑢㜱㘱㠳㌰㘶㥣搶㙣㙡㕥㡡㈳摥扢〶㥣搳晢㔶扥慦㔳㜴㍢㐵㐵㜰慡㤷づ愳㕣㡣挵愴〰搴挲挳㝣搷㤳㈸㔷晤㤰㌴㤴㘸戸㕥ㄱ慢㠲〳㥡㍥愲〹捤㝤㈶戲㜸㤱㈶㤴㤶攲㌵㔰㠵㠹愷㍥㙤㌶㤲て㜹㐹戵ㅢ㔶㜶戵㌵㝥晦搳ㅡ愷挴挷戹昰㈹挷㠵㑦㤷挱挵慤㑥㐰㜴〸挲㡡㔴户㙥っ昴攸晡〰㙡攰戳㐴捦散攷摣挲つ㑣㔹捡扥㐶㐲㥢㙣摦敢捤戹㘵㜱㜰〷戳㥡昴ㄱ㐷㡣㝦ㅢ戵扣捤㐶慦攸戱慦搰晢攳㐲攴慤㘷昶摥㜱攴昵昷㥢㙥摤昹㝢㜹㜵晦㉢昳搹㜵づ攳戹扥㤷晡敡㥦㌹扡敥敥昰晣愹㔳㌷㝣戸搸㠷搴攸愴搲㔲愴㐹㤳ㄲ攳戱慢㑢戵㤲扣㉣㘱㥢〶摡㠱〴㐵㈳㉡ㄹ攲愵㠹慥㝥㝡敢挶㡡㐴㡢愱挶㤳慡挶㘱㍡㔴㡣攱戶㙡ㅤ敦愳昲愰㐳挷捤㤸慥㔵㈴扡っ㐵㌳㜱搶㘸扤㘳㔳㜲㝡挲㕢㝣㠹㠸慡㤹戴㡤㠸㤷㘸㑦㑡㈰㥣搳㤷ㅢ㑡㘹㉤捡愰昹㘹㜰㈷戲㤳昴㘳〷㉦て昳㜸㔸挰ㄳ㌸㑤㡦㤰晣㌷㤰扣㠵㔹ㅥ㜸㔱㤵㌰摢㉡㉡愹慡㑣挲㤱㉦㡡㈸摡㐰㔵㔲㔷戴挵㔴㔷㜸㐴扣昳㈰挳㐵㈲㐰㘱づ捤㤳㉦㈲愰㝦戹戸㤵㜴慡㍢慦摢㔱㍥㕥攵挰摦攴㙦㄰㘱挸愱㠵敢摣攸㌴搰㘱㐸㤹㤱㝢攴ㅤ收㌷搱㤰㝣㌳㈶㈰ㄷ挶㠱㍥㘱㤸㘶挸愲ㄱ慡搹〸ㄹ㉥〲〴戵㈵挶㠶愹〵ㅦ㜷昱㔱㠶㥣ㅢ㝥㉡㍣㐱摥㤶㙥㌱㠳收挳㈷㥡㍥㜷摤昱攱㠷㌷㐵㜷㝡㘲㙣挶ㄵ㙦晣㡤㕤攵㌰㝥昶攷㤷敦扤晥愳㉢㥢ㅦ㥢扤㘳敥戵摦慣ㅣ㘵㐸捥攱ㄷ㤲晦摢㐴ㄶㄷ晤づ扤扡㐶ㄷ敢㤶㑡㔵慥敢㤷㘰㙢㐸〴扥㠶㝣㉢ㄱㄶ〱㐱敦㌶愷㈱〰㐳㐶敦〲搸敤㤸㜸〷㈶戶ㄲ㈹づ搸愵㌴㐳〰㌶㐰㙦㤵〱㙣㉢昵㈶〲慣㡤㤶㡣〳收扦㡢㝡㤹㐰㤲㜰戰㌹㜰攳昷㙦ㄹ㝤挲㘸摣晢挸㐳㉦捦㕥扣敦〸攳づ㘳摦㘵挷搶摣挰て戶㍤扥攵攳㝦摦㝦攴㜸㡣慤愷昵㌶㘸昷㔰㙢㔶㌱搰摣㉣㤶愱昴㄰㌸摤㑢つ㠶挲㐳攰戴搳㘹〸㥣㔰㘷戸攰昴㕤ㅡ㤶㜷㘱㈲慡㡢攲㌸愱昴㄰㌸挵攸㐵㌲㌸㙤愱摥㐴㌸愱㔰ㄹ挷㈹换戰扥攸㐰㔱晡昹㈹扦㝣攴攲㍦㌴㙤晦昲戳㝦㍤昴挴慦㜶戱换ㅤ挶㜹ㅢ㥦㕡戹攸㔸㜵㜴晢攲挳晤㡦㙦㝡㌹捡㔰搱搸ㄸ㍤㐰慤昳㡡㘱戴愸㘷㘸慣㠷攲愹扢㔱㕤㐱换〵㔸て㔲㠳愱㈶ㄲ㘰㍤攴㌴〴㔸ち㜵㕣挰晡㈱つ换扢㌱ㄱ㠵㑦㜱戰㔰ㄵ〹戰㍡㜳挰摡㔸〴慣㍥㕡㌲づ㤶晦ㄱ敡㘵㡣慡摤挱愵挰愸搶㍢㡣㌷昷㍤ㅢ㝤敥攱㍢㕢昷扥㜷攰搵搵㌵㝢㉡㤹㑡敢㙤挰ㅥ愵㔶㈸〷戰㤶㘵ㄴ㝤ち㐳ㅦ摢㑡㌳〵㌶㡦㔱㠳㈵㐱攸㥦扣挷㘹〸㙣㜴敡戸㘰戳ㄷㄳ㝦㡡㠹㈸挱㡡㘳㘳搱っ㠱㑤㑢づ㌶捤㐵戰㐱㌵㤷挱收ㄷ搴换㘰ㄳ㤹〸㥢〶㠷㜱㘵昰㝢㉦慥㑢捣㙣㝢㘰敥捤摢摥㥢戳扤㥦愱昴戳戱搹㐷慤㔳㜷㌸㔴㡤〲愷㈷愹挱㔰㌳ち㥣昶㍢つ㜴㐲愸扦㔰㡥昹㥦㈲㜲㔶㌴ㄲ换扡㝤昲晦㥡挶㈶搳㤸㥤戳愴㔳㥦搰戵捥ㅡ昱㉢㤲晣㌴昵㤸㌸㉢愸㈱晦㠶㐸晡〹攱捣㐰㕥㈶㍦㐳愴挲ㅢ扡㠹晥㘰㌳ㄹ㥢挹㤰ㅥ挲㘹㈱㠶㈶㘳攸㌹㈲散㔶㄰昴㜲㘴摤㐶㈳㐲搶敦愸㐱戲㄰㍡昳㘴㈱㤰㡡㈱摣㡥挸〷㠸㌰ㄱ㙡搰㝢㠱㐸晡〹㈱攴〸㔹㉦㔲㠳㘴㈱扣攴挹摡㤵ㅥ挲扤㠶晣㐷㈲㑣㜸㈲㝡㌹㝡挱㈳㠵慣㍦㔱㠳㘴挱晢昲㘴挱ㄷ挵㄰㙥㈴攴扦㄰㘱挲㜲搱㝢㡤㐸晡〹挱㠲㠵慣㠳搴㈰㔹戰搶㍣㔹戰㕤㌱㌴㡦ㅡ昲摦㠹戰㈷㐱搰㍢㑣㈴晤㠴昶㔳㑢挸㝡㥤ㅡㄵ㕥㠶捦〴搳昴扦㠱㝥㐳㌲㔹㤵㑥㔳㑤ㄹ㐳晥㌷㠹㔴㐶改㡥㝣挹搲扡㉡昱换挷㤲ㄵ㜵攱搱愴㌹捡愶㍢ㄶ㍡㝤慣攲搲㜷㔶敥㙥㝡散㍢㤱㜷㡦㉦散敥㘶搳ㅣ㐶晥㡦㝣愱㌴㐴㍥㝣昹㡢摤昲敡㠲扢捥敡晣㡢攵㈶扡㈸ㅥ挳扢㝡改㉡挲㈷戲挵ㄲ捦㐵愷㈷㉢㕤摢㈰戱昱㔵㤲搶晦㠳ㅣ㘰㥤㕢㥡捣愵ㄱ昹㙤㈲っ〶㉣〲〰㈰ㄵ戸捡挰㤵㑤㥥〸挱㤰挳㈸昸㠱ㄳ㘶づ昰搸㈴㥡〱㡤挵㈶敦㘳〴㤶㍤扥㠹晦㈸昵㉡攸㘷㈱㤱㝤ぢ㤴散㉤㠳ㄳ㙤㈹㍢㡣晣㕦㐳㐳㘹ㅦ㘱㜰ぢ戱㜷㈰㝢敦て戰㌷㍣㘱㝣敦慣ㄷ㉣㤹㘸㌷慦挳㈸昸搵ㄴ晥㈲㌶昱㘴㙦㜲〲㥢挰㐵㌲㥢攰〵敤㔷晡昸㍦㜶愲㔷㘰㠷挷ㅤ㐶晥㡦慡愱戴㝢戱㠳㈴㐴散昶ㄱ㑤ㅤ㠷搳㑦摦㤲挱㠹摣㜶晢搷㐴扢ㅤ㜳ㄸ昹㍦扥㠶搲づ挸攰㜳㘲户愳搹扢㔵搰㙥㍥㤸㐹㝥〱㡢晢戶㘶㔸㝡摥㡤㜷㔹㔹つつ㜶敤昸昹㥡㡦敢慥㙣㘰昸昸㔸㍥㍥㠰㉦㤲㌳〰昴㜲〶昰㠲㌹〳搰㈱㝢愰散扦㠰ㄸ昷㌰</t>
  </si>
  <si>
    <t>㜸〱敤㕢㝢㤸ㅣ㔵㤵敦摢搳㕤搳户㘷㈶搳㤰昰づ搰㑡㔰㐸㘲敦㑣摥㠰㌱㌳㤹㈱挹挴扣㘷〲慥㙢ㅣ㙡扡慢㌳㑤晡㌱㜴搷㈴㌳㄰〴㜱㜱摤捦昵攳〳㍥㜴㔹〳昸㔸㜰㔹摤㘵㜹㉤扡愲㠸㠲昸〰㕣㔱挴〷㈲㄰ㄵ㔷㤰㡤慥慢敥㠲扡扦摦愹慡㤹敡敡㥡㤹㈴挶㙦昳㠷㌵搳愷捦㍤昷搴扤昷㥣晢㍡攷摣摢ㄱㄵ㠹㐴㝥㡦㠷摦㝣㘲㐴收昶㡦搷㙣慢㤴改愹ㄴ㡢㔶搶㉥㔴捡戵㑣㜷戵㙡㡥㙦㈸搴散㈶㌰ㄸ㠳〵攴搷攲㠳戵挲愵㔶㘲㜰户㔵慤㠱㈹ㅥ㠹㈴ㄲ㍡捡㝣昷㤳昲ㄲ㥡㙦改ㄸ〱戸㈲㥡っ扡㤹㈰〱搰慡〱〶㝡㔶㙦ㅥ扡ㄸ搵昵摢㤵慡戵㌰㝤㠱㔳攸捡捥捥㑣㘷㘶挹搲捥㐵㤹㡥㠵改㥥搱愲㍤㕡戵㔶㤶慤㔱扢㙡ㄶㄷ愶户㡣づㄵぢ搹㌷㕢攳〳㤵㕤㔶㜹愵㌵搴戱㜸挸㕣戲愲㜳挹搲愵昹㜳捥㔹搱㥡㐴挹㥢㝡㔶㙦愹㕡昹摡㤱㉡戳㠵㘵㙥敥㔹㥤搹㘴搹㐷慡捣㔶㤴㠹㈲㝢㉢㈵戳㔰㍥㐲㠵挶愹昴愵扤㔶戶挰摥戱慣㙡愱扣㌳㠳㘶搷㈹ㅡ愹攵㤹敥㕡㙤戴㌴挲㡥敥戱㡡挵㙤㔶㥥扤愲㑢扤㌵㝢㡢㔹㉤搵㕡㑢搴㥦㔵戵捡㔹慢㌶慢㜴晥㔸搶㉡扡㡣戵㐴改〲戳扡挹㉣㔹㌱㈲敤㈵愷て晢㜲㔶搹㉥搸攳㙤愵敤㌵㙢㥢㔹摥㘹㤱㈵㕥㕡㍢㕡挸愹㔸っ晦㤱愶搷㠷戵㑣㍡ち敤㈹昵っ㥢㔵㕢㔲散挲捥㌰㕥摦㜰ㄱ㈹敡摡挵㈱㤵づ扣挵㍥敢㉦㤴摥㙣㔵换㔶㤱㤵戰㈷ㄷ〴㤸㐴㐱㑥㍦㑣㘸捡ㄳ㠷扤愴㕡摣搹㐱㔹㔸㡢搱〶㤰搹㔴愹㤶㌰㈰㌷㕡㘶㜹攵愲攵换㌲攷㉣敦㕣戱戰摦捥昵㕡扢㤱捥㉣㐳㝡昹㌹摥戳㑣捦挲㍢扡㥤㙦愷〰㥡搶㉤㕡愱㡦㈱改㔸〰ㄵ晢ㄹ㘶愴扦ㅡ戶㌳㍡㘸㐶〷㠷愲㠳搹攸㘰㉥㍡㘸㐵〷昳搱挱㥤搱挱攱攸㘰㈱㍡㜸㜱㜴㜰ㄷ㜸扣㈷搱摣ㅣ㜵㥦扢㍥㜴挶慡摢㕥昷昲㥡㍢㥥戹昳搴㍤㍢㉥晢㤴攲㈴㤴㌹㍣〷挸㍣㝦戳㔷㜴㘴㔶㉣㕦摥戹搴㙢昶㡡㑣㠷愴昵㜱攰搴挷〳ㄸ㈷〰戴昶㕡㈳㔵っ㉡㤳攳㐵㥦挸扣㤳〰㤴晡㌱㕡捤㤶摦㘲敥晢摣搷捥摢扢晥慦㘲捦㝣扡愳慢㜸扤攲㤴㤷㉡㑦〱㤲昶㔷戹愸㘳㜱愶㘳㠹㔷攱愲㡥捣攲㡥㈵㝡㉥㡢㍣ㄵ挰㌸つ攰〴捣戲㜴搶ㅣ㈹搸㘶㌱㙤㡤㡤㔸攵㕣㠱㙢㠰㍥㥤㙣㘹〰愵㝥攰搶摣㤹扥敤㐰攱戳㡦慤扥攷敥㙢㍥㜱攷㠹㉦摣愰戸捥㐸捤慦〵㜲昲昶㜲㈱㡦㙥㕡戸戱㔰㕥搹㤱改㔸戴㝣攱㐶㜳㡣搸㘲㝤〶昲昵㍣〰攳㑣㠰㌹〳㔶戵㔴㈸愳挲㥤搵捡ㅥ㝢㌸㕤㌵㙤㑢扦㡥㍣慦〷㔰敡摢㙥㠵〳㔷㕦㝢㘱挷昵㕦㕣昷攱㑢㈳晢ㅥ昹挰捡㡣攲㥡㈶ㄵ㥥つ㘴㐱愰挲挵ㅤ㥤ㄳ㌵㉥㔹摣改㡤〶㝥㉦搳昳㔹晡〲〰㘳㈱㐰㝢㑦愵㘶愷㉢㜹㑦㜲晤〶㘶㘷〰㤴晡扡㕢昹搹㔷捣愹㍤㜹换㡥㌷㕦㍤㥣晡㔹攴㠵ㅦ晣㜷㥣戳㜶㜱搸㜰づ捥㤴㌵㔸㘱戳㘶捤㜶㈷㌱ㅢ㝤㘴攷昸捣㔳㝣㑤㌵晢挷㥦攲愸攴㠸㑣㜱摤㐱敤㜷〲ㄸ㡢〰收敥㌶㡢愳㔶㝡挴慡愶㙢㔸愶慣戳戲㤵㌲昶㐰扢㌰㔴戴捥搶㡢挹扢〴㐰愹慦扡㍤昵愹愷㥦扡改慡㔷㜶慣戹昷搴ㅢ㑦摦晢摥攳挶㕡㤷㈱㝢慢扢㡥昴㔶捤㍤㔸㤹㈷ㄷ㝤散㜴晣㥢㜹户挳㘶㤷㕦㥡㕦㥥敦散捣㉤敤㌰ㄷ㥢㜱慥㉡〷扢慣㜲摤㘹捤㕦㔸㈸攷㉡㝢㘴㥤㥤扢摡慣㔹㤳㝤戲挰捤㕢㕤ㄹ㉤攷㙡愷㠴㘷昶摢㤸ㄸ㈷〷昳㈶ぢ㘹㜸慤ㅦ扢㤰㔵㤳晡㑥ぢ扥㜶〱戵摡㍤㔶㜰戲㑦つ㘴㘳て慡っ㑤㥤扢愶㙡㕤㌲㤱摢搰愲㙥㔸㌱扢愵散〶㈹㥤㉣愷㕤改㥥攱㑡捤㉡㑢昳ㄶ㤴戶ㄴ戲扢慣㙡扦㐵ㅢ挸捡㠹愸挷㌱换摤〸ㄷ㙣㉥㐳㔰㙣㙤戹搷晡愹昹昳挷㙣慣㔱㔶づ敤挵〸戱挷〷㑣っ㡢攳敢㔸㥣㍡㤱㜱㔲ㅤ㜹㑤㈵㍢㕡敢愹㤴敤㙡愵㔸㥦搳㥤摢㙤㘲昳捤㙤慣攴㉣散㥤㌱㍥ㄱㄵ㘹㙡㔲㉡㌲㍦㙣挶戳摣㕡㐶㍡挲搷挵摣㑡㑦慣ㅦ㜶㤹㙤㤰づ㔲ㄴ㉤㡥挹攸扣ㄹち㤳㜲㔹捣搹㔳㌳晡㘴愲挱㐸敥戳愶收㤶㌶㑥昴摣ㅦ㤷㌹ㅡ㥤敤㑡㝦晥㙥ㄸ㈸敢捣㜲慥㘸㔵愷㌵㜷ㄵ㕢愴㤷〳挴扦㠴搹㍣愵昶戸慤慡㌱㌵ㅥ摦㔳挸搹挳挶戰㔵搸㌹㙣㠳〶㤳㌸㤱愰㙡ㅢㅥ㝤づ㐸晡㕣㠲昳〰㤲挹㠸昱㐶㌲ㄹ㐹扤搲㐹挷㘹㈰ㅣ扡改㐳愳㕢㡢愹〵扢戸ㄶ㉦㘱戵慦㌵㌵㠵㐹戹捥慣つ摢ㅣ㥥搳㘶搲挸搱㙦㈲㔸〵㄰愷㥤㌲愳㘵挵㤶挷㘸㐰戶㤵㝡慤扣〹戳㕤㘶户㌲攳㈵挷ㄲ散戵㙡㔹㑤㤳戱て㜳㘵捣〰㠶挹摦㕡攲攸户挶散㕥搳㌶㥢㑢㌰㍥搱㑢ㅡ㑣ぢ攴㉤〷攳㥢㙤㐲昳摥㑥扡㈹㤴㤰ㄲ搴㔷㑡㡢㄰㥣㤲㌰㜱㌰㕦㈲㑤㉥㥣㕥〸戴㥤㝢㠷ㄱㅣ攸昵㐶㈴㙣摢摣㕡慢㍣㌰㍥㘲搵挸㥥㌰愶㔵㘵㜰㝡戱戰捤搹愱敤㜶愱㔸换愰愵㙢慢㤵搱㤱㈳㔹づ换搲㕤〰摥ㄳ㝦〰愳昸攰㘵愲㍢搸㉣摢摤攰㘰㈴挱搲㐸搱摣㍣㌴㐷㉢ち晢㍤扥攴搱扤昸㑡㑥㤷ㄷ愷㜹㝢㈸〶㌷㉤挷搶ㄲ㌴㌴㔰戵挴㠵㐸㐸〲摡㙥㉢㕤㔸愹敥ㅡ慡㔴㜶㜱㍣捤㤲㔴㙤搸戲㙣㥡攵㉤慥ㅢ㈲敥㠶㔲㑤㑤㜵挶戴捦㝥愷㐱㙦慣〳㘸敢㉥ㄶ搳㕥㠹㌵愳て愴㈶㌸〸挶㝡㈰挷昵㘰㘳㝣㐳挷攲戴昴捥ㅢ㤶㉤捥㡣ㄵ㙢㘳敡㕥㠸㑥㜳昷晣昹㤷扦扡晢㡥敤㍤㌷㐷〷搵㐹㙦㝢㘱扦扡挷捤㘸㌰扤㘹㐷㡢攱扦ㄱ㠸扡ぢ㙣㕣㔲㠰搷㍦㝡㌳搲㝡ぢ挱㔶〰㉣っ愲㙡慣ぢ晤㑥㔲搱ㄶ攷っ搳〳〴摢〱ㄴ敤㜰昱㈰㉥〰攲㍤敡㜶㤴晦〰㍥搲㘹㌴摥ㅢ㍢敤慤愰㈶昵㌴㜹㡡搶㍤㍢㑥㔳㔱㥡慡搱㔴㡢扡〵〵㠷㉡攰㘶㌷愳挱ㄱ愰㘵㉦ち挸昲晤㝤㘰ぢ㔷㠰挵㍡昲〴㍢〱㝣ち㈸㌸㐹㐵敦㐰ㄴ㜰㌱㤹㜶〱㈸扡〳愲㠰㈲㄰敦㔱搷愳㡥〷昰ㄱ〵搰㥤㘸㔴挰〸愸㐹㍤㑤㥥㑡㠳㈳㑣〱㝦㡤㠲㐳ㄵ昰ㅥ㌷愳挱ㅦ愱㥢㈱ちㄸ〷愲摥つ戶㜰〵㕣㠶㙣扤㤷攰㜲〰㥦〲慥㜰㤲㡡慥㡡㈸攰㑡㈰晡㥤〰㡡敥㠹㈸攰㉡㈰摥愳㉥㐷ㅤて攰㈳ち愰㙦搳愸㠰㜷㠳㥡搴搳攴㈹㍡㍤㘱ち愸愱攰㔰〵㔴摤㡣〶晦㘸㍥㑡ㄲ〵㕣〳㐴㡤㠰㉤㕣〱搷㈲㕢㕦㐷㜰㍤㠰㑦〱㌷㌸㐹戵〰摦愲㠰昷㤳改〳〰㡡㉥㤲㈸攰㙦㠱㜸㡦摡㠹㍡ㅥ挰㐷ㄴ㐰搷慡㔱〱晢㐰㑤敡㘹昲㔴〶ㅣ㘱ち搸㠱㠲㐳ㄵ昰㌶㌷愳挱㐷敢㐰㐹搳㤸攸㜵㙥ㄱ㍤昴㍡ㄳ扤㌵扦愶㔰戴慤慡㔸㘱敤㜹㝣㌹戱ㅤ㐹户搱昲慣㥡㔹㈷㙡㌲㈷摦〳攳ㄳ挱㈴㝢㝣搲ㅣ㙦㌰㝥ㅤ摢昰㑦㈶晥㔱㘷攲㡢㠱㕦㘷收㑦㘳㐲㘳搰〴㡣晣改㤹㝤㠳㈸㠹㈱ㄶ扡㈱换㤰捡愰攴晡㐱㐶晥愰昵㈰ㄱ戳〹㝥晦㈰㈴㜷挷搴愶㍦〷㝢攳㈰攵㑢㔳㥡搹戴愴晦攴愴〴㘳昲㡥㤳㜲㉢㜴愳㙦㈳昸ㄸ挱㍦㄰摣づ愰㉥挰㘲挴㘵㜶㌹㍣㠳搹㔸〷敦㐳㠴㙡扦慣㠷ㅦ㈷捦㈷〸晥〹挰户捣摥㠱愴昱㉦〰敤㕥慣㈸敤っ戱㘴㐴㜵㤲㡣㡦扥㤳攰㉥㠰搶扢〱㌶慤戳㡡㜰㜸㡦㔴㤸㍤捥㌸捡昴㈶㍡挶てㄷ攵攳㑢晤攳攵散㜰戵㔲挶㘹〴㍤㠷敥㉣攲搴㌵㘵ㅡ愵つ㤵㥥㔱摢㈸慤㉢攰慢戵戴捤ㅡ戱㑣扢〷〱つ戸㈵ㅢ㄰晦ㄲ愷愳㉦㌷昶晦改㤴㐴攸㌹㈲㔶㌴改㤷愸攰散㜵摣〳㔷扤㤹摥ち捥㍣㉣㌹㡦愱摡つ〳づ收㔱攸㜵㐴昴㍤㘸摤㉤㍦晦挷昳捥扣改㡥摦扢摦㔷㘰ㄴ捡愳ㄷ㈱戳㜱㈷扥て搴攴㜴㜹㙡〹㌸㈶㜶㘲攳㝥愴㥡㌰っㅣ㠳㜴㌵㡡づ摤㡤扢摤㡣㘰ㅣ㉥扥ㅣ敦ㅦ㐲晣㠴晥㡦捥㕦㔰戰昶搰攱㥢㤵挷攱㐶捦㘸捤慥㠸㜷摡㤶敦慤㙣慡搸扤㠵摡㐸搱ㅣ㥦㥤㜷㤱ぢ㠷慤㌲㘲㐷㔵㠴㤰〲戴捡挸㠸㤵搳昹晥捡㘸㌵㙢昵昵ㅥつ戱㈵挸㠷戱㈸㘱愵愸挲㜳㜸攱ㄲㄹ捥㐹㍥㤱㌸㠳ㅣ㐱慦搷户㘱㑣摡㈶㈹㌰戶㑦㙡㜴愰㘰ㄷ慤㤶扣攴ぢ㥥挸㐳㡢〸挸攵㥡昳〳挳昰〶㝢摢昲㙢慢㠵㕣戱㔰戶搸ㄹ戰㜷㜸㘲戴挱摡㠹攰摢㤶㑡慤挰搳㠹戶晣㐰搵㉣搷㐶ㄸ㐷挸㡥ㅦ㕢㤷㤲戹ㅦ捦慦㉥㤴㙢愸㐶㝡㤱㜸㝢扥㝦戸戲〷㈷㥦愳愵昲㕡㜳愴㜶㔴昴ち搷㙡攷㤱慥㔱㔱ㄵ㡤慡㐴㌴㜱戸晤㘳㝣づ愵捤㜶づ㘲搲ㄸ愷㜶戵㌰㌴㑡㠵㐹㈵㥣㥡㌱〲㙣〸散㐲㠶愸愶搹昳戹昳扢㈱㔱㠶晢搸搶扡挳㠴搰挸搳挴㜱㌲㜷㝢晤㈰摦昹㍣挰晡戵摢晢㈶〳攱㝦搰搱㙦㥣㐱戵攰㑡ㅡㅣ㜹ㄳ㜱㐷㜱捤㥤㈱㐴ㅡ㐷ㄴ㘶㈶㐶〲㔳挱㘱㤹捣ぢて㐷攸慣㐹㜴つ㐲㔷慤昹つ收㤰㔵挴㥥㔹㌲敤㔹㑥㠲昶て㡥〶㙢㙥㕥㑦愵㔴㌲㌹攴㌸㕣晢戳㘶搱㑡攴扢㐷敤ちづ愵㜴ㅥ㐰挶愵㑢㌲挷㐰㌲挷㠴搴㥡摦挶㐸扣攰㉣慢戲搳慣ㄶ散攱㔲㈱㥢㘰㠲搱昲愳㘲慣㘲昲换㡥〶敤昳昱搶㤲攰㑥敥散㘹攸敥っ散ち慡㡥摤㡦ㄱㅤ㔵〶晥搴㘱〶㙡戱㡦捡愶愲ㅦ㐲㘹㜱㤸㍢㈰戸㤳攷㠰㜸㠰愰ㅣ戸〲ㄴㄹ搹㡡㜱㔶㘶敢㠷㕤㠴㠹ㄸ㐳㥤搳㐶昱㜸㕥㤶摣㔰㌱㜳㙢攰㙤㔵慡捤敥㔵㠵〴扡㤶㑢㑤㌵挵戸㙡て㐲昵㌸〲搸㕤挸㔹搵〴〹晤戰㑥㘲㡣挸ㅡ㑥ㅦ㔲㌷㤱㜸扣㈵ㄱ㔶㔷㥦㔷搶㍣㌷㕡攵扦㡢搱搷㔰晥㑢㕢㔷慣㐲愳㈰ㄶてㅦ昵ㄷ〹ㅥ〱㔰愴㔲㥥〰挳㤷挸昰㘵㠰㜸ㄷ㐰戰㙦敡㐳㥣〸㠴㙡㌰挵攴㤰㥦挱搷〴〲㤵ㄲ戵㡤㡢㈰㉤扥㘸慢攱〴㕡ㄳ摥捤〱愳㥦攷㘳戹愴戳扥搲㌶㘳㜷㐴愳㌱㜴戵ㄱ㜴㠳ㅢ慡㐵㘱愵㝥㑢挲戰㡡㕢慦昱ㄵ㠰ㄶ㑥ㄶ㤴㍦挸㌳昳㌷㠲㐰㝢〲㕦昲㈴㤳晡㔱㈲㐹搵ぢ攸〹㙥㤰㤲㘴慦改挷〸ㅥ〷㔰㡣挱㜱晢㤷ㄱ挲攱〰换㜶㌳㤲摣戰㈲挶搷〰づ㜶㠱㔴㕢挰㉣㜱晣㝦〷愲戶〲㜰敤㤹ㄸ㡢㑦〰㥦㜹㉣昶昳つ㝣昴㌷㕣㠴〹挵〰㥦㈷〶㔰慦㠳扦〹㔴㍦〹愰ㄸ晣ぢ㘱昸ㄶㄹ㥥㈲〳攳㠱㕤昸ㄸ摦〶㤸攳㈹慦敥っ㍦㐴㡢摦〵㌳戴挸攰愰㔷扡㑦㡢摦〳㔹㍦つ愰ㄸ挸ぢ㙡搱〲捤搱攲昷㠱ㅤ戴ㄶ昳㘰ㄶ㉤㍥〳㐴敤〴愸搳攲戳㈰捣慣㐵〶〸㐵㡢捦戹㠸㘸昱㘲㈴㍣㌱㠰㝡㕡㝣ㅥ愸摥て愰㜶〱㠴㌰晣㤰っ㍦㈲㐳ㄱ愰ぢㅦ攳挷〰愷㝢㕡㥣敡㙡㐲㠸㐲㝦㠲昷愰搰ㄱ㐰慦㈲㥦㐲晦〳㘴晤㔳〰挵挰㘰㔰愱㤷㠱收㈸昴㐵㘰㜳摣㕢〵㌳㙥摣㙡㉦戸㐵愳㉦〱㔱㡣㈴搶㘹昴㘵㄰㘶搶㈸㈳㡥愲搱晦㜴ㄱ搱攸㤵㐸㜸㜲〰昵㌴㝡〰愸晥㌹㠰㝡㈷㐰〸挳㉦挸昰㕦㘴戸ち愰ぢㅦ攳㤷〰㜳㍤㡤㠶㕥扣〸㔱攷慦昰ㄲ搴昹㙥㐰慦ㄶ㥦㍡㝦つ戲晥つ㠰扡〶㈰愸捥㙢㐱㜳搴昹㍦挰づ㕥㥤搷㠱㕢搴昹扦㐰搴昵〰㜵敡㝣ㄵ㠴㤹搵挹昸愵愸昳户㉥㈲敡㝣㍦ㄲ㥥ㅣ㐰㍤㜵晥づ愸收攲愶㍥〰㄰挲挰愲㌴㤷㔴挵㤸㘷ㄷ㍥㐶ㄴ愹ㄳ㍣㜵〶㙦㤱㠴㘸㔲㙥晣㈵搵㍥㕦〵㍥㑤挶㔹㠱〱㄰㘷㜴㘱ㅡ㜳ち㑥㤸㉦〶㌵㡢㉤挹㘳愰摡戰㜴搸㤸㌵〵ㅢ㙢㜶㙢ㅥ〰愸〴㡢㑥ㄶぢ挸昷搲㠲〹捦敡昴挶慣㍡㔷敢戴挶㝣扦敦㌵㉦㈴摢昱捡㝣捥搸㑣㑣攲㥤㠵戴昱㘸㜲搷㤴ㄳ㍣㜰㍤㌶㜵收搴愱㌶㥦摥㘹㜱晦〱捥㥤搱㡣搱㠰㐱㤱攰㤷挲ㅦ昶㕣つ㥣㥥挲㙤㈰㑤㍦㐶㝣愱㐷敥攸㐹㍡㝣づ慤捤㡤㙤昷㤵㙢㌰㤹㤲㙥ち〶昱㉣ㄷ摤㍣㙡搷攵㤸㘳戳摤ㅣ㥣摤㙤㉥挳㡤挹㥡搵摣㔱㘲〳㐳㌶挷㔵ㄳ㜳昶㜰摤㘸㤴㠲挷㘷戹㈲㌸㤲㜴㜵晤㌱攴ㅣ㑡攴戶ㅤ晣㙤㔴昷㐴㐰㌷挱ㄴ㉦㉣㑡㉦㌸㜷ㄵ㈵愶戱挵㐲㐰〲昷㌷㡢搶㙣㜹㘱㈲㈹昶㥥捥㜷て搵攰ㅦ摢㜴㝥㕣㑣㘶扡捥㙦戳㡡戸ㄵ戸摢㠲慦攲㘲㕢戲㌶捥㈹㈶ち攰㈵㥡愳愷㠷愰㤱㤸摢㑢㑡晡挹㤸㘶昰搶ぢ挱㐹㜴㤸扤㡡晥换换昳昲㉡昵㜷㌷昲戹㝤㔵挴㐳ㅣ㐳㌴捥搸敤㌴㉥㌷ㄶ㕢㝦㤸㥤㌳㘹戶㜷晡攳㉣㜱戲㝡戵㝡㌴晡攵㙤㡣㥦攰㡥㕡㜹㈷㙦晤戵㜳敡ㄴ攱戸搸〵戸愰挵昱㔹昹扥㜲戶㌸㥡戳挴㝦昵ㄶ㙤㜱㘳㡦㡡晥㤲㕤捡改慢㘹昴攲㉡愵て㤷搳扤㥢㐷㠷ㅦ挴搲㉤攸㈹昱㌰㔰㐶㔲户戹昳敥㜶㈸晢戰捥㌴㡥㥤㍣㤱㤳ㅢ搱㔸摡ㅡ㐸㕣搳ㄸ㤸㥥㌸ㄶ㤱ㄹ攷㘳摢㔰搹㔰㘱㄰捣㐷㕡㔷㜰㐸㐷㐵㍦㐱㌹捥挲㘷ㄸ昰攲て㜳㠶戰㄰慣㝡昲〵㜷摤晤㕥挵㍤㠶㕥摡挷㐱㄰晢㑤〲挵㘲㑥㌱㕡ㄵ㈵㜰㔹㜸愴㈱愶㕡㍢㝡㑤昱㙣挳㌱搵㥣晥搴挷㠰㍡戳愹㜶〷㕥〳㈳㉥㘵戳㄰㌷愱㜸攸ㄱ㘲㠹昱㕣㐵捦㈱攳㕤攱っ挷㤱攱㜸㠰昸㍤㘰〸㉥㌴㔳㠶昸改捦挷㑢昴㥣ㄳ㈵㐶㄰㌰㑤つ摣㤲挲ㄱ〶晣㔹愳㈵㜱㌷昲昵〹㈸昶戱㐷ㅦ㘵㌸㈳愲敥〳昰ㅡㄸ〷敥㝡扥㈷戲晥㤳〰搴㠳攴挲㐷㥦捣ㄴ㄰愹㠳ㄱ㤳㘰㈰愰㈱㐸ㄳ〳ㄳ戶㘶㠴㙢晡敤昱㈲㐲㘴㐴ㄹㄸ㜰㌰㌶搰挹㐶戸愲㔲挵愴㡤〵㑦昲㈶摥㕤㠶愲㕡收〴㉥㈳捡㙢捣昹㍣㍥昱ㅦ晤慥昱挲摤挴晢㙣昸攴捤㈴扥挳挷㤸ぢ晡㥣㡤㠵㙣戵㔲慢攴敤㜴㍦挲扦㘹㕥敥捣㘳搶㜶挷昷愳挴搰㍡㈹㔸慣捣摦㈸散收㐵戴攴慥㜲㘵㑦㔹㕡ㄳ慦昱㡥㉢㙢搳捤捤慣㠶㑢扦㍣㘷㐰㜹愹㠷㠱昲㘵㝤ㅡ㔸摡㥡㔲㕦㜴昲㈲愹㐷㍣㠴戱ㄶ㍥愹㉦㍢摦㤱㌸㐳ㄴ〷ㅢ晣㘰搹㙡㐸㘵㔵㑥㔹戱收收〶ㅢ慦㈱㘸㌲㜱ㄵ捤㌰戸㉦挴㥦㠳挸㐱挳㌰晣愵㝡㡤昲㘵づっ㥤〶㕤扦〶㈰㤹㘲昴㠴つ㌲㕥㡢攴慣㥥搵㠳扥搸慦㜱〶㘸慤愰挹㤲戵つ搷㑦㡤㜹愰ㅣ〳㑡晤㙦㐲㡣㌳㐱㍥ㄶ㘴摣慦昲㙥㕣㜱〸愵ㄸ㤶ㄱ㔵搲㝢㤰ㅦ㐷攸戳挰敡㥣敤㐸㘸㠵昴昹㈰攱㕦摡愶㥥〰昲㄰㍥敡㐹㐸挹攱〲㍣愲㌹〶搸摤敡ㅢ愰戰换敢扢㡣〱ㄶ愹㈷〳㍥㜴ㄹ㠳㈹㝣㔲っ愸昰㐹㝤换昹㡥愴㥥㜲ㄱ昵㕤㈰散㌶昵㜵ㄴ㐷㤵㡡㙡㍡㔰㠰敥〴㐸愶扥㠷㑣㈹㤴慡搱搴㠵愶昸㥡挲愶㥥昶㌲㡦〳㈲扦愴搰㉢㤸戹㥥㈵㍥㐳㐰晡戹㠰㐴㔸戴㝡ㄶ㐰㈴㝢ㄸ㤵㌵㑡昶〵㔰ㅢ㈵㝢づ㉦㐹㈳摥㠴㜲㈰搹昳㐸昳㐹敤㜷扥㈳愹ㅦ㝡〸愳ㅡ㝣ㄴ〳ㄳ㈲搹㠳㝥挹扡㔰㠰敥〶㐸愶ㄸ㥢㤸㔲戲㥦㝡㤹㜳㠱挸㡦㌶昴㍡扥㉡㤲扤〴ㅡㄲ㐸〱ㄲㄱ挹ㄸ㜶㄰挹敥つ㤵散敥㔰挹ㄸ㝣㤰㐶㙣㐲㌹㤰㡣㠱〶㍥㈹〶ㅢ昸愴㝥攱㝣㐷㔲㡣㉥昰㔱扦〲㄰挹敥㜴㈵㤳戶㙣〱搴㕢〱㤲愹㕦㠳㘱㑡挹ㄸ㍥㤰捣㌳㠰挸㑦㐳昴㕢昸慡㐸㈶ㄱ〰搲摦ちㄲ晥ㅤ挹㕥〵㈲㤲摤ㅡ㉡搹㐷㐳㈵㘳ㅣ㐰敡㜹㍢捡㠱㘴扦㐳㥡㑦捡摤晦㈲㈹愹㠰ㄴ㍡晡㝣ㄴ慤㈱㤱散挳㝥挹㉥〲㔵㥢〰挹ㄴ摤昶㈹㈵愳㍢㉦㤹昳㔱㤶晣攴㐴て昳㔵㑡ㄶ愷㕢ㄷ㕣㉥㝣愷㈶㍥㍦ㄲ晢㑦㈴攵㜳敥㘵攱㌹㈶扦㜵搴㉣攲㤷㕦㥢㘱㘰摡㈴ㅤつ㘶㐹捣㌱昳㘷㕣㜳㐵㠴扦搸挱愵㉦愸㠳晡㈵搳㤵㑤慥晣ㅥ㥥㤱㤳㡣扦ㅦ㝤㜷㜰戵愰㑢㝣㕢㥤户㌰㈷昵㉥㘴搰㈰愲晢㑤ㅥ㕤〴㡣〲攱㐷搱㔱ㄴ㙡㠹搰㝤攲㌴㙡て摥㠲收㥢戳㈷㡦ㅥ㜸挸戴愰〸㘷攲㈰捥昴捡㜸㔷搱㘸㘶ㄹ摡摦〶㈵㐶ㄹ愹㈳㙥戶慣ぢ㌴捡㘴昶㕣攳㥢㍤㐶ㄵ搴㈹昷㜳昵扥搰㈹㐵㝢㑤〶㌸て㈳㌱愵㘸㥢昱㐹搱㍥ㄳ㠴挶㤸㈰㌴挸昸戴搳㠴㑡〲㌱㈴㜹〴㐱㡡㠶ㄷ〵搴昵㍢㐳㡡戶㤸搰㍢㤸搹㐹㜰㈹㐸㈹㕡㘵搲晡换㠰戴㌵挵㘹㔸㥣㌷㜵㘴挷户〵㉦㠰晦㔳昷搳㤳昳昱㔳㤲㜱づ㠶㈶㥣㍢㌹愷㌵戱攸戹㠷㔷ㄶ攷〶ㄵ挴㑦晣㉦愱昷㍦愰ㅣ㐸攴ㅢ搰㉣昱㜴㝣昴攵愰户愷〱㘸戶〶㍡攲〰捣㝦㜹扡㥣慦㠴晢㥤敡㙡愷㙤㈲㙦散㔰慦戹慥㍢晥散ㄵ挱㑢㈷㉤昳捥㝡挷摦㙣扥愴敢㤹㘲㉤㝢改㕤攷㜵㈹㥡ㄵ挷愲㥣攰㡤收㉢㈰㔶攸〵㤲㜷戸ㄹ挱㉢摤㈹㕡㈳搲㔹敦〲搲搶愴㘸㔲戰挳搴㕥扣㐱㉤㠹㘰㔷㠳搲㑥㘳攱搰〴愳㘵㌱慤㘰㉦扦昸戹㜳捥㔸㌱搰昵搹晢㈳慦晣㘴㘱扡㑢搱慡〸ㄳ㙣捦㔴㠲敤㜶㌳㠲㔷戵㔳㌴㐶㐴戰昷〲㠱㘰戴㈸㐴㌰摢㉦搸晢㐰㙤敦〲㌸㌴挱㘸㔸㑣㉢搸㜳㤷捥昹攷戵㘶愱敢㠵㔷㙥晦昹ㄳㅢ㤷㜴㈹ㅡㄵ㘱㠲㔵愶ㄲ慣散㘶〴慦㘰愷㘸㡢㠸㘰搷〳㠱㘰㌴㈸㐴戰愲㕦戰ㅢ㐰㙤愷愹㜰㘸㠲搱慥㤸㔶戰敦㍣晥敢晥晤户㝥㜰搵㈷㑦扢晡挵慤㥦扣㜹㤵愲㑤ㄱ㈶搸捥愹〴换扢ㄹ挱慢搵㈹㥡㈲㈲搸〷㠱㐰戰户攳㑢〴换昹〵扢〹搴昶㡢〰づ㑤㌰㥡ㄵ搳ち昶捡戹㈳㡦扦攷㠹㥢㔷㤵摥扢攸㤴摣㜵ㅦ㕥愵㘸㔲㠴〹㌶㌸㤵㘰㙦㜷㌳㠲㔷愶ㄵ户㌹晣㐷昴㐷〱戹㘲昲㤳攲㕥㈷攲晥㍤㄰㝤㉢㐰㕢㌴攵㙤㌳㑡㜶ㅦ扥㌳㐱攱㍢摣㙦攴㥤㡦㤱扤㐹㜱㝦㄰ㄵ扤挵慦愲摢㐱㔵㕣㡡㈷㥢㝦㍦㡢㕡て愰晡愷㙡晥㌶㌷愳攱㡥ㄹ㤷昱㤹敥㤸昹㝥ㄶ挹㌸㙤㍣㑦㠷愸㈵敦㤰㘵攵㤵㜸㥤㌸愴慤戸ㄲ㔲挵てㄳ㌷攰收ㄳ㉥㠲攰〷敤慥㝦㠵ㅢ㔱㡣ㄳ㜸㤷づ戴愴昸戲㤱摦㕣挵㉤㠴收㝣㕦つㄱ摦㕣〲㍦慣戲㜱㡢扣㝣㌴㤸㘶〸ㄱ挴戸㐳愱㔷昹㘳挶㘸愸㜷㑥户㍢ㄸ㌱昱ㄹ愵㤳晡昰愲㝥㔱摥㈴㌹㍣挳捣戸〳晤攵ㅤ㕡攷㝣㜷愳㘲㙡ぢ扡搸㜱扡慥㡣戸搶㜹ㄴ户㘰挱㉦扦㡡㤱㐱ち㤰搴㜷㤳昴㐶㌴㕡㐰㈴捥㡤㉤㈸ㄸ㘳㈵㙢㈸㜹攰ㄷ㠳㉤㉤㤴搶㝢ㄴ昷ㄵ㡥㈰攳㕥㠰昰㘶慤て㙤搶㝤攰て㌴敢㔳㈴㑤㌶㑢㜱㕢㘲搳扣㐷㜱慤㤷捡㍥つ㈴扣戲摥搰捡㍥〳晥㐰㘵て㤰攴慢㡣㕢㐵㕤㘵㕣㝦愵戲〷㠱㑣㥣挲搶㙢晣㑤愱戵㝤㠱㐵昷戱搵㐰〸㤲晡㘱㤲㝣戵㜱晤慥慢敤㠳㈰㐸㙤㡦〰㤹愲戶ㄵ愱戵㝤㤹㐵搷搷昶㔵㤲㝣戵摤㠴戴扦戶ㄴ㔷㉡㔹㘸ㅥ㈳攷攳〴㕦〳㐸㉡㉥㔶戲攲㜴愰㉥摡〷㘷㐱㠰〴〲捣㕣挰㈴攳捦摣㡣戳㤱愱㥦〰㔵㜱戱㤲愶㝦〳挸攴㝤㙣〹㔴搵愲㙡愱搷敡ㄷㄷ㥤㌴㌹㉡㥦〴慦扥㥦摡㤱搹㐵ㅤ㍤㐵㤲慦搵㕣攷搸敡㠱ㅢ晦慤敢户㡢㜷㜴挷㌹㤲て㝡㥡㠱昷㜰㕤㠳敦攰㕤挵㌹挲㌲昴㜷㕤㠴〹挵㔱㉢ㄳ敡㝢愴㜲挰㤲慣㥦㜶ㄱ㈶搴㘷〰㠵攷晢愴㜲㥣㤱慣㥦㜱ㄱ㈶ㄴ㠷㠸昰晣㠰㔴㡥づ㤲昵戳㉥挲㠴㘲挷ち捦㜳愴戲㑦㐹搶捦扢〸ㄳ㡡晤㈷摤㜲慡摢㉤搴㕦㈲㙡㈸昶愹㘴捣㜵㌳ㄸ㝣㑤攰㕣㤵晤㉣ㄹ愷戸ㄹ㌴㕣昵㡦㐱㙤㘷㙦戶㈲搵晣昵愸挲㈵晣晤敡愱攸㝥昵搱攸㠱〸昷戲愲㙡㐲ㄸぢ㠸㌴改〵㈰㡡ㅤ㠶晦㠸晥㠹㡢㌰愱㐴㝢愴㝡㕢ㅢ昰㐸㡡㕡㤴ㄱ昷㔳㈰搸摡㐴㝦つ㕣搴愳㜰扤攴㜰㠹〶ㅢ戸愸㐹攱㝡搹攱ㄲㅤ㌶㜰㔱㤷挲㜵挰攱ㄲ㉤㌶㜰㔱㥢挲昵ぢ攱㙡愷㈲㉥〴㔷㜴㑣㘵㉦捡㕤㜴搱㙦摡㘳改㤳㘳㙦改㙡扤昱搹慦㍣㝦摤㌷摦戶昲㠵㔷昷敤晢收て慦㝢昴搵晢㠷㔶㍥昲㤱㡦㍣戴晥㤶㐷㥦㍦㌶晦愱攸扦晥㘶挳㠷昶㜶敥摡㝢㐹㝥晢晣戵㝢晦晣攲慤㥤㕢㡥㔹搰搴搴摣晣晡搹㕦㍡昱慣搴㤵㤷㝣㔲㍤昸㥤ㄳ捡㑡㌴搷搰っ㙡㔰㥡昱㑢㘹㠶愲㤶愴㤷㕡摣㕥㕡㡤㔷ㄲ㌸捥愶㘲㈴㈳ㄹ挸愰㉥㈴㐳〷㌲㈸扥㘴㈴〲ㄹ㤴㔸㌲㥡〳ㄹ㙣㠳㘴ㄸ昵ㄹ㉤晦〷昳ㄱ㈳戱</t>
  </si>
  <si>
    <t>Bond</t>
  </si>
  <si>
    <t>Bank Loan</t>
  </si>
  <si>
    <t>Buy back</t>
  </si>
  <si>
    <t>Convertible</t>
  </si>
</sst>
</file>

<file path=xl/styles.xml><?xml version="1.0" encoding="utf-8"?>
<styleSheet xmlns="http://schemas.openxmlformats.org/spreadsheetml/2006/main">
  <numFmts count="7">
    <numFmt numFmtId="6" formatCode="&quot;$&quot;#,##0_);[Red]\(&quot;$&quot;#,##0\)"/>
    <numFmt numFmtId="8" formatCode="&quot;$&quot;#,##0.00_);[Red]\(&quot;$&quot;#,##0.00\)"/>
    <numFmt numFmtId="44" formatCode="_(&quot;$&quot;* #,##0.00_);_(&quot;$&quot;* \(#,##0.00\);_(&quot;$&quot;* &quot;-&quot;??_);_(@_)"/>
    <numFmt numFmtId="43" formatCode="_(* #,##0.00_);_(* \(#,##0.00\);_(* &quot;-&quot;??_);_(@_)"/>
    <numFmt numFmtId="164" formatCode="_(* #,##0_);_(* \(#,##0\);_(* &quot;-&quot;??_);_(@_)"/>
    <numFmt numFmtId="165" formatCode="0.00_);[Red]\(0.00\)"/>
    <numFmt numFmtId="166" formatCode="0.0000"/>
  </numFmts>
  <fonts count="44">
    <font>
      <sz val="11"/>
      <color theme="1"/>
      <name val="Calibri"/>
      <family val="2"/>
      <scheme val="minor"/>
    </font>
    <font>
      <sz val="11"/>
      <color theme="1"/>
      <name val="Times New Roman"/>
      <family val="1"/>
    </font>
    <font>
      <sz val="9"/>
      <color theme="1"/>
      <name val="Arial"/>
      <family val="2"/>
    </font>
    <font>
      <sz val="12"/>
      <color theme="1"/>
      <name val="Times New Roman"/>
      <family val="1"/>
    </font>
    <font>
      <sz val="10.5"/>
      <color theme="1"/>
      <name val="Times New Roman"/>
      <family val="1"/>
    </font>
    <font>
      <sz val="1"/>
      <color theme="1"/>
      <name val="Times New Roman"/>
      <family val="1"/>
    </font>
    <font>
      <sz val="9"/>
      <color theme="1"/>
      <name val="Times New Roman"/>
      <family val="1"/>
    </font>
    <font>
      <sz val="9.5"/>
      <color theme="1"/>
      <name val="Times New Roman"/>
      <family val="1"/>
    </font>
    <font>
      <sz val="11"/>
      <color theme="1"/>
      <name val="Calibri"/>
      <family val="2"/>
      <scheme val="minor"/>
    </font>
    <font>
      <b/>
      <sz val="11"/>
      <color theme="1"/>
      <name val="Calibri"/>
      <family val="2"/>
      <scheme val="minor"/>
    </font>
    <font>
      <sz val="10"/>
      <name val="Arial"/>
      <family val="2"/>
    </font>
    <font>
      <b/>
      <sz val="10"/>
      <name val="Arial"/>
      <family val="2"/>
    </font>
    <font>
      <sz val="11"/>
      <name val="Calibri"/>
      <family val="2"/>
      <scheme val="minor"/>
    </font>
    <font>
      <sz val="12"/>
      <color theme="1"/>
      <name val="Calibri"/>
      <family val="2"/>
      <scheme val="minor"/>
    </font>
    <font>
      <sz val="12"/>
      <color theme="1"/>
      <name val="Arial"/>
      <family val="2"/>
    </font>
    <font>
      <sz val="11"/>
      <color rgb="FF3F3F76"/>
      <name val="Calibri"/>
      <family val="2"/>
      <scheme val="minor"/>
    </font>
    <font>
      <b/>
      <sz val="18"/>
      <color rgb="FF00B050"/>
      <name val="Times New Roman"/>
      <family val="1"/>
    </font>
    <font>
      <b/>
      <sz val="14"/>
      <color rgb="FF00B050"/>
      <name val="Times New Roman"/>
      <family val="1"/>
    </font>
    <font>
      <b/>
      <sz val="11"/>
      <color theme="0"/>
      <name val="Times New Roman"/>
      <family val="1"/>
    </font>
    <font>
      <b/>
      <sz val="11"/>
      <color theme="1"/>
      <name val="Times New Roman"/>
      <family val="1"/>
    </font>
    <font>
      <b/>
      <sz val="11"/>
      <name val="Times New Roman"/>
      <family val="1"/>
    </font>
    <font>
      <sz val="14"/>
      <color rgb="FF00CC00"/>
      <name val="Times New Roman"/>
      <family val="1"/>
    </font>
    <font>
      <b/>
      <sz val="12"/>
      <color theme="3"/>
      <name val="Times New Roman"/>
      <family val="1"/>
    </font>
    <font>
      <b/>
      <sz val="18"/>
      <color theme="3"/>
      <name val="Times New Roman"/>
      <family val="1"/>
    </font>
    <font>
      <b/>
      <sz val="12"/>
      <color theme="8" tint="-0.249977111117893"/>
      <name val="Times New Roman"/>
      <family val="1"/>
    </font>
    <font>
      <b/>
      <sz val="12"/>
      <color theme="0"/>
      <name val="Times New Roman"/>
      <family val="1"/>
    </font>
    <font>
      <b/>
      <sz val="12"/>
      <name val="Times New Roman"/>
      <family val="1"/>
    </font>
    <font>
      <b/>
      <sz val="12"/>
      <color rgb="FF000000"/>
      <name val="Times New Roman"/>
      <family val="1"/>
    </font>
    <font>
      <b/>
      <sz val="12"/>
      <color theme="1"/>
      <name val="Times New Roman"/>
      <family val="1"/>
    </font>
    <font>
      <b/>
      <sz val="12"/>
      <color theme="4" tint="-0.249977111117893"/>
      <name val="Times New Roman"/>
      <family val="1"/>
    </font>
    <font>
      <sz val="11"/>
      <name val="Times New Roman"/>
      <family val="1"/>
    </font>
    <font>
      <b/>
      <sz val="12"/>
      <color theme="1"/>
      <name val="Calibri"/>
      <family val="2"/>
      <scheme val="minor"/>
    </font>
    <font>
      <b/>
      <i/>
      <sz val="12"/>
      <color theme="1"/>
      <name val="Times New Roman"/>
      <family val="1"/>
    </font>
    <font>
      <sz val="12"/>
      <name val="Calibri"/>
      <family val="2"/>
      <scheme val="minor"/>
    </font>
    <font>
      <sz val="12"/>
      <color rgb="FFFF0000"/>
      <name val="Calibri"/>
      <family val="2"/>
      <scheme val="minor"/>
    </font>
    <font>
      <sz val="10"/>
      <color theme="1"/>
      <name val="Times New Roman"/>
      <family val="1"/>
    </font>
    <font>
      <b/>
      <sz val="9.5"/>
      <color theme="1"/>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
      <sz val="11"/>
      <color theme="0"/>
      <name val="Times New Roman"/>
      <family val="1"/>
    </font>
    <font>
      <b/>
      <sz val="12"/>
      <color theme="1"/>
      <name val="Arial"/>
      <family val="2"/>
    </font>
    <font>
      <b/>
      <sz val="9.5"/>
      <color theme="1"/>
      <name val="Times New Roman"/>
      <family val="1"/>
    </font>
    <font>
      <b/>
      <sz val="9"/>
      <color theme="1"/>
      <name val="Times New Roman"/>
      <family val="1"/>
    </font>
  </fonts>
  <fills count="18">
    <fill>
      <patternFill patternType="none"/>
    </fill>
    <fill>
      <patternFill patternType="gray125"/>
    </fill>
    <fill>
      <patternFill patternType="solid">
        <fgColor rgb="FFFFFF00"/>
        <bgColor indexed="64"/>
      </patternFill>
    </fill>
    <fill>
      <patternFill patternType="solid">
        <fgColor rgb="FFFFFFCC"/>
      </patternFill>
    </fill>
    <fill>
      <patternFill patternType="solid">
        <fgColor theme="7" tint="0.59999389629810485"/>
        <bgColor indexed="65"/>
      </patternFill>
    </fill>
    <fill>
      <patternFill patternType="solid">
        <fgColor theme="0"/>
        <bgColor indexed="64"/>
      </patternFill>
    </fill>
    <fill>
      <patternFill patternType="solid">
        <fgColor rgb="FF92D050"/>
        <bgColor indexed="64"/>
      </patternFill>
    </fill>
    <fill>
      <patternFill patternType="solid">
        <fgColor rgb="FF00FF00"/>
        <bgColor indexed="64"/>
      </patternFill>
    </fill>
    <fill>
      <patternFill patternType="solid">
        <fgColor rgb="FF00FFFF"/>
        <bgColor indexed="64"/>
      </patternFill>
    </fill>
    <fill>
      <patternFill patternType="solid">
        <fgColor rgb="FFFFCC99"/>
      </patternFill>
    </fill>
    <fill>
      <patternFill patternType="solid">
        <fgColor theme="8" tint="-0.249977111117893"/>
        <bgColor indexed="64"/>
      </patternFill>
    </fill>
    <fill>
      <patternFill patternType="solid">
        <fgColor theme="5"/>
        <bgColor indexed="64"/>
      </patternFill>
    </fill>
    <fill>
      <patternFill patternType="solid">
        <fgColor theme="8" tint="-0.49998474074526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39997558519241921"/>
        <bgColor indexed="64"/>
      </patternFill>
    </fill>
  </fills>
  <borders count="26">
    <border>
      <left/>
      <right/>
      <top/>
      <bottom/>
      <diagonal/>
    </border>
    <border>
      <left/>
      <right/>
      <top style="medium">
        <color indexed="64"/>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style="thin">
        <color rgb="FF7F7F7F"/>
      </right>
      <top style="thin">
        <color rgb="FF7F7F7F"/>
      </top>
      <bottom style="thin">
        <color rgb="FF7F7F7F"/>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rgb="FF7F7F7F"/>
      </right>
      <top/>
      <bottom/>
      <diagonal/>
    </border>
    <border>
      <left style="thin">
        <color rgb="FF7F7F7F"/>
      </left>
      <right style="thin">
        <color rgb="FF7F7F7F"/>
      </right>
      <top/>
      <bottom/>
      <diagonal/>
    </border>
    <border>
      <left style="thin">
        <color indexed="64"/>
      </left>
      <right style="medium">
        <color indexed="64"/>
      </right>
      <top style="thin">
        <color indexed="64"/>
      </top>
      <bottom style="thin">
        <color indexed="64"/>
      </bottom>
      <diagonal/>
    </border>
    <border>
      <left style="thin">
        <color rgb="FF7F7F7F"/>
      </left>
      <right style="medium">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10">
    <xf numFmtId="0" fontId="0" fillId="0" borderId="0"/>
    <xf numFmtId="9" fontId="8" fillId="0" borderId="0" applyFont="0" applyFill="0" applyBorder="0" applyAlignment="0" applyProtection="0"/>
    <xf numFmtId="43" fontId="8" fillId="0" borderId="0" applyFont="0" applyFill="0" applyBorder="0" applyAlignment="0" applyProtection="0"/>
    <xf numFmtId="0" fontId="8" fillId="3" borderId="5" applyNumberFormat="0" applyFont="0" applyAlignment="0" applyProtection="0"/>
    <xf numFmtId="0" fontId="8" fillId="4" borderId="0" applyNumberFormat="0" applyBorder="0" applyAlignment="0" applyProtection="0"/>
    <xf numFmtId="0" fontId="10" fillId="0" borderId="0"/>
    <xf numFmtId="43" fontId="10" fillId="0" borderId="0" applyFont="0" applyFill="0" applyBorder="0" applyAlignment="0" applyProtection="0"/>
    <xf numFmtId="0" fontId="15" fillId="9" borderId="14" applyNumberFormat="0" applyAlignment="0" applyProtection="0"/>
    <xf numFmtId="0" fontId="8" fillId="0" borderId="0"/>
    <xf numFmtId="44" fontId="8" fillId="0" borderId="0" applyFont="0" applyFill="0" applyBorder="0" applyAlignment="0" applyProtection="0"/>
  </cellStyleXfs>
  <cellXfs count="304">
    <xf numFmtId="0" fontId="0" fillId="0" borderId="0" xfId="0"/>
    <xf numFmtId="0" fontId="2" fillId="0" borderId="0" xfId="0" applyFont="1" applyAlignment="1">
      <alignment wrapText="1"/>
    </xf>
    <xf numFmtId="8" fontId="0" fillId="0" borderId="0" xfId="0" applyNumberFormat="1"/>
    <xf numFmtId="0" fontId="0" fillId="0" borderId="0" xfId="0" applyBorder="1"/>
    <xf numFmtId="0" fontId="0" fillId="0" borderId="0" xfId="0" applyFill="1" applyBorder="1"/>
    <xf numFmtId="0" fontId="9" fillId="0" borderId="0" xfId="0" applyFont="1"/>
    <xf numFmtId="0" fontId="2" fillId="0" borderId="0" xfId="0" applyFont="1" applyBorder="1" applyAlignment="1">
      <alignment horizontal="right" wrapText="1"/>
    </xf>
    <xf numFmtId="8" fontId="2" fillId="0" borderId="0" xfId="0" applyNumberFormat="1" applyFont="1" applyBorder="1" applyAlignment="1">
      <alignment horizontal="right" wrapText="1"/>
    </xf>
    <xf numFmtId="2" fontId="0" fillId="0" borderId="0" xfId="0" applyNumberFormat="1" applyBorder="1"/>
    <xf numFmtId="1" fontId="9" fillId="0" borderId="0" xfId="0" applyNumberFormat="1" applyFont="1" applyBorder="1"/>
    <xf numFmtId="1" fontId="0" fillId="0" borderId="0" xfId="0" applyNumberFormat="1" applyBorder="1"/>
    <xf numFmtId="164" fontId="10" fillId="0" borderId="8" xfId="6" applyNumberFormat="1" applyFont="1" applyFill="1" applyBorder="1"/>
    <xf numFmtId="0" fontId="0" fillId="0" borderId="10" xfId="0" applyBorder="1"/>
    <xf numFmtId="2" fontId="0" fillId="0" borderId="11" xfId="0" applyNumberFormat="1" applyBorder="1"/>
    <xf numFmtId="0" fontId="11" fillId="5" borderId="12" xfId="3" applyNumberFormat="1" applyFont="1" applyFill="1" applyBorder="1" applyAlignment="1" applyProtection="1">
      <alignment horizontal="left" vertical="top"/>
    </xf>
    <xf numFmtId="6" fontId="0" fillId="0" borderId="0" xfId="0" applyNumberFormat="1" applyBorder="1"/>
    <xf numFmtId="0" fontId="8" fillId="0" borderId="0" xfId="4" applyFill="1" applyBorder="1"/>
    <xf numFmtId="1" fontId="9" fillId="0" borderId="0" xfId="0" applyNumberFormat="1" applyFont="1" applyFill="1" applyBorder="1"/>
    <xf numFmtId="1" fontId="0" fillId="0" borderId="0" xfId="0" applyNumberFormat="1" applyFill="1" applyBorder="1"/>
    <xf numFmtId="2" fontId="0" fillId="0" borderId="8" xfId="0" applyNumberFormat="1" applyBorder="1"/>
    <xf numFmtId="2" fontId="0" fillId="0" borderId="10" xfId="0" applyNumberFormat="1" applyBorder="1"/>
    <xf numFmtId="0" fontId="8" fillId="6" borderId="6" xfId="4" applyFill="1" applyBorder="1"/>
    <xf numFmtId="0" fontId="8" fillId="6" borderId="10" xfId="4" applyFill="1" applyBorder="1"/>
    <xf numFmtId="0" fontId="8" fillId="6" borderId="10" xfId="4" applyFill="1" applyBorder="1" applyAlignment="1">
      <alignment horizontal="center"/>
    </xf>
    <xf numFmtId="0" fontId="8" fillId="6" borderId="11" xfId="4" applyFill="1" applyBorder="1" applyAlignment="1">
      <alignment horizontal="center"/>
    </xf>
    <xf numFmtId="0" fontId="2" fillId="0" borderId="8" xfId="0" applyFont="1" applyBorder="1" applyAlignment="1">
      <alignment wrapText="1"/>
    </xf>
    <xf numFmtId="8" fontId="2" fillId="0" borderId="9" xfId="0" applyNumberFormat="1" applyFont="1" applyBorder="1" applyAlignment="1">
      <alignment horizontal="right" wrapText="1"/>
    </xf>
    <xf numFmtId="2" fontId="0" fillId="0" borderId="9" xfId="0" applyNumberFormat="1" applyBorder="1"/>
    <xf numFmtId="0" fontId="0" fillId="0" borderId="0" xfId="0" applyAlignment="1"/>
    <xf numFmtId="0" fontId="3" fillId="0" borderId="0" xfId="0" applyFont="1" applyBorder="1" applyAlignment="1"/>
    <xf numFmtId="0" fontId="2" fillId="0" borderId="0" xfId="0" applyFont="1" applyFill="1" applyBorder="1" applyAlignment="1">
      <alignment wrapText="1"/>
    </xf>
    <xf numFmtId="9" fontId="0" fillId="0" borderId="0" xfId="0" applyNumberFormat="1"/>
    <xf numFmtId="2" fontId="0" fillId="0" borderId="0" xfId="0" applyNumberFormat="1"/>
    <xf numFmtId="0" fontId="9" fillId="6" borderId="3" xfId="0" applyFont="1" applyFill="1" applyBorder="1" applyAlignment="1">
      <alignment horizontal="center"/>
    </xf>
    <xf numFmtId="0" fontId="9" fillId="6" borderId="4" xfId="0" applyFont="1" applyFill="1" applyBorder="1"/>
    <xf numFmtId="43" fontId="10" fillId="5" borderId="12" xfId="2" applyNumberFormat="1" applyFont="1" applyFill="1" applyBorder="1" applyAlignment="1"/>
    <xf numFmtId="10" fontId="13" fillId="0" borderId="0" xfId="0" applyNumberFormat="1" applyFont="1" applyAlignment="1">
      <alignment horizontal="center"/>
    </xf>
    <xf numFmtId="0" fontId="13" fillId="0" borderId="0" xfId="0" applyFont="1"/>
    <xf numFmtId="8" fontId="14" fillId="0" borderId="0" xfId="0" applyNumberFormat="1" applyFont="1" applyBorder="1" applyAlignment="1">
      <alignment horizontal="right"/>
    </xf>
    <xf numFmtId="0" fontId="14" fillId="0" borderId="0" xfId="0" applyFont="1" applyBorder="1" applyAlignment="1">
      <alignment horizontal="right"/>
    </xf>
    <xf numFmtId="0" fontId="13" fillId="0" borderId="0" xfId="0" applyFont="1" applyAlignment="1"/>
    <xf numFmtId="0" fontId="0" fillId="0" borderId="0" xfId="0" quotePrefix="1"/>
    <xf numFmtId="10" fontId="0" fillId="0" borderId="0" xfId="1" applyNumberFormat="1" applyFont="1" applyFill="1"/>
    <xf numFmtId="2" fontId="0" fillId="0" borderId="0" xfId="0" applyNumberFormat="1" applyFill="1"/>
    <xf numFmtId="0" fontId="1" fillId="0" borderId="0" xfId="0" applyFont="1"/>
    <xf numFmtId="0" fontId="18" fillId="10" borderId="15" xfId="7" applyFont="1" applyFill="1" applyBorder="1"/>
    <xf numFmtId="2" fontId="20" fillId="5" borderId="12" xfId="3" applyNumberFormat="1" applyFont="1" applyFill="1" applyBorder="1"/>
    <xf numFmtId="0" fontId="21" fillId="0" borderId="0" xfId="0" applyFont="1" applyAlignment="1">
      <alignment horizontal="center"/>
    </xf>
    <xf numFmtId="0" fontId="1" fillId="0" borderId="0" xfId="0" applyFont="1" applyAlignment="1">
      <alignment horizontal="center"/>
    </xf>
    <xf numFmtId="0" fontId="22" fillId="0" borderId="0" xfId="8" applyFont="1"/>
    <xf numFmtId="0" fontId="23" fillId="0" borderId="0" xfId="8" applyFont="1"/>
    <xf numFmtId="0" fontId="3" fillId="0" borderId="0" xfId="0" applyFont="1"/>
    <xf numFmtId="0" fontId="3" fillId="0" borderId="0" xfId="8" applyFont="1"/>
    <xf numFmtId="0" fontId="25" fillId="12" borderId="12" xfId="8" applyFont="1" applyFill="1" applyBorder="1"/>
    <xf numFmtId="0" fontId="27" fillId="14" borderId="17" xfId="8" applyFont="1" applyFill="1" applyBorder="1" applyAlignment="1">
      <alignment horizontal="left" vertical="top"/>
    </xf>
    <xf numFmtId="2" fontId="26" fillId="5" borderId="12" xfId="3" applyNumberFormat="1" applyFont="1" applyFill="1" applyBorder="1"/>
    <xf numFmtId="165" fontId="28" fillId="5" borderId="12" xfId="8" applyNumberFormat="1" applyFont="1" applyFill="1" applyBorder="1"/>
    <xf numFmtId="0" fontId="3" fillId="5" borderId="12" xfId="8" applyFont="1" applyFill="1" applyBorder="1"/>
    <xf numFmtId="0" fontId="29" fillId="13" borderId="12" xfId="8" applyFont="1" applyFill="1" applyBorder="1"/>
    <xf numFmtId="0" fontId="3" fillId="5" borderId="0" xfId="8" applyFont="1" applyFill="1"/>
    <xf numFmtId="0" fontId="29" fillId="15" borderId="12" xfId="8" applyFont="1" applyFill="1" applyBorder="1"/>
    <xf numFmtId="0" fontId="27" fillId="14" borderId="12" xfId="8" applyFont="1" applyFill="1" applyBorder="1" applyAlignment="1">
      <alignment horizontal="left" vertical="top"/>
    </xf>
    <xf numFmtId="165" fontId="28" fillId="0" borderId="0" xfId="8" applyNumberFormat="1" applyFont="1"/>
    <xf numFmtId="0" fontId="3" fillId="0" borderId="12" xfId="8" applyFont="1" applyBorder="1"/>
    <xf numFmtId="0" fontId="3" fillId="0" borderId="0" xfId="8" applyFont="1" applyBorder="1"/>
    <xf numFmtId="0" fontId="28" fillId="17" borderId="0" xfId="8" applyFont="1" applyFill="1" applyBorder="1"/>
    <xf numFmtId="0" fontId="31" fillId="17" borderId="12" xfId="0" applyFont="1" applyFill="1" applyBorder="1"/>
    <xf numFmtId="2" fontId="1" fillId="0" borderId="0" xfId="8" applyNumberFormat="1" applyFont="1" applyAlignment="1">
      <alignment horizontal="center"/>
    </xf>
    <xf numFmtId="0" fontId="3" fillId="0" borderId="0" xfId="8" applyFont="1" applyFill="1" applyBorder="1"/>
    <xf numFmtId="2" fontId="1" fillId="0" borderId="0" xfId="8" applyNumberFormat="1" applyFont="1" applyFill="1" applyBorder="1" applyAlignment="1">
      <alignment horizontal="center"/>
    </xf>
    <xf numFmtId="0" fontId="28" fillId="0" borderId="0" xfId="8" applyFont="1" applyFill="1" applyBorder="1"/>
    <xf numFmtId="166" fontId="1" fillId="0" borderId="0" xfId="8" applyNumberFormat="1" applyFont="1" applyFill="1" applyBorder="1" applyAlignment="1">
      <alignment horizontal="center"/>
    </xf>
    <xf numFmtId="2" fontId="1" fillId="0" borderId="0" xfId="8" applyNumberFormat="1" applyFont="1" applyFill="1" applyBorder="1" applyAlignment="1" applyProtection="1">
      <alignment horizontal="center"/>
    </xf>
    <xf numFmtId="0" fontId="8" fillId="0" borderId="0" xfId="0" applyFont="1" applyAlignment="1">
      <alignment horizontal="center"/>
    </xf>
    <xf numFmtId="0" fontId="0" fillId="0" borderId="0" xfId="0" applyFont="1" applyAlignment="1">
      <alignment horizontal="center"/>
    </xf>
    <xf numFmtId="2" fontId="3" fillId="0" borderId="0" xfId="8" applyNumberFormat="1" applyFont="1" applyFill="1" applyBorder="1" applyAlignment="1">
      <alignment horizontal="center"/>
    </xf>
    <xf numFmtId="0" fontId="31" fillId="0" borderId="0" xfId="0" applyFont="1" applyFill="1" applyBorder="1"/>
    <xf numFmtId="0" fontId="32" fillId="0" borderId="0" xfId="8" applyFont="1" applyFill="1" applyBorder="1"/>
    <xf numFmtId="0" fontId="13" fillId="0" borderId="0" xfId="0" applyFont="1" applyFill="1" applyAlignment="1">
      <alignment horizontal="center"/>
    </xf>
    <xf numFmtId="0" fontId="13" fillId="16" borderId="0" xfId="0" applyFont="1" applyFill="1" applyAlignment="1">
      <alignment horizontal="center"/>
    </xf>
    <xf numFmtId="2" fontId="28" fillId="0" borderId="0" xfId="8" applyNumberFormat="1" applyFont="1" applyFill="1" applyBorder="1" applyAlignment="1">
      <alignment horizontal="center"/>
    </xf>
    <xf numFmtId="2" fontId="3" fillId="0" borderId="0" xfId="8" applyNumberFormat="1" applyFont="1"/>
    <xf numFmtId="2" fontId="3" fillId="0" borderId="0" xfId="8" applyNumberFormat="1" applyFont="1" applyBorder="1" applyAlignment="1">
      <alignment horizontal="center"/>
    </xf>
    <xf numFmtId="0" fontId="32" fillId="6" borderId="0" xfId="8" applyFont="1" applyFill="1" applyBorder="1"/>
    <xf numFmtId="2" fontId="3" fillId="6" borderId="0" xfId="8" applyNumberFormat="1" applyFont="1" applyFill="1" applyBorder="1" applyAlignment="1">
      <alignment horizontal="center"/>
    </xf>
    <xf numFmtId="0" fontId="26" fillId="2" borderId="0" xfId="8" applyFont="1" applyFill="1" applyBorder="1"/>
    <xf numFmtId="0" fontId="33" fillId="2" borderId="0" xfId="0" applyFont="1" applyFill="1" applyAlignment="1">
      <alignment horizontal="center"/>
    </xf>
    <xf numFmtId="0" fontId="28" fillId="16" borderId="0" xfId="8" applyFont="1" applyFill="1" applyBorder="1"/>
    <xf numFmtId="0" fontId="13" fillId="0" borderId="0" xfId="0" applyFont="1" applyAlignment="1">
      <alignment horizontal="center"/>
    </xf>
    <xf numFmtId="0" fontId="3" fillId="0" borderId="0" xfId="0" applyFont="1" applyAlignment="1"/>
    <xf numFmtId="10" fontId="13" fillId="0" borderId="0" xfId="0" applyNumberFormat="1" applyFont="1" applyBorder="1" applyAlignment="1"/>
    <xf numFmtId="0" fontId="13" fillId="0" borderId="0" xfId="0" applyFont="1" applyBorder="1" applyAlignment="1"/>
    <xf numFmtId="9" fontId="13" fillId="0" borderId="0" xfId="0" applyNumberFormat="1" applyFont="1" applyBorder="1" applyAlignment="1"/>
    <xf numFmtId="8" fontId="13" fillId="0" borderId="0" xfId="0" applyNumberFormat="1" applyFont="1"/>
    <xf numFmtId="10" fontId="14" fillId="0" borderId="0" xfId="0" applyNumberFormat="1" applyFont="1" applyBorder="1" applyAlignment="1">
      <alignment horizontal="right"/>
    </xf>
    <xf numFmtId="10" fontId="14" fillId="0" borderId="0" xfId="0" applyNumberFormat="1" applyFont="1" applyAlignment="1">
      <alignment horizontal="right" wrapText="1"/>
    </xf>
    <xf numFmtId="10" fontId="13" fillId="0" borderId="0" xfId="0" applyNumberFormat="1" applyFont="1"/>
    <xf numFmtId="0" fontId="35" fillId="0" borderId="0" xfId="0" applyFont="1" applyAlignment="1"/>
    <xf numFmtId="0" fontId="1" fillId="0" borderId="0" xfId="0" applyFont="1" applyAlignment="1"/>
    <xf numFmtId="0" fontId="4" fillId="0" borderId="0" xfId="0" applyFont="1" applyAlignment="1"/>
    <xf numFmtId="0" fontId="7" fillId="0" borderId="0" xfId="0" applyFont="1" applyAlignment="1"/>
    <xf numFmtId="0" fontId="5" fillId="0" borderId="0" xfId="0" applyFont="1" applyAlignment="1"/>
    <xf numFmtId="0" fontId="6" fillId="0" borderId="0" xfId="0" applyFont="1" applyAlignment="1"/>
    <xf numFmtId="0" fontId="36" fillId="0" borderId="0" xfId="0" applyFont="1" applyAlignment="1"/>
    <xf numFmtId="0" fontId="36" fillId="0" borderId="0" xfId="0" applyFont="1" applyBorder="1" applyAlignment="1"/>
    <xf numFmtId="0" fontId="13" fillId="0" borderId="6" xfId="0" applyFont="1" applyBorder="1"/>
    <xf numFmtId="0" fontId="3" fillId="0" borderId="8" xfId="0" applyFont="1" applyBorder="1" applyAlignment="1"/>
    <xf numFmtId="0" fontId="13" fillId="0" borderId="9" xfId="0" applyFont="1" applyBorder="1" applyAlignment="1">
      <alignment horizontal="right"/>
    </xf>
    <xf numFmtId="0" fontId="13" fillId="0" borderId="8" xfId="0" applyFont="1" applyBorder="1" applyAlignment="1"/>
    <xf numFmtId="0" fontId="13" fillId="0" borderId="0" xfId="0" applyFont="1" applyBorder="1" applyAlignment="1">
      <alignment horizontal="right"/>
    </xf>
    <xf numFmtId="0" fontId="13" fillId="0" borderId="8" xfId="0" applyFont="1" applyBorder="1" applyAlignment="1">
      <alignment horizontal="left"/>
    </xf>
    <xf numFmtId="0" fontId="34" fillId="0" borderId="0" xfId="0" applyFont="1" applyBorder="1" applyAlignment="1">
      <alignment horizontal="right"/>
    </xf>
    <xf numFmtId="0" fontId="3" fillId="0" borderId="9" xfId="0" applyFont="1" applyBorder="1" applyAlignment="1"/>
    <xf numFmtId="10" fontId="13" fillId="0" borderId="0" xfId="0" applyNumberFormat="1" applyFont="1" applyBorder="1" applyAlignment="1">
      <alignment horizontal="right"/>
    </xf>
    <xf numFmtId="0" fontId="13" fillId="0" borderId="10" xfId="0" applyFont="1" applyBorder="1" applyAlignment="1"/>
    <xf numFmtId="3" fontId="13" fillId="0" borderId="11" xfId="0" applyNumberFormat="1" applyFont="1" applyBorder="1" applyAlignment="1">
      <alignment horizontal="right"/>
    </xf>
    <xf numFmtId="0" fontId="37" fillId="0" borderId="0" xfId="0" applyFont="1" applyAlignment="1">
      <alignment horizontal="right"/>
    </xf>
    <xf numFmtId="0" fontId="37" fillId="0" borderId="0" xfId="0" applyFont="1" applyAlignment="1"/>
    <xf numFmtId="0" fontId="38" fillId="0" borderId="0" xfId="0" applyFont="1" applyAlignment="1">
      <alignment horizontal="left"/>
    </xf>
    <xf numFmtId="0" fontId="38" fillId="0" borderId="0" xfId="0" applyFont="1" applyAlignment="1">
      <alignment horizontal="right"/>
    </xf>
    <xf numFmtId="0" fontId="0" fillId="0" borderId="6" xfId="0" applyBorder="1" applyAlignment="1"/>
    <xf numFmtId="0" fontId="37" fillId="0" borderId="1" xfId="0" applyFont="1" applyBorder="1" applyAlignment="1">
      <alignment horizontal="right"/>
    </xf>
    <xf numFmtId="0" fontId="7" fillId="0" borderId="1" xfId="0" applyFont="1" applyBorder="1" applyAlignment="1"/>
    <xf numFmtId="0" fontId="7" fillId="0" borderId="7" xfId="0" applyFont="1" applyBorder="1" applyAlignment="1"/>
    <xf numFmtId="0" fontId="37" fillId="0" borderId="8" xfId="0" applyFont="1" applyBorder="1" applyAlignment="1"/>
    <xf numFmtId="0" fontId="37" fillId="0" borderId="0" xfId="0" applyFont="1" applyBorder="1" applyAlignment="1">
      <alignment horizontal="right"/>
    </xf>
    <xf numFmtId="0" fontId="37" fillId="0" borderId="9" xfId="0" applyFont="1" applyBorder="1" applyAlignment="1">
      <alignment horizontal="right"/>
    </xf>
    <xf numFmtId="0" fontId="38" fillId="0" borderId="8" xfId="0" applyFont="1" applyBorder="1" applyAlignment="1">
      <alignment horizontal="left"/>
    </xf>
    <xf numFmtId="0" fontId="38" fillId="0" borderId="0" xfId="0" applyFont="1" applyBorder="1" applyAlignment="1">
      <alignment horizontal="right"/>
    </xf>
    <xf numFmtId="0" fontId="38" fillId="0" borderId="9" xfId="0" applyFont="1" applyBorder="1" applyAlignment="1">
      <alignment horizontal="right"/>
    </xf>
    <xf numFmtId="10" fontId="38" fillId="0" borderId="0" xfId="0" applyNumberFormat="1" applyFont="1" applyBorder="1" applyAlignment="1">
      <alignment horizontal="right"/>
    </xf>
    <xf numFmtId="10" fontId="38" fillId="0" borderId="9" xfId="0" applyNumberFormat="1" applyFont="1" applyBorder="1" applyAlignment="1">
      <alignment horizontal="right"/>
    </xf>
    <xf numFmtId="0" fontId="39" fillId="0" borderId="0" xfId="0" applyFont="1" applyBorder="1" applyAlignment="1">
      <alignment horizontal="right"/>
    </xf>
    <xf numFmtId="9" fontId="38" fillId="0" borderId="0" xfId="0" applyNumberFormat="1" applyFont="1" applyBorder="1" applyAlignment="1">
      <alignment horizontal="right"/>
    </xf>
    <xf numFmtId="9" fontId="38" fillId="0" borderId="9" xfId="0" applyNumberFormat="1" applyFont="1" applyBorder="1" applyAlignment="1">
      <alignment horizontal="right"/>
    </xf>
    <xf numFmtId="0" fontId="38" fillId="0" borderId="10" xfId="0" applyFont="1" applyBorder="1" applyAlignment="1">
      <alignment horizontal="left"/>
    </xf>
    <xf numFmtId="10" fontId="38" fillId="0" borderId="11" xfId="0" applyNumberFormat="1" applyFont="1" applyBorder="1" applyAlignment="1">
      <alignment horizontal="right"/>
    </xf>
    <xf numFmtId="10" fontId="38" fillId="0" borderId="13" xfId="0" applyNumberFormat="1" applyFont="1" applyBorder="1" applyAlignment="1">
      <alignment horizontal="right"/>
    </xf>
    <xf numFmtId="0" fontId="14" fillId="0" borderId="0" xfId="0" applyNumberFormat="1" applyFont="1" applyBorder="1" applyAlignment="1">
      <alignment horizontal="right"/>
    </xf>
    <xf numFmtId="0" fontId="14" fillId="0" borderId="0" xfId="9" applyNumberFormat="1" applyFont="1" applyBorder="1" applyAlignment="1">
      <alignment horizontal="right"/>
    </xf>
    <xf numFmtId="0" fontId="40" fillId="0" borderId="0" xfId="0" applyFont="1"/>
    <xf numFmtId="0" fontId="14" fillId="0" borderId="9" xfId="0" applyNumberFormat="1" applyFont="1" applyBorder="1" applyAlignment="1">
      <alignment horizontal="right"/>
    </xf>
    <xf numFmtId="0" fontId="18" fillId="10" borderId="15" xfId="7" applyFont="1" applyFill="1" applyBorder="1" applyAlignment="1"/>
    <xf numFmtId="0" fontId="19" fillId="5" borderId="16" xfId="3" applyFont="1" applyFill="1" applyBorder="1" applyAlignment="1"/>
    <xf numFmtId="0" fontId="1" fillId="0" borderId="0" xfId="0" applyFont="1" applyBorder="1" applyAlignment="1"/>
    <xf numFmtId="0" fontId="1" fillId="0" borderId="0" xfId="1" applyNumberFormat="1" applyFont="1" applyBorder="1" applyAlignment="1"/>
    <xf numFmtId="0" fontId="1" fillId="0" borderId="9" xfId="0" applyFont="1" applyBorder="1" applyAlignment="1"/>
    <xf numFmtId="0" fontId="1" fillId="0" borderId="8" xfId="0" applyFont="1" applyBorder="1" applyAlignment="1"/>
    <xf numFmtId="0" fontId="19" fillId="0" borderId="0" xfId="0" applyFont="1" applyBorder="1" applyAlignment="1"/>
    <xf numFmtId="0" fontId="18" fillId="10" borderId="16" xfId="7" applyFont="1" applyFill="1" applyBorder="1" applyAlignment="1"/>
    <xf numFmtId="0" fontId="20" fillId="10" borderId="12" xfId="7" applyFont="1" applyFill="1" applyBorder="1" applyAlignment="1"/>
    <xf numFmtId="0" fontId="20" fillId="10" borderId="22" xfId="7" applyFont="1" applyFill="1" applyBorder="1" applyAlignment="1"/>
    <xf numFmtId="0" fontId="20" fillId="5" borderId="16" xfId="3" applyFont="1" applyFill="1" applyBorder="1" applyAlignment="1"/>
    <xf numFmtId="2" fontId="20" fillId="5" borderId="12" xfId="3" applyNumberFormat="1" applyFont="1" applyFill="1" applyBorder="1" applyAlignment="1"/>
    <xf numFmtId="0" fontId="18" fillId="10" borderId="20" xfId="7" applyFont="1" applyFill="1" applyBorder="1" applyAlignment="1"/>
    <xf numFmtId="0" fontId="18" fillId="10" borderId="21" xfId="7" applyFont="1" applyFill="1" applyBorder="1" applyAlignment="1"/>
    <xf numFmtId="0" fontId="18" fillId="10" borderId="23" xfId="7" applyFont="1" applyFill="1" applyBorder="1" applyAlignment="1"/>
    <xf numFmtId="2" fontId="20" fillId="5" borderId="22" xfId="3" applyNumberFormat="1" applyFont="1" applyFill="1" applyBorder="1" applyAlignment="1"/>
    <xf numFmtId="0" fontId="20" fillId="5" borderId="12" xfId="3" applyFont="1" applyFill="1" applyBorder="1" applyAlignment="1"/>
    <xf numFmtId="0" fontId="20" fillId="0" borderId="0" xfId="0" applyFont="1" applyBorder="1" applyAlignment="1"/>
    <xf numFmtId="0" fontId="20" fillId="0" borderId="0" xfId="0" applyFont="1" applyFill="1" applyBorder="1" applyAlignment="1"/>
    <xf numFmtId="0" fontId="20" fillId="0" borderId="9" xfId="0" applyFont="1" applyFill="1" applyBorder="1" applyAlignment="1"/>
    <xf numFmtId="0" fontId="20" fillId="0" borderId="8" xfId="0" applyFont="1" applyBorder="1" applyAlignment="1"/>
    <xf numFmtId="0" fontId="30" fillId="0" borderId="0" xfId="0" applyFont="1" applyBorder="1" applyAlignment="1"/>
    <xf numFmtId="2" fontId="30" fillId="11" borderId="0" xfId="0" applyNumberFormat="1" applyFont="1" applyFill="1" applyBorder="1" applyAlignment="1"/>
    <xf numFmtId="2" fontId="30" fillId="11" borderId="9" xfId="0" applyNumberFormat="1" applyFont="1" applyFill="1" applyBorder="1" applyAlignment="1"/>
    <xf numFmtId="0" fontId="1" fillId="0" borderId="10" xfId="0" applyFont="1" applyBorder="1" applyAlignment="1"/>
    <xf numFmtId="0" fontId="1" fillId="0" borderId="11" xfId="0" applyFont="1" applyBorder="1" applyAlignment="1"/>
    <xf numFmtId="0" fontId="1" fillId="0" borderId="13" xfId="0" applyFont="1" applyBorder="1" applyAlignment="1"/>
    <xf numFmtId="0" fontId="3" fillId="0" borderId="6" xfId="0" applyFont="1" applyBorder="1" applyAlignment="1"/>
    <xf numFmtId="0" fontId="31" fillId="0" borderId="10" xfId="0" applyFont="1" applyBorder="1" applyAlignment="1">
      <alignment horizontal="left"/>
    </xf>
    <xf numFmtId="0" fontId="31" fillId="0" borderId="11" xfId="0" applyFont="1" applyBorder="1" applyAlignment="1">
      <alignment horizontal="right"/>
    </xf>
    <xf numFmtId="0" fontId="41" fillId="0" borderId="8" xfId="0" applyFont="1" applyBorder="1" applyAlignment="1">
      <alignment horizontal="left"/>
    </xf>
    <xf numFmtId="0" fontId="13" fillId="0" borderId="11" xfId="0" applyFont="1" applyBorder="1" applyAlignment="1">
      <alignment horizontal="right"/>
    </xf>
    <xf numFmtId="0" fontId="31" fillId="0" borderId="8" xfId="0" applyFont="1" applyBorder="1" applyAlignment="1">
      <alignment horizontal="left"/>
    </xf>
    <xf numFmtId="0" fontId="31" fillId="0" borderId="0" xfId="0" applyFont="1" applyBorder="1" applyAlignment="1">
      <alignment horizontal="right"/>
    </xf>
    <xf numFmtId="4" fontId="31" fillId="0" borderId="0" xfId="0" applyNumberFormat="1" applyFont="1" applyBorder="1" applyAlignment="1">
      <alignment horizontal="right"/>
    </xf>
    <xf numFmtId="0" fontId="3" fillId="0" borderId="11" xfId="0" applyFont="1" applyBorder="1" applyAlignment="1"/>
    <xf numFmtId="9" fontId="13" fillId="0" borderId="0" xfId="0" applyNumberFormat="1" applyFont="1" applyBorder="1" applyAlignment="1">
      <alignment horizontal="right"/>
    </xf>
    <xf numFmtId="0" fontId="13" fillId="0" borderId="10" xfId="0" applyFont="1" applyBorder="1" applyAlignment="1">
      <alignment horizontal="left"/>
    </xf>
    <xf numFmtId="4" fontId="13" fillId="0" borderId="0" xfId="0" applyNumberFormat="1" applyFont="1" applyBorder="1" applyAlignment="1">
      <alignment horizontal="right"/>
    </xf>
    <xf numFmtId="2" fontId="8" fillId="0" borderId="0" xfId="0" applyNumberFormat="1" applyFont="1" applyAlignment="1">
      <alignment horizontal="center"/>
    </xf>
    <xf numFmtId="4" fontId="31" fillId="0" borderId="11" xfId="0" applyNumberFormat="1" applyFont="1" applyBorder="1" applyAlignment="1">
      <alignment horizontal="right"/>
    </xf>
    <xf numFmtId="0" fontId="14" fillId="0" borderId="0" xfId="0" applyNumberFormat="1" applyFont="1" applyBorder="1" applyAlignment="1">
      <alignment horizontal="center"/>
    </xf>
    <xf numFmtId="4" fontId="38" fillId="0" borderId="0" xfId="0" applyNumberFormat="1" applyFont="1" applyBorder="1" applyAlignment="1">
      <alignment horizontal="right"/>
    </xf>
    <xf numFmtId="4" fontId="38" fillId="0" borderId="9" xfId="0" applyNumberFormat="1" applyFont="1" applyBorder="1" applyAlignment="1">
      <alignment horizontal="right"/>
    </xf>
    <xf numFmtId="9" fontId="0" fillId="0" borderId="0" xfId="1" applyFont="1" applyAlignment="1"/>
    <xf numFmtId="0" fontId="13" fillId="0" borderId="0" xfId="0" applyFont="1" applyFill="1" applyBorder="1" applyAlignment="1">
      <alignment horizontal="left"/>
    </xf>
    <xf numFmtId="0" fontId="13" fillId="0" borderId="0" xfId="0" applyFont="1" applyBorder="1" applyAlignment="1">
      <alignment horizontal="right"/>
    </xf>
    <xf numFmtId="0" fontId="13" fillId="0" borderId="0" xfId="0" applyFont="1" applyBorder="1" applyAlignment="1">
      <alignment horizontal="right"/>
    </xf>
    <xf numFmtId="0" fontId="31" fillId="0" borderId="0" xfId="0" applyFont="1" applyBorder="1" applyAlignment="1">
      <alignment horizontal="center"/>
    </xf>
    <xf numFmtId="0" fontId="13" fillId="2" borderId="8" xfId="0" applyFont="1" applyFill="1" applyBorder="1" applyAlignment="1"/>
    <xf numFmtId="0" fontId="33" fillId="2" borderId="8" xfId="0" applyFont="1" applyFill="1" applyBorder="1" applyAlignment="1"/>
    <xf numFmtId="0" fontId="13" fillId="2" borderId="8" xfId="0" applyFont="1" applyFill="1" applyBorder="1" applyAlignment="1">
      <alignment horizontal="left"/>
    </xf>
    <xf numFmtId="4" fontId="0" fillId="0" borderId="0" xfId="0" applyNumberFormat="1"/>
    <xf numFmtId="4" fontId="42" fillId="0" borderId="0" xfId="0" applyNumberFormat="1" applyFont="1" applyAlignment="1"/>
    <xf numFmtId="4" fontId="4" fillId="0" borderId="0" xfId="0" applyNumberFormat="1" applyFont="1" applyAlignment="1"/>
    <xf numFmtId="4" fontId="35" fillId="0" borderId="0" xfId="0" applyNumberFormat="1" applyFont="1" applyAlignment="1"/>
    <xf numFmtId="4" fontId="6" fillId="0" borderId="0" xfId="0" applyNumberFormat="1" applyFont="1" applyAlignment="1"/>
    <xf numFmtId="4" fontId="13" fillId="0" borderId="0" xfId="0" applyNumberFormat="1" applyFont="1"/>
    <xf numFmtId="165" fontId="28" fillId="5" borderId="17" xfId="8" applyNumberFormat="1" applyFont="1" applyFill="1" applyBorder="1"/>
    <xf numFmtId="165" fontId="28" fillId="5" borderId="0" xfId="8" applyNumberFormat="1" applyFont="1" applyFill="1" applyBorder="1"/>
    <xf numFmtId="43" fontId="10" fillId="5" borderId="24" xfId="2" applyNumberFormat="1" applyFont="1" applyFill="1" applyBorder="1" applyAlignment="1"/>
    <xf numFmtId="0" fontId="11" fillId="5" borderId="16" xfId="3" applyNumberFormat="1" applyFont="1" applyFill="1" applyBorder="1" applyAlignment="1" applyProtection="1">
      <alignment horizontal="left" vertical="top"/>
    </xf>
    <xf numFmtId="8" fontId="10" fillId="5" borderId="22" xfId="2" applyNumberFormat="1" applyFont="1" applyFill="1" applyBorder="1" applyAlignment="1"/>
    <xf numFmtId="43" fontId="10" fillId="5" borderId="22" xfId="2" applyNumberFormat="1" applyFont="1" applyFill="1" applyBorder="1" applyAlignment="1"/>
    <xf numFmtId="0" fontId="11" fillId="5" borderId="25" xfId="3" applyNumberFormat="1" applyFont="1" applyFill="1" applyBorder="1" applyAlignment="1" applyProtection="1">
      <alignment horizontal="left" vertical="top"/>
    </xf>
    <xf numFmtId="0" fontId="11" fillId="5" borderId="10" xfId="3" applyNumberFormat="1" applyFont="1" applyFill="1" applyBorder="1" applyAlignment="1" applyProtection="1">
      <alignment horizontal="left" vertical="top"/>
    </xf>
    <xf numFmtId="0" fontId="0" fillId="0" borderId="12" xfId="0" applyBorder="1"/>
    <xf numFmtId="0" fontId="2" fillId="0" borderId="0" xfId="0" applyNumberFormat="1" applyFont="1" applyBorder="1" applyAlignment="1">
      <alignment horizontal="right"/>
    </xf>
    <xf numFmtId="0" fontId="2" fillId="0" borderId="0" xfId="0" applyNumberFormat="1" applyFont="1" applyFill="1" applyBorder="1" applyAlignment="1">
      <alignment horizontal="right"/>
    </xf>
    <xf numFmtId="0" fontId="0" fillId="0" borderId="0" xfId="0" applyNumberFormat="1" applyAlignment="1"/>
    <xf numFmtId="0" fontId="2" fillId="0" borderId="9" xfId="0" applyNumberFormat="1" applyFont="1" applyBorder="1" applyAlignment="1">
      <alignment horizontal="right"/>
    </xf>
    <xf numFmtId="0" fontId="2" fillId="0" borderId="0" xfId="0" applyFont="1" applyBorder="1" applyAlignment="1">
      <alignment horizontal="right"/>
    </xf>
    <xf numFmtId="8" fontId="2" fillId="0" borderId="0" xfId="0" applyNumberFormat="1" applyFont="1" applyBorder="1" applyAlignment="1">
      <alignment horizontal="right"/>
    </xf>
    <xf numFmtId="0" fontId="2" fillId="7" borderId="0" xfId="0" applyNumberFormat="1" applyFont="1" applyFill="1" applyBorder="1" applyAlignment="1">
      <alignment horizontal="right"/>
    </xf>
    <xf numFmtId="0" fontId="2" fillId="7" borderId="0" xfId="0" applyFont="1" applyFill="1" applyBorder="1" applyAlignment="1">
      <alignment horizontal="right"/>
    </xf>
    <xf numFmtId="0" fontId="13" fillId="0" borderId="0" xfId="0" applyFont="1" applyFill="1" applyBorder="1" applyAlignment="1">
      <alignment horizontal="center"/>
    </xf>
    <xf numFmtId="0" fontId="33" fillId="0" borderId="0" xfId="0" applyFont="1" applyFill="1" applyAlignment="1">
      <alignment horizontal="center"/>
    </xf>
    <xf numFmtId="0" fontId="9" fillId="2" borderId="0" xfId="0" applyFont="1" applyFill="1"/>
    <xf numFmtId="0" fontId="0" fillId="2" borderId="0" xfId="0" applyFill="1"/>
    <xf numFmtId="0" fontId="13" fillId="0" borderId="0" xfId="0" applyFont="1" applyBorder="1" applyAlignment="1">
      <alignment horizontal="right"/>
    </xf>
    <xf numFmtId="0" fontId="37" fillId="0" borderId="0" xfId="0" applyFont="1" applyAlignment="1">
      <alignment horizontal="right"/>
    </xf>
    <xf numFmtId="0" fontId="37" fillId="0" borderId="1" xfId="0" applyFont="1" applyBorder="1" applyAlignment="1">
      <alignment horizontal="right"/>
    </xf>
    <xf numFmtId="10" fontId="0" fillId="7" borderId="0" xfId="1" applyNumberFormat="1" applyFont="1" applyFill="1" applyAlignment="1"/>
    <xf numFmtId="10" fontId="0" fillId="0" borderId="0" xfId="1" applyNumberFormat="1" applyFont="1" applyFill="1" applyAlignment="1"/>
    <xf numFmtId="9" fontId="0" fillId="0" borderId="0" xfId="0" applyNumberFormat="1" applyAlignment="1"/>
    <xf numFmtId="10" fontId="0" fillId="7" borderId="0" xfId="0" applyNumberFormat="1" applyFill="1" applyAlignment="1"/>
    <xf numFmtId="0" fontId="8" fillId="0" borderId="0" xfId="4" applyFill="1" applyBorder="1" applyAlignment="1"/>
    <xf numFmtId="0" fontId="8" fillId="6" borderId="6" xfId="4" applyFill="1" applyBorder="1" applyAlignment="1"/>
    <xf numFmtId="0" fontId="8" fillId="6" borderId="10" xfId="4" applyFill="1" applyBorder="1" applyAlignment="1"/>
    <xf numFmtId="0" fontId="9" fillId="6" borderId="4" xfId="0" applyFont="1" applyFill="1" applyBorder="1" applyAlignment="1"/>
    <xf numFmtId="0" fontId="2" fillId="0" borderId="0" xfId="0" applyFont="1" applyAlignment="1"/>
    <xf numFmtId="0" fontId="2" fillId="0" borderId="8" xfId="0" applyFont="1" applyBorder="1" applyAlignment="1"/>
    <xf numFmtId="1" fontId="9" fillId="0" borderId="0" xfId="0" applyNumberFormat="1" applyFont="1" applyFill="1" applyBorder="1" applyAlignment="1"/>
    <xf numFmtId="1" fontId="0" fillId="0" borderId="0" xfId="0" applyNumberFormat="1" applyFill="1" applyBorder="1" applyAlignment="1"/>
    <xf numFmtId="1" fontId="9" fillId="0" borderId="0" xfId="0" applyNumberFormat="1" applyFont="1" applyBorder="1" applyAlignment="1"/>
    <xf numFmtId="1" fontId="0" fillId="0" borderId="0" xfId="0" applyNumberFormat="1" applyBorder="1" applyAlignment="1"/>
    <xf numFmtId="8" fontId="2" fillId="0" borderId="9" xfId="0" applyNumberFormat="1" applyFont="1" applyBorder="1" applyAlignment="1">
      <alignment horizontal="right"/>
    </xf>
    <xf numFmtId="164" fontId="10" fillId="0" borderId="8" xfId="6" applyNumberFormat="1" applyFont="1" applyFill="1" applyBorder="1" applyAlignment="1"/>
    <xf numFmtId="2" fontId="0" fillId="0" borderId="8" xfId="0" applyNumberFormat="1" applyBorder="1" applyAlignment="1"/>
    <xf numFmtId="2" fontId="0" fillId="0" borderId="0" xfId="0" applyNumberFormat="1" applyBorder="1" applyAlignment="1"/>
    <xf numFmtId="2" fontId="0" fillId="0" borderId="9" xfId="0" applyNumberFormat="1" applyBorder="1" applyAlignment="1"/>
    <xf numFmtId="6" fontId="0" fillId="0" borderId="0" xfId="0" applyNumberFormat="1" applyBorder="1" applyAlignment="1"/>
    <xf numFmtId="0" fontId="0" fillId="0" borderId="10" xfId="0" applyBorder="1" applyAlignment="1"/>
    <xf numFmtId="2" fontId="0" fillId="0" borderId="10" xfId="0" applyNumberFormat="1" applyBorder="1" applyAlignment="1"/>
    <xf numFmtId="2" fontId="0" fillId="0" borderId="11" xfId="0" applyNumberFormat="1" applyBorder="1" applyAlignment="1"/>
    <xf numFmtId="0" fontId="0" fillId="0" borderId="0" xfId="0" applyBorder="1" applyAlignment="1"/>
    <xf numFmtId="0" fontId="2" fillId="0" borderId="0" xfId="0" applyFont="1" applyFill="1" applyBorder="1" applyAlignment="1"/>
    <xf numFmtId="2" fontId="0" fillId="0" borderId="0" xfId="0" applyNumberFormat="1" applyAlignment="1"/>
    <xf numFmtId="8" fontId="0" fillId="0" borderId="0" xfId="0" applyNumberFormat="1" applyAlignment="1"/>
    <xf numFmtId="2" fontId="0" fillId="0" borderId="0" xfId="0" applyNumberFormat="1" applyFill="1" applyAlignment="1"/>
    <xf numFmtId="0" fontId="0" fillId="0" borderId="12" xfId="0" applyBorder="1" applyAlignment="1"/>
    <xf numFmtId="43" fontId="0" fillId="8" borderId="12" xfId="0" applyNumberFormat="1" applyFill="1" applyBorder="1" applyAlignment="1"/>
    <xf numFmtId="0" fontId="9" fillId="0" borderId="0" xfId="0" applyFont="1" applyFill="1"/>
    <xf numFmtId="4" fontId="35" fillId="2" borderId="0" xfId="0" applyNumberFormat="1" applyFont="1" applyFill="1" applyAlignment="1"/>
    <xf numFmtId="0" fontId="43" fillId="0" borderId="0" xfId="0" applyFont="1" applyAlignment="1"/>
    <xf numFmtId="0" fontId="7" fillId="0" borderId="0" xfId="0" applyFont="1" applyBorder="1" applyAlignment="1"/>
    <xf numFmtId="4" fontId="4" fillId="0" borderId="0" xfId="0" applyNumberFormat="1" applyFont="1" applyBorder="1" applyAlignment="1"/>
    <xf numFmtId="4" fontId="35" fillId="0" borderId="0" xfId="0" applyNumberFormat="1" applyFont="1" applyBorder="1" applyAlignment="1"/>
    <xf numFmtId="0" fontId="6" fillId="0" borderId="0" xfId="0" applyFont="1" applyBorder="1" applyAlignment="1"/>
    <xf numFmtId="0" fontId="13" fillId="0" borderId="0" xfId="0" applyFont="1" applyBorder="1" applyAlignment="1">
      <alignment horizontal="left"/>
    </xf>
    <xf numFmtId="0" fontId="31" fillId="0" borderId="0" xfId="0" applyFont="1" applyBorder="1" applyAlignment="1">
      <alignment horizontal="left"/>
    </xf>
    <xf numFmtId="0" fontId="0" fillId="5" borderId="0" xfId="0" applyFill="1" applyBorder="1" applyAlignment="1"/>
    <xf numFmtId="4" fontId="43" fillId="0" borderId="0" xfId="0" applyNumberFormat="1" applyFont="1" applyAlignment="1"/>
    <xf numFmtId="0" fontId="0" fillId="0" borderId="0" xfId="0" applyBorder="1" applyAlignment="1">
      <alignment vertical="top"/>
    </xf>
    <xf numFmtId="0" fontId="0" fillId="0" borderId="0" xfId="0" applyAlignment="1">
      <alignment horizontal="center"/>
    </xf>
    <xf numFmtId="10" fontId="0" fillId="0" borderId="0" xfId="0" applyNumberFormat="1" applyFill="1" applyAlignment="1"/>
    <xf numFmtId="0" fontId="2" fillId="0" borderId="0" xfId="0" applyFont="1" applyFill="1" applyBorder="1" applyAlignment="1">
      <alignment horizontal="right"/>
    </xf>
    <xf numFmtId="43" fontId="0" fillId="0" borderId="12" xfId="0" applyNumberFormat="1" applyFill="1" applyBorder="1" applyAlignment="1"/>
    <xf numFmtId="0" fontId="13" fillId="0" borderId="0" xfId="0" applyFont="1" applyFill="1" applyBorder="1" applyAlignment="1">
      <alignment horizontal="right"/>
    </xf>
    <xf numFmtId="10" fontId="0" fillId="0" borderId="0" xfId="0" applyNumberFormat="1" applyFill="1"/>
    <xf numFmtId="43" fontId="0" fillId="0" borderId="12" xfId="0" applyNumberFormat="1" applyFill="1" applyBorder="1"/>
    <xf numFmtId="0" fontId="13" fillId="0" borderId="0" xfId="0" applyFont="1" applyBorder="1" applyAlignment="1">
      <alignment horizontal="right"/>
    </xf>
    <xf numFmtId="0" fontId="31" fillId="0" borderId="1" xfId="0" applyFont="1" applyBorder="1" applyAlignment="1">
      <alignment horizontal="center"/>
    </xf>
    <xf numFmtId="0" fontId="37" fillId="0" borderId="0" xfId="0" applyFont="1" applyAlignment="1">
      <alignment horizontal="right"/>
    </xf>
    <xf numFmtId="0" fontId="31" fillId="0" borderId="2" xfId="0" applyFont="1" applyBorder="1" applyAlignment="1">
      <alignment horizontal="right"/>
    </xf>
    <xf numFmtId="0" fontId="37" fillId="0" borderId="1" xfId="0" applyFont="1" applyBorder="1" applyAlignment="1">
      <alignment horizontal="right"/>
    </xf>
    <xf numFmtId="0" fontId="0" fillId="0" borderId="0" xfId="0" applyAlignment="1">
      <alignment horizontal="center"/>
    </xf>
    <xf numFmtId="2" fontId="20" fillId="5" borderId="17" xfId="3" applyNumberFormat="1" applyFont="1" applyFill="1" applyBorder="1" applyAlignment="1">
      <alignment horizontal="center"/>
    </xf>
    <xf numFmtId="2" fontId="20" fillId="5" borderId="18" xfId="3" applyNumberFormat="1" applyFont="1" applyFill="1" applyBorder="1" applyAlignment="1">
      <alignment horizontal="center"/>
    </xf>
    <xf numFmtId="0" fontId="17" fillId="0" borderId="19" xfId="0" applyFont="1" applyBorder="1" applyAlignment="1">
      <alignment horizontal="center"/>
    </xf>
    <xf numFmtId="0" fontId="17" fillId="0" borderId="18" xfId="0" applyFont="1" applyBorder="1" applyAlignment="1">
      <alignment horizontal="center"/>
    </xf>
    <xf numFmtId="0" fontId="16" fillId="0" borderId="0" xfId="0" applyFont="1" applyAlignment="1">
      <alignment horizontal="left"/>
    </xf>
    <xf numFmtId="2" fontId="19" fillId="5" borderId="17" xfId="3" applyNumberFormat="1" applyFont="1" applyFill="1" applyBorder="1" applyAlignment="1">
      <alignment horizontal="center"/>
    </xf>
    <xf numFmtId="0" fontId="0" fillId="0" borderId="18" xfId="0" applyBorder="1" applyAlignment="1"/>
    <xf numFmtId="2" fontId="19" fillId="5" borderId="18" xfId="3" applyNumberFormat="1" applyFont="1" applyFill="1" applyBorder="1" applyAlignment="1">
      <alignment horizontal="center"/>
    </xf>
    <xf numFmtId="0" fontId="17" fillId="0" borderId="6" xfId="0" applyFont="1" applyBorder="1" applyAlignment="1">
      <alignment horizontal="center"/>
    </xf>
    <xf numFmtId="0" fontId="17" fillId="0" borderId="1" xfId="0" applyFont="1" applyBorder="1" applyAlignment="1">
      <alignment horizontal="center"/>
    </xf>
    <xf numFmtId="0" fontId="17" fillId="0" borderId="7" xfId="0" applyFont="1" applyBorder="1" applyAlignment="1">
      <alignment horizontal="center"/>
    </xf>
    <xf numFmtId="0" fontId="24" fillId="0" borderId="17" xfId="8" applyFont="1" applyBorder="1" applyAlignment="1">
      <alignment horizontal="center"/>
    </xf>
    <xf numFmtId="0" fontId="24" fillId="0" borderId="18" xfId="8" applyFont="1" applyBorder="1" applyAlignment="1">
      <alignment horizontal="center"/>
    </xf>
    <xf numFmtId="0" fontId="29" fillId="0" borderId="17" xfId="8" applyFont="1" applyBorder="1" applyAlignment="1">
      <alignment horizontal="center"/>
    </xf>
    <xf numFmtId="0" fontId="29" fillId="0" borderId="18" xfId="8" applyFont="1" applyBorder="1" applyAlignment="1">
      <alignment horizontal="center"/>
    </xf>
    <xf numFmtId="0" fontId="8" fillId="0" borderId="0" xfId="4" applyFill="1" applyBorder="1" applyAlignment="1">
      <alignment horizontal="center"/>
    </xf>
    <xf numFmtId="0" fontId="12" fillId="6" borderId="6" xfId="4" applyFont="1" applyFill="1" applyBorder="1" applyAlignment="1">
      <alignment horizontal="center"/>
    </xf>
    <xf numFmtId="0" fontId="12" fillId="6" borderId="1" xfId="4" applyFont="1" applyFill="1" applyBorder="1" applyAlignment="1">
      <alignment horizontal="center"/>
    </xf>
    <xf numFmtId="0" fontId="12" fillId="6" borderId="7" xfId="4" applyFont="1" applyFill="1" applyBorder="1" applyAlignment="1">
      <alignment horizontal="center"/>
    </xf>
    <xf numFmtId="0" fontId="8" fillId="0" borderId="11" xfId="4" applyFill="1" applyBorder="1" applyAlignment="1">
      <alignment horizontal="center"/>
    </xf>
    <xf numFmtId="0" fontId="0" fillId="0" borderId="1" xfId="0" applyBorder="1" applyAlignment="1"/>
    <xf numFmtId="0" fontId="0" fillId="0" borderId="7" xfId="0" applyBorder="1" applyAlignment="1"/>
    <xf numFmtId="0" fontId="0" fillId="0" borderId="0" xfId="0" applyFill="1" applyAlignment="1">
      <alignment horizontal="center"/>
    </xf>
    <xf numFmtId="0" fontId="0" fillId="0" borderId="0" xfId="0" applyFill="1"/>
    <xf numFmtId="43" fontId="0" fillId="0" borderId="0" xfId="0" applyNumberFormat="1" applyFill="1"/>
  </cellXfs>
  <cellStyles count="10">
    <cellStyle name="40% - Accent4" xfId="4" builtinId="43"/>
    <cellStyle name="Comma" xfId="2" builtinId="3"/>
    <cellStyle name="Comma 3" xfId="6"/>
    <cellStyle name="Currency" xfId="9" builtinId="4"/>
    <cellStyle name="Input" xfId="7" builtinId="20"/>
    <cellStyle name="Normal" xfId="0" builtinId="0"/>
    <cellStyle name="Normal 2" xfId="5"/>
    <cellStyle name="Normal 3" xfId="8"/>
    <cellStyle name="Note" xfId="3" builtinId="1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come statement"/>
      <sheetName val="Balance sheet"/>
      <sheetName val="Bond"/>
      <sheetName val="Z score"/>
      <sheetName val="Business risk"/>
      <sheetName val="Financial risk"/>
      <sheetName val="CB_DATA_"/>
      <sheetName val="WACC"/>
      <sheetName val="Valuation"/>
      <sheetName val="Du pont"/>
    </sheetNames>
    <sheetDataSet>
      <sheetData sheetId="0">
        <row r="7">
          <cell r="H7">
            <v>705</v>
          </cell>
          <cell r="I7">
            <v>846</v>
          </cell>
          <cell r="J7">
            <v>1015.1999999999999</v>
          </cell>
          <cell r="K7">
            <v>1218.2399999999998</v>
          </cell>
          <cell r="L7">
            <v>1461.8879999999997</v>
          </cell>
        </row>
      </sheetData>
      <sheetData sheetId="1">
        <row r="11">
          <cell r="C11">
            <v>754</v>
          </cell>
          <cell r="D11">
            <v>848.7</v>
          </cell>
          <cell r="E11">
            <v>906.4</v>
          </cell>
          <cell r="F11">
            <v>1027.8</v>
          </cell>
          <cell r="G11">
            <v>793.125</v>
          </cell>
          <cell r="H11">
            <v>951.75</v>
          </cell>
          <cell r="I11">
            <v>1142.0999999999999</v>
          </cell>
          <cell r="J11">
            <v>1370.52</v>
          </cell>
          <cell r="K11">
            <v>1644.6239999999998</v>
          </cell>
        </row>
        <row r="16">
          <cell r="C16">
            <v>1013</v>
          </cell>
          <cell r="D16">
            <v>1130.5999999999999</v>
          </cell>
          <cell r="E16">
            <v>1219.0999999999999</v>
          </cell>
          <cell r="F16">
            <v>1343.9</v>
          </cell>
          <cell r="G16">
            <v>1253.325</v>
          </cell>
          <cell r="H16">
            <v>1599.64</v>
          </cell>
          <cell r="I16">
            <v>2004.4714999999999</v>
          </cell>
          <cell r="J16">
            <v>2484.5557999999996</v>
          </cell>
          <cell r="K16">
            <v>2998.1709599999995</v>
          </cell>
        </row>
        <row r="21">
          <cell r="C21">
            <v>89.6</v>
          </cell>
          <cell r="D21">
            <v>115.3</v>
          </cell>
          <cell r="E21">
            <v>93</v>
          </cell>
          <cell r="F21">
            <v>99.4</v>
          </cell>
          <cell r="G21">
            <v>158.625</v>
          </cell>
          <cell r="H21">
            <v>190.35</v>
          </cell>
          <cell r="I21">
            <v>228.42</v>
          </cell>
          <cell r="J21">
            <v>274.10399999999998</v>
          </cell>
          <cell r="K21">
            <v>328.92479999999995</v>
          </cell>
        </row>
        <row r="24">
          <cell r="H24">
            <v>130</v>
          </cell>
          <cell r="I24">
            <v>280</v>
          </cell>
          <cell r="J24">
            <v>450</v>
          </cell>
          <cell r="K24">
            <v>590</v>
          </cell>
        </row>
        <row r="26">
          <cell r="C26">
            <v>890.8</v>
          </cell>
          <cell r="D26">
            <v>981.3</v>
          </cell>
          <cell r="E26">
            <v>1089.3</v>
          </cell>
          <cell r="F26">
            <v>1194</v>
          </cell>
        </row>
        <row r="28">
          <cell r="C28">
            <v>894.5</v>
          </cell>
          <cell r="D28">
            <v>985.3</v>
          </cell>
          <cell r="E28">
            <v>1094.0999999999999</v>
          </cell>
          <cell r="F28">
            <v>1199.9000000000001</v>
          </cell>
          <cell r="G28">
            <v>1344.5</v>
          </cell>
          <cell r="H28">
            <v>1402.9099999999999</v>
          </cell>
          <cell r="I28">
            <v>1468.1115</v>
          </cell>
          <cell r="J28">
            <v>1550.4957999999999</v>
          </cell>
          <cell r="K28">
            <v>1650.72696</v>
          </cell>
        </row>
      </sheetData>
      <sheetData sheetId="2" refreshError="1"/>
      <sheetData sheetId="3" refreshError="1"/>
      <sheetData sheetId="4">
        <row r="6">
          <cell r="D6">
            <v>446.2</v>
          </cell>
          <cell r="E6">
            <v>538.5</v>
          </cell>
          <cell r="F6">
            <v>498.4</v>
          </cell>
          <cell r="G6">
            <v>451</v>
          </cell>
        </row>
        <row r="13">
          <cell r="D13">
            <v>189.8</v>
          </cell>
          <cell r="E13">
            <v>221.8</v>
          </cell>
          <cell r="F13">
            <v>184.8</v>
          </cell>
          <cell r="G13">
            <v>164.1</v>
          </cell>
          <cell r="H13">
            <v>282.5</v>
          </cell>
          <cell r="I13">
            <v>333</v>
          </cell>
          <cell r="J13">
            <v>387.59999999999997</v>
          </cell>
          <cell r="K13">
            <v>479.11999999999989</v>
          </cell>
          <cell r="L13">
            <v>580.94399999999985</v>
          </cell>
        </row>
      </sheetData>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3:AL44"/>
  <sheetViews>
    <sheetView topLeftCell="A22" zoomScale="90" zoomScaleNormal="90" workbookViewId="0">
      <selection activeCell="D45" sqref="D45"/>
    </sheetView>
  </sheetViews>
  <sheetFormatPr defaultRowHeight="15.75"/>
  <cols>
    <col min="1" max="1" width="9.140625" style="37"/>
    <col min="2" max="2" width="9.140625" style="36"/>
    <col min="3" max="3" width="32.140625" style="37" bestFit="1" customWidth="1"/>
    <col min="4" max="4" width="18.5703125" style="37" customWidth="1"/>
    <col min="5" max="5" width="10.28515625" style="37" bestFit="1" customWidth="1"/>
    <col min="6" max="7" width="12.140625" style="37" bestFit="1" customWidth="1"/>
    <col min="8" max="10" width="12.140625" style="37" customWidth="1"/>
    <col min="11" max="11" width="12.140625" style="37" bestFit="1" customWidth="1"/>
    <col min="12" max="12" width="12.140625" style="37" customWidth="1"/>
    <col min="13" max="13" width="12.140625" style="37" bestFit="1" customWidth="1"/>
    <col min="14" max="14" width="25.140625" style="37" bestFit="1" customWidth="1"/>
    <col min="15" max="21" width="10.42578125" style="37" bestFit="1" customWidth="1"/>
    <col min="22" max="22" width="12" style="37" bestFit="1" customWidth="1"/>
    <col min="23" max="23" width="11" style="37" bestFit="1" customWidth="1"/>
    <col min="24" max="37" width="12" style="37" bestFit="1" customWidth="1"/>
    <col min="38" max="38" width="11" style="37" bestFit="1" customWidth="1"/>
    <col min="39" max="16384" width="9.140625" style="37"/>
  </cols>
  <sheetData>
    <row r="3" spans="3:38" ht="16.5" thickBot="1">
      <c r="N3" s="90"/>
      <c r="O3" s="91"/>
      <c r="P3" s="91"/>
      <c r="Q3" s="91"/>
      <c r="R3" s="91"/>
      <c r="S3" s="92"/>
      <c r="T3" s="91"/>
      <c r="U3" s="91"/>
      <c r="V3" s="92"/>
      <c r="W3" s="91"/>
      <c r="X3" s="91"/>
      <c r="Y3" s="91"/>
      <c r="Z3" s="91"/>
      <c r="AA3" s="90"/>
      <c r="AB3" s="90"/>
      <c r="AC3" s="88"/>
      <c r="AD3" s="88"/>
      <c r="AE3" s="88"/>
      <c r="AF3" s="88"/>
      <c r="AG3" s="88"/>
      <c r="AH3" s="88"/>
      <c r="AI3" s="88"/>
      <c r="AJ3" s="88"/>
      <c r="AK3" s="88"/>
      <c r="AL3" s="88"/>
    </row>
    <row r="4" spans="3:38">
      <c r="C4" s="105"/>
      <c r="D4" s="274" t="s">
        <v>189</v>
      </c>
      <c r="E4" s="274"/>
      <c r="F4" s="274"/>
      <c r="G4" s="274"/>
      <c r="H4" s="190"/>
      <c r="I4" s="190"/>
      <c r="J4" s="190"/>
      <c r="K4" s="40"/>
      <c r="L4" s="40"/>
      <c r="M4" s="40"/>
      <c r="N4" s="100"/>
      <c r="O4" s="116" t="s">
        <v>189</v>
      </c>
      <c r="P4" s="100"/>
      <c r="Q4" s="275" t="s">
        <v>190</v>
      </c>
      <c r="R4" s="275"/>
      <c r="S4" s="100"/>
      <c r="T4" s="100"/>
    </row>
    <row r="5" spans="3:38">
      <c r="C5" s="106"/>
      <c r="D5" s="273" t="s">
        <v>87</v>
      </c>
      <c r="E5" s="273"/>
      <c r="F5" s="273"/>
      <c r="G5" s="29"/>
      <c r="H5" s="188"/>
      <c r="I5" s="188"/>
      <c r="J5" s="188"/>
      <c r="N5" s="97"/>
      <c r="O5" s="116" t="s">
        <v>191</v>
      </c>
      <c r="P5" s="116" t="s">
        <v>192</v>
      </c>
      <c r="Q5" s="116" t="s">
        <v>193</v>
      </c>
      <c r="R5" s="116" t="s">
        <v>194</v>
      </c>
      <c r="S5" s="116" t="s">
        <v>195</v>
      </c>
      <c r="T5" s="116" t="s">
        <v>196</v>
      </c>
    </row>
    <row r="6" spans="3:38">
      <c r="C6" s="108" t="s">
        <v>88</v>
      </c>
      <c r="D6" s="109">
        <v>2011</v>
      </c>
      <c r="E6" s="109">
        <v>2012</v>
      </c>
      <c r="F6" s="109">
        <v>2013</v>
      </c>
      <c r="G6" s="109">
        <v>2014</v>
      </c>
      <c r="H6" s="188">
        <v>2015</v>
      </c>
      <c r="I6" s="188">
        <v>2016</v>
      </c>
      <c r="J6" s="188">
        <v>2017</v>
      </c>
      <c r="K6" s="188">
        <v>2018</v>
      </c>
      <c r="L6" s="188">
        <v>2019</v>
      </c>
      <c r="M6" s="38"/>
      <c r="N6" s="117" t="s">
        <v>88</v>
      </c>
      <c r="O6" s="97"/>
      <c r="P6" s="97"/>
      <c r="Q6" s="97"/>
      <c r="R6" s="97"/>
      <c r="S6" s="97"/>
      <c r="T6" s="97"/>
      <c r="U6" s="93"/>
    </row>
    <row r="7" spans="3:38">
      <c r="C7" s="108" t="s">
        <v>49</v>
      </c>
      <c r="D7" s="109">
        <v>446.2</v>
      </c>
      <c r="E7" s="109">
        <v>538.5</v>
      </c>
      <c r="F7" s="109">
        <v>498.4</v>
      </c>
      <c r="G7" s="109">
        <v>451</v>
      </c>
      <c r="H7" s="188">
        <f>P7</f>
        <v>705</v>
      </c>
      <c r="I7" s="188">
        <f>H7*1.2</f>
        <v>846</v>
      </c>
      <c r="J7" s="188">
        <f t="shared" ref="J7:L7" si="0">I7*1.2</f>
        <v>1015.1999999999999</v>
      </c>
      <c r="K7" s="188">
        <f t="shared" si="0"/>
        <v>1218.2399999999998</v>
      </c>
      <c r="L7" s="188">
        <f t="shared" si="0"/>
        <v>1461.8879999999997</v>
      </c>
      <c r="M7" s="94"/>
      <c r="N7" s="118" t="s">
        <v>49</v>
      </c>
      <c r="O7" s="119">
        <v>451</v>
      </c>
      <c r="P7" s="119">
        <v>705</v>
      </c>
      <c r="Q7" s="119">
        <v>570</v>
      </c>
      <c r="R7" s="119">
        <v>510</v>
      </c>
      <c r="S7" s="119">
        <v>525</v>
      </c>
      <c r="T7" s="119">
        <v>550</v>
      </c>
    </row>
    <row r="8" spans="3:38">
      <c r="C8" s="108" t="s">
        <v>0</v>
      </c>
      <c r="D8" s="109">
        <v>208.1</v>
      </c>
      <c r="E8" s="109">
        <v>262.10000000000002</v>
      </c>
      <c r="F8" s="109">
        <v>258.7</v>
      </c>
      <c r="G8" s="109">
        <v>227.2</v>
      </c>
      <c r="H8" s="188">
        <f>H7*0.5</f>
        <v>352.5</v>
      </c>
      <c r="I8" s="189">
        <f t="shared" ref="I8:L8" si="1">I7*0.5</f>
        <v>423</v>
      </c>
      <c r="J8" s="189">
        <f t="shared" si="1"/>
        <v>507.59999999999997</v>
      </c>
      <c r="K8" s="189">
        <f t="shared" si="1"/>
        <v>609.11999999999989</v>
      </c>
      <c r="L8" s="189">
        <f t="shared" si="1"/>
        <v>730.94399999999985</v>
      </c>
      <c r="M8" s="39"/>
      <c r="N8" s="118" t="s">
        <v>3</v>
      </c>
      <c r="O8" s="119" t="s">
        <v>92</v>
      </c>
      <c r="P8" s="119">
        <v>280</v>
      </c>
      <c r="Q8" s="119">
        <v>195</v>
      </c>
      <c r="R8" s="119">
        <v>170</v>
      </c>
      <c r="S8" s="119">
        <v>193</v>
      </c>
      <c r="T8" s="119">
        <v>210</v>
      </c>
      <c r="U8" s="93"/>
      <c r="V8" s="93"/>
      <c r="W8" s="93"/>
      <c r="X8" s="93"/>
      <c r="Y8" s="93"/>
      <c r="Z8" s="93"/>
      <c r="AA8" s="93"/>
      <c r="AB8" s="93"/>
      <c r="AC8" s="93"/>
      <c r="AD8" s="93"/>
      <c r="AE8" s="93"/>
      <c r="AF8" s="93"/>
      <c r="AG8" s="93"/>
      <c r="AH8" s="93"/>
      <c r="AI8" s="93"/>
      <c r="AJ8" s="93"/>
      <c r="AK8" s="93"/>
      <c r="AL8" s="93"/>
    </row>
    <row r="9" spans="3:38">
      <c r="C9" s="110" t="s">
        <v>1</v>
      </c>
      <c r="D9" s="109">
        <v>238.1</v>
      </c>
      <c r="E9" s="109">
        <v>276.39999999999998</v>
      </c>
      <c r="F9" s="109">
        <v>239.7</v>
      </c>
      <c r="G9" s="109">
        <v>223.8</v>
      </c>
      <c r="H9" s="188">
        <f>H7-H8</f>
        <v>352.5</v>
      </c>
      <c r="I9" s="189">
        <f t="shared" ref="I9:L9" si="2">I7-I8</f>
        <v>423</v>
      </c>
      <c r="J9" s="189">
        <f t="shared" si="2"/>
        <v>507.59999999999997</v>
      </c>
      <c r="K9" s="189">
        <f t="shared" si="2"/>
        <v>609.11999999999989</v>
      </c>
      <c r="L9" s="189">
        <f t="shared" si="2"/>
        <v>730.94399999999985</v>
      </c>
      <c r="M9" s="39"/>
      <c r="N9" s="118" t="s">
        <v>98</v>
      </c>
      <c r="O9" s="119" t="s">
        <v>99</v>
      </c>
      <c r="P9" s="119" t="s">
        <v>198</v>
      </c>
      <c r="Q9" s="119" t="s">
        <v>199</v>
      </c>
      <c r="R9" s="119" t="s">
        <v>200</v>
      </c>
      <c r="S9" s="119" t="s">
        <v>201</v>
      </c>
      <c r="T9" s="119" t="s">
        <v>202</v>
      </c>
      <c r="U9" s="93"/>
      <c r="V9" s="93"/>
      <c r="W9" s="93"/>
      <c r="X9" s="93"/>
      <c r="Y9" s="93"/>
      <c r="Z9" s="93"/>
      <c r="AA9" s="93"/>
      <c r="AB9" s="93"/>
      <c r="AC9" s="93"/>
      <c r="AD9" s="93"/>
      <c r="AE9" s="93"/>
      <c r="AF9" s="93"/>
      <c r="AG9" s="93"/>
      <c r="AH9" s="93"/>
      <c r="AI9" s="93"/>
      <c r="AJ9" s="93"/>
      <c r="AK9" s="93"/>
      <c r="AL9" s="93"/>
    </row>
    <row r="10" spans="3:38">
      <c r="C10" s="108" t="s">
        <v>89</v>
      </c>
      <c r="D10" s="109">
        <v>48.4</v>
      </c>
      <c r="E10" s="109">
        <v>54.5</v>
      </c>
      <c r="F10" s="109">
        <v>54.9</v>
      </c>
      <c r="G10" s="109">
        <v>59.7</v>
      </c>
      <c r="H10" s="189">
        <v>70</v>
      </c>
      <c r="I10" s="189">
        <v>90</v>
      </c>
      <c r="J10" s="189">
        <v>120</v>
      </c>
      <c r="K10" s="189">
        <v>130</v>
      </c>
      <c r="L10" s="189">
        <v>150</v>
      </c>
      <c r="M10" s="94"/>
      <c r="N10" s="118" t="s">
        <v>203</v>
      </c>
      <c r="O10" s="119">
        <v>195.7</v>
      </c>
      <c r="P10" s="119">
        <v>195.7</v>
      </c>
      <c r="Q10" s="119">
        <v>195.7</v>
      </c>
      <c r="R10" s="119">
        <v>195.7</v>
      </c>
      <c r="S10" s="119">
        <v>195.7</v>
      </c>
      <c r="T10" s="119">
        <v>195.7</v>
      </c>
      <c r="U10" s="95"/>
      <c r="V10" s="95"/>
      <c r="W10" s="95"/>
      <c r="X10" s="95"/>
      <c r="Y10" s="95"/>
      <c r="Z10" s="95"/>
      <c r="AA10" s="95"/>
      <c r="AB10" s="95"/>
      <c r="AC10" s="95"/>
      <c r="AD10" s="95"/>
      <c r="AE10" s="95"/>
      <c r="AF10" s="95"/>
      <c r="AG10" s="95"/>
      <c r="AH10" s="95"/>
      <c r="AI10" s="95"/>
      <c r="AJ10" s="95"/>
      <c r="AK10" s="95"/>
      <c r="AL10" s="95"/>
    </row>
    <row r="11" spans="3:38">
      <c r="C11" s="110" t="s">
        <v>91</v>
      </c>
      <c r="D11" s="109">
        <v>189.8</v>
      </c>
      <c r="E11" s="109">
        <v>221.8</v>
      </c>
      <c r="F11" s="109">
        <v>184.8</v>
      </c>
      <c r="G11" s="109">
        <v>164.1</v>
      </c>
      <c r="H11" s="188">
        <f>H9-H10</f>
        <v>282.5</v>
      </c>
      <c r="I11" s="189">
        <f t="shared" ref="I11:L11" si="3">I9-I10</f>
        <v>333</v>
      </c>
      <c r="J11" s="189">
        <f t="shared" si="3"/>
        <v>387.59999999999997</v>
      </c>
      <c r="K11" s="189">
        <f t="shared" si="3"/>
        <v>479.11999999999989</v>
      </c>
      <c r="L11" s="189">
        <f t="shared" si="3"/>
        <v>580.94399999999985</v>
      </c>
      <c r="M11" s="39"/>
      <c r="N11" s="118" t="s">
        <v>204</v>
      </c>
      <c r="O11" s="119" t="s">
        <v>105</v>
      </c>
      <c r="P11" s="119" t="s">
        <v>205</v>
      </c>
      <c r="Q11" s="119" t="s">
        <v>206</v>
      </c>
      <c r="R11" s="119" t="s">
        <v>207</v>
      </c>
      <c r="S11" s="119" t="s">
        <v>208</v>
      </c>
      <c r="T11" s="119" t="s">
        <v>209</v>
      </c>
      <c r="U11" s="93"/>
      <c r="V11" s="93"/>
      <c r="W11" s="93"/>
      <c r="X11" s="93"/>
      <c r="Y11" s="93"/>
      <c r="Z11" s="93"/>
      <c r="AA11" s="93"/>
      <c r="AB11" s="93"/>
      <c r="AC11" s="93"/>
      <c r="AD11" s="93"/>
      <c r="AE11" s="93"/>
      <c r="AF11" s="93"/>
      <c r="AG11" s="93"/>
      <c r="AH11" s="93"/>
      <c r="AI11" s="93"/>
      <c r="AJ11" s="93"/>
      <c r="AK11" s="93"/>
      <c r="AL11" s="93"/>
    </row>
    <row r="12" spans="3:38">
      <c r="C12" s="108" t="s">
        <v>93</v>
      </c>
      <c r="D12" s="109">
        <v>2</v>
      </c>
      <c r="E12" s="109">
        <v>2.6</v>
      </c>
      <c r="F12" s="109">
        <v>2.8</v>
      </c>
      <c r="G12" s="109">
        <v>3.6</v>
      </c>
      <c r="H12" s="188">
        <v>4</v>
      </c>
      <c r="I12" s="188">
        <v>4.5</v>
      </c>
      <c r="J12" s="188">
        <v>5</v>
      </c>
      <c r="K12" s="188">
        <v>5.5</v>
      </c>
      <c r="L12" s="188">
        <v>6</v>
      </c>
      <c r="M12" s="39"/>
      <c r="N12" s="118" t="s">
        <v>210</v>
      </c>
      <c r="O12" s="119" t="s">
        <v>111</v>
      </c>
      <c r="P12" s="119" t="s">
        <v>211</v>
      </c>
      <c r="Q12" s="119" t="s">
        <v>212</v>
      </c>
      <c r="R12" s="119" t="s">
        <v>213</v>
      </c>
      <c r="S12" s="119" t="s">
        <v>197</v>
      </c>
      <c r="T12" s="119" t="s">
        <v>214</v>
      </c>
      <c r="U12" s="93"/>
      <c r="V12" s="93"/>
      <c r="W12" s="93"/>
      <c r="X12" s="93"/>
      <c r="Y12" s="93"/>
      <c r="Z12" s="93"/>
      <c r="AA12" s="93"/>
      <c r="AB12" s="93"/>
      <c r="AC12" s="93"/>
      <c r="AD12" s="93"/>
      <c r="AE12" s="93"/>
      <c r="AF12" s="93"/>
      <c r="AG12" s="93"/>
      <c r="AH12" s="93"/>
      <c r="AI12" s="93"/>
      <c r="AJ12" s="93"/>
      <c r="AK12" s="93"/>
      <c r="AL12" s="93"/>
    </row>
    <row r="13" spans="3:38">
      <c r="C13" s="108" t="s">
        <v>258</v>
      </c>
      <c r="D13" s="189"/>
      <c r="E13" s="189"/>
      <c r="F13" s="189"/>
      <c r="G13" s="189"/>
      <c r="H13" s="189"/>
      <c r="I13">
        <v>0.65</v>
      </c>
      <c r="J13">
        <v>1.4000000000000001</v>
      </c>
      <c r="K13">
        <v>2.25</v>
      </c>
      <c r="L13">
        <v>2.95</v>
      </c>
      <c r="M13" s="39"/>
      <c r="N13" s="118"/>
      <c r="O13" s="119"/>
      <c r="P13" s="119"/>
      <c r="Q13" s="119"/>
      <c r="R13" s="119"/>
      <c r="S13" s="119"/>
      <c r="T13" s="119"/>
      <c r="U13" s="93"/>
      <c r="V13" s="93"/>
      <c r="W13" s="93"/>
      <c r="X13" s="93"/>
      <c r="Y13" s="93"/>
      <c r="Z13" s="93"/>
      <c r="AA13" s="93"/>
      <c r="AB13" s="93"/>
      <c r="AC13" s="93"/>
      <c r="AD13" s="93"/>
      <c r="AE13" s="93"/>
      <c r="AF13" s="93"/>
      <c r="AG13" s="93"/>
      <c r="AH13" s="93"/>
      <c r="AI13" s="93"/>
      <c r="AJ13" s="93"/>
      <c r="AK13" s="93"/>
      <c r="AL13" s="93"/>
    </row>
    <row r="14" spans="3:38">
      <c r="C14" s="108" t="s">
        <v>94</v>
      </c>
      <c r="D14" s="109">
        <v>4.7</v>
      </c>
      <c r="E14" s="109">
        <v>3.5</v>
      </c>
      <c r="F14" s="109">
        <v>3.4</v>
      </c>
      <c r="G14" s="109">
        <v>6.9</v>
      </c>
      <c r="H14" s="189">
        <v>6.25</v>
      </c>
      <c r="I14" s="189">
        <v>6.9</v>
      </c>
      <c r="J14" s="189">
        <v>7.55</v>
      </c>
      <c r="K14" s="189">
        <v>8.1999999999999993</v>
      </c>
      <c r="L14" s="189">
        <v>8.85</v>
      </c>
      <c r="M14" s="94"/>
      <c r="U14" s="96"/>
      <c r="V14" s="96"/>
      <c r="W14" s="96"/>
      <c r="X14" s="96"/>
      <c r="Y14" s="96"/>
      <c r="Z14" s="96"/>
      <c r="AA14" s="96"/>
      <c r="AB14" s="96"/>
      <c r="AC14" s="96"/>
      <c r="AD14" s="96"/>
      <c r="AE14" s="96"/>
      <c r="AF14" s="96"/>
      <c r="AG14" s="96"/>
      <c r="AH14" s="96"/>
      <c r="AI14" s="96"/>
      <c r="AJ14" s="96"/>
      <c r="AK14" s="96"/>
      <c r="AL14" s="96"/>
    </row>
    <row r="15" spans="3:38">
      <c r="C15" s="110" t="s">
        <v>95</v>
      </c>
      <c r="D15" s="109">
        <v>196.4</v>
      </c>
      <c r="E15" s="109">
        <v>227.9</v>
      </c>
      <c r="F15" s="109">
        <v>191</v>
      </c>
      <c r="G15" s="109">
        <v>174.7</v>
      </c>
      <c r="H15" s="188">
        <f>H11+H12-H13+H14</f>
        <v>292.75</v>
      </c>
      <c r="I15" s="189">
        <f t="shared" ref="I15:L15" si="4">I11+I12-I13+I14</f>
        <v>343.75</v>
      </c>
      <c r="J15" s="189">
        <f t="shared" si="4"/>
        <v>398.75</v>
      </c>
      <c r="K15" s="189">
        <f t="shared" si="4"/>
        <v>490.56999999999988</v>
      </c>
      <c r="L15" s="189">
        <f t="shared" si="4"/>
        <v>592.84399999999982</v>
      </c>
      <c r="M15" s="39"/>
      <c r="U15" s="93"/>
      <c r="V15" s="93"/>
      <c r="W15" s="93"/>
      <c r="X15" s="93"/>
      <c r="Y15" s="93"/>
      <c r="Z15" s="93"/>
      <c r="AA15" s="93"/>
      <c r="AB15" s="93"/>
      <c r="AC15" s="93"/>
      <c r="AD15" s="93"/>
      <c r="AE15" s="93"/>
      <c r="AF15" s="93"/>
      <c r="AG15" s="93"/>
      <c r="AH15" s="93"/>
      <c r="AI15" s="93"/>
      <c r="AJ15" s="93"/>
      <c r="AK15" s="93"/>
      <c r="AL15" s="93"/>
    </row>
    <row r="16" spans="3:38">
      <c r="C16" s="108" t="s">
        <v>96</v>
      </c>
      <c r="D16" s="109">
        <v>72.7</v>
      </c>
      <c r="E16" s="109">
        <v>89.1</v>
      </c>
      <c r="F16" s="109">
        <v>70.3</v>
      </c>
      <c r="G16" s="109">
        <v>62.8</v>
      </c>
      <c r="H16" s="188">
        <f>H15*(1-0.7)</f>
        <v>87.825000000000017</v>
      </c>
      <c r="I16" s="189">
        <f t="shared" ref="I16:L16" si="5">I15*(1-0.7)</f>
        <v>103.12500000000001</v>
      </c>
      <c r="J16" s="189">
        <f t="shared" si="5"/>
        <v>119.62500000000001</v>
      </c>
      <c r="K16" s="189">
        <f t="shared" si="5"/>
        <v>147.17099999999999</v>
      </c>
      <c r="L16" s="189">
        <f t="shared" si="5"/>
        <v>177.85319999999999</v>
      </c>
      <c r="M16" s="39"/>
      <c r="U16" s="93"/>
      <c r="V16" s="93"/>
      <c r="W16" s="93"/>
      <c r="X16" s="93"/>
      <c r="Y16" s="93"/>
      <c r="Z16" s="93"/>
      <c r="AA16" s="93"/>
      <c r="AB16" s="93"/>
      <c r="AC16" s="93"/>
      <c r="AD16" s="93"/>
      <c r="AE16" s="93"/>
      <c r="AF16" s="93"/>
      <c r="AG16" s="93"/>
      <c r="AH16" s="93"/>
      <c r="AI16" s="93"/>
      <c r="AJ16" s="93"/>
      <c r="AK16" s="93"/>
      <c r="AL16" s="93"/>
    </row>
    <row r="17" spans="3:38">
      <c r="C17" s="108" t="s">
        <v>97</v>
      </c>
      <c r="D17" s="111">
        <v>-0.7</v>
      </c>
      <c r="E17" s="111">
        <v>-0.6</v>
      </c>
      <c r="F17" s="111">
        <v>-0.5</v>
      </c>
      <c r="G17" s="111">
        <v>-0.6</v>
      </c>
      <c r="H17" s="111">
        <v>-0.5</v>
      </c>
      <c r="I17" s="111">
        <v>-0.46</v>
      </c>
      <c r="J17" s="111">
        <v>-0.42</v>
      </c>
      <c r="K17" s="111">
        <v>-0.38</v>
      </c>
      <c r="L17" s="111">
        <v>-0.34</v>
      </c>
      <c r="M17" s="94"/>
      <c r="U17" s="96"/>
      <c r="V17" s="96"/>
      <c r="W17" s="96"/>
      <c r="X17" s="96"/>
      <c r="Y17" s="96"/>
      <c r="Z17" s="96"/>
      <c r="AA17" s="96"/>
      <c r="AB17" s="96"/>
      <c r="AC17" s="96"/>
      <c r="AD17" s="96"/>
      <c r="AE17" s="96"/>
      <c r="AF17" s="96"/>
      <c r="AG17" s="96"/>
      <c r="AH17" s="96"/>
      <c r="AI17" s="96"/>
      <c r="AJ17" s="96"/>
      <c r="AK17" s="96"/>
      <c r="AL17" s="96"/>
    </row>
    <row r="18" spans="3:38">
      <c r="C18" s="110" t="s">
        <v>98</v>
      </c>
      <c r="D18" s="109">
        <v>123.1</v>
      </c>
      <c r="E18" s="109">
        <v>138.19999999999999</v>
      </c>
      <c r="F18" s="109">
        <v>120.3</v>
      </c>
      <c r="G18" s="109">
        <v>111.2</v>
      </c>
      <c r="H18" s="188">
        <f>H15-H16+H17</f>
        <v>204.42499999999998</v>
      </c>
      <c r="I18" s="189">
        <f t="shared" ref="I18:L18" si="6">I15-I16+I17</f>
        <v>240.16499999999999</v>
      </c>
      <c r="J18" s="189">
        <f t="shared" si="6"/>
        <v>278.70499999999998</v>
      </c>
      <c r="K18" s="189">
        <f t="shared" si="6"/>
        <v>343.01899999999989</v>
      </c>
      <c r="L18" s="189">
        <f t="shared" si="6"/>
        <v>414.65079999999983</v>
      </c>
      <c r="M18" s="40"/>
    </row>
    <row r="19" spans="3:38">
      <c r="C19" s="192" t="s">
        <v>100</v>
      </c>
      <c r="D19" s="29"/>
      <c r="E19" s="29"/>
      <c r="F19" s="29"/>
      <c r="G19" s="29"/>
      <c r="H19" s="29"/>
      <c r="I19" s="29"/>
      <c r="J19" s="29"/>
      <c r="K19" s="40"/>
      <c r="L19" s="40"/>
      <c r="M19" s="40"/>
    </row>
    <row r="20" spans="3:38">
      <c r="C20" s="110" t="s">
        <v>101</v>
      </c>
      <c r="D20" s="109" t="s">
        <v>102</v>
      </c>
      <c r="E20" s="109" t="s">
        <v>103</v>
      </c>
      <c r="F20" s="109" t="s">
        <v>104</v>
      </c>
      <c r="G20" s="109" t="s">
        <v>105</v>
      </c>
      <c r="H20" s="188"/>
      <c r="I20" s="188"/>
      <c r="J20" s="189"/>
      <c r="K20" s="189"/>
      <c r="L20" s="189"/>
    </row>
    <row r="21" spans="3:38">
      <c r="C21" s="110" t="s">
        <v>106</v>
      </c>
      <c r="D21" s="109">
        <v>195.8</v>
      </c>
      <c r="E21" s="109">
        <v>195.7</v>
      </c>
      <c r="F21" s="109">
        <v>195.7</v>
      </c>
      <c r="G21" s="109">
        <v>195.7</v>
      </c>
      <c r="H21" s="188"/>
      <c r="I21" s="188"/>
      <c r="J21" s="188"/>
    </row>
    <row r="22" spans="3:38">
      <c r="C22" s="110" t="s">
        <v>107</v>
      </c>
      <c r="D22" s="109" t="s">
        <v>108</v>
      </c>
      <c r="E22" s="109" t="s">
        <v>109</v>
      </c>
      <c r="F22" s="109" t="s">
        <v>110</v>
      </c>
      <c r="G22" s="109" t="s">
        <v>111</v>
      </c>
      <c r="H22" s="188"/>
      <c r="I22" s="188"/>
      <c r="J22" s="188"/>
    </row>
    <row r="23" spans="3:38">
      <c r="C23" s="110" t="s">
        <v>112</v>
      </c>
      <c r="D23" s="113">
        <v>0.3</v>
      </c>
      <c r="E23" s="113">
        <v>0.3</v>
      </c>
      <c r="F23" s="113">
        <v>0.3</v>
      </c>
      <c r="G23" s="113">
        <v>0.3</v>
      </c>
      <c r="H23" s="113"/>
      <c r="I23" s="113"/>
      <c r="J23" s="113"/>
    </row>
    <row r="24" spans="3:38">
      <c r="C24" s="110" t="s">
        <v>113</v>
      </c>
      <c r="D24" s="113">
        <v>1.4999999999999999E-2</v>
      </c>
      <c r="E24" s="113">
        <v>1.4E-2</v>
      </c>
      <c r="F24" s="113">
        <v>1.2999999999999999E-2</v>
      </c>
      <c r="G24" s="113">
        <v>8.9999999999999993E-3</v>
      </c>
      <c r="H24" s="113"/>
      <c r="I24" s="113"/>
      <c r="J24" s="113"/>
    </row>
    <row r="25" spans="3:38">
      <c r="C25" s="110" t="s">
        <v>114</v>
      </c>
      <c r="D25" s="109" t="s">
        <v>115</v>
      </c>
      <c r="E25" s="109" t="s">
        <v>116</v>
      </c>
      <c r="F25" s="109" t="s">
        <v>117</v>
      </c>
      <c r="G25" s="109" t="s">
        <v>118</v>
      </c>
      <c r="H25" s="188"/>
      <c r="I25" s="188"/>
      <c r="J25" s="188"/>
    </row>
    <row r="26" spans="3:38">
      <c r="C26" s="110" t="s">
        <v>119</v>
      </c>
      <c r="D26" s="109" t="s">
        <v>120</v>
      </c>
      <c r="E26" s="109" t="s">
        <v>121</v>
      </c>
      <c r="F26" s="109" t="s">
        <v>122</v>
      </c>
      <c r="G26" s="109" t="s">
        <v>123</v>
      </c>
      <c r="H26" s="188"/>
      <c r="I26" s="188"/>
      <c r="J26" s="188"/>
    </row>
    <row r="27" spans="3:38">
      <c r="C27" s="191" t="s">
        <v>124</v>
      </c>
      <c r="D27" s="29"/>
      <c r="E27" s="29"/>
      <c r="F27" s="29"/>
      <c r="G27" s="29"/>
      <c r="H27" s="29"/>
      <c r="I27" s="29"/>
      <c r="J27" s="29"/>
    </row>
    <row r="28" spans="3:38">
      <c r="C28" s="110" t="s">
        <v>125</v>
      </c>
      <c r="D28" s="109" t="s">
        <v>126</v>
      </c>
      <c r="E28" s="109" t="s">
        <v>127</v>
      </c>
      <c r="F28" s="109" t="s">
        <v>128</v>
      </c>
      <c r="G28" s="109" t="s">
        <v>129</v>
      </c>
      <c r="H28" s="188"/>
      <c r="I28" s="188"/>
      <c r="J28" s="188"/>
    </row>
    <row r="29" spans="3:38">
      <c r="C29" s="110" t="s">
        <v>130</v>
      </c>
      <c r="D29" s="109" t="s">
        <v>131</v>
      </c>
      <c r="E29" s="109" t="s">
        <v>132</v>
      </c>
      <c r="F29" s="109" t="s">
        <v>133</v>
      </c>
      <c r="G29" s="109" t="s">
        <v>134</v>
      </c>
      <c r="H29" s="188"/>
      <c r="I29" s="188"/>
      <c r="J29" s="188"/>
    </row>
    <row r="30" spans="3:38">
      <c r="C30" s="110" t="s">
        <v>135</v>
      </c>
      <c r="D30" s="109" t="s">
        <v>136</v>
      </c>
      <c r="E30" s="109" t="s">
        <v>137</v>
      </c>
      <c r="F30" s="109" t="s">
        <v>138</v>
      </c>
      <c r="G30" s="109" t="s">
        <v>139</v>
      </c>
      <c r="H30" s="188"/>
      <c r="I30" s="188"/>
      <c r="J30" s="188"/>
    </row>
    <row r="31" spans="3:38">
      <c r="C31" s="110" t="s">
        <v>140</v>
      </c>
      <c r="D31" s="109" t="s">
        <v>141</v>
      </c>
      <c r="E31" s="109" t="s">
        <v>142</v>
      </c>
      <c r="F31" s="109" t="s">
        <v>143</v>
      </c>
      <c r="G31" s="109" t="s">
        <v>144</v>
      </c>
      <c r="H31" s="188"/>
      <c r="I31" s="188"/>
      <c r="J31" s="188"/>
    </row>
    <row r="32" spans="3:38">
      <c r="C32" s="108" t="s">
        <v>145</v>
      </c>
      <c r="D32" s="29"/>
      <c r="E32" s="29"/>
      <c r="F32" s="29"/>
      <c r="G32" s="29"/>
      <c r="H32" s="29"/>
      <c r="I32" s="29"/>
      <c r="J32" s="29"/>
    </row>
    <row r="33" spans="3:10">
      <c r="C33" s="110" t="s">
        <v>146</v>
      </c>
      <c r="D33" s="113">
        <v>0.76100000000000001</v>
      </c>
      <c r="E33" s="113">
        <v>0.20699999999999999</v>
      </c>
      <c r="F33" s="113">
        <v>-7.3999999999999996E-2</v>
      </c>
      <c r="G33" s="113">
        <v>-9.5000000000000001E-2</v>
      </c>
      <c r="H33" s="113"/>
      <c r="I33" s="113"/>
      <c r="J33" s="113"/>
    </row>
    <row r="34" spans="3:10">
      <c r="C34" s="193" t="s">
        <v>147</v>
      </c>
      <c r="D34" s="29"/>
      <c r="E34" s="29"/>
      <c r="F34" s="29"/>
      <c r="G34" s="29"/>
      <c r="H34" s="29"/>
      <c r="I34" s="29"/>
      <c r="J34" s="29"/>
    </row>
    <row r="35" spans="3:10">
      <c r="C35" s="110" t="s">
        <v>148</v>
      </c>
      <c r="D35" s="113">
        <v>0.53400000000000003</v>
      </c>
      <c r="E35" s="113">
        <v>0.51300000000000001</v>
      </c>
      <c r="F35" s="113">
        <v>0.48099999999999998</v>
      </c>
      <c r="G35" s="113">
        <v>0.496</v>
      </c>
      <c r="H35" s="113"/>
      <c r="I35" s="113"/>
      <c r="J35" s="113"/>
    </row>
    <row r="36" spans="3:10">
      <c r="C36" s="110" t="s">
        <v>149</v>
      </c>
      <c r="D36" s="113">
        <v>0.42499999999999999</v>
      </c>
      <c r="E36" s="113">
        <v>0.41199999999999998</v>
      </c>
      <c r="F36" s="113">
        <v>0.371</v>
      </c>
      <c r="G36" s="113">
        <v>0.36399999999999999</v>
      </c>
      <c r="H36" s="113"/>
      <c r="I36" s="113"/>
      <c r="J36" s="113"/>
    </row>
    <row r="37" spans="3:10">
      <c r="C37" s="110" t="s">
        <v>150</v>
      </c>
      <c r="D37" s="113">
        <v>0.27600000000000002</v>
      </c>
      <c r="E37" s="113">
        <v>0.25700000000000001</v>
      </c>
      <c r="F37" s="113">
        <v>0.24099999999999999</v>
      </c>
      <c r="G37" s="113">
        <v>0.247</v>
      </c>
      <c r="H37" s="113"/>
      <c r="I37" s="113"/>
      <c r="J37" s="113"/>
    </row>
    <row r="38" spans="3:10">
      <c r="C38" s="110" t="s">
        <v>151</v>
      </c>
      <c r="D38" s="113">
        <v>0.122</v>
      </c>
      <c r="E38" s="113">
        <v>0.122</v>
      </c>
      <c r="F38" s="113">
        <v>9.9000000000000005E-2</v>
      </c>
      <c r="G38" s="113">
        <v>8.3000000000000004E-2</v>
      </c>
      <c r="H38" s="113"/>
      <c r="I38" s="113"/>
      <c r="J38" s="113"/>
    </row>
    <row r="39" spans="3:10">
      <c r="C39" s="110" t="s">
        <v>152</v>
      </c>
      <c r="D39" s="113">
        <v>0.13800000000000001</v>
      </c>
      <c r="E39" s="113">
        <v>0.14000000000000001</v>
      </c>
      <c r="F39" s="113">
        <v>0.11</v>
      </c>
      <c r="G39" s="113">
        <v>9.2999999999999999E-2</v>
      </c>
      <c r="H39" s="113"/>
      <c r="I39" s="113"/>
      <c r="J39" s="113"/>
    </row>
    <row r="40" spans="3:10">
      <c r="C40" s="110" t="s">
        <v>153</v>
      </c>
      <c r="D40" s="113">
        <v>0.37</v>
      </c>
      <c r="E40" s="113">
        <v>0.39100000000000001</v>
      </c>
      <c r="F40" s="113">
        <v>0.36799999999999999</v>
      </c>
      <c r="G40" s="113">
        <v>0.36</v>
      </c>
      <c r="H40" s="113"/>
      <c r="I40" s="113"/>
      <c r="J40" s="113"/>
    </row>
    <row r="41" spans="3:10" ht="16.5" thickBot="1">
      <c r="C41" s="114" t="s">
        <v>154</v>
      </c>
      <c r="D41" s="115">
        <v>5060</v>
      </c>
      <c r="E41" s="115">
        <v>5198</v>
      </c>
      <c r="F41" s="115">
        <v>5261</v>
      </c>
      <c r="G41" s="115">
        <v>5469</v>
      </c>
      <c r="H41" s="188"/>
      <c r="I41" s="188"/>
      <c r="J41" s="188"/>
    </row>
    <row r="44" spans="3:10">
      <c r="D44" s="37">
        <f>D18/D7</f>
        <v>0.27588525324966384</v>
      </c>
      <c r="E44" s="37">
        <f>E18/E7</f>
        <v>0.25663881151346329</v>
      </c>
      <c r="F44" s="37">
        <f>F18/F7</f>
        <v>0.24137239165329052</v>
      </c>
      <c r="G44" s="37">
        <f>G18/G7</f>
        <v>0.24656319290465634</v>
      </c>
    </row>
  </sheetData>
  <mergeCells count="3">
    <mergeCell ref="D5:F5"/>
    <mergeCell ref="D4:G4"/>
    <mergeCell ref="Q4:R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B2:U55"/>
  <sheetViews>
    <sheetView topLeftCell="A26" workbookViewId="0">
      <selection activeCell="K36" sqref="K36"/>
    </sheetView>
  </sheetViews>
  <sheetFormatPr defaultRowHeight="15"/>
  <cols>
    <col min="1" max="1" width="9.140625" style="28"/>
    <col min="2" max="2" width="24.5703125" style="28" bestFit="1" customWidth="1"/>
    <col min="3" max="3" width="9" style="28" bestFit="1" customWidth="1"/>
    <col min="4" max="4" width="10.140625" style="28" bestFit="1" customWidth="1"/>
    <col min="5" max="5" width="9" style="28" bestFit="1" customWidth="1"/>
    <col min="6" max="6" width="11.28515625" style="28" customWidth="1"/>
    <col min="7" max="10" width="9.140625" style="28"/>
    <col min="11" max="11" width="10" style="28" bestFit="1" customWidth="1"/>
    <col min="12" max="14" width="9.140625" style="28"/>
    <col min="15" max="15" width="25.140625" style="28" bestFit="1" customWidth="1"/>
    <col min="16" max="16384" width="9.140625" style="28"/>
  </cols>
  <sheetData>
    <row r="2" spans="2:21">
      <c r="F2" s="28" t="s">
        <v>260</v>
      </c>
      <c r="G2" s="28">
        <f>G3-G7</f>
        <v>235</v>
      </c>
      <c r="H2" s="28">
        <f t="shared" ref="H2:K2" si="0">H3-H7</f>
        <v>81.539999999999964</v>
      </c>
      <c r="I2" s="28">
        <f t="shared" si="0"/>
        <v>88.355000000000018</v>
      </c>
      <c r="J2" s="28">
        <f t="shared" si="0"/>
        <v>114.59899999999971</v>
      </c>
      <c r="K2" s="28">
        <f t="shared" si="0"/>
        <v>140.54680000000008</v>
      </c>
    </row>
    <row r="3" spans="2:21" ht="15.75" thickBot="1">
      <c r="F3" s="28" t="s">
        <v>259</v>
      </c>
      <c r="G3" s="98">
        <f>F7+'Income statement'!H18</f>
        <v>1028.125</v>
      </c>
      <c r="H3" s="98">
        <f>G7+'Income statement'!I18</f>
        <v>1033.29</v>
      </c>
      <c r="I3" s="98">
        <f>H7+'Income statement'!J18</f>
        <v>1230.4549999999999</v>
      </c>
      <c r="J3" s="98">
        <f>I7+'Income statement'!K18</f>
        <v>1485.1189999999997</v>
      </c>
      <c r="K3" s="98">
        <f>J7+'Income statement'!L18</f>
        <v>1785.1707999999999</v>
      </c>
    </row>
    <row r="4" spans="2:21" ht="16.5" thickBot="1">
      <c r="B4" s="169"/>
      <c r="C4" s="276" t="s">
        <v>87</v>
      </c>
      <c r="D4" s="276"/>
      <c r="E4" s="276"/>
      <c r="F4" s="276"/>
      <c r="G4" s="103"/>
      <c r="H4" s="103"/>
      <c r="I4" s="103"/>
      <c r="J4" s="103"/>
      <c r="K4" s="103"/>
      <c r="L4" s="103"/>
      <c r="M4" s="103"/>
      <c r="O4" s="120"/>
      <c r="P4" s="121" t="s">
        <v>189</v>
      </c>
      <c r="Q4" s="122"/>
      <c r="R4" s="277" t="s">
        <v>190</v>
      </c>
      <c r="S4" s="277"/>
      <c r="T4" s="122"/>
      <c r="U4" s="123"/>
    </row>
    <row r="5" spans="2:21" ht="16.5" thickBot="1">
      <c r="B5" s="170" t="s">
        <v>155</v>
      </c>
      <c r="C5" s="171">
        <v>2011</v>
      </c>
      <c r="D5" s="171">
        <v>2012</v>
      </c>
      <c r="E5" s="171">
        <v>2013</v>
      </c>
      <c r="F5" s="171">
        <v>2014</v>
      </c>
      <c r="G5" s="104">
        <v>2015</v>
      </c>
      <c r="H5" s="104">
        <v>2016</v>
      </c>
      <c r="I5" s="104">
        <v>2017</v>
      </c>
      <c r="J5" s="104">
        <v>2018</v>
      </c>
      <c r="K5" s="104">
        <v>2019</v>
      </c>
      <c r="L5" s="104"/>
      <c r="M5" s="104"/>
      <c r="O5" s="124" t="s">
        <v>155</v>
      </c>
      <c r="P5" s="125" t="s">
        <v>191</v>
      </c>
      <c r="Q5" s="125" t="s">
        <v>192</v>
      </c>
      <c r="R5" s="125" t="s">
        <v>193</v>
      </c>
      <c r="S5" s="125" t="s">
        <v>194</v>
      </c>
      <c r="T5" s="125" t="s">
        <v>195</v>
      </c>
      <c r="U5" s="126" t="s">
        <v>196</v>
      </c>
    </row>
    <row r="6" spans="2:21" ht="15.75">
      <c r="B6" s="172" t="s">
        <v>156</v>
      </c>
      <c r="C6" s="29"/>
      <c r="D6" s="29"/>
      <c r="E6" s="29"/>
      <c r="F6" s="29"/>
      <c r="G6" s="89"/>
      <c r="H6" s="89"/>
      <c r="I6" s="89"/>
      <c r="J6" s="89"/>
      <c r="K6" s="89"/>
      <c r="L6" s="89"/>
      <c r="M6" s="89"/>
      <c r="O6" s="127" t="s">
        <v>215</v>
      </c>
      <c r="P6" s="128">
        <v>823.7</v>
      </c>
      <c r="Q6" s="128">
        <v>939.2</v>
      </c>
      <c r="R6" s="184">
        <v>1069.4000000000001</v>
      </c>
      <c r="S6" s="184">
        <v>1166.8</v>
      </c>
      <c r="T6" s="184">
        <v>1256.5</v>
      </c>
      <c r="U6" s="185">
        <v>1308.3</v>
      </c>
    </row>
    <row r="7" spans="2:21" ht="15.75">
      <c r="B7" s="110" t="s">
        <v>157</v>
      </c>
      <c r="C7" s="109">
        <v>583.5</v>
      </c>
      <c r="D7" s="109">
        <v>637.1</v>
      </c>
      <c r="E7" s="109">
        <v>727.8</v>
      </c>
      <c r="F7" s="109">
        <v>823.7</v>
      </c>
      <c r="G7" s="98">
        <f>G21*5</f>
        <v>793.125</v>
      </c>
      <c r="H7" s="98">
        <f t="shared" ref="H7:K7" si="1">H21*5</f>
        <v>951.75</v>
      </c>
      <c r="I7" s="98">
        <f t="shared" si="1"/>
        <v>1142.0999999999999</v>
      </c>
      <c r="J7" s="98">
        <f t="shared" si="1"/>
        <v>1370.52</v>
      </c>
      <c r="K7" s="98">
        <f t="shared" si="1"/>
        <v>1644.6239999999998</v>
      </c>
      <c r="L7" s="98"/>
      <c r="M7" s="98"/>
      <c r="O7" s="127" t="s">
        <v>5</v>
      </c>
      <c r="P7" s="184">
        <v>1343.9</v>
      </c>
      <c r="Q7" s="184">
        <v>1497.9</v>
      </c>
      <c r="R7" s="184">
        <v>1592.1</v>
      </c>
      <c r="S7" s="184">
        <v>1675.4</v>
      </c>
      <c r="T7" s="184">
        <v>1771.7</v>
      </c>
      <c r="U7" s="185">
        <v>1881.7</v>
      </c>
    </row>
    <row r="8" spans="2:21" ht="15.75">
      <c r="B8" s="110" t="s">
        <v>4</v>
      </c>
      <c r="C8" s="109">
        <v>77.5</v>
      </c>
      <c r="D8" s="109">
        <v>97</v>
      </c>
      <c r="E8" s="109">
        <v>79.7</v>
      </c>
      <c r="F8" s="109">
        <v>89.8</v>
      </c>
      <c r="G8" s="99"/>
      <c r="H8" s="99"/>
      <c r="I8" s="99"/>
      <c r="J8" s="99"/>
      <c r="K8" s="99"/>
      <c r="L8" s="99"/>
      <c r="M8" s="99"/>
      <c r="O8" s="127" t="s">
        <v>72</v>
      </c>
      <c r="P8" s="128" t="s">
        <v>163</v>
      </c>
      <c r="Q8" s="128" t="s">
        <v>163</v>
      </c>
      <c r="R8" s="128" t="s">
        <v>163</v>
      </c>
      <c r="S8" s="128" t="s">
        <v>163</v>
      </c>
      <c r="T8" s="128" t="s">
        <v>163</v>
      </c>
      <c r="U8" s="129" t="s">
        <v>163</v>
      </c>
    </row>
    <row r="9" spans="2:21" ht="15.75">
      <c r="B9" s="110" t="s">
        <v>158</v>
      </c>
      <c r="C9" s="109">
        <v>71.400000000000006</v>
      </c>
      <c r="D9" s="109">
        <v>86.6</v>
      </c>
      <c r="E9" s="109">
        <v>72.2</v>
      </c>
      <c r="F9" s="109">
        <v>87.5</v>
      </c>
      <c r="G9" s="99"/>
      <c r="H9" s="99"/>
      <c r="I9" s="99"/>
      <c r="J9" s="99"/>
      <c r="K9" s="99"/>
      <c r="L9" s="99"/>
      <c r="M9" s="99"/>
      <c r="O9" s="127" t="s">
        <v>173</v>
      </c>
      <c r="P9" s="128" t="s">
        <v>176</v>
      </c>
      <c r="Q9" s="128" t="s">
        <v>216</v>
      </c>
      <c r="R9" s="128" t="s">
        <v>217</v>
      </c>
      <c r="S9" s="128" t="s">
        <v>218</v>
      </c>
      <c r="T9" s="128" t="s">
        <v>219</v>
      </c>
      <c r="U9" s="129" t="s">
        <v>220</v>
      </c>
    </row>
    <row r="10" spans="2:21" ht="16.5" thickBot="1">
      <c r="B10" s="110" t="s">
        <v>159</v>
      </c>
      <c r="C10" s="173">
        <v>21.5</v>
      </c>
      <c r="D10" s="173">
        <v>28</v>
      </c>
      <c r="E10" s="173">
        <v>26.8</v>
      </c>
      <c r="F10" s="173">
        <v>26.9</v>
      </c>
      <c r="G10" s="98"/>
      <c r="H10" s="98"/>
      <c r="I10" s="98"/>
      <c r="J10" s="98"/>
      <c r="K10" s="98"/>
      <c r="L10" s="98"/>
      <c r="M10" s="98"/>
      <c r="O10" s="124" t="s">
        <v>221</v>
      </c>
      <c r="P10" s="29"/>
      <c r="Q10" s="29"/>
      <c r="R10" s="29"/>
      <c r="S10" s="29"/>
      <c r="T10" s="29"/>
      <c r="U10" s="112"/>
    </row>
    <row r="11" spans="2:21" ht="15.75">
      <c r="B11" s="174" t="s">
        <v>60</v>
      </c>
      <c r="C11" s="175">
        <v>754</v>
      </c>
      <c r="D11" s="175">
        <v>848.7</v>
      </c>
      <c r="E11" s="175">
        <v>906.4</v>
      </c>
      <c r="F11" s="176">
        <v>1027.8</v>
      </c>
      <c r="G11" s="100">
        <f>G7</f>
        <v>793.125</v>
      </c>
      <c r="H11" s="100">
        <f t="shared" ref="H11:K11" si="2">H7</f>
        <v>951.75</v>
      </c>
      <c r="I11" s="100">
        <f t="shared" si="2"/>
        <v>1142.0999999999999</v>
      </c>
      <c r="J11" s="100">
        <f t="shared" si="2"/>
        <v>1370.52</v>
      </c>
      <c r="K11" s="100">
        <f t="shared" si="2"/>
        <v>1644.6239999999998</v>
      </c>
      <c r="L11" s="100"/>
      <c r="M11" s="100"/>
      <c r="O11" s="127" t="s">
        <v>153</v>
      </c>
      <c r="P11" s="130">
        <v>0.36</v>
      </c>
      <c r="Q11" s="130">
        <v>0.32100000000000001</v>
      </c>
      <c r="R11" s="130">
        <v>0.317</v>
      </c>
      <c r="S11" s="130">
        <v>0.315</v>
      </c>
      <c r="T11" s="130">
        <v>0.32600000000000001</v>
      </c>
      <c r="U11" s="131">
        <v>0.32400000000000001</v>
      </c>
    </row>
    <row r="12" spans="2:21" ht="15.75">
      <c r="B12" s="110" t="s">
        <v>160</v>
      </c>
      <c r="C12" s="109">
        <v>207.1</v>
      </c>
      <c r="D12" s="109">
        <v>235.8</v>
      </c>
      <c r="E12" s="109">
        <v>264.8</v>
      </c>
      <c r="F12" s="109">
        <v>262.5</v>
      </c>
      <c r="G12" s="99">
        <f>F12+G32</f>
        <v>406.6</v>
      </c>
      <c r="H12" s="99">
        <f t="shared" ref="H12:K12" si="3">G12+H32</f>
        <v>594.29</v>
      </c>
      <c r="I12" s="99">
        <f t="shared" si="3"/>
        <v>808.77149999999995</v>
      </c>
      <c r="J12" s="99">
        <f t="shared" si="3"/>
        <v>1060.4357999999997</v>
      </c>
      <c r="K12" s="99">
        <f t="shared" si="3"/>
        <v>1299.9469599999998</v>
      </c>
      <c r="L12" s="99"/>
      <c r="M12" s="99"/>
      <c r="O12" s="127" t="s">
        <v>125</v>
      </c>
      <c r="P12" s="128" t="s">
        <v>129</v>
      </c>
      <c r="Q12" s="128" t="s">
        <v>222</v>
      </c>
      <c r="R12" s="128" t="s">
        <v>162</v>
      </c>
      <c r="S12" s="128" t="s">
        <v>223</v>
      </c>
      <c r="T12" s="128" t="s">
        <v>223</v>
      </c>
      <c r="U12" s="129" t="s">
        <v>223</v>
      </c>
    </row>
    <row r="13" spans="2:21" ht="15.75">
      <c r="B13" s="110" t="s">
        <v>161</v>
      </c>
      <c r="C13" s="109">
        <v>17</v>
      </c>
      <c r="D13" s="109">
        <v>12.3</v>
      </c>
      <c r="E13" s="109">
        <v>8.3000000000000007</v>
      </c>
      <c r="F13" s="109">
        <v>3.7</v>
      </c>
      <c r="G13" s="189">
        <v>3.7</v>
      </c>
      <c r="H13" s="189">
        <v>3.7</v>
      </c>
      <c r="I13" s="189">
        <v>3.7</v>
      </c>
      <c r="J13" s="189">
        <v>3.7</v>
      </c>
      <c r="K13" s="189">
        <v>3.7</v>
      </c>
      <c r="L13" s="99"/>
      <c r="M13" s="99"/>
      <c r="O13" s="127" t="s">
        <v>224</v>
      </c>
      <c r="P13" s="128" t="s">
        <v>225</v>
      </c>
      <c r="Q13" s="128" t="s">
        <v>226</v>
      </c>
      <c r="R13" s="132" t="s">
        <v>227</v>
      </c>
      <c r="S13" s="132" t="s">
        <v>228</v>
      </c>
      <c r="T13" s="128" t="s">
        <v>229</v>
      </c>
      <c r="U13" s="129" t="s">
        <v>230</v>
      </c>
    </row>
    <row r="14" spans="2:21" ht="15.75">
      <c r="B14" s="110" t="s">
        <v>164</v>
      </c>
      <c r="C14" s="109">
        <v>0.5</v>
      </c>
      <c r="D14" s="109">
        <v>0.4</v>
      </c>
      <c r="E14" s="109">
        <v>0.5</v>
      </c>
      <c r="F14" s="109">
        <v>0.5</v>
      </c>
      <c r="G14" s="189">
        <v>0.5</v>
      </c>
      <c r="H14" s="189">
        <v>0.5</v>
      </c>
      <c r="I14" s="189">
        <v>0.5</v>
      </c>
      <c r="J14" s="189">
        <v>0.5</v>
      </c>
      <c r="K14" s="189">
        <v>0.5</v>
      </c>
      <c r="L14" s="99"/>
      <c r="M14" s="99"/>
      <c r="O14" s="127" t="s">
        <v>130</v>
      </c>
      <c r="P14" s="128" t="s">
        <v>134</v>
      </c>
      <c r="Q14" s="128" t="s">
        <v>231</v>
      </c>
      <c r="R14" s="128" t="s">
        <v>232</v>
      </c>
      <c r="S14" s="128" t="s">
        <v>231</v>
      </c>
      <c r="T14" s="128" t="s">
        <v>231</v>
      </c>
      <c r="U14" s="129" t="s">
        <v>231</v>
      </c>
    </row>
    <row r="15" spans="2:21" ht="16.5" thickBot="1">
      <c r="B15" s="110" t="s">
        <v>165</v>
      </c>
      <c r="C15" s="173">
        <v>34.4</v>
      </c>
      <c r="D15" s="173">
        <v>33.4</v>
      </c>
      <c r="E15" s="173">
        <v>39.1</v>
      </c>
      <c r="F15" s="173">
        <v>49.4</v>
      </c>
      <c r="G15" s="173">
        <v>49.4</v>
      </c>
      <c r="H15" s="173">
        <v>49.4</v>
      </c>
      <c r="I15" s="173">
        <v>49.4</v>
      </c>
      <c r="J15" s="173">
        <v>49.4</v>
      </c>
      <c r="K15" s="173">
        <v>49.4</v>
      </c>
      <c r="L15" s="98"/>
      <c r="M15" s="98"/>
      <c r="O15" s="127" t="s">
        <v>140</v>
      </c>
      <c r="P15" s="128" t="s">
        <v>144</v>
      </c>
      <c r="Q15" s="128" t="s">
        <v>90</v>
      </c>
      <c r="R15" s="128" t="s">
        <v>233</v>
      </c>
      <c r="S15" s="128" t="s">
        <v>234</v>
      </c>
      <c r="T15" s="128" t="s">
        <v>235</v>
      </c>
      <c r="U15" s="129" t="s">
        <v>236</v>
      </c>
    </row>
    <row r="16" spans="2:21" ht="15.75">
      <c r="B16" s="174" t="s">
        <v>5</v>
      </c>
      <c r="C16" s="176">
        <v>1013</v>
      </c>
      <c r="D16" s="176">
        <v>1130.5999999999999</v>
      </c>
      <c r="E16" s="176">
        <v>1219.0999999999999</v>
      </c>
      <c r="F16" s="176">
        <v>1343.9</v>
      </c>
      <c r="G16" s="195">
        <f>SUM(G11:G15)</f>
        <v>1253.325</v>
      </c>
      <c r="H16" s="195">
        <f t="shared" ref="H16:K16" si="4">SUM(H11:H15)</f>
        <v>1599.64</v>
      </c>
      <c r="I16" s="195">
        <f t="shared" si="4"/>
        <v>2004.4714999999999</v>
      </c>
      <c r="J16" s="195">
        <f t="shared" si="4"/>
        <v>2484.5557999999996</v>
      </c>
      <c r="K16" s="195">
        <f t="shared" si="4"/>
        <v>2998.1709599999995</v>
      </c>
      <c r="L16" s="100"/>
      <c r="M16" s="100"/>
      <c r="O16" s="124" t="s">
        <v>145</v>
      </c>
      <c r="P16" s="29"/>
      <c r="Q16" s="29"/>
      <c r="R16" s="29"/>
      <c r="S16" s="29"/>
      <c r="T16" s="29"/>
      <c r="U16" s="112"/>
    </row>
    <row r="17" spans="2:21" ht="15.75">
      <c r="B17" s="172" t="s">
        <v>166</v>
      </c>
      <c r="C17" s="29"/>
      <c r="D17" s="29"/>
      <c r="E17" s="29"/>
      <c r="F17" s="29"/>
      <c r="G17" s="89"/>
      <c r="H17" s="89"/>
      <c r="I17" s="89"/>
      <c r="J17" s="89"/>
      <c r="K17" s="89"/>
      <c r="L17" s="89"/>
      <c r="M17" s="89"/>
      <c r="O17" s="127" t="s">
        <v>237</v>
      </c>
      <c r="P17" s="130">
        <v>0.10199999999999999</v>
      </c>
      <c r="Q17" s="130">
        <v>0.115</v>
      </c>
      <c r="R17" s="130">
        <v>6.3E-2</v>
      </c>
      <c r="S17" s="130">
        <v>5.1999999999999998E-2</v>
      </c>
      <c r="T17" s="130">
        <v>5.7000000000000002E-2</v>
      </c>
      <c r="U17" s="131">
        <v>6.2E-2</v>
      </c>
    </row>
    <row r="18" spans="2:21" ht="15.75">
      <c r="B18" s="110" t="s">
        <v>167</v>
      </c>
      <c r="C18" s="109">
        <v>21.5</v>
      </c>
      <c r="D18" s="109">
        <v>30.2</v>
      </c>
      <c r="E18" s="109">
        <v>22</v>
      </c>
      <c r="F18" s="109">
        <v>26.2</v>
      </c>
      <c r="G18" s="98"/>
      <c r="H18" s="98"/>
      <c r="I18" s="98"/>
      <c r="J18" s="98"/>
      <c r="K18" s="98"/>
      <c r="L18" s="98"/>
      <c r="M18" s="98"/>
      <c r="O18" s="127" t="s">
        <v>238</v>
      </c>
      <c r="P18" s="130">
        <v>-9.5000000000000001E-2</v>
      </c>
      <c r="Q18" s="130">
        <v>0.56299999999999994</v>
      </c>
      <c r="R18" s="130">
        <v>-0.191</v>
      </c>
      <c r="S18" s="130">
        <v>-0.105</v>
      </c>
      <c r="T18" s="130">
        <v>2.9000000000000001E-2</v>
      </c>
      <c r="U18" s="131">
        <v>4.8000000000000001E-2</v>
      </c>
    </row>
    <row r="19" spans="2:21" ht="15.75">
      <c r="B19" s="110" t="s">
        <v>168</v>
      </c>
      <c r="C19" s="109">
        <v>42.2</v>
      </c>
      <c r="D19" s="109">
        <v>50.2</v>
      </c>
      <c r="E19" s="109">
        <v>30.6</v>
      </c>
      <c r="F19" s="109">
        <v>30.8</v>
      </c>
      <c r="G19" s="99"/>
      <c r="H19" s="99"/>
      <c r="I19" s="99"/>
      <c r="J19" s="99"/>
      <c r="K19" s="99"/>
      <c r="L19" s="99"/>
      <c r="M19" s="99"/>
      <c r="O19" s="127" t="s">
        <v>239</v>
      </c>
      <c r="P19" s="130">
        <v>0.36399999999999999</v>
      </c>
      <c r="Q19" s="130">
        <v>0.39700000000000002</v>
      </c>
      <c r="R19" s="130">
        <v>0.34200000000000003</v>
      </c>
      <c r="S19" s="130">
        <v>0.33300000000000002</v>
      </c>
      <c r="T19" s="130">
        <v>0.36799999999999999</v>
      </c>
      <c r="U19" s="131">
        <v>0.38200000000000001</v>
      </c>
    </row>
    <row r="20" spans="2:21" ht="16.5" thickBot="1">
      <c r="B20" s="110" t="s">
        <v>169</v>
      </c>
      <c r="C20" s="173">
        <v>26</v>
      </c>
      <c r="D20" s="173">
        <v>34.9</v>
      </c>
      <c r="E20" s="173">
        <v>40.299999999999997</v>
      </c>
      <c r="F20" s="173">
        <v>42.5</v>
      </c>
      <c r="G20" s="98"/>
      <c r="H20" s="98"/>
      <c r="I20" s="98"/>
      <c r="J20" s="98"/>
      <c r="K20" s="98"/>
      <c r="L20" s="98"/>
      <c r="M20" s="98"/>
      <c r="O20" s="127" t="s">
        <v>240</v>
      </c>
      <c r="P20" s="130">
        <v>0.247</v>
      </c>
      <c r="Q20" s="130">
        <v>0.28100000000000003</v>
      </c>
      <c r="R20" s="130">
        <v>0.24399999999999999</v>
      </c>
      <c r="S20" s="130">
        <v>0.23699999999999999</v>
      </c>
      <c r="T20" s="130">
        <v>0.26100000000000001</v>
      </c>
      <c r="U20" s="131">
        <v>0.27100000000000002</v>
      </c>
    </row>
    <row r="21" spans="2:21" ht="15.75">
      <c r="B21" s="174" t="s">
        <v>6</v>
      </c>
      <c r="C21" s="175">
        <v>89.6</v>
      </c>
      <c r="D21" s="175">
        <v>115.3</v>
      </c>
      <c r="E21" s="175">
        <v>93</v>
      </c>
      <c r="F21" s="175">
        <v>99.4</v>
      </c>
      <c r="G21" s="100">
        <f>'Income statement'!H8*0.45</f>
        <v>158.625</v>
      </c>
      <c r="H21" s="100">
        <f>'Income statement'!I8*0.45</f>
        <v>190.35</v>
      </c>
      <c r="I21" s="100">
        <f>'Income statement'!J8*0.45</f>
        <v>228.42</v>
      </c>
      <c r="J21" s="100">
        <f>'Income statement'!K8*0.45</f>
        <v>274.10399999999998</v>
      </c>
      <c r="K21" s="100">
        <f>'Income statement'!L8*0.45</f>
        <v>328.92479999999995</v>
      </c>
      <c r="L21" s="100"/>
      <c r="M21" s="100"/>
      <c r="O21" s="127" t="s">
        <v>152</v>
      </c>
      <c r="P21" s="130">
        <v>9.2999999999999999E-2</v>
      </c>
      <c r="Q21" s="130">
        <v>0.14699999999999999</v>
      </c>
      <c r="R21" s="130">
        <v>9.6000000000000002E-2</v>
      </c>
      <c r="S21" s="130">
        <v>7.9000000000000001E-2</v>
      </c>
      <c r="T21" s="130">
        <v>8.4000000000000005E-2</v>
      </c>
      <c r="U21" s="131">
        <v>8.5999999999999993E-2</v>
      </c>
    </row>
    <row r="22" spans="2:21" ht="15.75">
      <c r="B22" s="110" t="s">
        <v>170</v>
      </c>
      <c r="C22" s="109">
        <v>25.2</v>
      </c>
      <c r="D22" s="109">
        <v>26.5</v>
      </c>
      <c r="E22" s="109">
        <v>28.2</v>
      </c>
      <c r="F22" s="109">
        <v>40.5</v>
      </c>
      <c r="G22" s="99"/>
      <c r="H22" s="99"/>
      <c r="I22" s="99"/>
      <c r="J22" s="99"/>
      <c r="K22" s="99"/>
      <c r="L22" s="99"/>
      <c r="M22" s="99"/>
      <c r="O22" s="127" t="s">
        <v>241</v>
      </c>
      <c r="P22" s="133">
        <v>0.3</v>
      </c>
      <c r="Q22" s="133">
        <v>0.3</v>
      </c>
      <c r="R22" s="133">
        <v>0.3</v>
      </c>
      <c r="S22" s="133">
        <v>0.3</v>
      </c>
      <c r="T22" s="133">
        <v>0.3</v>
      </c>
      <c r="U22" s="134">
        <v>0.3</v>
      </c>
    </row>
    <row r="23" spans="2:21" ht="16.5" thickBot="1">
      <c r="B23" s="110" t="s">
        <v>171</v>
      </c>
      <c r="C23" s="173">
        <v>3.7</v>
      </c>
      <c r="D23" s="173">
        <v>3.5</v>
      </c>
      <c r="E23" s="173">
        <v>3.8</v>
      </c>
      <c r="F23" s="173">
        <v>4.0999999999999996</v>
      </c>
      <c r="G23" s="98"/>
      <c r="H23" s="98"/>
      <c r="I23" s="98"/>
      <c r="J23" s="98"/>
      <c r="K23" s="98"/>
      <c r="L23" s="98"/>
      <c r="M23" s="98"/>
      <c r="O23" s="127" t="s">
        <v>242</v>
      </c>
      <c r="P23" s="130">
        <v>0</v>
      </c>
      <c r="Q23" s="130">
        <v>0</v>
      </c>
      <c r="R23" s="130">
        <v>0</v>
      </c>
      <c r="S23" s="130">
        <v>0</v>
      </c>
      <c r="T23" s="130">
        <v>0</v>
      </c>
      <c r="U23" s="131">
        <v>0</v>
      </c>
    </row>
    <row r="24" spans="2:21" ht="15.75">
      <c r="B24" s="110" t="s">
        <v>243</v>
      </c>
      <c r="C24" s="109"/>
      <c r="D24" s="109"/>
      <c r="E24" s="109"/>
      <c r="F24" s="109"/>
      <c r="G24" s="98"/>
      <c r="H24" s="98">
        <v>130</v>
      </c>
      <c r="I24" s="98">
        <f>150+H24</f>
        <v>280</v>
      </c>
      <c r="J24" s="98">
        <f>170+I24</f>
        <v>450</v>
      </c>
      <c r="K24" s="98">
        <f>140+J24</f>
        <v>590</v>
      </c>
      <c r="L24" s="98"/>
      <c r="M24" s="98"/>
      <c r="O24" s="127"/>
      <c r="P24" s="130"/>
      <c r="Q24" s="130"/>
      <c r="R24" s="130"/>
      <c r="S24" s="130"/>
      <c r="T24" s="130"/>
      <c r="U24" s="131"/>
    </row>
    <row r="25" spans="2:21" ht="16.5" thickBot="1">
      <c r="B25" s="174" t="s">
        <v>172</v>
      </c>
      <c r="C25" s="175">
        <v>118.5</v>
      </c>
      <c r="D25" s="175">
        <v>145.30000000000001</v>
      </c>
      <c r="E25" s="175">
        <v>125</v>
      </c>
      <c r="F25" s="175">
        <v>144</v>
      </c>
      <c r="G25" s="100"/>
      <c r="H25" s="100"/>
      <c r="I25" s="100"/>
      <c r="J25" s="100"/>
      <c r="K25" s="100"/>
      <c r="L25" s="100"/>
      <c r="M25" s="100"/>
      <c r="O25" s="135" t="s">
        <v>178</v>
      </c>
      <c r="P25" s="136">
        <v>0.61299999999999999</v>
      </c>
      <c r="Q25" s="136">
        <v>0.627</v>
      </c>
      <c r="R25" s="136">
        <v>0.67200000000000004</v>
      </c>
      <c r="S25" s="136">
        <v>0.69599999999999995</v>
      </c>
      <c r="T25" s="136">
        <v>0.70899999999999996</v>
      </c>
      <c r="U25" s="137">
        <v>0.69499999999999995</v>
      </c>
    </row>
    <row r="26" spans="2:21" ht="15.75">
      <c r="B26" s="110" t="s">
        <v>173</v>
      </c>
      <c r="C26" s="109">
        <v>890.8</v>
      </c>
      <c r="D26" s="109">
        <v>981.3</v>
      </c>
      <c r="E26" s="180">
        <v>1089.3</v>
      </c>
      <c r="F26" s="180">
        <v>1194</v>
      </c>
      <c r="G26" s="196">
        <f>F26+G32</f>
        <v>1338.1</v>
      </c>
      <c r="H26" s="196">
        <f>G26+H32-H34</f>
        <v>1395.79</v>
      </c>
      <c r="I26" s="196">
        <f t="shared" ref="I26:K26" si="5">H26+I32-I34</f>
        <v>1460.2715000000001</v>
      </c>
      <c r="J26" s="196">
        <f t="shared" si="5"/>
        <v>1541.9358</v>
      </c>
      <c r="K26" s="196">
        <f t="shared" si="5"/>
        <v>1641.44696</v>
      </c>
      <c r="L26" s="99"/>
      <c r="M26" s="99"/>
    </row>
    <row r="27" spans="2:21" ht="16.5" thickBot="1">
      <c r="B27" s="110" t="s">
        <v>174</v>
      </c>
      <c r="C27" s="173">
        <v>3.7</v>
      </c>
      <c r="D27" s="173">
        <v>4</v>
      </c>
      <c r="E27" s="173">
        <v>4.9000000000000004</v>
      </c>
      <c r="F27" s="173">
        <v>5.8</v>
      </c>
      <c r="G27" s="173">
        <v>6.4</v>
      </c>
      <c r="H27" s="173">
        <v>7.12</v>
      </c>
      <c r="I27" s="173">
        <v>7.84</v>
      </c>
      <c r="J27" s="173">
        <v>8.56</v>
      </c>
      <c r="K27" s="173">
        <v>9.2799999999999994</v>
      </c>
      <c r="L27" s="98"/>
      <c r="M27" s="98"/>
    </row>
    <row r="28" spans="2:21" ht="16.5" thickBot="1">
      <c r="B28" s="174" t="s">
        <v>175</v>
      </c>
      <c r="C28" s="171">
        <v>894.5</v>
      </c>
      <c r="D28" s="171">
        <v>985.3</v>
      </c>
      <c r="E28" s="182">
        <v>1094.0999999999999</v>
      </c>
      <c r="F28" s="182">
        <v>1199.9000000000001</v>
      </c>
      <c r="G28" s="197">
        <f>G26+G27</f>
        <v>1344.5</v>
      </c>
      <c r="H28" s="197">
        <f t="shared" ref="H28:K28" si="6">H26+H27</f>
        <v>1402.9099999999999</v>
      </c>
      <c r="I28" s="197">
        <f t="shared" si="6"/>
        <v>1468.1115</v>
      </c>
      <c r="J28" s="197">
        <f t="shared" si="6"/>
        <v>1550.4957999999999</v>
      </c>
      <c r="K28" s="197">
        <f t="shared" si="6"/>
        <v>1650.72696</v>
      </c>
      <c r="L28" s="97"/>
      <c r="M28" s="97"/>
    </row>
    <row r="29" spans="2:21" ht="16.5" thickBot="1">
      <c r="B29" s="106"/>
      <c r="C29" s="177"/>
      <c r="D29" s="177"/>
      <c r="E29" s="177"/>
      <c r="F29" s="177"/>
      <c r="G29" s="101"/>
      <c r="H29" s="101"/>
      <c r="I29" s="101"/>
      <c r="J29" s="101"/>
      <c r="K29" s="101"/>
      <c r="L29" s="101"/>
      <c r="M29" s="101"/>
    </row>
    <row r="30" spans="2:21" ht="15.75">
      <c r="B30" s="174" t="s">
        <v>177</v>
      </c>
      <c r="C30" s="176">
        <v>1013</v>
      </c>
      <c r="D30" s="176">
        <v>1130.5999999999999</v>
      </c>
      <c r="E30" s="176">
        <v>1219.0999999999999</v>
      </c>
      <c r="F30" s="176">
        <v>1343.9</v>
      </c>
      <c r="G30" s="198"/>
      <c r="H30" s="198"/>
      <c r="I30" s="198"/>
      <c r="J30" s="198"/>
      <c r="K30" s="198"/>
      <c r="L30" s="102"/>
      <c r="M30" s="102"/>
    </row>
    <row r="31" spans="2:21" ht="15.75">
      <c r="B31" s="174" t="s">
        <v>261</v>
      </c>
      <c r="C31" s="176"/>
      <c r="D31" s="176"/>
      <c r="E31" s="176"/>
      <c r="F31" s="176"/>
      <c r="G31" s="102">
        <f>'Income statement'!H7*0.02</f>
        <v>14.1</v>
      </c>
      <c r="H31" s="102">
        <f>'Income statement'!I7*0.02</f>
        <v>16.920000000000002</v>
      </c>
      <c r="I31" s="102">
        <f>'Income statement'!J7*0.02</f>
        <v>20.303999999999998</v>
      </c>
      <c r="J31" s="102">
        <f>'Income statement'!K7*0.02</f>
        <v>24.364799999999995</v>
      </c>
      <c r="K31" s="102">
        <f>'Income statement'!L7*0.02</f>
        <v>29.237759999999994</v>
      </c>
      <c r="L31" s="102"/>
      <c r="M31" s="102"/>
    </row>
    <row r="32" spans="2:21" ht="15.75">
      <c r="B32" s="187" t="s">
        <v>244</v>
      </c>
      <c r="C32" s="176"/>
      <c r="D32" s="176"/>
      <c r="E32" s="176"/>
      <c r="F32" s="176"/>
      <c r="G32" s="102">
        <f>130+G31</f>
        <v>144.1</v>
      </c>
      <c r="H32" s="102">
        <f>H34+H31+(H2/2)</f>
        <v>187.69</v>
      </c>
      <c r="I32" s="102">
        <f>I34+I31+(I2/2)</f>
        <v>214.48150000000001</v>
      </c>
      <c r="J32" s="102">
        <f t="shared" ref="J32:K32" si="7">J34+J31+(J2/2)</f>
        <v>251.66429999999986</v>
      </c>
      <c r="K32" s="102">
        <f t="shared" si="7"/>
        <v>239.51116000000002</v>
      </c>
      <c r="L32" s="102"/>
      <c r="M32" s="102"/>
    </row>
    <row r="33" spans="2:13" ht="15.75">
      <c r="B33" s="174" t="s">
        <v>262</v>
      </c>
      <c r="C33" s="176"/>
      <c r="D33" s="176"/>
      <c r="E33" s="176"/>
      <c r="F33" s="176"/>
      <c r="G33" s="102">
        <f>G2-G32</f>
        <v>90.9</v>
      </c>
      <c r="H33" s="102">
        <f>H2/2</f>
        <v>40.769999999999982</v>
      </c>
      <c r="I33" s="102">
        <f t="shared" ref="I33:K33" si="8">I2/2</f>
        <v>44.177500000000009</v>
      </c>
      <c r="J33" s="102">
        <f t="shared" si="8"/>
        <v>57.299499999999853</v>
      </c>
      <c r="K33" s="102">
        <f t="shared" si="8"/>
        <v>70.273400000000038</v>
      </c>
      <c r="L33" s="102"/>
      <c r="M33" s="102"/>
    </row>
    <row r="34" spans="2:13" ht="15.75">
      <c r="B34" s="174" t="s">
        <v>263</v>
      </c>
      <c r="C34" s="176"/>
      <c r="D34" s="176"/>
      <c r="E34" s="176"/>
      <c r="F34" s="176"/>
      <c r="G34" s="102"/>
      <c r="H34" s="102">
        <v>130</v>
      </c>
      <c r="I34" s="102">
        <v>150</v>
      </c>
      <c r="J34" s="102">
        <v>170</v>
      </c>
      <c r="K34" s="102">
        <v>140</v>
      </c>
      <c r="L34" s="102"/>
      <c r="M34" s="102"/>
    </row>
    <row r="35" spans="2:13" ht="15.75">
      <c r="B35" s="174" t="s">
        <v>2</v>
      </c>
      <c r="C35" s="176"/>
      <c r="D35" s="176"/>
      <c r="E35" s="176"/>
      <c r="F35" s="176"/>
      <c r="G35" s="102">
        <f>G12*0.1</f>
        <v>40.660000000000004</v>
      </c>
      <c r="H35" s="102">
        <f>H12*0.1</f>
        <v>59.429000000000002</v>
      </c>
      <c r="I35" s="102">
        <f t="shared" ref="I35:K35" si="9">I12*0.1</f>
        <v>80.87715</v>
      </c>
      <c r="J35" s="102">
        <f t="shared" si="9"/>
        <v>106.04357999999998</v>
      </c>
      <c r="K35" s="102">
        <f t="shared" si="9"/>
        <v>129.99469599999998</v>
      </c>
      <c r="L35" s="102"/>
      <c r="M35" s="102"/>
    </row>
    <row r="36" spans="2:13" ht="15.75">
      <c r="B36" s="174" t="s">
        <v>264</v>
      </c>
      <c r="C36" s="176"/>
      <c r="D36" s="176"/>
      <c r="E36" s="176"/>
      <c r="F36" s="176"/>
      <c r="G36" s="102"/>
      <c r="H36" s="102">
        <f>H24/H26</f>
        <v>9.3137219782345487E-2</v>
      </c>
      <c r="I36" s="102">
        <f t="shared" ref="I36:J36" si="10">I24/I26</f>
        <v>0.19174516519701987</v>
      </c>
      <c r="J36" s="102">
        <f t="shared" si="10"/>
        <v>0.29184094435060137</v>
      </c>
      <c r="K36" s="102">
        <f>K24/K26</f>
        <v>0.35943896719026486</v>
      </c>
      <c r="L36" s="102"/>
      <c r="M36" s="102"/>
    </row>
    <row r="37" spans="2:13" ht="15.75">
      <c r="B37" s="174" t="s">
        <v>265</v>
      </c>
      <c r="C37" s="176"/>
      <c r="D37" s="176"/>
      <c r="E37" s="176"/>
      <c r="F37" s="176"/>
      <c r="G37" s="102">
        <f>G35/'Income statement'!H7</f>
        <v>5.7673758865248233E-2</v>
      </c>
      <c r="H37" s="102">
        <f>H35/'Income statement'!I7</f>
        <v>7.0247044917257681E-2</v>
      </c>
      <c r="I37" s="102">
        <f>I35/'Income statement'!J7</f>
        <v>7.9666223404255318E-2</v>
      </c>
      <c r="J37" s="102">
        <f>J35/'Income statement'!K7</f>
        <v>8.7046542553191483E-2</v>
      </c>
      <c r="K37" s="102">
        <f>K35/'Income statement'!L7</f>
        <v>8.8922472857017779E-2</v>
      </c>
      <c r="L37" s="102"/>
      <c r="M37" s="102"/>
    </row>
    <row r="38" spans="2:13" ht="15.75">
      <c r="B38" s="174" t="s">
        <v>266</v>
      </c>
      <c r="C38" s="176"/>
      <c r="D38" s="176"/>
      <c r="E38" s="176"/>
      <c r="F38" s="176"/>
      <c r="G38" s="102">
        <f>G32/'Income statement'!H7</f>
        <v>0.20439716312056735</v>
      </c>
      <c r="H38" s="102">
        <f>H32/'Income statement'!I7</f>
        <v>0.22185579196217495</v>
      </c>
      <c r="I38" s="102">
        <f>I32/'Income statement'!J7</f>
        <v>0.21127019306540587</v>
      </c>
      <c r="J38" s="102">
        <f>J32/'Income statement'!K7</f>
        <v>0.20658023049645383</v>
      </c>
      <c r="K38" s="102">
        <f>K32/'Income statement'!L7</f>
        <v>0.16383687396024871</v>
      </c>
      <c r="L38" s="102"/>
      <c r="M38" s="102"/>
    </row>
    <row r="39" spans="2:13" ht="15.75">
      <c r="B39" s="174"/>
      <c r="C39" s="176"/>
      <c r="D39" s="176"/>
      <c r="E39" s="176"/>
      <c r="F39" s="176"/>
      <c r="G39" s="102">
        <f>AVERAGE(G38:K38)</f>
        <v>0.20158805052097012</v>
      </c>
      <c r="H39" s="102"/>
      <c r="I39" s="102"/>
      <c r="J39" s="102"/>
      <c r="K39" s="102"/>
      <c r="L39" s="102"/>
      <c r="M39" s="102"/>
    </row>
    <row r="40" spans="2:13" ht="15.75">
      <c r="B40" s="174"/>
      <c r="C40" s="176"/>
      <c r="D40" s="176"/>
      <c r="E40" s="176"/>
      <c r="F40" s="176"/>
      <c r="G40" s="102"/>
      <c r="H40" s="102"/>
      <c r="I40" s="102"/>
      <c r="J40" s="102"/>
      <c r="K40" s="102"/>
      <c r="L40" s="102"/>
      <c r="M40" s="102"/>
    </row>
    <row r="41" spans="2:13" ht="15.75">
      <c r="B41" s="174" t="s">
        <v>86</v>
      </c>
      <c r="C41" s="176">
        <f>'Income statement'!D18/'Balance sheet'!C26</f>
        <v>0.13819039066008082</v>
      </c>
      <c r="D41" s="176">
        <f>'Income statement'!E18/'Balance sheet'!D26</f>
        <v>0.14083358809742177</v>
      </c>
      <c r="E41" s="176">
        <f>'Income statement'!F18/'Balance sheet'!E26</f>
        <v>0.11043789589644726</v>
      </c>
      <c r="F41" s="176">
        <f>'Income statement'!G18/'Balance sheet'!F26</f>
        <v>9.313232830820771E-2</v>
      </c>
      <c r="G41" s="176">
        <f>'Income statement'!H18/'Balance sheet'!G26</f>
        <v>0.15277258799790747</v>
      </c>
      <c r="H41" s="176">
        <f>'Income statement'!I18/'Balance sheet'!H26</f>
        <v>0.17206384914636155</v>
      </c>
      <c r="I41" s="176">
        <f>'Income statement'!J18/'Balance sheet'!I26</f>
        <v>0.19085834380798364</v>
      </c>
      <c r="J41" s="176">
        <f>'Income statement'!K18/'Balance sheet'!J26</f>
        <v>0.22245997531155312</v>
      </c>
      <c r="K41" s="176">
        <f>'Income statement'!L18/'Balance sheet'!K26</f>
        <v>0.25261297507901187</v>
      </c>
      <c r="L41" s="102"/>
      <c r="M41" s="102"/>
    </row>
    <row r="42" spans="2:13" ht="15.75">
      <c r="B42" s="174" t="s">
        <v>145</v>
      </c>
      <c r="C42" s="29"/>
      <c r="D42" s="29"/>
      <c r="E42" s="29"/>
      <c r="F42" s="29"/>
      <c r="G42" s="89"/>
      <c r="H42" s="89"/>
      <c r="I42" s="89"/>
      <c r="J42" s="89"/>
      <c r="K42" s="89"/>
      <c r="L42" s="89"/>
      <c r="M42" s="89"/>
    </row>
    <row r="43" spans="2:13" ht="15.75">
      <c r="B43" s="110" t="s">
        <v>178</v>
      </c>
      <c r="C43" s="178">
        <v>0.57999999999999996</v>
      </c>
      <c r="D43" s="178">
        <v>0.56000000000000005</v>
      </c>
      <c r="E43" s="178">
        <v>0.6</v>
      </c>
      <c r="F43" s="178">
        <v>0.61</v>
      </c>
      <c r="G43" s="99"/>
      <c r="H43" s="99"/>
      <c r="I43" s="99"/>
      <c r="J43" s="99"/>
      <c r="K43" s="99"/>
      <c r="L43" s="99"/>
      <c r="M43" s="99"/>
    </row>
    <row r="44" spans="2:13" ht="15.75">
      <c r="B44" s="110" t="s">
        <v>179</v>
      </c>
      <c r="C44" s="109">
        <v>8.4</v>
      </c>
      <c r="D44" s="109">
        <v>7.4</v>
      </c>
      <c r="E44" s="109">
        <v>9.6999999999999993</v>
      </c>
      <c r="F44" s="109">
        <v>10.3</v>
      </c>
      <c r="G44" s="99"/>
      <c r="H44" s="99"/>
      <c r="I44" s="99"/>
      <c r="J44" s="99"/>
      <c r="K44" s="99"/>
      <c r="L44" s="99"/>
      <c r="M44" s="99"/>
    </row>
    <row r="45" spans="2:13" ht="15.75">
      <c r="B45" s="110" t="s">
        <v>180</v>
      </c>
      <c r="C45" s="178">
        <v>0</v>
      </c>
      <c r="D45" s="178">
        <v>0</v>
      </c>
      <c r="E45" s="178">
        <v>0</v>
      </c>
      <c r="F45" s="178">
        <v>0</v>
      </c>
      <c r="G45" s="99"/>
      <c r="H45" s="99"/>
      <c r="I45" s="99"/>
      <c r="J45" s="99"/>
      <c r="K45" s="99"/>
      <c r="L45" s="99"/>
      <c r="M45" s="99"/>
    </row>
    <row r="46" spans="2:13" ht="15.75">
      <c r="B46" s="110" t="s">
        <v>181</v>
      </c>
      <c r="C46" s="109">
        <v>1.1299999999999999</v>
      </c>
      <c r="D46" s="109">
        <v>1.1499999999999999</v>
      </c>
      <c r="E46" s="109">
        <v>1.1100000000000001</v>
      </c>
      <c r="F46" s="109">
        <v>1.1200000000000001</v>
      </c>
      <c r="G46" s="99"/>
      <c r="H46" s="99"/>
      <c r="I46" s="99"/>
      <c r="J46" s="99"/>
      <c r="K46" s="99"/>
      <c r="L46" s="99"/>
      <c r="M46" s="99"/>
    </row>
    <row r="47" spans="2:13" ht="15.75">
      <c r="B47" s="174" t="s">
        <v>182</v>
      </c>
      <c r="C47" s="29"/>
      <c r="D47" s="29"/>
      <c r="E47" s="29"/>
      <c r="F47" s="29"/>
      <c r="G47" s="99"/>
      <c r="H47" s="99"/>
      <c r="I47" s="99"/>
      <c r="J47" s="99"/>
      <c r="K47" s="99"/>
      <c r="L47" s="99"/>
      <c r="M47" s="99"/>
    </row>
    <row r="48" spans="2:13" ht="15.75">
      <c r="B48" s="110" t="s">
        <v>183</v>
      </c>
      <c r="C48" s="109">
        <v>0.44</v>
      </c>
      <c r="D48" s="109">
        <v>0.48</v>
      </c>
      <c r="E48" s="109">
        <v>0.41</v>
      </c>
      <c r="F48" s="109">
        <v>0.34</v>
      </c>
      <c r="G48" s="99"/>
      <c r="H48" s="99"/>
      <c r="I48" s="99"/>
      <c r="J48" s="99"/>
      <c r="K48" s="99"/>
      <c r="L48" s="99"/>
      <c r="M48" s="99"/>
    </row>
    <row r="49" spans="2:13" ht="15.75">
      <c r="B49" s="110" t="s">
        <v>184</v>
      </c>
      <c r="C49" s="109">
        <v>2.91</v>
      </c>
      <c r="D49" s="109">
        <v>3.03</v>
      </c>
      <c r="E49" s="109">
        <v>3.58</v>
      </c>
      <c r="F49" s="109">
        <v>2.6</v>
      </c>
      <c r="G49" s="99"/>
      <c r="H49" s="99"/>
      <c r="I49" s="99"/>
      <c r="J49" s="99"/>
      <c r="K49" s="99"/>
      <c r="L49" s="99"/>
      <c r="M49" s="99"/>
    </row>
    <row r="50" spans="2:13" ht="15.75">
      <c r="B50" s="110" t="s">
        <v>185</v>
      </c>
      <c r="C50" s="109">
        <v>63</v>
      </c>
      <c r="D50" s="109">
        <v>66</v>
      </c>
      <c r="E50" s="109">
        <v>58</v>
      </c>
      <c r="F50" s="109">
        <v>73</v>
      </c>
      <c r="G50" s="99"/>
      <c r="H50" s="99"/>
      <c r="I50" s="99"/>
      <c r="J50" s="99"/>
      <c r="K50" s="99"/>
      <c r="L50" s="99"/>
      <c r="M50" s="99"/>
    </row>
    <row r="51" spans="2:13" ht="15.75">
      <c r="B51" s="110" t="s">
        <v>186</v>
      </c>
      <c r="C51" s="109">
        <v>125</v>
      </c>
      <c r="D51" s="109">
        <v>121</v>
      </c>
      <c r="E51" s="109">
        <v>102</v>
      </c>
      <c r="F51" s="109">
        <v>141</v>
      </c>
      <c r="G51" s="99"/>
      <c r="H51" s="99"/>
      <c r="I51" s="99"/>
      <c r="J51" s="99"/>
      <c r="K51" s="99"/>
      <c r="L51" s="99"/>
      <c r="M51" s="99"/>
    </row>
    <row r="52" spans="2:13" ht="16.5" thickBot="1">
      <c r="B52" s="110" t="s">
        <v>187</v>
      </c>
      <c r="C52" s="173">
        <v>38</v>
      </c>
      <c r="D52" s="173">
        <v>42</v>
      </c>
      <c r="E52" s="173">
        <v>31</v>
      </c>
      <c r="F52" s="173">
        <v>42</v>
      </c>
      <c r="G52" s="98"/>
      <c r="H52" s="98"/>
      <c r="I52" s="98"/>
      <c r="J52" s="98"/>
      <c r="K52" s="98"/>
      <c r="L52" s="98"/>
      <c r="M52" s="98"/>
    </row>
    <row r="53" spans="2:13" ht="16.5" thickBot="1">
      <c r="B53" s="179" t="s">
        <v>188</v>
      </c>
      <c r="C53" s="171">
        <v>151</v>
      </c>
      <c r="D53" s="171">
        <v>144</v>
      </c>
      <c r="E53" s="171">
        <v>129</v>
      </c>
      <c r="F53" s="171">
        <v>171</v>
      </c>
      <c r="G53" s="100"/>
      <c r="H53" s="100"/>
      <c r="I53" s="100"/>
      <c r="J53" s="100"/>
      <c r="K53" s="100"/>
      <c r="L53" s="100"/>
      <c r="M53" s="100"/>
    </row>
    <row r="55" spans="2:13">
      <c r="C55" s="186"/>
      <c r="D55" s="186"/>
      <c r="E55" s="186"/>
      <c r="F55" s="186"/>
    </row>
  </sheetData>
  <mergeCells count="2">
    <mergeCell ref="C4:F4"/>
    <mergeCell ref="R4:S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B2:G8"/>
  <sheetViews>
    <sheetView workbookViewId="0">
      <selection activeCell="G22" sqref="G22"/>
    </sheetView>
  </sheetViews>
  <sheetFormatPr defaultRowHeight="15"/>
  <cols>
    <col min="2" max="2" width="12.7109375" bestFit="1" customWidth="1"/>
  </cols>
  <sheetData>
    <row r="2" spans="2:7">
      <c r="C2">
        <v>2016</v>
      </c>
      <c r="D2">
        <v>2017</v>
      </c>
      <c r="E2">
        <v>2018</v>
      </c>
      <c r="F2">
        <v>2019</v>
      </c>
    </row>
    <row r="3" spans="2:7">
      <c r="B3" t="s">
        <v>257</v>
      </c>
      <c r="C3" s="98">
        <f>'Balance sheet'!H24</f>
        <v>130</v>
      </c>
      <c r="D3" s="98">
        <f>'Balance sheet'!I24</f>
        <v>280</v>
      </c>
      <c r="E3" s="98">
        <f>'Balance sheet'!J24</f>
        <v>450</v>
      </c>
      <c r="F3" s="98">
        <f>'Balance sheet'!K24</f>
        <v>590</v>
      </c>
    </row>
    <row r="4" spans="2:7">
      <c r="B4" t="s">
        <v>7</v>
      </c>
      <c r="C4">
        <f>C3*WACC!$C$8</f>
        <v>1.56</v>
      </c>
      <c r="D4">
        <f>D3*WACC!$C$8</f>
        <v>3.36</v>
      </c>
      <c r="E4">
        <f>E3*WACC!$C$8</f>
        <v>5.4</v>
      </c>
      <c r="F4">
        <f>F3*WACC!$C$8</f>
        <v>7.08</v>
      </c>
    </row>
    <row r="5" spans="2:7">
      <c r="B5" t="s">
        <v>277</v>
      </c>
      <c r="C5">
        <f>C3*0.01</f>
        <v>1.3</v>
      </c>
      <c r="D5">
        <f t="shared" ref="D5:F5" si="0">D3*0.01</f>
        <v>2.8000000000000003</v>
      </c>
      <c r="E5">
        <f t="shared" si="0"/>
        <v>4.5</v>
      </c>
      <c r="F5">
        <f t="shared" si="0"/>
        <v>5.9</v>
      </c>
    </row>
    <row r="6" spans="2:7">
      <c r="B6" s="278" t="s">
        <v>274</v>
      </c>
      <c r="C6" s="278"/>
      <c r="D6">
        <v>2016</v>
      </c>
      <c r="E6">
        <v>2017</v>
      </c>
      <c r="F6">
        <v>2018</v>
      </c>
      <c r="G6">
        <v>2019</v>
      </c>
    </row>
    <row r="7" spans="2:7">
      <c r="D7">
        <v>130</v>
      </c>
      <c r="E7">
        <v>150</v>
      </c>
      <c r="F7">
        <v>170</v>
      </c>
      <c r="G7">
        <v>140</v>
      </c>
    </row>
    <row r="8" spans="2:7">
      <c r="B8" s="278" t="s">
        <v>273</v>
      </c>
      <c r="C8" s="278"/>
      <c r="D8">
        <f>D7/20</f>
        <v>6.5</v>
      </c>
      <c r="E8">
        <f>(E7/20)+D8</f>
        <v>14</v>
      </c>
      <c r="F8">
        <f>(F7/20)+E8</f>
        <v>22.5</v>
      </c>
      <c r="G8">
        <f>(G7/20)+F8</f>
        <v>29.5</v>
      </c>
    </row>
  </sheetData>
  <mergeCells count="2">
    <mergeCell ref="B6:C6"/>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3:L48"/>
  <sheetViews>
    <sheetView topLeftCell="A31" workbookViewId="0">
      <selection activeCell="C36" sqref="C36:L38"/>
    </sheetView>
  </sheetViews>
  <sheetFormatPr defaultRowHeight="15.75"/>
  <cols>
    <col min="1" max="1" width="9.140625" style="37"/>
    <col min="2" max="2" width="19.5703125" style="37" bestFit="1" customWidth="1"/>
    <col min="3" max="3" width="29" style="37" customWidth="1"/>
    <col min="4" max="5" width="11.140625" style="37" customWidth="1"/>
    <col min="6" max="6" width="12.28515625" style="37" customWidth="1"/>
    <col min="7" max="7" width="18.7109375" style="37" customWidth="1"/>
    <col min="8" max="12" width="12" style="37" bestFit="1" customWidth="1"/>
    <col min="13" max="16384" width="9.140625" style="37"/>
  </cols>
  <sheetData>
    <row r="3" spans="2:12">
      <c r="B3" s="64"/>
      <c r="C3" s="65" t="s">
        <v>47</v>
      </c>
      <c r="D3" s="65">
        <v>2011</v>
      </c>
      <c r="E3" s="65">
        <v>2012</v>
      </c>
      <c r="F3" s="65">
        <v>2013</v>
      </c>
      <c r="G3" s="66">
        <v>2014</v>
      </c>
      <c r="H3" s="66">
        <v>2015</v>
      </c>
      <c r="I3" s="66">
        <v>2016</v>
      </c>
      <c r="J3" s="66">
        <v>2017</v>
      </c>
      <c r="K3" s="66">
        <v>2018</v>
      </c>
      <c r="L3" s="66">
        <v>2019</v>
      </c>
    </row>
    <row r="4" spans="2:12">
      <c r="B4" s="64"/>
      <c r="C4" s="64" t="s">
        <v>60</v>
      </c>
      <c r="D4" s="64">
        <f>'[1]Balance sheet'!C11</f>
        <v>754</v>
      </c>
      <c r="E4" s="64">
        <f>'[1]Balance sheet'!D11</f>
        <v>848.7</v>
      </c>
      <c r="F4" s="64">
        <f>'[1]Balance sheet'!E11</f>
        <v>906.4</v>
      </c>
      <c r="G4" s="67">
        <f>'[1]Balance sheet'!F11</f>
        <v>1027.8</v>
      </c>
      <c r="H4" s="37">
        <f>'[1]Balance sheet'!G11</f>
        <v>793.125</v>
      </c>
      <c r="I4" s="37">
        <f>'[1]Balance sheet'!H11</f>
        <v>951.75</v>
      </c>
      <c r="J4" s="37">
        <f>'[1]Balance sheet'!I11</f>
        <v>1142.0999999999999</v>
      </c>
      <c r="K4" s="37">
        <f>'[1]Balance sheet'!J11</f>
        <v>1370.52</v>
      </c>
      <c r="L4" s="37">
        <f>'[1]Balance sheet'!K11</f>
        <v>1644.6239999999998</v>
      </c>
    </row>
    <row r="5" spans="2:12">
      <c r="B5" s="64"/>
      <c r="C5" s="64" t="s">
        <v>6</v>
      </c>
      <c r="D5" s="64">
        <f>'[1]Balance sheet'!C21</f>
        <v>89.6</v>
      </c>
      <c r="E5" s="64">
        <f>'[1]Balance sheet'!D21</f>
        <v>115.3</v>
      </c>
      <c r="F5" s="64">
        <f>'[1]Balance sheet'!E21</f>
        <v>93</v>
      </c>
      <c r="G5" s="67">
        <f>'[1]Balance sheet'!F21</f>
        <v>99.4</v>
      </c>
      <c r="H5" s="37">
        <f>'[1]Balance sheet'!G21</f>
        <v>158.625</v>
      </c>
      <c r="I5" s="37">
        <f>'[1]Balance sheet'!H21</f>
        <v>190.35</v>
      </c>
      <c r="J5" s="37">
        <f>'[1]Balance sheet'!I21</f>
        <v>228.42</v>
      </c>
      <c r="K5" s="37">
        <f>'[1]Balance sheet'!J21</f>
        <v>274.10399999999998</v>
      </c>
      <c r="L5" s="37">
        <f>'[1]Balance sheet'!K21</f>
        <v>328.92479999999995</v>
      </c>
    </row>
    <row r="6" spans="2:12">
      <c r="B6" s="68"/>
      <c r="C6" s="68" t="s">
        <v>61</v>
      </c>
      <c r="D6" s="69">
        <f>D4-D5</f>
        <v>664.4</v>
      </c>
      <c r="E6" s="69">
        <f t="shared" ref="E6:F6" si="0">E4-E5</f>
        <v>733.40000000000009</v>
      </c>
      <c r="F6" s="69">
        <f t="shared" si="0"/>
        <v>813.4</v>
      </c>
      <c r="G6" s="69">
        <f>G4-G5</f>
        <v>928.4</v>
      </c>
      <c r="H6" s="69">
        <f t="shared" ref="H6:L6" si="1">H4-H5</f>
        <v>634.5</v>
      </c>
      <c r="I6" s="69">
        <f t="shared" si="1"/>
        <v>761.4</v>
      </c>
      <c r="J6" s="69">
        <f t="shared" si="1"/>
        <v>913.68</v>
      </c>
      <c r="K6" s="69">
        <f t="shared" si="1"/>
        <v>1096.4159999999999</v>
      </c>
      <c r="L6" s="69">
        <f t="shared" si="1"/>
        <v>1315.6991999999998</v>
      </c>
    </row>
    <row r="7" spans="2:12">
      <c r="B7" s="68"/>
      <c r="C7" s="68" t="s">
        <v>5</v>
      </c>
      <c r="D7" s="67">
        <f>'[1]Balance sheet'!C16</f>
        <v>1013</v>
      </c>
      <c r="E7" s="67">
        <f>'[1]Balance sheet'!D16</f>
        <v>1130.5999999999999</v>
      </c>
      <c r="F7" s="67">
        <f>'[1]Balance sheet'!E16</f>
        <v>1219.0999999999999</v>
      </c>
      <c r="G7" s="67">
        <f>'[1]Balance sheet'!F16</f>
        <v>1343.9</v>
      </c>
      <c r="H7" s="199">
        <f>'[1]Balance sheet'!G16</f>
        <v>1253.325</v>
      </c>
      <c r="I7" s="199">
        <f>'[1]Balance sheet'!H16</f>
        <v>1599.64</v>
      </c>
      <c r="J7" s="199">
        <f>'[1]Balance sheet'!I16</f>
        <v>2004.4714999999999</v>
      </c>
      <c r="K7" s="199">
        <f>'[1]Balance sheet'!J16</f>
        <v>2484.5557999999996</v>
      </c>
      <c r="L7" s="199">
        <f>'[1]Balance sheet'!K16</f>
        <v>2998.1709599999995</v>
      </c>
    </row>
    <row r="8" spans="2:12">
      <c r="B8" s="70" t="s">
        <v>62</v>
      </c>
      <c r="C8" s="70" t="s">
        <v>63</v>
      </c>
      <c r="D8" s="71">
        <f>D6/D7</f>
        <v>0.6558736426456071</v>
      </c>
      <c r="E8" s="71">
        <f t="shared" ref="E8:F8" si="2">E6/E7</f>
        <v>0.64868211569078382</v>
      </c>
      <c r="F8" s="71">
        <f t="shared" si="2"/>
        <v>0.66721351816914121</v>
      </c>
      <c r="G8" s="71">
        <f>G6/G7</f>
        <v>0.69082521020909282</v>
      </c>
      <c r="H8" s="71">
        <f t="shared" ref="H8:L8" si="3">H6/H7</f>
        <v>0.50625336604631677</v>
      </c>
      <c r="I8" s="71">
        <f t="shared" si="3"/>
        <v>0.47598209597159358</v>
      </c>
      <c r="J8" s="71">
        <f t="shared" si="3"/>
        <v>0.45582089842634332</v>
      </c>
      <c r="K8" s="71">
        <f t="shared" si="3"/>
        <v>0.44129256424830549</v>
      </c>
      <c r="L8" s="71">
        <f t="shared" si="3"/>
        <v>0.43883394828158834</v>
      </c>
    </row>
    <row r="9" spans="2:12">
      <c r="B9" s="68"/>
      <c r="C9" s="68" t="s">
        <v>64</v>
      </c>
      <c r="D9" s="69">
        <v>1.21</v>
      </c>
      <c r="E9" s="69">
        <v>1.21</v>
      </c>
      <c r="F9" s="69">
        <v>1.21</v>
      </c>
      <c r="G9" s="69">
        <v>1.21</v>
      </c>
      <c r="H9" s="69">
        <v>1.21</v>
      </c>
      <c r="I9" s="69">
        <v>1.21</v>
      </c>
      <c r="J9" s="69">
        <v>1.21</v>
      </c>
      <c r="K9" s="69">
        <v>1.21</v>
      </c>
      <c r="L9" s="69">
        <v>1.21</v>
      </c>
    </row>
    <row r="10" spans="2:12">
      <c r="B10" s="68"/>
      <c r="C10" s="68" t="s">
        <v>65</v>
      </c>
      <c r="D10" s="71">
        <f>D8*D9</f>
        <v>0.79360710760118458</v>
      </c>
      <c r="E10" s="71">
        <f t="shared" ref="E10:F10" si="4">E8*E9</f>
        <v>0.78490535998584843</v>
      </c>
      <c r="F10" s="71">
        <f t="shared" si="4"/>
        <v>0.80732835698466088</v>
      </c>
      <c r="G10" s="71">
        <f>G8*G9</f>
        <v>0.83589850435300228</v>
      </c>
      <c r="H10" s="71">
        <f t="shared" ref="H10:L10" si="5">H8*H9</f>
        <v>0.61256657291604322</v>
      </c>
      <c r="I10" s="71">
        <f t="shared" si="5"/>
        <v>0.57593833612562817</v>
      </c>
      <c r="J10" s="71">
        <f t="shared" si="5"/>
        <v>0.55154328709587541</v>
      </c>
      <c r="K10" s="71">
        <f t="shared" si="5"/>
        <v>0.53396400274044964</v>
      </c>
      <c r="L10" s="71">
        <f t="shared" si="5"/>
        <v>0.53098907742072188</v>
      </c>
    </row>
    <row r="11" spans="2:12">
      <c r="B11" s="68"/>
      <c r="C11" s="68"/>
      <c r="D11" s="68"/>
      <c r="E11" s="68"/>
      <c r="F11" s="68"/>
      <c r="G11" s="67"/>
    </row>
    <row r="12" spans="2:12">
      <c r="B12" s="68"/>
      <c r="C12" s="68" t="s">
        <v>66</v>
      </c>
      <c r="D12" s="72">
        <v>85</v>
      </c>
      <c r="E12" s="72">
        <f>'[1]Balance sheet'!D26-'[1]Balance sheet'!C26</f>
        <v>90.5</v>
      </c>
      <c r="F12" s="72">
        <f>'[1]Balance sheet'!E26-'[1]Balance sheet'!D26</f>
        <v>108</v>
      </c>
      <c r="G12" s="72">
        <f>'[1]Balance sheet'!F26-'[1]Balance sheet'!E26</f>
        <v>104.70000000000005</v>
      </c>
    </row>
    <row r="13" spans="2:12">
      <c r="B13" s="70" t="s">
        <v>67</v>
      </c>
      <c r="C13" s="70" t="s">
        <v>68</v>
      </c>
      <c r="D13" s="69">
        <f>D12/D7</f>
        <v>8.3909180651530108E-2</v>
      </c>
      <c r="E13" s="69">
        <f t="shared" ref="E13:F13" si="6">E12/E7</f>
        <v>8.0045993277905542E-2</v>
      </c>
      <c r="F13" s="69">
        <f t="shared" si="6"/>
        <v>8.8589943400869495E-2</v>
      </c>
      <c r="G13" s="69">
        <f>G12/G7</f>
        <v>7.7907582409405485E-2</v>
      </c>
    </row>
    <row r="14" spans="2:12">
      <c r="B14" s="68"/>
      <c r="C14" s="68" t="s">
        <v>64</v>
      </c>
      <c r="D14" s="69">
        <v>1.4</v>
      </c>
      <c r="E14" s="69">
        <v>1.4</v>
      </c>
      <c r="F14" s="69">
        <v>1.4</v>
      </c>
      <c r="G14" s="69">
        <v>1.4</v>
      </c>
    </row>
    <row r="15" spans="2:12">
      <c r="B15" s="68"/>
      <c r="C15" s="68" t="s">
        <v>65</v>
      </c>
      <c r="D15" s="71">
        <f>D13*D14</f>
        <v>0.11747285291214214</v>
      </c>
      <c r="E15" s="71">
        <f t="shared" ref="E15:F15" si="7">E13*E14</f>
        <v>0.11206439058906775</v>
      </c>
      <c r="F15" s="71">
        <f t="shared" si="7"/>
        <v>0.12402592076121728</v>
      </c>
      <c r="G15" s="71">
        <f>G13*G14</f>
        <v>0.10907061537316767</v>
      </c>
    </row>
    <row r="16" spans="2:12">
      <c r="B16" s="68"/>
      <c r="C16" s="68"/>
      <c r="D16" s="68"/>
      <c r="E16" s="68"/>
      <c r="F16" s="68"/>
      <c r="G16" s="73"/>
    </row>
    <row r="17" spans="2:12">
      <c r="B17" s="68"/>
      <c r="C17" s="68" t="s">
        <v>3</v>
      </c>
      <c r="D17" s="181">
        <f>'[1]Business risk'!D13</f>
        <v>189.8</v>
      </c>
      <c r="E17" s="181">
        <f>'[1]Business risk'!E13</f>
        <v>221.8</v>
      </c>
      <c r="F17" s="181">
        <f>'[1]Business risk'!F13</f>
        <v>184.8</v>
      </c>
      <c r="G17" s="181">
        <f>'[1]Business risk'!G13</f>
        <v>164.1</v>
      </c>
      <c r="H17" s="181">
        <f>'[1]Business risk'!H13</f>
        <v>282.5</v>
      </c>
      <c r="I17" s="181">
        <f>'[1]Business risk'!I13</f>
        <v>333</v>
      </c>
      <c r="J17" s="181">
        <f>'[1]Business risk'!J13</f>
        <v>387.59999999999997</v>
      </c>
      <c r="K17" s="181">
        <f>'[1]Business risk'!K13</f>
        <v>479.11999999999989</v>
      </c>
      <c r="L17" s="181">
        <f>'[1]Business risk'!L13</f>
        <v>580.94399999999985</v>
      </c>
    </row>
    <row r="18" spans="2:12">
      <c r="B18" s="70" t="s">
        <v>69</v>
      </c>
      <c r="C18" s="70" t="s">
        <v>70</v>
      </c>
      <c r="D18" s="73">
        <f>D17/D7</f>
        <v>0.18736426456071076</v>
      </c>
      <c r="E18" s="73">
        <f t="shared" ref="E18:F18" si="8">E17/E7</f>
        <v>0.19617901998938619</v>
      </c>
      <c r="F18" s="73">
        <f t="shared" si="8"/>
        <v>0.15158723648593225</v>
      </c>
      <c r="G18" s="73">
        <f>G17/G7</f>
        <v>0.12210729965027159</v>
      </c>
      <c r="H18" s="73">
        <f t="shared" ref="H18:L18" si="9">H17/H7</f>
        <v>0.22540043484331676</v>
      </c>
      <c r="I18" s="73">
        <f t="shared" si="9"/>
        <v>0.20817183866369932</v>
      </c>
      <c r="J18" s="73">
        <f t="shared" si="9"/>
        <v>0.19336767821343431</v>
      </c>
      <c r="K18" s="73">
        <f t="shared" si="9"/>
        <v>0.19283929948363404</v>
      </c>
      <c r="L18" s="73">
        <f t="shared" si="9"/>
        <v>0.19376613533739248</v>
      </c>
    </row>
    <row r="19" spans="2:12">
      <c r="B19" s="68"/>
      <c r="C19" s="68" t="s">
        <v>64</v>
      </c>
      <c r="D19" s="69">
        <v>3.3</v>
      </c>
      <c r="E19" s="69">
        <v>3.3</v>
      </c>
      <c r="F19" s="69">
        <v>3.3</v>
      </c>
      <c r="G19" s="69">
        <v>3.3</v>
      </c>
      <c r="H19" s="69">
        <v>3.3</v>
      </c>
      <c r="I19" s="69">
        <v>3.3</v>
      </c>
      <c r="J19" s="69">
        <v>3.3</v>
      </c>
      <c r="K19" s="69">
        <v>3.3</v>
      </c>
      <c r="L19" s="69">
        <v>3.3</v>
      </c>
    </row>
    <row r="20" spans="2:12">
      <c r="B20" s="68"/>
      <c r="C20" s="68" t="s">
        <v>65</v>
      </c>
      <c r="D20" s="71">
        <f>D18*D19</f>
        <v>0.61830207305034546</v>
      </c>
      <c r="E20" s="71">
        <f t="shared" ref="E20:F20" si="10">E18*E19</f>
        <v>0.64739076596497436</v>
      </c>
      <c r="F20" s="71">
        <f t="shared" si="10"/>
        <v>0.50023788040357642</v>
      </c>
      <c r="G20" s="71">
        <f>G18*G19</f>
        <v>0.40295408884589623</v>
      </c>
      <c r="H20" s="71">
        <f t="shared" ref="H20:L20" si="11">H18*H19</f>
        <v>0.74382143498294528</v>
      </c>
      <c r="I20" s="71">
        <f t="shared" si="11"/>
        <v>0.68696706759020776</v>
      </c>
      <c r="J20" s="71">
        <f t="shared" si="11"/>
        <v>0.63811333810433324</v>
      </c>
      <c r="K20" s="71">
        <f t="shared" si="11"/>
        <v>0.63636968829599228</v>
      </c>
      <c r="L20" s="71">
        <f t="shared" si="11"/>
        <v>0.63942824661339515</v>
      </c>
    </row>
    <row r="21" spans="2:12">
      <c r="B21" s="68"/>
      <c r="C21" s="68"/>
      <c r="D21" s="68"/>
      <c r="E21" s="68"/>
      <c r="F21" s="68"/>
      <c r="G21" s="67"/>
    </row>
    <row r="22" spans="2:12">
      <c r="G22" s="67"/>
    </row>
    <row r="23" spans="2:12">
      <c r="G23" s="67"/>
    </row>
    <row r="24" spans="2:12">
      <c r="G24" s="73"/>
    </row>
    <row r="25" spans="2:12">
      <c r="C25" s="68" t="s">
        <v>71</v>
      </c>
      <c r="D25" s="67">
        <f>'[1]Balance sheet'!C28</f>
        <v>894.5</v>
      </c>
      <c r="E25" s="67">
        <f>'[1]Balance sheet'!D28</f>
        <v>985.3</v>
      </c>
      <c r="F25" s="67">
        <f>'[1]Balance sheet'!E28</f>
        <v>1094.0999999999999</v>
      </c>
      <c r="G25" s="67">
        <f>'[1]Balance sheet'!F28</f>
        <v>1199.9000000000001</v>
      </c>
      <c r="H25" s="67">
        <f>'[1]Balance sheet'!G28</f>
        <v>1344.5</v>
      </c>
      <c r="I25" s="67">
        <f>'[1]Balance sheet'!H28</f>
        <v>1402.9099999999999</v>
      </c>
      <c r="J25" s="67">
        <f>'[1]Balance sheet'!I28</f>
        <v>1468.1115</v>
      </c>
      <c r="K25" s="67">
        <f>'[1]Balance sheet'!J28</f>
        <v>1550.4957999999999</v>
      </c>
      <c r="L25" s="67">
        <f>'[1]Balance sheet'!K28</f>
        <v>1650.72696</v>
      </c>
    </row>
    <row r="26" spans="2:12">
      <c r="C26" s="68" t="s">
        <v>72</v>
      </c>
      <c r="D26" s="67">
        <v>1</v>
      </c>
      <c r="E26" s="67">
        <v>1</v>
      </c>
      <c r="F26" s="67">
        <v>1</v>
      </c>
      <c r="G26" s="67">
        <v>1</v>
      </c>
      <c r="H26" s="37">
        <v>1</v>
      </c>
      <c r="I26" s="37">
        <f>'[1]Balance sheet'!H24</f>
        <v>130</v>
      </c>
      <c r="J26" s="37">
        <f>'[1]Balance sheet'!I24</f>
        <v>280</v>
      </c>
      <c r="K26" s="37">
        <f>'[1]Balance sheet'!J24</f>
        <v>450</v>
      </c>
      <c r="L26" s="37">
        <f>'[1]Balance sheet'!K24</f>
        <v>590</v>
      </c>
    </row>
    <row r="27" spans="2:12">
      <c r="B27" s="68"/>
      <c r="C27" s="70" t="s">
        <v>73</v>
      </c>
      <c r="D27" s="69">
        <f>D25/D26</f>
        <v>894.5</v>
      </c>
      <c r="E27" s="69">
        <f t="shared" ref="E27:F27" si="12">E25/E26</f>
        <v>985.3</v>
      </c>
      <c r="F27" s="69">
        <f t="shared" si="12"/>
        <v>1094.0999999999999</v>
      </c>
      <c r="G27" s="69">
        <f>G25/G26</f>
        <v>1199.9000000000001</v>
      </c>
      <c r="H27" s="69">
        <f t="shared" ref="H27:L27" si="13">H25/H26</f>
        <v>1344.5</v>
      </c>
      <c r="I27" s="69">
        <f t="shared" si="13"/>
        <v>10.791615384615383</v>
      </c>
      <c r="J27" s="69">
        <f t="shared" si="13"/>
        <v>5.2432553571428571</v>
      </c>
      <c r="K27" s="69">
        <f t="shared" si="13"/>
        <v>3.4455462222222222</v>
      </c>
      <c r="L27" s="69">
        <f t="shared" si="13"/>
        <v>2.7978423050847456</v>
      </c>
    </row>
    <row r="28" spans="2:12">
      <c r="B28" s="68"/>
      <c r="C28" s="68" t="s">
        <v>64</v>
      </c>
      <c r="D28" s="69">
        <v>0.6</v>
      </c>
      <c r="E28" s="69">
        <v>1.6</v>
      </c>
      <c r="F28" s="69">
        <v>2.6</v>
      </c>
      <c r="G28" s="69">
        <v>0.6</v>
      </c>
      <c r="H28" s="69">
        <v>0.6</v>
      </c>
      <c r="I28" s="69">
        <v>0.6</v>
      </c>
      <c r="J28" s="69">
        <v>0.6</v>
      </c>
      <c r="K28" s="69">
        <v>0.6</v>
      </c>
      <c r="L28" s="69">
        <v>0.6</v>
      </c>
    </row>
    <row r="29" spans="2:12">
      <c r="B29" s="70" t="s">
        <v>74</v>
      </c>
      <c r="C29" s="68" t="s">
        <v>65</v>
      </c>
      <c r="D29" s="71">
        <f>D27*D28</f>
        <v>536.69999999999993</v>
      </c>
      <c r="E29" s="71">
        <f t="shared" ref="E29:F29" si="14">E27*E28</f>
        <v>1576.48</v>
      </c>
      <c r="F29" s="71">
        <f t="shared" si="14"/>
        <v>2844.66</v>
      </c>
      <c r="G29" s="71">
        <f>G27*G28</f>
        <v>719.94</v>
      </c>
      <c r="H29" s="71">
        <f t="shared" ref="H29:L29" si="15">H27*H28</f>
        <v>806.69999999999993</v>
      </c>
      <c r="I29" s="71">
        <f t="shared" si="15"/>
        <v>6.4749692307692301</v>
      </c>
      <c r="J29" s="71">
        <f t="shared" si="15"/>
        <v>3.1459532142857141</v>
      </c>
      <c r="K29" s="71">
        <f t="shared" si="15"/>
        <v>2.0673277333333333</v>
      </c>
      <c r="L29" s="71">
        <f t="shared" si="15"/>
        <v>1.6787053830508474</v>
      </c>
    </row>
    <row r="30" spans="2:12">
      <c r="B30" s="68"/>
      <c r="C30" s="68"/>
      <c r="D30" s="68"/>
      <c r="E30" s="68"/>
      <c r="F30" s="68"/>
      <c r="G30" s="74"/>
    </row>
    <row r="31" spans="2:12">
      <c r="B31" s="68"/>
      <c r="C31" s="68" t="s">
        <v>75</v>
      </c>
      <c r="D31" s="183">
        <f>'[1]Business risk'!D6</f>
        <v>446.2</v>
      </c>
      <c r="E31" s="183">
        <f>'[1]Business risk'!E6</f>
        <v>538.5</v>
      </c>
      <c r="F31" s="183">
        <f>'[1]Business risk'!F6</f>
        <v>498.4</v>
      </c>
      <c r="G31" s="183">
        <f>'[1]Business risk'!G6</f>
        <v>451</v>
      </c>
      <c r="H31" s="37">
        <f>'[1]Income statement'!H7</f>
        <v>705</v>
      </c>
      <c r="I31" s="37">
        <f>'[1]Income statement'!I7</f>
        <v>846</v>
      </c>
      <c r="J31" s="37">
        <f>'[1]Income statement'!J7</f>
        <v>1015.1999999999999</v>
      </c>
      <c r="K31" s="37">
        <f>'[1]Income statement'!K7</f>
        <v>1218.2399999999998</v>
      </c>
      <c r="L31" s="37">
        <f>'[1]Income statement'!L7</f>
        <v>1461.8879999999997</v>
      </c>
    </row>
    <row r="32" spans="2:12">
      <c r="B32" s="68"/>
      <c r="C32" s="70" t="s">
        <v>76</v>
      </c>
      <c r="D32" s="69">
        <f>D31/D7</f>
        <v>0.44047384007897333</v>
      </c>
      <c r="E32" s="69">
        <f t="shared" ref="E32:F32" si="16">E31/E7</f>
        <v>0.4762957721563772</v>
      </c>
      <c r="F32" s="69">
        <f t="shared" si="16"/>
        <v>0.40882618324993847</v>
      </c>
      <c r="G32" s="69">
        <f>G31/G7</f>
        <v>0.33559044571768731</v>
      </c>
      <c r="H32" s="69">
        <f t="shared" ref="H32:L32" si="17">H31/H7</f>
        <v>0.56250374005146309</v>
      </c>
      <c r="I32" s="69">
        <f t="shared" si="17"/>
        <v>0.52886899552399291</v>
      </c>
      <c r="J32" s="69">
        <f t="shared" si="17"/>
        <v>0.5064676649181592</v>
      </c>
      <c r="K32" s="69">
        <f t="shared" si="17"/>
        <v>0.49032507138700604</v>
      </c>
      <c r="L32" s="69">
        <f t="shared" si="17"/>
        <v>0.48759327586843143</v>
      </c>
    </row>
    <row r="33" spans="2:12">
      <c r="B33" s="68"/>
      <c r="C33" s="68" t="s">
        <v>64</v>
      </c>
      <c r="D33" s="69">
        <v>1</v>
      </c>
      <c r="E33" s="69">
        <v>1</v>
      </c>
      <c r="F33" s="69">
        <v>1</v>
      </c>
      <c r="G33" s="69">
        <v>1</v>
      </c>
      <c r="H33" s="69">
        <v>1</v>
      </c>
      <c r="I33" s="69">
        <v>1</v>
      </c>
      <c r="J33" s="69">
        <v>1</v>
      </c>
      <c r="K33" s="69">
        <v>1</v>
      </c>
      <c r="L33" s="69">
        <v>1</v>
      </c>
    </row>
    <row r="34" spans="2:12">
      <c r="B34" s="70" t="s">
        <v>77</v>
      </c>
      <c r="C34" s="68" t="s">
        <v>65</v>
      </c>
      <c r="D34" s="71">
        <f>D32*D33</f>
        <v>0.44047384007897333</v>
      </c>
      <c r="E34" s="71">
        <f t="shared" ref="E34:F34" si="18">E32*E33</f>
        <v>0.4762957721563772</v>
      </c>
      <c r="F34" s="71">
        <f t="shared" si="18"/>
        <v>0.40882618324993847</v>
      </c>
      <c r="G34" s="71">
        <f>G32*G33</f>
        <v>0.33559044571768731</v>
      </c>
      <c r="H34" s="71">
        <f t="shared" ref="H34:L34" si="19">H32*H33</f>
        <v>0.56250374005146309</v>
      </c>
      <c r="I34" s="71">
        <f t="shared" si="19"/>
        <v>0.52886899552399291</v>
      </c>
      <c r="J34" s="71">
        <f t="shared" si="19"/>
        <v>0.5064676649181592</v>
      </c>
      <c r="K34" s="71">
        <f t="shared" si="19"/>
        <v>0.49032507138700604</v>
      </c>
      <c r="L34" s="71">
        <f t="shared" si="19"/>
        <v>0.48759327586843143</v>
      </c>
    </row>
    <row r="35" spans="2:12">
      <c r="B35" s="68"/>
      <c r="C35" s="75"/>
      <c r="D35" s="75"/>
      <c r="E35" s="75"/>
      <c r="F35" s="75"/>
    </row>
    <row r="36" spans="2:12">
      <c r="B36" s="68"/>
      <c r="C36" s="76"/>
      <c r="D36" s="76">
        <v>2011</v>
      </c>
      <c r="E36" s="76">
        <v>2012</v>
      </c>
      <c r="F36" s="76">
        <v>2013</v>
      </c>
      <c r="G36" s="190">
        <v>2014</v>
      </c>
      <c r="H36" s="190">
        <v>2015</v>
      </c>
      <c r="I36" s="190">
        <v>2016</v>
      </c>
      <c r="J36" s="190">
        <v>2017</v>
      </c>
      <c r="K36" s="190">
        <v>2018</v>
      </c>
      <c r="L36" s="190">
        <v>2019</v>
      </c>
    </row>
    <row r="37" spans="2:12">
      <c r="B37" s="68"/>
      <c r="C37" s="75" t="s">
        <v>276</v>
      </c>
      <c r="D37" s="75">
        <f>D10+D15+D20+D29+D34</f>
        <v>538.66985587364263</v>
      </c>
      <c r="E37" s="75">
        <f t="shared" ref="E37:F37" si="20">E10+E15+E20+E29+E34</f>
        <v>1578.5006562886963</v>
      </c>
      <c r="F37" s="75">
        <f t="shared" si="20"/>
        <v>2846.5004183413994</v>
      </c>
      <c r="G37" s="75">
        <f>G10+G15+G20+G29+G34</f>
        <v>721.62351365428981</v>
      </c>
      <c r="H37" s="75">
        <f t="shared" ref="H37:L37" si="21">H10+H15+H20+H29+H34</f>
        <v>808.61889174795044</v>
      </c>
      <c r="I37" s="75">
        <f t="shared" si="21"/>
        <v>8.2667436300090582</v>
      </c>
      <c r="J37" s="75">
        <f t="shared" si="21"/>
        <v>4.8420775044040818</v>
      </c>
      <c r="K37" s="75">
        <f t="shared" si="21"/>
        <v>3.727986495756781</v>
      </c>
      <c r="L37" s="75">
        <f t="shared" si="21"/>
        <v>3.3367159829533959</v>
      </c>
    </row>
    <row r="38" spans="2:12">
      <c r="B38" s="77" t="s">
        <v>78</v>
      </c>
      <c r="C38" s="217"/>
      <c r="D38" s="84" t="s">
        <v>81</v>
      </c>
      <c r="E38" s="84" t="s">
        <v>81</v>
      </c>
      <c r="F38" s="84" t="s">
        <v>81</v>
      </c>
      <c r="G38" s="84" t="s">
        <v>81</v>
      </c>
      <c r="H38" s="84" t="s">
        <v>81</v>
      </c>
      <c r="I38" s="84" t="s">
        <v>81</v>
      </c>
      <c r="J38" s="84" t="s">
        <v>81</v>
      </c>
      <c r="K38" s="84" t="s">
        <v>81</v>
      </c>
      <c r="L38" s="84" t="s">
        <v>81</v>
      </c>
    </row>
    <row r="39" spans="2:12">
      <c r="C39" s="80"/>
      <c r="D39" s="80"/>
      <c r="E39" s="80"/>
      <c r="F39" s="80"/>
    </row>
    <row r="40" spans="2:12">
      <c r="B40" s="77"/>
      <c r="C40" s="81"/>
      <c r="D40" s="81"/>
      <c r="E40" s="81"/>
      <c r="F40" s="81"/>
    </row>
    <row r="41" spans="2:12">
      <c r="B41" s="52"/>
      <c r="C41" s="81"/>
      <c r="D41" s="81"/>
      <c r="E41" s="81"/>
      <c r="F41" s="81"/>
    </row>
    <row r="42" spans="2:12">
      <c r="B42" s="52"/>
      <c r="C42" s="75"/>
      <c r="D42" s="75"/>
      <c r="E42" s="75"/>
      <c r="F42" s="75"/>
    </row>
    <row r="43" spans="2:12">
      <c r="B43" s="52"/>
      <c r="C43" s="82"/>
      <c r="D43" s="82"/>
      <c r="E43" s="82"/>
      <c r="F43" s="82"/>
      <c r="G43" s="81"/>
    </row>
    <row r="44" spans="2:12">
      <c r="B44" s="68" t="s">
        <v>79</v>
      </c>
      <c r="C44" s="80"/>
      <c r="D44" s="80"/>
      <c r="E44" s="80"/>
      <c r="F44" s="80"/>
      <c r="G44" s="81"/>
    </row>
    <row r="45" spans="2:12">
      <c r="B45" s="83" t="s">
        <v>80</v>
      </c>
      <c r="C45" s="84" t="s">
        <v>81</v>
      </c>
      <c r="D45" s="75"/>
      <c r="E45" s="75"/>
      <c r="F45" s="75"/>
    </row>
    <row r="46" spans="2:12">
      <c r="B46" s="85" t="s">
        <v>82</v>
      </c>
      <c r="C46" s="86" t="s">
        <v>83</v>
      </c>
      <c r="D46" s="218"/>
      <c r="E46" s="218"/>
      <c r="F46" s="218"/>
    </row>
    <row r="47" spans="2:12">
      <c r="B47" s="87" t="s">
        <v>84</v>
      </c>
      <c r="C47" s="79" t="s">
        <v>85</v>
      </c>
      <c r="D47" s="78"/>
      <c r="E47" s="78"/>
      <c r="F47" s="78"/>
    </row>
    <row r="48" spans="2:12">
      <c r="B48" s="68"/>
      <c r="C48" s="88"/>
      <c r="D48" s="88"/>
      <c r="E48" s="88"/>
      <c r="F48" s="8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L48"/>
  <sheetViews>
    <sheetView topLeftCell="C1" workbookViewId="0">
      <selection activeCell="K24" sqref="K24"/>
    </sheetView>
  </sheetViews>
  <sheetFormatPr defaultRowHeight="15"/>
  <cols>
    <col min="1" max="1" width="9.140625" style="44"/>
    <col min="2" max="2" width="18.7109375" style="44" customWidth="1"/>
    <col min="3" max="3" width="48.7109375" style="44" customWidth="1"/>
    <col min="4" max="4" width="20.7109375" style="44" customWidth="1"/>
    <col min="5" max="6" width="14.28515625" style="44" bestFit="1" customWidth="1"/>
    <col min="7" max="7" width="12.140625" style="44" bestFit="1" customWidth="1"/>
    <col min="8" max="8" width="11.85546875" style="44" bestFit="1" customWidth="1"/>
    <col min="9" max="9" width="12.140625" style="44" bestFit="1" customWidth="1"/>
    <col min="10" max="12" width="9.5703125" style="44" bestFit="1" customWidth="1"/>
    <col min="13" max="16384" width="9.140625" style="44"/>
  </cols>
  <sheetData>
    <row r="2" spans="2:12" ht="22.5">
      <c r="B2" s="283" t="s">
        <v>38</v>
      </c>
      <c r="C2" s="283"/>
    </row>
    <row r="3" spans="2:12" ht="15.75" thickBot="1"/>
    <row r="4" spans="2:12" ht="18.75">
      <c r="C4" s="287" t="s">
        <v>39</v>
      </c>
      <c r="D4" s="288"/>
      <c r="E4" s="288"/>
      <c r="F4" s="288"/>
      <c r="G4" s="288"/>
      <c r="H4" s="288"/>
      <c r="I4" s="288"/>
      <c r="J4" s="288"/>
      <c r="K4" s="288"/>
      <c r="L4" s="289"/>
    </row>
    <row r="5" spans="2:12" ht="15.75">
      <c r="C5" s="142" t="s">
        <v>14</v>
      </c>
      <c r="D5" s="109">
        <v>2011</v>
      </c>
      <c r="E5" s="109">
        <v>2012</v>
      </c>
      <c r="F5" s="109">
        <v>2013</v>
      </c>
      <c r="G5" s="109">
        <v>2014</v>
      </c>
      <c r="H5" s="109">
        <v>2015</v>
      </c>
      <c r="I5" s="109">
        <v>2016</v>
      </c>
      <c r="J5" s="109">
        <v>2017</v>
      </c>
      <c r="K5" s="109">
        <v>2018</v>
      </c>
      <c r="L5" s="107">
        <v>2019</v>
      </c>
    </row>
    <row r="6" spans="2:12" ht="15.75">
      <c r="C6" s="143" t="s">
        <v>40</v>
      </c>
      <c r="D6" s="139">
        <f>'Income statement'!D7</f>
        <v>446.2</v>
      </c>
      <c r="E6" s="138">
        <f>'Income statement'!E7</f>
        <v>538.5</v>
      </c>
      <c r="F6" s="138">
        <f>'Income statement'!F7</f>
        <v>498.4</v>
      </c>
      <c r="G6" s="138">
        <f>'Income statement'!G7</f>
        <v>451</v>
      </c>
      <c r="H6" s="138">
        <f>'Income statement'!H7</f>
        <v>705</v>
      </c>
      <c r="I6" s="138">
        <f>'Income statement'!I7</f>
        <v>846</v>
      </c>
      <c r="J6" s="138">
        <f>'Income statement'!J7</f>
        <v>1015.1999999999999</v>
      </c>
      <c r="K6" s="138">
        <f>'Income statement'!K7</f>
        <v>1218.2399999999998</v>
      </c>
      <c r="L6" s="138">
        <f>'Income statement'!L7</f>
        <v>1461.8879999999997</v>
      </c>
    </row>
    <row r="7" spans="2:12">
      <c r="C7" s="143" t="s">
        <v>41</v>
      </c>
      <c r="D7" s="284">
        <f>STDEV(D6:L6)</f>
        <v>366.87023413735812</v>
      </c>
      <c r="E7" s="285"/>
      <c r="F7" s="285"/>
      <c r="G7" s="144"/>
      <c r="H7" s="145"/>
      <c r="I7" s="144"/>
      <c r="J7" s="144"/>
      <c r="K7" s="144"/>
      <c r="L7" s="146"/>
    </row>
    <row r="8" spans="2:12">
      <c r="C8" s="143" t="s">
        <v>42</v>
      </c>
      <c r="D8" s="284">
        <f>AVERAGE(D6:L6)</f>
        <v>797.82533333333333</v>
      </c>
      <c r="E8" s="286"/>
      <c r="F8" s="286"/>
      <c r="G8" s="144"/>
      <c r="H8" s="144"/>
      <c r="I8" s="144"/>
      <c r="J8" s="144"/>
      <c r="K8" s="144"/>
      <c r="L8" s="146"/>
    </row>
    <row r="9" spans="2:12">
      <c r="C9" s="143" t="s">
        <v>43</v>
      </c>
      <c r="D9" s="284">
        <f>D7/D8</f>
        <v>0.4598377850507272</v>
      </c>
      <c r="E9" s="286"/>
      <c r="F9" s="286"/>
      <c r="G9" s="144"/>
      <c r="H9" s="144"/>
      <c r="I9" s="144"/>
      <c r="J9" s="144"/>
      <c r="K9" s="144"/>
      <c r="L9" s="146"/>
    </row>
    <row r="10" spans="2:12">
      <c r="C10" s="147"/>
      <c r="D10" s="148"/>
      <c r="E10" s="148"/>
      <c r="F10" s="148"/>
      <c r="G10" s="144"/>
      <c r="H10" s="144"/>
      <c r="I10" s="144"/>
      <c r="J10" s="144"/>
      <c r="K10" s="144"/>
      <c r="L10" s="146"/>
    </row>
    <row r="11" spans="2:12" ht="18.75">
      <c r="C11" s="281" t="s">
        <v>44</v>
      </c>
      <c r="D11" s="282"/>
      <c r="E11" s="282"/>
      <c r="F11" s="282"/>
      <c r="G11" s="144"/>
      <c r="H11" s="144"/>
      <c r="I11" s="144"/>
      <c r="J11" s="144"/>
      <c r="K11" s="144"/>
      <c r="L11" s="146"/>
    </row>
    <row r="12" spans="2:12">
      <c r="C12" s="149" t="s">
        <v>14</v>
      </c>
      <c r="D12" s="150">
        <f>D5</f>
        <v>2011</v>
      </c>
      <c r="E12" s="150">
        <f t="shared" ref="E12:L12" si="0">E5</f>
        <v>2012</v>
      </c>
      <c r="F12" s="150">
        <f t="shared" si="0"/>
        <v>2013</v>
      </c>
      <c r="G12" s="150">
        <f t="shared" si="0"/>
        <v>2014</v>
      </c>
      <c r="H12" s="150">
        <f t="shared" si="0"/>
        <v>2015</v>
      </c>
      <c r="I12" s="150">
        <f t="shared" si="0"/>
        <v>2016</v>
      </c>
      <c r="J12" s="150">
        <f t="shared" si="0"/>
        <v>2017</v>
      </c>
      <c r="K12" s="150">
        <f t="shared" si="0"/>
        <v>2018</v>
      </c>
      <c r="L12" s="151">
        <f t="shared" si="0"/>
        <v>2019</v>
      </c>
    </row>
    <row r="13" spans="2:12">
      <c r="C13" s="152" t="s">
        <v>45</v>
      </c>
      <c r="D13" s="153">
        <f>'Income statement'!D11</f>
        <v>189.8</v>
      </c>
      <c r="E13" s="153">
        <f>'Income statement'!E11</f>
        <v>221.8</v>
      </c>
      <c r="F13" s="153">
        <f>'Income statement'!F11</f>
        <v>184.8</v>
      </c>
      <c r="G13" s="153">
        <f>'Income statement'!G11</f>
        <v>164.1</v>
      </c>
      <c r="H13" s="144">
        <f>'Income statement'!H11</f>
        <v>282.5</v>
      </c>
      <c r="I13" s="144">
        <f>'Income statement'!I11</f>
        <v>333</v>
      </c>
      <c r="J13" s="144">
        <f>'Income statement'!J11</f>
        <v>387.59999999999997</v>
      </c>
      <c r="K13" s="144">
        <f>'Income statement'!K11</f>
        <v>479.11999999999989</v>
      </c>
      <c r="L13" s="144">
        <f>'Income statement'!L11</f>
        <v>580.94399999999985</v>
      </c>
    </row>
    <row r="14" spans="2:12">
      <c r="C14" s="143" t="s">
        <v>41</v>
      </c>
      <c r="D14" s="279">
        <f>STDEV(D13:L13)</f>
        <v>145.07861972660803</v>
      </c>
      <c r="E14" s="280"/>
      <c r="F14" s="280"/>
      <c r="G14" s="144"/>
      <c r="H14" s="144"/>
      <c r="I14" s="144"/>
      <c r="J14" s="144"/>
      <c r="K14" s="144"/>
      <c r="L14" s="146"/>
    </row>
    <row r="15" spans="2:12">
      <c r="C15" s="143" t="s">
        <v>42</v>
      </c>
      <c r="D15" s="279">
        <f>AVERAGE(D13:L13)</f>
        <v>313.74044444444439</v>
      </c>
      <c r="E15" s="280"/>
      <c r="F15" s="280"/>
      <c r="G15" s="144"/>
      <c r="H15" s="144"/>
      <c r="I15" s="144"/>
      <c r="J15" s="144"/>
      <c r="K15" s="144"/>
      <c r="L15" s="146"/>
    </row>
    <row r="16" spans="2:12">
      <c r="C16" s="143" t="s">
        <v>43</v>
      </c>
      <c r="D16" s="279">
        <f>D14/D15</f>
        <v>0.46241605854643913</v>
      </c>
      <c r="E16" s="280"/>
      <c r="F16" s="280"/>
      <c r="G16" s="144"/>
      <c r="H16" s="144"/>
      <c r="I16" s="144"/>
      <c r="J16" s="144"/>
      <c r="K16" s="144"/>
      <c r="L16" s="146"/>
    </row>
    <row r="17" spans="3:12">
      <c r="C17" s="147"/>
      <c r="D17" s="144"/>
      <c r="E17" s="144"/>
      <c r="F17" s="144"/>
      <c r="G17" s="144"/>
      <c r="H17" s="144"/>
      <c r="I17" s="144"/>
      <c r="J17" s="144"/>
      <c r="K17" s="144"/>
      <c r="L17" s="146"/>
    </row>
    <row r="18" spans="3:12" ht="18.75">
      <c r="C18" s="281" t="s">
        <v>46</v>
      </c>
      <c r="D18" s="282"/>
      <c r="E18" s="282"/>
      <c r="F18" s="282"/>
      <c r="G18" s="144"/>
      <c r="H18" s="144"/>
      <c r="I18" s="144"/>
      <c r="J18" s="144"/>
      <c r="K18" s="144"/>
      <c r="L18" s="146"/>
    </row>
    <row r="19" spans="3:12">
      <c r="C19" s="154" t="s">
        <v>47</v>
      </c>
      <c r="D19" s="155">
        <f>D12</f>
        <v>2011</v>
      </c>
      <c r="E19" s="155">
        <f t="shared" ref="E19:L19" si="1">E12</f>
        <v>2012</v>
      </c>
      <c r="F19" s="155">
        <f t="shared" si="1"/>
        <v>2013</v>
      </c>
      <c r="G19" s="155">
        <f t="shared" si="1"/>
        <v>2014</v>
      </c>
      <c r="H19" s="155">
        <f t="shared" si="1"/>
        <v>2015</v>
      </c>
      <c r="I19" s="155">
        <f t="shared" si="1"/>
        <v>2016</v>
      </c>
      <c r="J19" s="155">
        <f t="shared" si="1"/>
        <v>2017</v>
      </c>
      <c r="K19" s="155">
        <f t="shared" si="1"/>
        <v>2018</v>
      </c>
      <c r="L19" s="156">
        <f t="shared" si="1"/>
        <v>2019</v>
      </c>
    </row>
    <row r="20" spans="3:12">
      <c r="C20" s="152" t="s">
        <v>3</v>
      </c>
      <c r="D20" s="153">
        <f>D13</f>
        <v>189.8</v>
      </c>
      <c r="E20" s="153">
        <f t="shared" ref="E20:L20" si="2">E13</f>
        <v>221.8</v>
      </c>
      <c r="F20" s="153">
        <f t="shared" si="2"/>
        <v>184.8</v>
      </c>
      <c r="G20" s="153">
        <f t="shared" si="2"/>
        <v>164.1</v>
      </c>
      <c r="H20" s="153">
        <f t="shared" si="2"/>
        <v>282.5</v>
      </c>
      <c r="I20" s="153">
        <f t="shared" si="2"/>
        <v>333</v>
      </c>
      <c r="J20" s="153">
        <f t="shared" si="2"/>
        <v>387.59999999999997</v>
      </c>
      <c r="K20" s="153">
        <f t="shared" si="2"/>
        <v>479.11999999999989</v>
      </c>
      <c r="L20" s="157">
        <f t="shared" si="2"/>
        <v>580.94399999999985</v>
      </c>
    </row>
    <row r="21" spans="3:12">
      <c r="C21" s="152" t="s">
        <v>48</v>
      </c>
      <c r="D21" s="158"/>
      <c r="E21" s="153">
        <f t="shared" ref="E21:L21" si="3">E20-D20</f>
        <v>32</v>
      </c>
      <c r="F21" s="153">
        <f t="shared" si="3"/>
        <v>-37</v>
      </c>
      <c r="G21" s="153">
        <f t="shared" si="3"/>
        <v>-20.700000000000017</v>
      </c>
      <c r="H21" s="153">
        <f t="shared" si="3"/>
        <v>118.4</v>
      </c>
      <c r="I21" s="153">
        <f t="shared" si="3"/>
        <v>50.5</v>
      </c>
      <c r="J21" s="153">
        <f t="shared" si="3"/>
        <v>54.599999999999966</v>
      </c>
      <c r="K21" s="153">
        <f t="shared" si="3"/>
        <v>91.519999999999925</v>
      </c>
      <c r="L21" s="157">
        <f t="shared" si="3"/>
        <v>101.82399999999996</v>
      </c>
    </row>
    <row r="22" spans="3:12" ht="15.75">
      <c r="C22" s="152" t="s">
        <v>49</v>
      </c>
      <c r="D22" s="138">
        <f>D6</f>
        <v>446.2</v>
      </c>
      <c r="E22" s="138">
        <f t="shared" ref="E22:L22" si="4">E6</f>
        <v>538.5</v>
      </c>
      <c r="F22" s="138">
        <f t="shared" si="4"/>
        <v>498.4</v>
      </c>
      <c r="G22" s="138">
        <f t="shared" si="4"/>
        <v>451</v>
      </c>
      <c r="H22" s="138">
        <f t="shared" si="4"/>
        <v>705</v>
      </c>
      <c r="I22" s="138">
        <f t="shared" si="4"/>
        <v>846</v>
      </c>
      <c r="J22" s="138">
        <f t="shared" si="4"/>
        <v>1015.1999999999999</v>
      </c>
      <c r="K22" s="138">
        <f t="shared" si="4"/>
        <v>1218.2399999999998</v>
      </c>
      <c r="L22" s="141">
        <f t="shared" si="4"/>
        <v>1461.8879999999997</v>
      </c>
    </row>
    <row r="23" spans="3:12">
      <c r="C23" s="152" t="s">
        <v>50</v>
      </c>
      <c r="D23" s="153"/>
      <c r="E23" s="153">
        <f t="shared" ref="E23:L23" si="5">E22-D22</f>
        <v>92.300000000000011</v>
      </c>
      <c r="F23" s="153">
        <f t="shared" si="5"/>
        <v>-40.100000000000023</v>
      </c>
      <c r="G23" s="153">
        <f t="shared" si="5"/>
        <v>-47.399999999999977</v>
      </c>
      <c r="H23" s="153">
        <f t="shared" si="5"/>
        <v>254</v>
      </c>
      <c r="I23" s="153">
        <f t="shared" si="5"/>
        <v>141</v>
      </c>
      <c r="J23" s="153">
        <f t="shared" si="5"/>
        <v>169.19999999999993</v>
      </c>
      <c r="K23" s="153">
        <f t="shared" si="5"/>
        <v>203.03999999999985</v>
      </c>
      <c r="L23" s="157">
        <f t="shared" si="5"/>
        <v>243.64799999999991</v>
      </c>
    </row>
    <row r="24" spans="3:12">
      <c r="C24" s="152" t="s">
        <v>51</v>
      </c>
      <c r="D24" s="158"/>
      <c r="E24" s="153">
        <f t="shared" ref="E24:L24" si="6">(E21/D20)/(E23/D22)</f>
        <v>0.81504508937388598</v>
      </c>
      <c r="F24" s="153">
        <f t="shared" si="6"/>
        <v>2.2401727871484485</v>
      </c>
      <c r="G24" s="153">
        <f t="shared" si="6"/>
        <v>1.1777905638665145</v>
      </c>
      <c r="H24" s="153">
        <f t="shared" si="6"/>
        <v>1.2811085999990404</v>
      </c>
      <c r="I24" s="153">
        <f t="shared" si="6"/>
        <v>0.89380530973451333</v>
      </c>
      <c r="J24" s="153">
        <f t="shared" si="6"/>
        <v>0.81981981981981966</v>
      </c>
      <c r="K24" s="153">
        <f t="shared" si="6"/>
        <v>1.1805985552115583</v>
      </c>
      <c r="L24" s="157">
        <f t="shared" si="6"/>
        <v>1.0626147937886126</v>
      </c>
    </row>
    <row r="25" spans="3:12">
      <c r="C25" s="147"/>
      <c r="D25" s="144"/>
      <c r="E25" s="144"/>
      <c r="F25" s="144"/>
      <c r="G25" s="144"/>
      <c r="H25" s="144"/>
      <c r="I25" s="144"/>
      <c r="J25" s="144"/>
      <c r="K25" s="144"/>
      <c r="L25" s="146"/>
    </row>
    <row r="26" spans="3:12">
      <c r="C26" s="147"/>
      <c r="D26" s="144"/>
      <c r="E26" s="144"/>
      <c r="F26" s="144"/>
      <c r="G26" s="144"/>
      <c r="H26" s="144"/>
      <c r="I26" s="144"/>
      <c r="J26" s="144"/>
      <c r="K26" s="144"/>
      <c r="L26" s="146"/>
    </row>
    <row r="27" spans="3:12">
      <c r="C27" s="147"/>
      <c r="D27" s="159">
        <f>D19</f>
        <v>2011</v>
      </c>
      <c r="E27" s="160">
        <f t="shared" ref="E27:L27" si="7">E19</f>
        <v>2012</v>
      </c>
      <c r="F27" s="160">
        <f t="shared" si="7"/>
        <v>2013</v>
      </c>
      <c r="G27" s="159">
        <f t="shared" si="7"/>
        <v>2014</v>
      </c>
      <c r="H27" s="160">
        <f t="shared" si="7"/>
        <v>2015</v>
      </c>
      <c r="I27" s="160">
        <f t="shared" si="7"/>
        <v>2016</v>
      </c>
      <c r="J27" s="159">
        <f t="shared" si="7"/>
        <v>2017</v>
      </c>
      <c r="K27" s="160">
        <f t="shared" si="7"/>
        <v>2018</v>
      </c>
      <c r="L27" s="161">
        <f t="shared" si="7"/>
        <v>2019</v>
      </c>
    </row>
    <row r="28" spans="3:12">
      <c r="C28" s="162" t="s">
        <v>52</v>
      </c>
      <c r="D28" s="163"/>
      <c r="E28" s="164">
        <f>E24</f>
        <v>0.81504508937388598</v>
      </c>
      <c r="F28" s="164">
        <f t="shared" ref="F28:L28" si="8">F24</f>
        <v>2.2401727871484485</v>
      </c>
      <c r="G28" s="164">
        <f t="shared" si="8"/>
        <v>1.1777905638665145</v>
      </c>
      <c r="H28" s="164">
        <f t="shared" si="8"/>
        <v>1.2811085999990404</v>
      </c>
      <c r="I28" s="164">
        <f t="shared" si="8"/>
        <v>0.89380530973451333</v>
      </c>
      <c r="J28" s="164">
        <f t="shared" si="8"/>
        <v>0.81981981981981966</v>
      </c>
      <c r="K28" s="164">
        <f t="shared" si="8"/>
        <v>1.1805985552115583</v>
      </c>
      <c r="L28" s="165">
        <f t="shared" si="8"/>
        <v>1.0626147937886126</v>
      </c>
    </row>
    <row r="29" spans="3:12" ht="15.75" thickBot="1">
      <c r="C29" s="166"/>
      <c r="D29" s="167"/>
      <c r="E29" s="167"/>
      <c r="F29" s="167"/>
      <c r="G29" s="167"/>
      <c r="H29" s="167"/>
      <c r="I29" s="167"/>
      <c r="J29" s="167"/>
      <c r="K29" s="167"/>
      <c r="L29" s="168"/>
    </row>
    <row r="30" spans="3:12">
      <c r="K30" s="140"/>
    </row>
    <row r="37" spans="3:4" ht="18.75">
      <c r="C37" s="47"/>
    </row>
    <row r="39" spans="3:4">
      <c r="C39" s="48"/>
      <c r="D39" s="48"/>
    </row>
    <row r="40" spans="3:4">
      <c r="C40" s="48"/>
      <c r="D40" s="48"/>
    </row>
    <row r="41" spans="3:4">
      <c r="C41" s="48"/>
      <c r="D41" s="48"/>
    </row>
    <row r="42" spans="3:4">
      <c r="C42" s="48"/>
      <c r="D42" s="48"/>
    </row>
    <row r="43" spans="3:4">
      <c r="C43" s="48"/>
      <c r="D43" s="48"/>
    </row>
    <row r="44" spans="3:4">
      <c r="C44" s="48"/>
      <c r="D44" s="48"/>
    </row>
    <row r="45" spans="3:4">
      <c r="C45" s="48"/>
      <c r="D45" s="48"/>
    </row>
    <row r="46" spans="3:4">
      <c r="C46" s="48"/>
      <c r="D46" s="48"/>
    </row>
    <row r="47" spans="3:4">
      <c r="C47" s="48"/>
      <c r="D47" s="48"/>
    </row>
    <row r="48" spans="3:4">
      <c r="C48" s="48"/>
      <c r="D48" s="48"/>
    </row>
  </sheetData>
  <mergeCells count="10">
    <mergeCell ref="D14:F14"/>
    <mergeCell ref="D15:F15"/>
    <mergeCell ref="D16:F16"/>
    <mergeCell ref="C18:F18"/>
    <mergeCell ref="B2:C2"/>
    <mergeCell ref="D7:F7"/>
    <mergeCell ref="D8:F8"/>
    <mergeCell ref="D9:F9"/>
    <mergeCell ref="C11:F11"/>
    <mergeCell ref="C4:L4"/>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B1:P23"/>
  <sheetViews>
    <sheetView workbookViewId="0">
      <selection activeCell="O14" sqref="O14"/>
    </sheetView>
  </sheetViews>
  <sheetFormatPr defaultRowHeight="15.75"/>
  <cols>
    <col min="1" max="2" width="9.140625" style="51"/>
    <col min="3" max="3" width="29.140625" style="51" bestFit="1" customWidth="1"/>
    <col min="4" max="4" width="13.85546875" style="51" customWidth="1"/>
    <col min="5" max="5" width="17" style="51" customWidth="1"/>
    <col min="6" max="6" width="15.140625" style="51" customWidth="1"/>
    <col min="7" max="16384" width="9.140625" style="51"/>
  </cols>
  <sheetData>
    <row r="1" spans="2:16" ht="22.5">
      <c r="B1" s="49"/>
      <c r="C1" s="50" t="s">
        <v>53</v>
      </c>
      <c r="D1" s="50"/>
      <c r="F1" s="49"/>
    </row>
    <row r="2" spans="2:16">
      <c r="B2" s="52"/>
      <c r="C2" s="52"/>
      <c r="D2" s="52"/>
      <c r="E2" s="52"/>
      <c r="F2" s="52"/>
    </row>
    <row r="3" spans="2:16">
      <c r="B3" s="52"/>
      <c r="C3" s="290" t="s">
        <v>54</v>
      </c>
      <c r="D3" s="291"/>
      <c r="E3" s="291"/>
      <c r="F3" s="291"/>
    </row>
    <row r="4" spans="2:16">
      <c r="B4" s="52"/>
      <c r="C4" s="45" t="s">
        <v>14</v>
      </c>
      <c r="D4" s="37">
        <v>2011</v>
      </c>
      <c r="E4" s="37">
        <v>2012</v>
      </c>
      <c r="F4" s="37">
        <v>2013</v>
      </c>
      <c r="G4" s="37">
        <v>2014</v>
      </c>
      <c r="H4" s="37">
        <v>2015</v>
      </c>
      <c r="I4" s="37">
        <v>2016</v>
      </c>
      <c r="J4" s="37">
        <v>2017</v>
      </c>
      <c r="K4" s="37">
        <v>2018</v>
      </c>
      <c r="L4" s="37">
        <v>2019</v>
      </c>
      <c r="M4" s="37"/>
      <c r="N4" s="37"/>
      <c r="O4" s="37"/>
      <c r="P4" s="37"/>
    </row>
    <row r="5" spans="2:16">
      <c r="B5" s="52"/>
      <c r="C5" s="54" t="s">
        <v>3</v>
      </c>
      <c r="D5" s="46">
        <f>'Business risk'!D20</f>
        <v>189.8</v>
      </c>
      <c r="E5" s="46">
        <f>'Business risk'!E20</f>
        <v>221.8</v>
      </c>
      <c r="F5" s="46">
        <f>'Business risk'!F20</f>
        <v>184.8</v>
      </c>
      <c r="G5" s="46">
        <f>'Business risk'!G20</f>
        <v>164.1</v>
      </c>
      <c r="H5" s="46">
        <f>'Business risk'!H20</f>
        <v>282.5</v>
      </c>
      <c r="I5" s="46">
        <f>'Business risk'!I20</f>
        <v>333</v>
      </c>
      <c r="J5" s="46">
        <f>'Business risk'!J20</f>
        <v>387.59999999999997</v>
      </c>
      <c r="K5" s="46">
        <f>'Business risk'!K20</f>
        <v>479.11999999999989</v>
      </c>
      <c r="L5" s="46">
        <f>'Business risk'!L20</f>
        <v>580.94399999999985</v>
      </c>
    </row>
    <row r="6" spans="2:16">
      <c r="B6" s="52"/>
      <c r="C6" s="54" t="s">
        <v>55</v>
      </c>
      <c r="D6" s="56">
        <v>0</v>
      </c>
      <c r="E6" s="56">
        <v>0</v>
      </c>
      <c r="F6" s="56">
        <v>0</v>
      </c>
      <c r="G6" s="56">
        <v>0</v>
      </c>
      <c r="H6" s="56">
        <v>0</v>
      </c>
      <c r="I6" s="56">
        <f>'Income statement'!I13</f>
        <v>0.65</v>
      </c>
      <c r="J6" s="56">
        <f>'Income statement'!J13</f>
        <v>1.4000000000000001</v>
      </c>
      <c r="K6" s="56">
        <f>'Income statement'!K13</f>
        <v>2.25</v>
      </c>
      <c r="L6" s="200">
        <f>'Income statement'!L13</f>
        <v>2.95</v>
      </c>
      <c r="M6" s="201"/>
    </row>
    <row r="7" spans="2:16">
      <c r="B7" s="52"/>
      <c r="C7" s="54" t="s">
        <v>56</v>
      </c>
      <c r="D7" s="57"/>
      <c r="E7" s="57"/>
      <c r="F7" s="57"/>
      <c r="G7" s="57"/>
      <c r="H7" s="57"/>
      <c r="I7" s="57">
        <f t="shared" ref="I7:L7" si="0">I5/(I5-I6)</f>
        <v>1.0019557695200842</v>
      </c>
      <c r="J7" s="57">
        <f t="shared" si="0"/>
        <v>1.0036250647332987</v>
      </c>
      <c r="K7" s="57">
        <f t="shared" si="0"/>
        <v>1.004718267032944</v>
      </c>
      <c r="L7" s="57">
        <f t="shared" si="0"/>
        <v>1.0051038592096113</v>
      </c>
    </row>
    <row r="8" spans="2:16">
      <c r="B8" s="52"/>
      <c r="C8" s="52"/>
      <c r="D8" s="52"/>
      <c r="E8" s="52"/>
      <c r="F8" s="52"/>
    </row>
    <row r="9" spans="2:16">
      <c r="B9" s="52"/>
      <c r="C9" s="52"/>
      <c r="D9" s="52"/>
      <c r="E9" s="52"/>
      <c r="F9" s="52"/>
    </row>
    <row r="10" spans="2:16">
      <c r="B10" s="52"/>
      <c r="C10" s="52"/>
      <c r="D10" s="58">
        <f>D4</f>
        <v>2011</v>
      </c>
      <c r="E10" s="58">
        <f t="shared" ref="E10:L10" si="1">E4</f>
        <v>2012</v>
      </c>
      <c r="F10" s="58">
        <f t="shared" si="1"/>
        <v>2013</v>
      </c>
      <c r="G10" s="58">
        <f t="shared" si="1"/>
        <v>2014</v>
      </c>
      <c r="H10" s="58">
        <f t="shared" si="1"/>
        <v>2015</v>
      </c>
      <c r="I10" s="58">
        <f t="shared" si="1"/>
        <v>2016</v>
      </c>
      <c r="J10" s="58">
        <f t="shared" si="1"/>
        <v>2017</v>
      </c>
      <c r="K10" s="58">
        <f t="shared" si="1"/>
        <v>2018</v>
      </c>
      <c r="L10" s="58">
        <f t="shared" si="1"/>
        <v>2019</v>
      </c>
    </row>
    <row r="11" spans="2:16">
      <c r="B11" s="52"/>
      <c r="C11" s="52" t="s">
        <v>57</v>
      </c>
      <c r="D11" s="52"/>
      <c r="E11" s="52"/>
      <c r="F11" s="59"/>
      <c r="G11" s="59"/>
      <c r="H11" s="59"/>
      <c r="I11" s="59">
        <f t="shared" ref="I11:L11" si="2">I7</f>
        <v>1.0019557695200842</v>
      </c>
      <c r="J11" s="59">
        <f t="shared" si="2"/>
        <v>1.0036250647332987</v>
      </c>
      <c r="K11" s="59">
        <f t="shared" si="2"/>
        <v>1.004718267032944</v>
      </c>
      <c r="L11" s="59">
        <f t="shared" si="2"/>
        <v>1.0051038592096113</v>
      </c>
    </row>
    <row r="12" spans="2:16">
      <c r="B12" s="52"/>
      <c r="C12" s="52"/>
      <c r="D12" s="52"/>
      <c r="E12" s="52"/>
      <c r="F12" s="52"/>
    </row>
    <row r="13" spans="2:16">
      <c r="B13" s="52"/>
      <c r="C13" s="292" t="s">
        <v>58</v>
      </c>
      <c r="D13" s="293"/>
      <c r="E13" s="293"/>
      <c r="F13" s="293"/>
    </row>
    <row r="14" spans="2:16">
      <c r="B14" s="52"/>
      <c r="C14" s="53" t="s">
        <v>47</v>
      </c>
      <c r="D14" s="60">
        <f>D4</f>
        <v>2011</v>
      </c>
      <c r="E14" s="60">
        <f t="shared" ref="E14:L16" si="3">E4</f>
        <v>2012</v>
      </c>
      <c r="F14" s="60">
        <f t="shared" si="3"/>
        <v>2013</v>
      </c>
      <c r="G14" s="60">
        <f t="shared" si="3"/>
        <v>2014</v>
      </c>
      <c r="H14" s="60">
        <f t="shared" si="3"/>
        <v>2015</v>
      </c>
      <c r="I14" s="60">
        <f t="shared" si="3"/>
        <v>2016</v>
      </c>
      <c r="J14" s="60">
        <f t="shared" si="3"/>
        <v>2017</v>
      </c>
      <c r="K14" s="60">
        <f t="shared" si="3"/>
        <v>2018</v>
      </c>
      <c r="L14" s="60">
        <f t="shared" si="3"/>
        <v>2019</v>
      </c>
    </row>
    <row r="15" spans="2:16">
      <c r="B15" s="52"/>
      <c r="C15" s="61" t="s">
        <v>3</v>
      </c>
      <c r="D15" s="55">
        <f>D5</f>
        <v>189.8</v>
      </c>
      <c r="E15" s="55">
        <f t="shared" ref="E15:L15" si="4">E5</f>
        <v>221.8</v>
      </c>
      <c r="F15" s="55">
        <f t="shared" si="4"/>
        <v>184.8</v>
      </c>
      <c r="G15" s="55">
        <f t="shared" si="4"/>
        <v>164.1</v>
      </c>
      <c r="H15" s="55">
        <f t="shared" si="4"/>
        <v>282.5</v>
      </c>
      <c r="I15" s="55">
        <f t="shared" si="4"/>
        <v>333</v>
      </c>
      <c r="J15" s="55">
        <f t="shared" si="4"/>
        <v>387.59999999999997</v>
      </c>
      <c r="K15" s="55">
        <f t="shared" si="4"/>
        <v>479.11999999999989</v>
      </c>
      <c r="L15" s="55">
        <f t="shared" si="4"/>
        <v>580.94399999999985</v>
      </c>
    </row>
    <row r="16" spans="2:16">
      <c r="B16" s="52"/>
      <c r="C16" s="61" t="s">
        <v>55</v>
      </c>
      <c r="D16" s="62">
        <f>D6</f>
        <v>0</v>
      </c>
      <c r="E16" s="62">
        <f t="shared" si="3"/>
        <v>0</v>
      </c>
      <c r="F16" s="62">
        <f t="shared" si="3"/>
        <v>0</v>
      </c>
      <c r="G16" s="62">
        <f t="shared" si="3"/>
        <v>0</v>
      </c>
      <c r="H16" s="62">
        <f t="shared" si="3"/>
        <v>0</v>
      </c>
      <c r="I16" s="62">
        <f t="shared" si="3"/>
        <v>0.65</v>
      </c>
      <c r="J16" s="62">
        <f t="shared" si="3"/>
        <v>1.4000000000000001</v>
      </c>
      <c r="K16" s="62">
        <f t="shared" si="3"/>
        <v>2.25</v>
      </c>
      <c r="L16" s="62">
        <f t="shared" si="3"/>
        <v>2.95</v>
      </c>
    </row>
    <row r="17" spans="2:12">
      <c r="B17" s="52"/>
      <c r="C17" s="61" t="s">
        <v>59</v>
      </c>
      <c r="D17" s="63"/>
      <c r="E17" s="63"/>
      <c r="F17" s="63"/>
      <c r="G17" s="63"/>
      <c r="H17" s="63"/>
      <c r="I17" s="63">
        <f t="shared" ref="I17:L17" si="5">I15/I16</f>
        <v>512.30769230769226</v>
      </c>
      <c r="J17" s="63">
        <f t="shared" si="5"/>
        <v>276.85714285714283</v>
      </c>
      <c r="K17" s="63">
        <f t="shared" si="5"/>
        <v>212.94222222222217</v>
      </c>
      <c r="L17" s="63">
        <f t="shared" si="5"/>
        <v>196.93016949152536</v>
      </c>
    </row>
    <row r="18" spans="2:12">
      <c r="B18" s="52"/>
      <c r="C18" s="52"/>
      <c r="D18" s="52"/>
      <c r="E18" s="52"/>
      <c r="F18" s="52"/>
    </row>
    <row r="19" spans="2:12">
      <c r="B19" s="52"/>
      <c r="C19" s="52"/>
      <c r="D19" s="52"/>
      <c r="E19" s="52"/>
      <c r="F19" s="52"/>
    </row>
    <row r="20" spans="2:12">
      <c r="B20" s="52"/>
      <c r="C20" s="52"/>
      <c r="D20" s="52"/>
      <c r="E20" s="52"/>
      <c r="F20" s="52"/>
    </row>
    <row r="21" spans="2:12">
      <c r="B21" s="52"/>
      <c r="C21" s="52"/>
      <c r="D21" s="52"/>
      <c r="E21" s="52"/>
      <c r="F21" s="52"/>
    </row>
    <row r="22" spans="2:12">
      <c r="B22" s="52"/>
      <c r="C22" s="52"/>
      <c r="D22" s="58">
        <f>D14</f>
        <v>2011</v>
      </c>
      <c r="E22" s="58">
        <f t="shared" ref="E22:L22" si="6">E14</f>
        <v>2012</v>
      </c>
      <c r="F22" s="58">
        <f t="shared" si="6"/>
        <v>2013</v>
      </c>
      <c r="G22" s="58">
        <f t="shared" si="6"/>
        <v>2014</v>
      </c>
      <c r="H22" s="58">
        <f t="shared" si="6"/>
        <v>2015</v>
      </c>
      <c r="I22" s="58">
        <f t="shared" si="6"/>
        <v>2016</v>
      </c>
      <c r="J22" s="58">
        <f t="shared" si="6"/>
        <v>2017</v>
      </c>
      <c r="K22" s="58">
        <f t="shared" si="6"/>
        <v>2018</v>
      </c>
      <c r="L22" s="58">
        <f t="shared" si="6"/>
        <v>2019</v>
      </c>
    </row>
    <row r="23" spans="2:12">
      <c r="B23" s="52"/>
      <c r="C23" s="52" t="s">
        <v>58</v>
      </c>
      <c r="D23" s="52"/>
      <c r="E23" s="52"/>
      <c r="F23" s="52"/>
      <c r="G23" s="52"/>
      <c r="H23" s="52"/>
      <c r="I23" s="52">
        <f t="shared" ref="I23:L23" si="7">I17</f>
        <v>512.30769230769226</v>
      </c>
      <c r="J23" s="52">
        <f t="shared" si="7"/>
        <v>276.85714285714283</v>
      </c>
      <c r="K23" s="52">
        <f t="shared" si="7"/>
        <v>212.94222222222217</v>
      </c>
      <c r="L23" s="52">
        <f t="shared" si="7"/>
        <v>196.93016949152536</v>
      </c>
    </row>
  </sheetData>
  <mergeCells count="2">
    <mergeCell ref="C3:F3"/>
    <mergeCell ref="C13:F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1"/>
  <sheetViews>
    <sheetView workbookViewId="0"/>
  </sheetViews>
  <sheetFormatPr defaultRowHeight="15"/>
  <cols>
    <col min="1" max="5" width="36.7109375" customWidth="1"/>
  </cols>
  <sheetData>
    <row r="1" spans="1:5">
      <c r="A1" s="5" t="s">
        <v>20</v>
      </c>
    </row>
    <row r="3" spans="1:5">
      <c r="A3" t="s">
        <v>21</v>
      </c>
      <c r="B3" t="s">
        <v>22</v>
      </c>
      <c r="C3">
        <v>0</v>
      </c>
    </row>
    <row r="4" spans="1:5">
      <c r="A4" t="s">
        <v>23</v>
      </c>
    </row>
    <row r="5" spans="1:5">
      <c r="A5" t="s">
        <v>24</v>
      </c>
    </row>
    <row r="7" spans="1:5">
      <c r="A7" s="5" t="s">
        <v>25</v>
      </c>
      <c r="B7" t="s">
        <v>26</v>
      </c>
    </row>
    <row r="8" spans="1:5">
      <c r="B8">
        <v>5</v>
      </c>
    </row>
    <row r="10" spans="1:5">
      <c r="A10" t="s">
        <v>27</v>
      </c>
    </row>
    <row r="11" spans="1:5">
      <c r="A11" t="e">
        <f>CB_DATA_!#REF!</f>
        <v>#REF!</v>
      </c>
      <c r="B11" t="e">
        <f>'Valuation Bond'!#REF!</f>
        <v>#REF!</v>
      </c>
      <c r="C11" t="e">
        <f>'Valuation Bank loan'!#REF!</f>
        <v>#REF!</v>
      </c>
      <c r="D11" t="e">
        <f>'Buyback valuation'!#REF!</f>
        <v>#REF!</v>
      </c>
      <c r="E11" t="e">
        <f>'Convertible valuation'!#REF!</f>
        <v>#REF!</v>
      </c>
    </row>
    <row r="13" spans="1:5">
      <c r="A13" t="s">
        <v>28</v>
      </c>
    </row>
    <row r="14" spans="1:5">
      <c r="A14" t="s">
        <v>32</v>
      </c>
      <c r="B14" t="s">
        <v>36</v>
      </c>
      <c r="C14" t="s">
        <v>286</v>
      </c>
      <c r="D14" t="s">
        <v>287</v>
      </c>
      <c r="E14" t="s">
        <v>289</v>
      </c>
    </row>
    <row r="16" spans="1:5">
      <c r="A16" t="s">
        <v>29</v>
      </c>
    </row>
    <row r="19" spans="1:5">
      <c r="A19" t="s">
        <v>30</v>
      </c>
    </row>
    <row r="20" spans="1:5">
      <c r="A20">
        <v>31</v>
      </c>
      <c r="B20">
        <v>26</v>
      </c>
      <c r="C20">
        <v>26</v>
      </c>
      <c r="D20">
        <v>26</v>
      </c>
      <c r="E20">
        <v>31</v>
      </c>
    </row>
    <row r="25" spans="1:5">
      <c r="A25" s="5" t="s">
        <v>31</v>
      </c>
    </row>
    <row r="26" spans="1:5">
      <c r="A26" s="41" t="s">
        <v>33</v>
      </c>
      <c r="E26" s="41" t="s">
        <v>37</v>
      </c>
    </row>
    <row r="27" spans="1:5">
      <c r="A27" t="s">
        <v>34</v>
      </c>
      <c r="E27" t="s">
        <v>292</v>
      </c>
    </row>
    <row r="28" spans="1:5">
      <c r="A28" s="41" t="s">
        <v>35</v>
      </c>
      <c r="E28" s="41" t="s">
        <v>35</v>
      </c>
    </row>
    <row r="29" spans="1:5">
      <c r="A29" s="41" t="s">
        <v>37</v>
      </c>
      <c r="E29" s="41" t="s">
        <v>33</v>
      </c>
    </row>
    <row r="30" spans="1:5">
      <c r="A30" t="s">
        <v>291</v>
      </c>
      <c r="E30" t="s">
        <v>290</v>
      </c>
    </row>
    <row r="31" spans="1:5">
      <c r="A31" s="41" t="s">
        <v>35</v>
      </c>
      <c r="E31" s="41" t="s">
        <v>35</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dimension ref="B3:P33"/>
  <sheetViews>
    <sheetView workbookViewId="0">
      <selection activeCell="F18" sqref="F18"/>
    </sheetView>
  </sheetViews>
  <sheetFormatPr defaultRowHeight="15"/>
  <cols>
    <col min="2" max="2" width="24.140625" bestFit="1" customWidth="1"/>
    <col min="10" max="10" width="24.140625" bestFit="1" customWidth="1"/>
  </cols>
  <sheetData>
    <row r="3" spans="2:16">
      <c r="B3" s="219" t="s">
        <v>256</v>
      </c>
      <c r="C3" s="5">
        <v>2014</v>
      </c>
      <c r="D3">
        <v>2015</v>
      </c>
      <c r="E3" s="5">
        <v>2016</v>
      </c>
      <c r="F3">
        <v>2017</v>
      </c>
      <c r="G3" s="5">
        <v>2018</v>
      </c>
      <c r="H3">
        <v>2019</v>
      </c>
      <c r="J3" s="220" t="s">
        <v>278</v>
      </c>
      <c r="K3" s="5">
        <v>2014</v>
      </c>
      <c r="L3">
        <v>2015</v>
      </c>
      <c r="M3" s="5">
        <v>2016</v>
      </c>
      <c r="N3">
        <v>2017</v>
      </c>
      <c r="O3" s="5">
        <v>2018</v>
      </c>
      <c r="P3">
        <v>2019</v>
      </c>
    </row>
    <row r="4" spans="2:16">
      <c r="B4" t="s">
        <v>245</v>
      </c>
      <c r="C4">
        <v>5.0000000000000001E-3</v>
      </c>
      <c r="D4">
        <v>5.0000000000000001E-3</v>
      </c>
      <c r="E4">
        <v>5.0000000000000001E-3</v>
      </c>
      <c r="F4">
        <v>5.0000000000000001E-3</v>
      </c>
      <c r="G4">
        <v>5.0000000000000001E-3</v>
      </c>
      <c r="H4">
        <v>5.0000000000000001E-3</v>
      </c>
      <c r="J4" t="s">
        <v>245</v>
      </c>
      <c r="K4">
        <v>5.0000000000000001E-3</v>
      </c>
      <c r="L4">
        <v>5.0000000000000001E-3</v>
      </c>
      <c r="M4">
        <v>5.0000000000000001E-3</v>
      </c>
      <c r="N4">
        <v>5.0000000000000001E-3</v>
      </c>
      <c r="O4">
        <v>5.0000000000000001E-3</v>
      </c>
      <c r="P4">
        <v>5.0000000000000001E-3</v>
      </c>
    </row>
    <row r="5" spans="2:16">
      <c r="B5" t="s">
        <v>246</v>
      </c>
      <c r="C5">
        <v>0.02</v>
      </c>
      <c r="D5">
        <v>0.02</v>
      </c>
      <c r="E5">
        <v>0.02</v>
      </c>
      <c r="F5">
        <v>0.02</v>
      </c>
      <c r="G5">
        <v>0.02</v>
      </c>
      <c r="H5">
        <v>0.02</v>
      </c>
      <c r="J5" t="s">
        <v>246</v>
      </c>
      <c r="K5">
        <v>0.02</v>
      </c>
      <c r="L5">
        <v>0.02</v>
      </c>
      <c r="M5">
        <v>0.02</v>
      </c>
      <c r="N5">
        <v>0.02</v>
      </c>
      <c r="O5">
        <v>0.02</v>
      </c>
      <c r="P5">
        <v>0.02</v>
      </c>
    </row>
    <row r="6" spans="2:16">
      <c r="B6" t="s">
        <v>247</v>
      </c>
      <c r="C6">
        <v>1.2</v>
      </c>
      <c r="D6">
        <v>1.2</v>
      </c>
      <c r="E6">
        <v>1.2</v>
      </c>
      <c r="F6">
        <v>1.2</v>
      </c>
      <c r="G6">
        <v>1.2</v>
      </c>
      <c r="H6">
        <v>1.2</v>
      </c>
      <c r="J6" t="s">
        <v>247</v>
      </c>
      <c r="K6">
        <v>1.2</v>
      </c>
      <c r="L6">
        <v>1.2</v>
      </c>
      <c r="M6">
        <v>1.2</v>
      </c>
      <c r="N6">
        <v>1.2</v>
      </c>
      <c r="O6">
        <v>1.2</v>
      </c>
      <c r="P6">
        <v>1.2</v>
      </c>
    </row>
    <row r="7" spans="2:16">
      <c r="B7" t="s">
        <v>248</v>
      </c>
      <c r="C7">
        <f>C4+(C5-C4)*C6</f>
        <v>2.3E-2</v>
      </c>
      <c r="D7">
        <f t="shared" ref="D7:H7" si="0">D4+(D5-D4)*D6</f>
        <v>2.3E-2</v>
      </c>
      <c r="E7">
        <f t="shared" si="0"/>
        <v>2.3E-2</v>
      </c>
      <c r="F7">
        <f t="shared" si="0"/>
        <v>2.3E-2</v>
      </c>
      <c r="G7">
        <f t="shared" si="0"/>
        <v>2.3E-2</v>
      </c>
      <c r="H7">
        <f t="shared" si="0"/>
        <v>2.3E-2</v>
      </c>
      <c r="J7" t="s">
        <v>248</v>
      </c>
      <c r="K7">
        <f>K4+(K5-K4)*K6</f>
        <v>2.3E-2</v>
      </c>
      <c r="L7">
        <f t="shared" ref="L7:P7" si="1">L4+(L5-L4)*L6</f>
        <v>2.3E-2</v>
      </c>
      <c r="M7">
        <f t="shared" si="1"/>
        <v>2.3E-2</v>
      </c>
      <c r="N7">
        <f t="shared" si="1"/>
        <v>2.3E-2</v>
      </c>
      <c r="O7">
        <f t="shared" si="1"/>
        <v>2.3E-2</v>
      </c>
      <c r="P7">
        <f t="shared" si="1"/>
        <v>2.3E-2</v>
      </c>
    </row>
    <row r="8" spans="2:16">
      <c r="B8" t="s">
        <v>249</v>
      </c>
      <c r="C8">
        <v>1.2E-2</v>
      </c>
      <c r="D8">
        <v>1.2E-2</v>
      </c>
      <c r="E8">
        <v>1.2E-2</v>
      </c>
      <c r="F8">
        <v>1.2E-2</v>
      </c>
      <c r="G8">
        <v>1.2E-2</v>
      </c>
      <c r="H8">
        <v>1.2E-2</v>
      </c>
      <c r="J8" t="s">
        <v>249</v>
      </c>
      <c r="K8">
        <v>0.01</v>
      </c>
      <c r="L8">
        <v>0.01</v>
      </c>
      <c r="M8">
        <v>0.01</v>
      </c>
      <c r="N8">
        <v>0.01</v>
      </c>
      <c r="O8">
        <v>0.01</v>
      </c>
      <c r="P8">
        <v>0.01</v>
      </c>
    </row>
    <row r="9" spans="2:16">
      <c r="B9" t="s">
        <v>250</v>
      </c>
      <c r="C9">
        <f>C8*(1-C15)</f>
        <v>8.3999999999999995E-3</v>
      </c>
      <c r="D9">
        <f t="shared" ref="D9:H9" si="2">D8*(1-D15)</f>
        <v>8.3999999999999995E-3</v>
      </c>
      <c r="E9">
        <f t="shared" si="2"/>
        <v>8.3999999999999995E-3</v>
      </c>
      <c r="F9">
        <f t="shared" si="2"/>
        <v>8.3999999999999995E-3</v>
      </c>
      <c r="G9">
        <f t="shared" si="2"/>
        <v>8.3999999999999995E-3</v>
      </c>
      <c r="H9">
        <f t="shared" si="2"/>
        <v>8.3999999999999995E-3</v>
      </c>
      <c r="J9" t="s">
        <v>250</v>
      </c>
      <c r="K9">
        <f>K8*(1-K15)</f>
        <v>6.9999999999999993E-3</v>
      </c>
      <c r="L9">
        <f t="shared" ref="L9:P9" si="3">L8*(1-L15)</f>
        <v>6.9999999999999993E-3</v>
      </c>
      <c r="M9">
        <f t="shared" si="3"/>
        <v>6.9999999999999993E-3</v>
      </c>
      <c r="N9">
        <f t="shared" si="3"/>
        <v>6.9999999999999993E-3</v>
      </c>
      <c r="O9">
        <f t="shared" si="3"/>
        <v>6.9999999999999993E-3</v>
      </c>
      <c r="P9">
        <f t="shared" si="3"/>
        <v>6.9999999999999993E-3</v>
      </c>
    </row>
    <row r="10" spans="2:16">
      <c r="B10" t="s">
        <v>251</v>
      </c>
      <c r="C10">
        <f>C12/C14</f>
        <v>0</v>
      </c>
      <c r="D10">
        <f t="shared" ref="D10:H10" si="4">D12/D14</f>
        <v>0</v>
      </c>
      <c r="E10">
        <f t="shared" si="4"/>
        <v>8.4806022532307845E-2</v>
      </c>
      <c r="F10">
        <f t="shared" si="4"/>
        <v>0.16017284938632348</v>
      </c>
      <c r="G10">
        <f t="shared" si="4"/>
        <v>0.22494423632381533</v>
      </c>
      <c r="H10">
        <f t="shared" si="4"/>
        <v>0.26330740448626549</v>
      </c>
      <c r="J10" t="s">
        <v>251</v>
      </c>
      <c r="K10">
        <f>K12/K14</f>
        <v>0.5</v>
      </c>
      <c r="L10">
        <f t="shared" ref="L10:P10" si="5">L12/L14</f>
        <v>0.5</v>
      </c>
      <c r="M10">
        <f t="shared" si="5"/>
        <v>0.47785967804565677</v>
      </c>
      <c r="N10">
        <f t="shared" si="5"/>
        <v>0.45647068004923785</v>
      </c>
      <c r="O10">
        <f t="shared" si="5"/>
        <v>0.43663741699642433</v>
      </c>
      <c r="P10">
        <f t="shared" si="5"/>
        <v>0.42419285797427608</v>
      </c>
    </row>
    <row r="11" spans="2:16">
      <c r="B11" t="s">
        <v>252</v>
      </c>
      <c r="C11">
        <f>C13/C14</f>
        <v>1</v>
      </c>
      <c r="D11">
        <f t="shared" ref="D11:H11" si="6">D13/D14</f>
        <v>1</v>
      </c>
      <c r="E11">
        <f t="shared" si="6"/>
        <v>0.91519397746769215</v>
      </c>
      <c r="F11">
        <f t="shared" si="6"/>
        <v>0.83982715061367652</v>
      </c>
      <c r="G11">
        <f t="shared" si="6"/>
        <v>0.77505576367618467</v>
      </c>
      <c r="H11">
        <f t="shared" si="6"/>
        <v>0.73669259551373456</v>
      </c>
      <c r="J11" t="s">
        <v>252</v>
      </c>
      <c r="K11">
        <f>K13/K14</f>
        <v>0.5</v>
      </c>
      <c r="L11">
        <f t="shared" ref="L11:P11" si="7">L13/L14</f>
        <v>0.5</v>
      </c>
      <c r="M11">
        <f t="shared" si="7"/>
        <v>0.52214032195434323</v>
      </c>
      <c r="N11">
        <f t="shared" si="7"/>
        <v>0.54352931995076215</v>
      </c>
      <c r="O11">
        <f t="shared" si="7"/>
        <v>0.56336258300357567</v>
      </c>
      <c r="P11">
        <f t="shared" si="7"/>
        <v>0.57580714202572392</v>
      </c>
    </row>
    <row r="12" spans="2:16">
      <c r="B12" t="s">
        <v>72</v>
      </c>
      <c r="C12">
        <v>0</v>
      </c>
      <c r="D12">
        <v>0</v>
      </c>
      <c r="E12" s="98">
        <f>'Balance sheet'!H24</f>
        <v>130</v>
      </c>
      <c r="F12" s="98">
        <f>'Balance sheet'!I24</f>
        <v>280</v>
      </c>
      <c r="G12" s="98">
        <f>'Balance sheet'!J24</f>
        <v>450</v>
      </c>
      <c r="H12" s="98">
        <f>'Balance sheet'!K24</f>
        <v>590</v>
      </c>
      <c r="J12" t="s">
        <v>72</v>
      </c>
      <c r="K12">
        <v>1199.9000000000001</v>
      </c>
      <c r="L12">
        <v>1344.5</v>
      </c>
      <c r="M12" s="98">
        <v>1402.9099999999999</v>
      </c>
      <c r="N12" s="98">
        <v>1468.1115</v>
      </c>
      <c r="O12" s="98">
        <v>1550.4957999999999</v>
      </c>
      <c r="P12" s="98">
        <v>1650.72696</v>
      </c>
    </row>
    <row r="13" spans="2:16">
      <c r="B13" t="s">
        <v>175</v>
      </c>
      <c r="C13" s="194">
        <f>'Balance sheet'!F28</f>
        <v>1199.9000000000001</v>
      </c>
      <c r="D13" s="194">
        <f>'Balance sheet'!G28</f>
        <v>1344.5</v>
      </c>
      <c r="E13" s="194">
        <f>'Balance sheet'!H28</f>
        <v>1402.9099999999999</v>
      </c>
      <c r="F13" s="194">
        <f>'Balance sheet'!I28</f>
        <v>1468.1115</v>
      </c>
      <c r="G13" s="194">
        <f>'Balance sheet'!J28</f>
        <v>1550.4957999999999</v>
      </c>
      <c r="H13" s="194">
        <f>'Balance sheet'!K28</f>
        <v>1650.72696</v>
      </c>
      <c r="J13" t="s">
        <v>175</v>
      </c>
      <c r="K13" s="194">
        <v>1199.9000000000001</v>
      </c>
      <c r="L13" s="194">
        <v>1344.5</v>
      </c>
      <c r="M13" s="194">
        <v>1532.9099999999999</v>
      </c>
      <c r="N13" s="194">
        <v>1748.1115</v>
      </c>
      <c r="O13" s="194">
        <v>2000.4957999999999</v>
      </c>
      <c r="P13" s="194">
        <v>2240.72696</v>
      </c>
    </row>
    <row r="14" spans="2:16">
      <c r="B14" t="s">
        <v>253</v>
      </c>
      <c r="C14">
        <f>C13+C12</f>
        <v>1199.9000000000001</v>
      </c>
      <c r="D14">
        <f t="shared" ref="D14:H14" si="8">D13+D12</f>
        <v>1344.5</v>
      </c>
      <c r="E14">
        <f t="shared" si="8"/>
        <v>1532.9099999999999</v>
      </c>
      <c r="F14">
        <f t="shared" si="8"/>
        <v>1748.1115</v>
      </c>
      <c r="G14">
        <f t="shared" si="8"/>
        <v>2000.4957999999999</v>
      </c>
      <c r="H14">
        <f t="shared" si="8"/>
        <v>2240.72696</v>
      </c>
      <c r="J14" t="s">
        <v>253</v>
      </c>
      <c r="K14">
        <f>K13+K12</f>
        <v>2399.8000000000002</v>
      </c>
      <c r="L14">
        <f t="shared" ref="L14:P14" si="9">L13+L12</f>
        <v>2689</v>
      </c>
      <c r="M14">
        <f t="shared" si="9"/>
        <v>2935.8199999999997</v>
      </c>
      <c r="N14">
        <f t="shared" si="9"/>
        <v>3216.223</v>
      </c>
      <c r="O14">
        <f t="shared" si="9"/>
        <v>3550.9915999999998</v>
      </c>
      <c r="P14">
        <f t="shared" si="9"/>
        <v>3891.4539199999999</v>
      </c>
    </row>
    <row r="15" spans="2:16">
      <c r="B15" t="s">
        <v>254</v>
      </c>
      <c r="C15">
        <v>0.3</v>
      </c>
      <c r="D15">
        <v>0.3</v>
      </c>
      <c r="E15">
        <v>0.3</v>
      </c>
      <c r="F15">
        <v>0.3</v>
      </c>
      <c r="G15">
        <v>0.3</v>
      </c>
      <c r="H15">
        <v>0.3</v>
      </c>
      <c r="J15" t="s">
        <v>254</v>
      </c>
      <c r="K15">
        <v>0.3</v>
      </c>
      <c r="L15">
        <v>0.3</v>
      </c>
      <c r="M15">
        <v>0.3</v>
      </c>
      <c r="N15">
        <v>0.3</v>
      </c>
      <c r="O15">
        <v>0.3</v>
      </c>
      <c r="P15">
        <v>0.3</v>
      </c>
    </row>
    <row r="16" spans="2:16">
      <c r="B16" t="s">
        <v>255</v>
      </c>
      <c r="C16">
        <f>(C10*C9+C11*C7)</f>
        <v>2.3E-2</v>
      </c>
      <c r="D16">
        <f t="shared" ref="D16:H16" si="10">(D10*D9+D11*D7)</f>
        <v>2.3E-2</v>
      </c>
      <c r="E16">
        <f t="shared" si="10"/>
        <v>2.1761832071028303E-2</v>
      </c>
      <c r="F16">
        <f t="shared" si="10"/>
        <v>2.0661476398959676E-2</v>
      </c>
      <c r="G16">
        <f t="shared" si="10"/>
        <v>1.9715814149672297E-2</v>
      </c>
      <c r="H16">
        <f t="shared" si="10"/>
        <v>1.9155711894500525E-2</v>
      </c>
      <c r="J16" t="s">
        <v>255</v>
      </c>
      <c r="K16">
        <f>(K10*K9+K11*K7)</f>
        <v>1.4999999999999999E-2</v>
      </c>
      <c r="L16">
        <f t="shared" ref="L16:P16" si="11">(L10*L9+L11*L7)</f>
        <v>1.4999999999999999E-2</v>
      </c>
      <c r="M16">
        <f t="shared" si="11"/>
        <v>1.5354245151269491E-2</v>
      </c>
      <c r="N16">
        <f t="shared" si="11"/>
        <v>1.5696469119212193E-2</v>
      </c>
      <c r="O16">
        <f t="shared" si="11"/>
        <v>1.6013801328057211E-2</v>
      </c>
      <c r="P16">
        <f t="shared" si="11"/>
        <v>1.6212914272411581E-2</v>
      </c>
    </row>
    <row r="18" spans="2:14">
      <c r="F18">
        <f>AVERAGE(C16:H16)+0.01</f>
        <v>3.1215805752360132E-2</v>
      </c>
      <c r="N18">
        <f>AVERAGE(K16:P16)+0.01</f>
        <v>2.5546238311825079E-2</v>
      </c>
    </row>
    <row r="23" spans="2:14">
      <c r="B23" s="254"/>
      <c r="C23" s="5"/>
      <c r="E23" s="5"/>
      <c r="G23" s="5"/>
    </row>
    <row r="33" spans="3:8">
      <c r="C33" s="194"/>
      <c r="D33" s="194"/>
      <c r="E33" s="194"/>
      <c r="F33" s="194"/>
      <c r="G33" s="194"/>
      <c r="H33" s="19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86"/>
  <sheetViews>
    <sheetView topLeftCell="A22" workbookViewId="0">
      <selection activeCell="A28" sqref="A28:B33"/>
    </sheetView>
  </sheetViews>
  <sheetFormatPr defaultRowHeight="15"/>
  <cols>
    <col min="1" max="1" width="34.7109375" bestFit="1" customWidth="1"/>
    <col min="2" max="2" width="22.5703125" bestFit="1" customWidth="1"/>
    <col min="5" max="6" width="15.85546875" customWidth="1"/>
    <col min="7" max="7" width="17.140625" customWidth="1"/>
    <col min="8" max="8" width="15" customWidth="1"/>
    <col min="9" max="9" width="19" customWidth="1"/>
    <col min="10" max="10" width="13.28515625" customWidth="1"/>
    <col min="11" max="11" width="26.85546875" customWidth="1"/>
  </cols>
  <sheetData>
    <row r="1" spans="1:12">
      <c r="A1" s="28" t="s">
        <v>8</v>
      </c>
      <c r="B1" s="28">
        <v>2014</v>
      </c>
      <c r="D1" s="28"/>
      <c r="H1" s="28"/>
    </row>
    <row r="2" spans="1:12">
      <c r="A2" t="s">
        <v>9</v>
      </c>
      <c r="B2" s="42">
        <v>3.1199999999999999E-2</v>
      </c>
      <c r="C2" s="42"/>
      <c r="D2" s="42"/>
      <c r="E2" s="42"/>
      <c r="F2" s="42"/>
      <c r="G2" s="42"/>
    </row>
    <row r="3" spans="1:12">
      <c r="A3" t="s">
        <v>10</v>
      </c>
      <c r="B3" s="42">
        <v>7.5999999999999998E-2</v>
      </c>
    </row>
    <row r="4" spans="1:12">
      <c r="A4" t="s">
        <v>11</v>
      </c>
      <c r="B4" s="42">
        <v>0.3</v>
      </c>
    </row>
    <row r="5" spans="1:12">
      <c r="A5" t="s">
        <v>12</v>
      </c>
      <c r="B5" s="42">
        <v>0.5</v>
      </c>
    </row>
    <row r="6" spans="1:12">
      <c r="A6" t="s">
        <v>267</v>
      </c>
      <c r="B6" s="42">
        <v>0.2</v>
      </c>
      <c r="C6" s="31"/>
      <c r="D6" s="31"/>
      <c r="E6" s="31"/>
      <c r="F6" s="31"/>
      <c r="G6" s="31"/>
      <c r="H6" s="31"/>
    </row>
    <row r="7" spans="1:12">
      <c r="A7" t="s">
        <v>13</v>
      </c>
      <c r="B7" s="42">
        <v>0.2</v>
      </c>
    </row>
    <row r="8" spans="1:12">
      <c r="A8" t="s">
        <v>19</v>
      </c>
      <c r="B8" s="271">
        <v>0.03</v>
      </c>
    </row>
    <row r="10" spans="1:12" ht="15.75" thickBot="1">
      <c r="A10" s="16"/>
      <c r="B10" s="16"/>
      <c r="C10" s="294"/>
      <c r="D10" s="294"/>
      <c r="E10" s="294"/>
      <c r="F10" s="294"/>
      <c r="G10" s="294"/>
      <c r="H10" s="294"/>
      <c r="I10" s="294"/>
      <c r="J10" s="294"/>
      <c r="K10" s="4"/>
    </row>
    <row r="11" spans="1:12">
      <c r="A11" s="21" t="s">
        <v>14</v>
      </c>
      <c r="B11" s="295" t="s">
        <v>15</v>
      </c>
      <c r="C11" s="296"/>
      <c r="D11" s="296"/>
      <c r="E11" s="296"/>
      <c r="F11" s="296"/>
      <c r="G11" s="296"/>
      <c r="H11" s="296"/>
      <c r="I11" s="297"/>
      <c r="J11" s="33" t="s">
        <v>17</v>
      </c>
    </row>
    <row r="12" spans="1:12" ht="15.75" thickBot="1">
      <c r="A12" s="22"/>
      <c r="B12" s="23"/>
      <c r="C12" s="24"/>
      <c r="D12" s="24">
        <v>2015</v>
      </c>
      <c r="E12" s="24">
        <v>2016</v>
      </c>
      <c r="F12" s="24"/>
      <c r="G12" s="24">
        <v>2017</v>
      </c>
      <c r="H12" s="24">
        <v>2018</v>
      </c>
      <c r="I12" s="24">
        <v>2019</v>
      </c>
      <c r="J12" s="34"/>
    </row>
    <row r="13" spans="1:12">
      <c r="A13" s="1" t="s">
        <v>270</v>
      </c>
      <c r="B13" s="25"/>
      <c r="C13" s="7"/>
      <c r="D13" s="209">
        <v>204.42499999999998</v>
      </c>
      <c r="E13" s="209">
        <v>240.16499999999999</v>
      </c>
      <c r="F13" s="209" t="s">
        <v>270</v>
      </c>
      <c r="G13" s="210">
        <v>278.70499999999998</v>
      </c>
      <c r="H13" s="209">
        <v>343.01899999999989</v>
      </c>
      <c r="I13" s="209">
        <v>414.65079999999983</v>
      </c>
      <c r="J13" s="17"/>
      <c r="K13" s="2">
        <v>296.19295999999997</v>
      </c>
      <c r="L13">
        <v>83.802233575293073</v>
      </c>
    </row>
    <row r="14" spans="1:12" ht="24.75">
      <c r="A14" s="1" t="s">
        <v>271</v>
      </c>
      <c r="B14" s="25"/>
      <c r="C14" s="6"/>
      <c r="D14" s="209">
        <v>141</v>
      </c>
      <c r="E14" s="209">
        <v>169.20000000000002</v>
      </c>
      <c r="F14" s="1" t="s">
        <v>271</v>
      </c>
      <c r="G14" s="210">
        <v>203.04</v>
      </c>
      <c r="H14" s="210">
        <v>243.64799999999997</v>
      </c>
      <c r="I14" s="210">
        <v>292.37759999999997</v>
      </c>
      <c r="J14" s="18"/>
      <c r="K14" s="2">
        <v>209.85311999999999</v>
      </c>
      <c r="L14">
        <v>59.983811601731354</v>
      </c>
    </row>
    <row r="15" spans="1:12">
      <c r="A15" s="1" t="s">
        <v>272</v>
      </c>
      <c r="B15" s="25"/>
      <c r="C15" s="7"/>
      <c r="D15" s="211">
        <v>-293.89999999999998</v>
      </c>
      <c r="E15" s="211">
        <v>126.89999999999998</v>
      </c>
      <c r="F15" s="211"/>
      <c r="G15" s="209">
        <v>152.27999999999997</v>
      </c>
      <c r="H15" s="209">
        <v>182.73599999999999</v>
      </c>
      <c r="I15" s="212">
        <v>219.28319999999985</v>
      </c>
      <c r="J15" s="18"/>
      <c r="K15" s="2"/>
    </row>
    <row r="16" spans="1:12">
      <c r="A16" s="1" t="s">
        <v>263</v>
      </c>
      <c r="B16" s="25"/>
      <c r="C16" s="6"/>
      <c r="D16" s="213"/>
      <c r="E16" s="213">
        <v>130</v>
      </c>
      <c r="F16" s="1" t="s">
        <v>263</v>
      </c>
      <c r="G16" s="268">
        <v>150</v>
      </c>
      <c r="H16" s="213">
        <v>170</v>
      </c>
      <c r="I16" s="213">
        <v>140</v>
      </c>
      <c r="J16" s="9"/>
      <c r="K16" s="2"/>
    </row>
    <row r="17" spans="1:12">
      <c r="A17" s="1" t="s">
        <v>273</v>
      </c>
      <c r="B17" s="25"/>
      <c r="C17" s="7"/>
      <c r="D17" s="214"/>
      <c r="E17" s="209">
        <v>6.5</v>
      </c>
      <c r="F17" s="209"/>
      <c r="G17" s="209">
        <v>14</v>
      </c>
      <c r="H17" s="209">
        <v>22.5</v>
      </c>
      <c r="I17" s="209">
        <v>29.5</v>
      </c>
      <c r="J17" s="10"/>
      <c r="K17" s="2"/>
    </row>
    <row r="18" spans="1:12">
      <c r="A18" s="1" t="s">
        <v>2</v>
      </c>
      <c r="B18" s="25"/>
      <c r="C18" s="7"/>
      <c r="D18" s="209">
        <v>40.660000000000004</v>
      </c>
      <c r="E18" s="209">
        <v>59.429000000000002</v>
      </c>
      <c r="F18" s="1" t="s">
        <v>2</v>
      </c>
      <c r="G18" s="210">
        <v>80.87715</v>
      </c>
      <c r="H18" s="209">
        <v>106.04357999999998</v>
      </c>
      <c r="I18" s="209">
        <v>129.99469599999998</v>
      </c>
      <c r="J18" s="10"/>
      <c r="K18" s="2">
        <v>83.400885199999991</v>
      </c>
      <c r="L18">
        <v>35.67729887391075</v>
      </c>
    </row>
    <row r="19" spans="1:12">
      <c r="A19" s="1"/>
      <c r="B19" s="25"/>
      <c r="C19" s="7"/>
      <c r="D19" s="7"/>
      <c r="E19" s="7"/>
      <c r="F19" s="7"/>
      <c r="G19" s="7"/>
      <c r="H19" s="7"/>
      <c r="I19" s="26"/>
      <c r="J19" s="10"/>
      <c r="K19" s="2"/>
    </row>
    <row r="20" spans="1:12">
      <c r="A20" s="11"/>
      <c r="B20" s="19"/>
      <c r="C20" s="8"/>
      <c r="D20" s="8"/>
      <c r="E20" s="8"/>
      <c r="F20" s="8"/>
      <c r="G20" s="8"/>
      <c r="H20" s="8"/>
      <c r="I20" s="27"/>
      <c r="J20" s="15"/>
      <c r="K20" s="2"/>
    </row>
    <row r="21" spans="1:12" ht="15.75" thickBot="1">
      <c r="A21" s="12"/>
      <c r="B21" s="20"/>
      <c r="C21" s="13"/>
      <c r="D21" s="13"/>
      <c r="E21" s="13"/>
      <c r="F21" s="13"/>
      <c r="G21" s="13"/>
      <c r="H21" s="13"/>
      <c r="I21" s="13"/>
      <c r="J21" s="3"/>
      <c r="K21" s="2"/>
    </row>
    <row r="22" spans="1:12">
      <c r="A22" s="30"/>
      <c r="D22" s="32"/>
      <c r="E22" s="32"/>
      <c r="F22" s="32"/>
      <c r="G22" s="32"/>
      <c r="H22" s="32"/>
      <c r="I22" s="32"/>
      <c r="J22" s="3"/>
    </row>
    <row r="23" spans="1:12">
      <c r="A23" s="30"/>
      <c r="D23" s="2"/>
      <c r="E23" s="2"/>
      <c r="F23" s="2"/>
      <c r="G23" s="2"/>
      <c r="H23" s="2"/>
      <c r="I23" s="2"/>
      <c r="J23" s="3"/>
    </row>
    <row r="24" spans="1:12">
      <c r="A24" s="30" t="s">
        <v>275</v>
      </c>
      <c r="C24" s="43"/>
      <c r="D24" s="43">
        <f>D13-D14-D15+D16-D17+D18</f>
        <v>397.98499999999996</v>
      </c>
      <c r="E24" s="43">
        <f t="shared" ref="E24:I24" si="0">E13-E14-E15+E16-E17+E18</f>
        <v>126.994</v>
      </c>
      <c r="F24" s="43"/>
      <c r="G24" s="43">
        <f>G13-G14-G15+G16-G17+G18</f>
        <v>140.26215000000002</v>
      </c>
      <c r="H24" s="43">
        <f t="shared" si="0"/>
        <v>170.1785799999999</v>
      </c>
      <c r="I24" s="43">
        <f t="shared" si="0"/>
        <v>143.48469599999999</v>
      </c>
      <c r="J24" s="3"/>
    </row>
    <row r="25" spans="1:12">
      <c r="A25" s="30" t="s">
        <v>18</v>
      </c>
      <c r="C25" s="32"/>
      <c r="D25" s="32">
        <f>D24/(1+$B$2)^1</f>
        <v>385.94356089992243</v>
      </c>
      <c r="E25" s="32">
        <f>E24/(1+$B$2)^2</f>
        <v>119.42558956522369</v>
      </c>
      <c r="F25" s="32"/>
      <c r="G25" s="32">
        <f>G24/(1+$B$2)^3</f>
        <v>127.91214406160532</v>
      </c>
      <c r="H25" s="32">
        <f>H24/(1+$B$2)^4</f>
        <v>150.49888352291114</v>
      </c>
      <c r="I25" s="32">
        <f>I24/(1+$B$2)^5</f>
        <v>123.05267530558039</v>
      </c>
      <c r="J25" s="8">
        <f>((I24*(1+B8))/(B2-B8))/(1+B2)^5</f>
        <v>105620.21297062319</v>
      </c>
    </row>
    <row r="26" spans="1:12">
      <c r="A26" s="30"/>
      <c r="J26" s="3"/>
    </row>
    <row r="27" spans="1:12" ht="15.75" thickBot="1">
      <c r="J27" s="3"/>
      <c r="K27" s="3"/>
    </row>
    <row r="28" spans="1:12">
      <c r="A28" s="206" t="s">
        <v>16</v>
      </c>
      <c r="B28" s="202">
        <f>SUM(D25:J25)</f>
        <v>106527.04582397843</v>
      </c>
      <c r="J28" s="3"/>
      <c r="K28" s="3"/>
    </row>
    <row r="29" spans="1:12">
      <c r="A29" s="203"/>
      <c r="B29" s="204"/>
      <c r="J29" s="3"/>
      <c r="K29" s="3"/>
    </row>
    <row r="30" spans="1:12">
      <c r="A30" s="203"/>
      <c r="B30" s="205"/>
      <c r="J30" s="3"/>
      <c r="K30" s="3"/>
    </row>
    <row r="31" spans="1:12">
      <c r="B31" s="35"/>
      <c r="J31" s="3"/>
      <c r="K31" s="3"/>
    </row>
    <row r="32" spans="1:12">
      <c r="A32" s="14" t="s">
        <v>268</v>
      </c>
      <c r="B32" s="208">
        <v>195000000</v>
      </c>
      <c r="J32" s="3"/>
      <c r="K32" s="3"/>
    </row>
    <row r="33" spans="1:11" ht="15.75" thickBot="1">
      <c r="A33" s="207" t="s">
        <v>285</v>
      </c>
      <c r="B33" s="272">
        <f>(B28/B32)*1000000000</f>
        <v>546292.54268706893</v>
      </c>
      <c r="H33" s="3"/>
      <c r="I33" s="3"/>
    </row>
    <row r="34" spans="1:11">
      <c r="A34" s="3"/>
      <c r="B34" s="3"/>
      <c r="C34" s="3"/>
      <c r="D34" s="3"/>
      <c r="E34" s="3"/>
      <c r="F34" s="3"/>
      <c r="G34" s="3"/>
      <c r="H34" s="3"/>
      <c r="I34" s="3"/>
      <c r="J34" s="3"/>
      <c r="K34" s="3"/>
    </row>
    <row r="35" spans="1:11">
      <c r="A35" s="3"/>
      <c r="B35" s="3"/>
      <c r="C35" s="3"/>
      <c r="D35" s="3"/>
      <c r="E35" s="3"/>
      <c r="F35" s="3"/>
      <c r="G35" s="3"/>
      <c r="H35" s="3"/>
      <c r="I35" s="3"/>
      <c r="J35" s="3"/>
      <c r="K35" s="3"/>
    </row>
    <row r="36" spans="1:11">
      <c r="A36" s="3"/>
      <c r="B36" s="3"/>
      <c r="C36" s="3"/>
      <c r="D36" s="3"/>
      <c r="E36" s="3"/>
      <c r="F36" s="3"/>
      <c r="G36" s="3"/>
      <c r="H36" s="3"/>
      <c r="I36" s="3"/>
      <c r="J36" s="3"/>
      <c r="K36" s="3"/>
    </row>
    <row r="37" spans="1:11">
      <c r="A37" s="3"/>
      <c r="B37" s="3"/>
      <c r="C37" s="3"/>
      <c r="D37" s="3"/>
      <c r="E37" s="3"/>
      <c r="F37" s="3"/>
      <c r="G37" s="3"/>
      <c r="H37" s="3"/>
      <c r="I37" s="3"/>
      <c r="J37" s="3"/>
      <c r="K37" s="3"/>
    </row>
    <row r="38" spans="1:11">
      <c r="A38" s="3"/>
      <c r="B38" s="3"/>
      <c r="C38" s="3"/>
      <c r="D38" s="3"/>
      <c r="E38" s="3"/>
      <c r="F38" s="3"/>
      <c r="G38" s="3"/>
      <c r="H38" s="3"/>
      <c r="I38" s="3"/>
      <c r="J38" s="3"/>
      <c r="K38" s="3"/>
    </row>
    <row r="39" spans="1:11">
      <c r="A39" s="3"/>
      <c r="B39" s="3"/>
      <c r="C39" s="3"/>
      <c r="D39" s="3"/>
      <c r="E39" s="3"/>
      <c r="F39" s="3"/>
      <c r="G39" s="3"/>
      <c r="H39" s="3"/>
      <c r="I39" s="3"/>
      <c r="J39" s="3"/>
      <c r="K39" s="3"/>
    </row>
    <row r="40" spans="1:11">
      <c r="A40" s="3"/>
      <c r="B40" s="3"/>
      <c r="C40" s="3"/>
      <c r="D40" s="3"/>
      <c r="E40" s="3"/>
      <c r="F40" s="3"/>
      <c r="G40" s="3"/>
      <c r="H40" s="3"/>
      <c r="I40" s="3"/>
      <c r="J40" s="3"/>
      <c r="K40" s="3"/>
    </row>
    <row r="41" spans="1:11">
      <c r="A41" s="3"/>
      <c r="B41" s="3"/>
      <c r="C41" s="3"/>
      <c r="D41" s="3"/>
      <c r="E41" s="3"/>
      <c r="F41" s="3"/>
      <c r="G41" s="3"/>
      <c r="H41" s="3"/>
      <c r="I41" s="3"/>
      <c r="J41" s="3"/>
      <c r="K41" s="3"/>
    </row>
    <row r="42" spans="1:11">
      <c r="A42" s="3"/>
      <c r="B42" s="3"/>
      <c r="C42" s="3"/>
      <c r="D42" s="3"/>
      <c r="E42" s="3"/>
      <c r="F42" s="3"/>
      <c r="G42" s="3"/>
      <c r="H42" s="3"/>
      <c r="I42" s="3"/>
      <c r="J42" s="3"/>
      <c r="K42" s="3"/>
    </row>
    <row r="43" spans="1:11">
      <c r="A43" s="3"/>
      <c r="B43" s="3"/>
      <c r="C43" s="3"/>
      <c r="D43" s="3"/>
      <c r="E43" s="3"/>
      <c r="F43" s="3"/>
      <c r="G43" s="3"/>
      <c r="H43" s="3"/>
      <c r="I43" s="3"/>
      <c r="J43" s="3"/>
      <c r="K43" s="3"/>
    </row>
    <row r="44" spans="1:11">
      <c r="A44" s="3"/>
      <c r="B44" s="3"/>
      <c r="C44" s="3"/>
      <c r="D44" s="3"/>
      <c r="E44" s="3"/>
      <c r="F44" s="3"/>
      <c r="G44" s="3"/>
      <c r="H44" s="3"/>
      <c r="I44" s="3"/>
      <c r="J44" s="3"/>
      <c r="K44" s="3"/>
    </row>
    <row r="45" spans="1:11">
      <c r="A45" s="3"/>
      <c r="B45" s="3"/>
      <c r="C45" s="3"/>
      <c r="D45" s="3"/>
      <c r="E45" s="3"/>
      <c r="F45" s="3"/>
      <c r="G45" s="3"/>
      <c r="H45" s="3"/>
      <c r="I45" s="3"/>
      <c r="J45" s="3"/>
      <c r="K45" s="3"/>
    </row>
    <row r="46" spans="1:11">
      <c r="A46" s="3"/>
      <c r="B46" s="3"/>
      <c r="C46" s="3"/>
      <c r="D46" s="3"/>
      <c r="E46" s="3"/>
      <c r="F46" s="3"/>
      <c r="G46" s="3"/>
      <c r="H46" s="3"/>
      <c r="I46" s="3"/>
      <c r="J46" s="3"/>
      <c r="K46" s="3"/>
    </row>
    <row r="47" spans="1:11">
      <c r="A47" s="3"/>
      <c r="B47" s="3"/>
      <c r="C47" s="3"/>
      <c r="D47" s="3"/>
      <c r="E47" s="3"/>
      <c r="F47" s="3"/>
      <c r="G47" s="3"/>
      <c r="H47" s="3"/>
      <c r="I47" s="3"/>
      <c r="J47" s="3"/>
      <c r="K47" s="3"/>
    </row>
    <row r="48" spans="1:11">
      <c r="A48" s="3"/>
      <c r="B48" s="3"/>
      <c r="C48" s="3"/>
      <c r="D48" s="3"/>
      <c r="E48" s="3"/>
      <c r="F48" s="3"/>
      <c r="G48" s="3"/>
      <c r="H48" s="3"/>
      <c r="I48" s="3"/>
      <c r="J48" s="3"/>
      <c r="K48" s="3"/>
    </row>
    <row r="49" spans="1:11">
      <c r="A49" s="3"/>
      <c r="B49" s="3"/>
      <c r="C49" s="3"/>
      <c r="D49" s="3"/>
      <c r="E49" s="3"/>
      <c r="F49" s="3"/>
      <c r="G49" s="3"/>
      <c r="H49" s="3"/>
      <c r="I49" s="3"/>
      <c r="J49" s="3"/>
      <c r="K49" s="3"/>
    </row>
    <row r="50" spans="1:11">
      <c r="A50" s="3"/>
      <c r="B50" s="3"/>
      <c r="C50" s="3"/>
      <c r="D50" s="3"/>
      <c r="E50" s="3"/>
      <c r="F50" s="3"/>
      <c r="G50" s="3"/>
      <c r="H50" s="3"/>
      <c r="I50" s="3"/>
      <c r="J50" s="3"/>
      <c r="K50" s="3"/>
    </row>
    <row r="51" spans="1:11">
      <c r="A51" s="3"/>
      <c r="B51" s="3"/>
      <c r="C51" s="3"/>
      <c r="D51" s="3"/>
      <c r="E51" s="3"/>
      <c r="F51" s="3"/>
      <c r="G51" s="3"/>
      <c r="H51" s="3"/>
      <c r="I51" s="3"/>
      <c r="J51" s="3"/>
      <c r="K51" s="3"/>
    </row>
    <row r="52" spans="1:11">
      <c r="A52" s="3"/>
      <c r="B52" s="3"/>
      <c r="C52" s="3"/>
      <c r="D52" s="3"/>
      <c r="E52" s="3"/>
      <c r="F52" s="3"/>
      <c r="G52" s="3"/>
      <c r="H52" s="3"/>
      <c r="I52" s="3"/>
      <c r="J52" s="3"/>
      <c r="K52" s="3"/>
    </row>
    <row r="53" spans="1:11">
      <c r="A53" s="3"/>
      <c r="B53" s="3"/>
      <c r="C53" s="3"/>
      <c r="D53" s="3"/>
      <c r="E53" s="3"/>
      <c r="F53" s="3"/>
      <c r="G53" s="3"/>
      <c r="H53" s="3"/>
      <c r="I53" s="3"/>
      <c r="J53" s="3"/>
      <c r="K53" s="3"/>
    </row>
    <row r="54" spans="1:11">
      <c r="A54" s="3"/>
      <c r="B54" s="3"/>
      <c r="C54" s="3"/>
      <c r="D54" s="3"/>
      <c r="E54" s="3"/>
      <c r="F54" s="3"/>
      <c r="G54" s="3"/>
      <c r="H54" s="3"/>
      <c r="I54" s="3"/>
      <c r="J54" s="3"/>
      <c r="K54" s="3"/>
    </row>
    <row r="55" spans="1:11">
      <c r="A55" s="3"/>
      <c r="B55" s="3"/>
      <c r="C55" s="3"/>
      <c r="D55" s="3"/>
      <c r="E55" s="3"/>
      <c r="F55" s="3"/>
      <c r="G55" s="3"/>
      <c r="H55" s="3"/>
      <c r="I55" s="3"/>
      <c r="J55" s="3"/>
      <c r="K55" s="3"/>
    </row>
    <row r="56" spans="1:11">
      <c r="A56" s="3"/>
      <c r="B56" s="3"/>
      <c r="C56" s="3"/>
      <c r="D56" s="3"/>
      <c r="E56" s="3"/>
      <c r="F56" s="3"/>
      <c r="G56" s="3"/>
      <c r="H56" s="3"/>
      <c r="I56" s="3"/>
      <c r="J56" s="3"/>
      <c r="K56" s="3"/>
    </row>
    <row r="57" spans="1:11">
      <c r="A57" s="3"/>
      <c r="B57" s="3"/>
      <c r="C57" s="3"/>
      <c r="D57" s="3"/>
      <c r="E57" s="3"/>
      <c r="F57" s="3"/>
      <c r="G57" s="3"/>
      <c r="H57" s="3"/>
      <c r="I57" s="3"/>
      <c r="J57" s="3"/>
      <c r="K57" s="3"/>
    </row>
    <row r="58" spans="1:11">
      <c r="A58" s="3"/>
      <c r="B58" s="3"/>
      <c r="C58" s="3"/>
      <c r="D58" s="3"/>
      <c r="E58" s="3"/>
      <c r="F58" s="3"/>
      <c r="G58" s="3"/>
      <c r="H58" s="3"/>
      <c r="I58" s="3"/>
      <c r="J58" s="3"/>
      <c r="K58" s="3"/>
    </row>
    <row r="59" spans="1:11">
      <c r="A59" s="3"/>
      <c r="B59" s="3"/>
      <c r="C59" s="3"/>
      <c r="D59" s="3"/>
      <c r="E59" s="3"/>
      <c r="F59" s="3"/>
      <c r="G59" s="3"/>
      <c r="H59" s="3"/>
      <c r="I59" s="3"/>
      <c r="J59" s="3"/>
      <c r="K59" s="3"/>
    </row>
    <row r="60" spans="1:11">
      <c r="A60" s="3"/>
      <c r="B60" s="3"/>
      <c r="C60" s="3"/>
      <c r="D60" s="3"/>
      <c r="E60" s="3"/>
      <c r="F60" s="3"/>
      <c r="G60" s="3"/>
      <c r="H60" s="3"/>
      <c r="I60" s="3"/>
      <c r="J60" s="3"/>
      <c r="K60" s="3"/>
    </row>
    <row r="61" spans="1:11">
      <c r="A61" s="3"/>
      <c r="B61" s="3"/>
      <c r="C61" s="3"/>
      <c r="D61" s="3"/>
      <c r="E61" s="3"/>
      <c r="F61" s="3"/>
      <c r="G61" s="3"/>
      <c r="H61" s="3"/>
      <c r="I61" s="3"/>
      <c r="J61" s="3"/>
      <c r="K61" s="3"/>
    </row>
    <row r="62" spans="1:11">
      <c r="A62" s="3"/>
      <c r="B62" s="3"/>
      <c r="C62" s="3"/>
      <c r="D62" s="3"/>
      <c r="E62" s="3"/>
      <c r="F62" s="3"/>
      <c r="G62" s="3"/>
      <c r="H62" s="3"/>
      <c r="I62" s="3"/>
      <c r="J62" s="3"/>
      <c r="K62" s="3"/>
    </row>
    <row r="63" spans="1:11">
      <c r="A63" s="3"/>
      <c r="B63" s="3"/>
      <c r="C63" s="3"/>
      <c r="D63" s="3"/>
      <c r="E63" s="3"/>
      <c r="F63" s="3"/>
      <c r="G63" s="3"/>
      <c r="H63" s="3"/>
      <c r="I63" s="3"/>
      <c r="J63" s="3"/>
      <c r="K63" s="3"/>
    </row>
    <row r="64" spans="1:11">
      <c r="A64" s="3"/>
      <c r="B64" s="3"/>
      <c r="C64" s="3"/>
      <c r="D64" s="3"/>
      <c r="E64" s="3"/>
      <c r="F64" s="3"/>
      <c r="G64" s="3"/>
      <c r="H64" s="3"/>
      <c r="I64" s="3"/>
      <c r="J64" s="3"/>
      <c r="K64" s="3"/>
    </row>
    <row r="65" spans="1:11">
      <c r="A65" s="3"/>
      <c r="B65" s="3"/>
      <c r="C65" s="3"/>
      <c r="D65" s="3"/>
      <c r="E65" s="3"/>
      <c r="F65" s="3"/>
      <c r="G65" s="3"/>
      <c r="H65" s="3"/>
      <c r="I65" s="3"/>
      <c r="J65" s="3"/>
      <c r="K65" s="3"/>
    </row>
    <row r="66" spans="1:11">
      <c r="A66" s="3"/>
      <c r="B66" s="3"/>
      <c r="C66" s="3"/>
      <c r="D66" s="3"/>
      <c r="E66" s="3"/>
      <c r="F66" s="3"/>
      <c r="G66" s="3"/>
      <c r="H66" s="3"/>
      <c r="I66" s="3"/>
      <c r="J66" s="3"/>
      <c r="K66" s="3"/>
    </row>
    <row r="67" spans="1:11">
      <c r="A67" s="3"/>
      <c r="B67" s="3"/>
      <c r="C67" s="3"/>
      <c r="D67" s="3"/>
      <c r="E67" s="3"/>
      <c r="F67" s="3"/>
      <c r="G67" s="3"/>
      <c r="H67" s="3"/>
      <c r="I67" s="3"/>
      <c r="J67" s="3"/>
      <c r="K67" s="3"/>
    </row>
    <row r="68" spans="1:11">
      <c r="A68" s="3"/>
      <c r="B68" s="3"/>
      <c r="C68" s="3"/>
      <c r="D68" s="3"/>
      <c r="E68" s="3"/>
      <c r="F68" s="3"/>
      <c r="G68" s="3"/>
      <c r="H68" s="3"/>
      <c r="I68" s="3"/>
      <c r="J68" s="3"/>
      <c r="K68" s="3"/>
    </row>
    <row r="69" spans="1:11">
      <c r="A69" s="3"/>
      <c r="B69" s="3"/>
      <c r="C69" s="3"/>
      <c r="D69" s="3"/>
      <c r="E69" s="3"/>
      <c r="F69" s="3"/>
      <c r="G69" s="3"/>
      <c r="H69" s="3"/>
      <c r="I69" s="3"/>
      <c r="J69" s="3"/>
      <c r="K69" s="3"/>
    </row>
    <row r="70" spans="1:11">
      <c r="A70" s="3"/>
      <c r="B70" s="3"/>
      <c r="C70" s="3"/>
      <c r="D70" s="3"/>
      <c r="E70" s="3"/>
      <c r="F70" s="3"/>
      <c r="G70" s="3"/>
      <c r="H70" s="3"/>
      <c r="I70" s="3"/>
      <c r="J70" s="3"/>
      <c r="K70" s="3"/>
    </row>
    <row r="71" spans="1:11">
      <c r="A71" s="3"/>
      <c r="B71" s="3"/>
      <c r="C71" s="3"/>
      <c r="D71" s="3"/>
      <c r="E71" s="3"/>
      <c r="F71" s="3"/>
      <c r="G71" s="3"/>
      <c r="H71" s="3"/>
      <c r="I71" s="3"/>
      <c r="J71" s="3"/>
      <c r="K71" s="3"/>
    </row>
    <row r="72" spans="1:11">
      <c r="A72" s="3"/>
      <c r="B72" s="3"/>
      <c r="C72" s="3"/>
      <c r="D72" s="3"/>
      <c r="E72" s="3"/>
      <c r="F72" s="3"/>
      <c r="G72" s="3"/>
      <c r="H72" s="3"/>
      <c r="I72" s="3"/>
      <c r="J72" s="3"/>
      <c r="K72" s="3"/>
    </row>
    <row r="73" spans="1:11">
      <c r="A73" s="3"/>
      <c r="B73" s="3"/>
      <c r="C73" s="3"/>
      <c r="D73" s="3"/>
      <c r="E73" s="3"/>
      <c r="F73" s="3"/>
      <c r="G73" s="3"/>
      <c r="H73" s="3"/>
      <c r="I73" s="3"/>
      <c r="J73" s="3"/>
      <c r="K73" s="3"/>
    </row>
    <row r="74" spans="1:11">
      <c r="A74" s="3"/>
      <c r="B74" s="3"/>
      <c r="C74" s="3"/>
      <c r="D74" s="3"/>
      <c r="E74" s="3"/>
      <c r="F74" s="3"/>
      <c r="G74" s="3"/>
      <c r="H74" s="3"/>
      <c r="I74" s="3"/>
      <c r="J74" s="3"/>
      <c r="K74" s="3"/>
    </row>
    <row r="75" spans="1:11">
      <c r="A75" s="3"/>
      <c r="B75" s="3"/>
      <c r="C75" s="3"/>
      <c r="D75" s="3"/>
      <c r="E75" s="3"/>
      <c r="F75" s="3"/>
      <c r="G75" s="3"/>
      <c r="H75" s="3"/>
      <c r="I75" s="3"/>
      <c r="J75" s="3"/>
      <c r="K75" s="3"/>
    </row>
    <row r="76" spans="1:11">
      <c r="A76" s="3"/>
      <c r="B76" s="3"/>
      <c r="C76" s="3"/>
      <c r="D76" s="3"/>
      <c r="E76" s="3"/>
      <c r="F76" s="3"/>
      <c r="G76" s="3"/>
      <c r="H76" s="3"/>
      <c r="I76" s="3"/>
      <c r="J76" s="3"/>
      <c r="K76" s="3"/>
    </row>
    <row r="77" spans="1:11">
      <c r="A77" s="3"/>
      <c r="B77" s="3"/>
      <c r="C77" s="3"/>
      <c r="D77" s="3"/>
      <c r="E77" s="3"/>
      <c r="F77" s="3"/>
      <c r="G77" s="3"/>
      <c r="H77" s="3"/>
      <c r="I77" s="3"/>
      <c r="J77" s="3"/>
      <c r="K77" s="3"/>
    </row>
    <row r="78" spans="1:11">
      <c r="A78" s="3"/>
      <c r="B78" s="3"/>
      <c r="C78" s="3"/>
      <c r="D78" s="3"/>
      <c r="E78" s="3"/>
      <c r="F78" s="3"/>
      <c r="G78" s="3"/>
      <c r="H78" s="3"/>
      <c r="I78" s="3"/>
      <c r="J78" s="3"/>
      <c r="K78" s="3"/>
    </row>
    <row r="79" spans="1:11">
      <c r="A79" s="3"/>
      <c r="B79" s="3"/>
      <c r="C79" s="3"/>
      <c r="D79" s="3"/>
      <c r="E79" s="3"/>
      <c r="F79" s="3"/>
      <c r="G79" s="3"/>
      <c r="H79" s="3"/>
      <c r="I79" s="3"/>
      <c r="J79" s="3"/>
      <c r="K79" s="3"/>
    </row>
    <row r="80" spans="1:11">
      <c r="A80" s="3"/>
      <c r="B80" s="3"/>
      <c r="C80" s="3"/>
      <c r="D80" s="3"/>
      <c r="E80" s="3"/>
      <c r="F80" s="3"/>
      <c r="G80" s="3"/>
      <c r="H80" s="3"/>
      <c r="I80" s="3"/>
      <c r="J80" s="3"/>
      <c r="K80" s="3"/>
    </row>
    <row r="81" spans="1:11">
      <c r="A81" s="3"/>
      <c r="B81" s="3"/>
      <c r="C81" s="3"/>
      <c r="D81" s="3"/>
      <c r="E81" s="3"/>
      <c r="F81" s="3"/>
      <c r="G81" s="3"/>
      <c r="H81" s="3"/>
      <c r="I81" s="3"/>
      <c r="J81" s="3"/>
      <c r="K81" s="3"/>
    </row>
    <row r="82" spans="1:11">
      <c r="A82" s="3"/>
      <c r="B82" s="3"/>
      <c r="C82" s="3"/>
      <c r="D82" s="3"/>
      <c r="E82" s="3"/>
      <c r="F82" s="3"/>
      <c r="G82" s="3"/>
      <c r="H82" s="3"/>
      <c r="I82" s="3"/>
      <c r="J82" s="3"/>
      <c r="K82" s="3"/>
    </row>
    <row r="83" spans="1:11">
      <c r="A83" s="3"/>
      <c r="B83" s="3"/>
      <c r="C83" s="3"/>
      <c r="D83" s="3"/>
      <c r="E83" s="3"/>
      <c r="F83" s="3"/>
      <c r="G83" s="3"/>
      <c r="H83" s="3"/>
      <c r="I83" s="3"/>
      <c r="J83" s="3"/>
      <c r="K83" s="3"/>
    </row>
    <row r="84" spans="1:11">
      <c r="A84" s="3"/>
      <c r="B84" s="3"/>
      <c r="C84" s="3"/>
      <c r="D84" s="3"/>
      <c r="E84" s="3"/>
      <c r="F84" s="3"/>
      <c r="G84" s="3"/>
      <c r="H84" s="3"/>
      <c r="I84" s="3"/>
      <c r="J84" s="3"/>
      <c r="K84" s="3"/>
    </row>
    <row r="85" spans="1:11">
      <c r="A85" s="3"/>
      <c r="B85" s="3"/>
      <c r="C85" s="3"/>
      <c r="D85" s="3"/>
      <c r="E85" s="3"/>
      <c r="F85" s="3"/>
      <c r="G85" s="3"/>
      <c r="H85" s="3"/>
      <c r="I85" s="3"/>
      <c r="J85" s="3"/>
      <c r="K85" s="3"/>
    </row>
    <row r="86" spans="1:11">
      <c r="A86" s="3"/>
      <c r="B86" s="3"/>
      <c r="C86" s="3"/>
      <c r="D86" s="3"/>
      <c r="E86" s="3"/>
      <c r="F86" s="3"/>
      <c r="G86" s="3"/>
      <c r="H86" s="3"/>
      <c r="I86" s="3"/>
      <c r="J86" s="3"/>
      <c r="K86" s="3"/>
    </row>
  </sheetData>
  <mergeCells count="2">
    <mergeCell ref="C10:J10"/>
    <mergeCell ref="B11:I11"/>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dimension ref="B2:M50"/>
  <sheetViews>
    <sheetView topLeftCell="A10" workbookViewId="0">
      <selection activeCell="B43" sqref="B43:C48"/>
    </sheetView>
  </sheetViews>
  <sheetFormatPr defaultRowHeight="15"/>
  <cols>
    <col min="2" max="2" width="30.7109375" bestFit="1" customWidth="1"/>
    <col min="3" max="3" width="13.28515625" bestFit="1" customWidth="1"/>
    <col min="11" max="11" width="12.42578125" bestFit="1" customWidth="1"/>
  </cols>
  <sheetData>
    <row r="2" spans="2:11">
      <c r="B2" s="28"/>
      <c r="C2" s="28"/>
      <c r="D2" s="28"/>
      <c r="E2" s="28"/>
      <c r="F2" s="28"/>
      <c r="G2" s="28"/>
      <c r="H2" s="28"/>
      <c r="I2" s="28"/>
      <c r="J2" s="28"/>
      <c r="K2" s="28"/>
    </row>
    <row r="3" spans="2:11">
      <c r="B3" s="28"/>
      <c r="C3" s="28">
        <v>2011</v>
      </c>
      <c r="D3" s="28">
        <v>2012</v>
      </c>
      <c r="E3" s="28">
        <v>2013</v>
      </c>
      <c r="F3" s="28">
        <v>2014</v>
      </c>
      <c r="G3" s="28">
        <v>2015</v>
      </c>
      <c r="H3" s="28">
        <v>2016</v>
      </c>
      <c r="I3" s="28">
        <v>2017</v>
      </c>
      <c r="J3" s="28">
        <v>2018</v>
      </c>
      <c r="K3" s="28">
        <v>2019</v>
      </c>
    </row>
    <row r="4" spans="2:11" ht="15.75">
      <c r="B4" s="110" t="s">
        <v>91</v>
      </c>
      <c r="C4" s="221">
        <v>189.8</v>
      </c>
      <c r="D4" s="221">
        <v>221.8</v>
      </c>
      <c r="E4" s="221">
        <v>184.8</v>
      </c>
      <c r="F4" s="221">
        <v>164.1</v>
      </c>
      <c r="G4" s="221">
        <v>282.5</v>
      </c>
      <c r="H4" s="221">
        <v>333</v>
      </c>
      <c r="I4" s="221">
        <v>387.59999999999997</v>
      </c>
      <c r="J4" s="221">
        <v>479.11999999999989</v>
      </c>
      <c r="K4" s="221">
        <v>580.94399999999985</v>
      </c>
    </row>
    <row r="5" spans="2:11" ht="15.75">
      <c r="B5" s="108" t="s">
        <v>93</v>
      </c>
      <c r="C5" s="221">
        <v>2</v>
      </c>
      <c r="D5" s="221">
        <v>2.6</v>
      </c>
      <c r="E5" s="221">
        <v>2.8</v>
      </c>
      <c r="F5" s="221">
        <v>3.6</v>
      </c>
      <c r="G5" s="221">
        <v>4</v>
      </c>
      <c r="H5" s="221">
        <v>4.5</v>
      </c>
      <c r="I5" s="221">
        <v>5</v>
      </c>
      <c r="J5" s="221">
        <v>5.5</v>
      </c>
      <c r="K5" s="221">
        <v>6</v>
      </c>
    </row>
    <row r="6" spans="2:11" ht="15.75">
      <c r="B6" s="108" t="s">
        <v>258</v>
      </c>
      <c r="C6" s="221"/>
      <c r="D6" s="221"/>
      <c r="E6" s="221"/>
      <c r="F6" s="221"/>
      <c r="G6" s="221"/>
      <c r="H6" s="28">
        <f>H4*0.01</f>
        <v>3.33</v>
      </c>
      <c r="I6" s="28">
        <f t="shared" ref="I6:K6" si="0">I4*0.01</f>
        <v>3.8759999999999999</v>
      </c>
      <c r="J6" s="28">
        <f t="shared" si="0"/>
        <v>4.791199999999999</v>
      </c>
      <c r="K6" s="28">
        <f t="shared" si="0"/>
        <v>5.8094399999999986</v>
      </c>
    </row>
    <row r="7" spans="2:11" ht="15.75">
      <c r="B7" s="108" t="s">
        <v>94</v>
      </c>
      <c r="C7" s="221">
        <v>4.7</v>
      </c>
      <c r="D7" s="221">
        <v>3.5</v>
      </c>
      <c r="E7" s="221">
        <v>3.4</v>
      </c>
      <c r="F7" s="221">
        <v>6.9</v>
      </c>
      <c r="G7" s="221">
        <v>6.25</v>
      </c>
      <c r="H7" s="221">
        <v>6.9</v>
      </c>
      <c r="I7" s="221">
        <v>7.55</v>
      </c>
      <c r="J7" s="221">
        <v>8.1999999999999993</v>
      </c>
      <c r="K7" s="221">
        <v>8.85</v>
      </c>
    </row>
    <row r="8" spans="2:11" ht="15.75">
      <c r="B8" s="110" t="s">
        <v>95</v>
      </c>
      <c r="C8" s="221">
        <v>196.4</v>
      </c>
      <c r="D8" s="221">
        <v>227.9</v>
      </c>
      <c r="E8" s="221">
        <v>191</v>
      </c>
      <c r="F8" s="221">
        <v>174.7</v>
      </c>
      <c r="G8" s="221">
        <f>G4+G5-G6+G7</f>
        <v>292.75</v>
      </c>
      <c r="H8" s="221">
        <f t="shared" ref="H8:K8" si="1">H4+H5-H6+H7</f>
        <v>341.07</v>
      </c>
      <c r="I8" s="221">
        <f t="shared" si="1"/>
        <v>396.274</v>
      </c>
      <c r="J8" s="221">
        <f t="shared" si="1"/>
        <v>488.02879999999988</v>
      </c>
      <c r="K8" s="221">
        <f t="shared" si="1"/>
        <v>589.98455999999987</v>
      </c>
    </row>
    <row r="9" spans="2:11" ht="15.75">
      <c r="B9" s="108" t="s">
        <v>96</v>
      </c>
      <c r="C9" s="221">
        <v>72.7</v>
      </c>
      <c r="D9" s="221">
        <v>89.1</v>
      </c>
      <c r="E9" s="221">
        <v>70.3</v>
      </c>
      <c r="F9" s="221">
        <v>62.8</v>
      </c>
      <c r="G9" s="221">
        <f>G8*(1-0.7)</f>
        <v>87.825000000000017</v>
      </c>
      <c r="H9" s="221">
        <f t="shared" ref="H9:K9" si="2">H8*(1-0.7)</f>
        <v>102.32100000000001</v>
      </c>
      <c r="I9" s="221">
        <f t="shared" si="2"/>
        <v>118.88220000000001</v>
      </c>
      <c r="J9" s="221">
        <f t="shared" si="2"/>
        <v>146.40863999999999</v>
      </c>
      <c r="K9" s="221">
        <f t="shared" si="2"/>
        <v>176.99536799999998</v>
      </c>
    </row>
    <row r="10" spans="2:11" ht="15.75">
      <c r="B10" s="108" t="s">
        <v>97</v>
      </c>
      <c r="C10" s="111">
        <v>-0.7</v>
      </c>
      <c r="D10" s="111">
        <v>-0.6</v>
      </c>
      <c r="E10" s="111">
        <v>-0.5</v>
      </c>
      <c r="F10" s="111">
        <v>-0.6</v>
      </c>
      <c r="G10" s="111">
        <v>-0.5</v>
      </c>
      <c r="H10" s="111">
        <v>-0.46</v>
      </c>
      <c r="I10" s="111">
        <v>-0.42</v>
      </c>
      <c r="J10" s="111">
        <v>-0.38</v>
      </c>
      <c r="K10" s="111">
        <v>-0.34</v>
      </c>
    </row>
    <row r="11" spans="2:11" ht="15.75">
      <c r="B11" s="110" t="s">
        <v>98</v>
      </c>
      <c r="C11" s="221">
        <v>123.1</v>
      </c>
      <c r="D11" s="221">
        <v>138.19999999999999</v>
      </c>
      <c r="E11" s="221">
        <v>120.3</v>
      </c>
      <c r="F11" s="221">
        <v>111.2</v>
      </c>
      <c r="G11" s="221">
        <f>G8-G9+G10</f>
        <v>204.42499999999998</v>
      </c>
      <c r="H11" s="221">
        <f t="shared" ref="H11:K11" si="3">H8-H9+H10</f>
        <v>238.28899999999996</v>
      </c>
      <c r="I11" s="221">
        <f t="shared" si="3"/>
        <v>276.97179999999997</v>
      </c>
      <c r="J11" s="221">
        <f t="shared" si="3"/>
        <v>341.24015999999989</v>
      </c>
      <c r="K11" s="221">
        <f t="shared" si="3"/>
        <v>412.64919199999991</v>
      </c>
    </row>
    <row r="12" spans="2:11">
      <c r="B12" s="28"/>
      <c r="C12" s="28"/>
      <c r="D12" s="28"/>
      <c r="E12" s="28"/>
      <c r="F12" s="28"/>
      <c r="G12" s="28"/>
      <c r="H12" s="28"/>
      <c r="I12" s="28"/>
      <c r="J12" s="28"/>
      <c r="K12" s="28"/>
    </row>
    <row r="13" spans="2:11">
      <c r="B13" s="28" t="s">
        <v>86</v>
      </c>
      <c r="C13" s="28">
        <f>C11/'Balance sheet'!C26</f>
        <v>0.13819039066008082</v>
      </c>
      <c r="D13" s="28">
        <f>D11/'Balance sheet'!D26</f>
        <v>0.14083358809742177</v>
      </c>
      <c r="E13" s="28">
        <f>E11/'Balance sheet'!E26</f>
        <v>0.11043789589644726</v>
      </c>
      <c r="F13" s="28">
        <f>F11/'Balance sheet'!F26</f>
        <v>9.313232830820771E-2</v>
      </c>
      <c r="G13" s="28">
        <f>G11/'Balance sheet'!G26</f>
        <v>0.15277258799790747</v>
      </c>
      <c r="H13" s="28">
        <f>H11/'Balance sheet'!H26</f>
        <v>0.17071980742088708</v>
      </c>
      <c r="I13" s="28">
        <f>I11/'Balance sheet'!I26</f>
        <v>0.18967144123541407</v>
      </c>
      <c r="J13" s="28">
        <f>J11/'Balance sheet'!J26</f>
        <v>0.22130633454388951</v>
      </c>
      <c r="K13" s="28">
        <f>K11/'Balance sheet'!K26</f>
        <v>0.25139355827860554</v>
      </c>
    </row>
    <row r="14" spans="2:11">
      <c r="B14" s="28"/>
      <c r="C14" s="28"/>
      <c r="D14" s="28"/>
      <c r="E14" s="28"/>
      <c r="F14" s="28"/>
      <c r="G14" s="28"/>
      <c r="H14" s="28"/>
      <c r="I14" s="28"/>
      <c r="J14" s="28"/>
      <c r="K14" s="28"/>
    </row>
    <row r="15" spans="2:11">
      <c r="B15" s="28"/>
      <c r="C15" s="28"/>
      <c r="D15" s="28"/>
      <c r="E15" s="28"/>
      <c r="F15" s="28"/>
      <c r="G15" s="28"/>
      <c r="H15" s="28"/>
      <c r="I15" s="28"/>
      <c r="J15" s="28"/>
      <c r="K15" s="28"/>
    </row>
    <row r="16" spans="2:11">
      <c r="B16" s="28" t="s">
        <v>8</v>
      </c>
      <c r="C16" s="28">
        <v>2014</v>
      </c>
      <c r="D16" s="28"/>
      <c r="E16" s="28"/>
      <c r="F16" s="28"/>
      <c r="G16" s="28"/>
      <c r="H16" s="28"/>
      <c r="I16" s="28"/>
      <c r="J16" s="28"/>
      <c r="K16" s="28"/>
    </row>
    <row r="17" spans="2:13">
      <c r="B17" s="28" t="s">
        <v>9</v>
      </c>
      <c r="C17" s="225">
        <v>2.9000000000000001E-2</v>
      </c>
      <c r="D17" s="225"/>
      <c r="E17" s="225"/>
      <c r="F17" s="225"/>
      <c r="G17" s="225"/>
      <c r="H17" s="225"/>
      <c r="I17" s="28"/>
      <c r="J17" s="28"/>
      <c r="K17" s="28"/>
    </row>
    <row r="18" spans="2:13">
      <c r="B18" s="28" t="s">
        <v>10</v>
      </c>
      <c r="C18" s="225">
        <v>7.5999999999999998E-2</v>
      </c>
      <c r="D18" s="28"/>
      <c r="E18" s="28"/>
      <c r="F18" s="28"/>
      <c r="G18" s="28"/>
      <c r="H18" s="28"/>
      <c r="I18" s="28"/>
      <c r="J18" s="28"/>
      <c r="K18" s="28"/>
    </row>
    <row r="19" spans="2:13">
      <c r="B19" s="28" t="s">
        <v>11</v>
      </c>
      <c r="C19" s="225">
        <v>0.3</v>
      </c>
      <c r="D19" s="28"/>
      <c r="E19" s="28"/>
      <c r="F19" s="28"/>
      <c r="G19" s="28"/>
      <c r="H19" s="28"/>
      <c r="I19" s="28"/>
      <c r="J19" s="28"/>
      <c r="K19" s="28"/>
    </row>
    <row r="20" spans="2:13">
      <c r="B20" s="28" t="s">
        <v>12</v>
      </c>
      <c r="C20" s="225">
        <v>0.5</v>
      </c>
      <c r="D20" s="28"/>
      <c r="E20" s="28"/>
      <c r="F20" s="28"/>
      <c r="G20" s="28"/>
      <c r="H20" s="28"/>
      <c r="I20" s="28"/>
      <c r="J20" s="28"/>
      <c r="K20" s="28"/>
    </row>
    <row r="21" spans="2:13">
      <c r="B21" s="28" t="s">
        <v>267</v>
      </c>
      <c r="C21" s="225">
        <v>0.2</v>
      </c>
      <c r="D21" s="226"/>
      <c r="E21" s="226"/>
      <c r="F21" s="226"/>
      <c r="G21" s="226"/>
      <c r="H21" s="226"/>
      <c r="I21" s="226"/>
      <c r="J21" s="28"/>
      <c r="K21" s="28"/>
    </row>
    <row r="22" spans="2:13">
      <c r="B22" s="28" t="s">
        <v>13</v>
      </c>
      <c r="C22" s="225">
        <v>0.2</v>
      </c>
      <c r="D22" s="28"/>
      <c r="E22" s="28"/>
      <c r="F22" s="28"/>
      <c r="G22" s="28"/>
      <c r="H22" s="28"/>
      <c r="I22" s="28"/>
      <c r="J22" s="28"/>
      <c r="K22" s="28"/>
    </row>
    <row r="23" spans="2:13">
      <c r="B23" s="28" t="s">
        <v>19</v>
      </c>
      <c r="C23" s="267">
        <v>2.8000000000000001E-2</v>
      </c>
      <c r="D23" s="28"/>
      <c r="E23" s="28"/>
      <c r="F23" s="28"/>
      <c r="G23" s="28"/>
      <c r="H23" s="28"/>
      <c r="I23" s="28"/>
      <c r="J23" s="28"/>
      <c r="K23" s="28"/>
    </row>
    <row r="24" spans="2:13">
      <c r="B24" s="28"/>
      <c r="C24" s="28"/>
      <c r="D24" s="28"/>
      <c r="E24" s="28"/>
      <c r="F24" s="28"/>
      <c r="G24" s="28"/>
      <c r="H24" s="28"/>
      <c r="I24" s="28"/>
      <c r="J24" s="28"/>
      <c r="K24" s="28"/>
    </row>
    <row r="25" spans="2:13" ht="15.75" thickBot="1">
      <c r="B25" s="228"/>
      <c r="C25" s="228"/>
      <c r="D25" s="298"/>
      <c r="E25" s="298"/>
      <c r="F25" s="298"/>
      <c r="G25" s="298"/>
      <c r="H25" s="298"/>
      <c r="I25" s="298"/>
      <c r="J25" s="298"/>
      <c r="K25" s="298"/>
    </row>
    <row r="26" spans="2:13">
      <c r="B26" s="229" t="s">
        <v>14</v>
      </c>
      <c r="C26" s="295" t="s">
        <v>15</v>
      </c>
      <c r="D26" s="299"/>
      <c r="E26" s="299"/>
      <c r="F26" s="299"/>
      <c r="G26" s="299"/>
      <c r="H26" s="299"/>
      <c r="I26" s="299"/>
      <c r="J26" s="300"/>
      <c r="K26" s="33" t="s">
        <v>17</v>
      </c>
    </row>
    <row r="27" spans="2:13" ht="15.75" thickBot="1">
      <c r="B27" s="230"/>
      <c r="C27" s="23"/>
      <c r="D27" s="24"/>
      <c r="E27" s="24">
        <v>2015</v>
      </c>
      <c r="F27" s="24">
        <v>2016</v>
      </c>
      <c r="G27" s="24"/>
      <c r="H27" s="24">
        <v>2017</v>
      </c>
      <c r="I27" s="24">
        <v>2018</v>
      </c>
      <c r="J27" s="24">
        <v>2019</v>
      </c>
      <c r="K27" s="231"/>
    </row>
    <row r="28" spans="2:13" ht="15.75">
      <c r="B28" s="232" t="s">
        <v>270</v>
      </c>
      <c r="C28" s="233"/>
      <c r="D28" s="214"/>
      <c r="E28" s="221">
        <v>204.42499999999998</v>
      </c>
      <c r="F28" s="221">
        <v>238.28899999999996</v>
      </c>
      <c r="G28" s="209" t="s">
        <v>270</v>
      </c>
      <c r="H28" s="210">
        <v>276.97179999999997</v>
      </c>
      <c r="I28" s="209">
        <v>341.24015999999989</v>
      </c>
      <c r="J28" s="209">
        <v>412.64919199999991</v>
      </c>
      <c r="K28" s="234"/>
      <c r="L28">
        <v>294.71503039999993</v>
      </c>
      <c r="M28">
        <v>83.252721994469752</v>
      </c>
    </row>
    <row r="29" spans="2:13" ht="48.75" customHeight="1">
      <c r="B29" s="232" t="s">
        <v>271</v>
      </c>
      <c r="C29" s="233"/>
      <c r="D29" s="213"/>
      <c r="E29" s="209">
        <v>141</v>
      </c>
      <c r="F29" s="209">
        <v>169.20000000000002</v>
      </c>
      <c r="G29" s="232" t="s">
        <v>271</v>
      </c>
      <c r="H29" s="210">
        <v>203.04</v>
      </c>
      <c r="I29" s="210">
        <v>243.64799999999997</v>
      </c>
      <c r="J29" s="210">
        <v>292.37759999999997</v>
      </c>
      <c r="K29" s="235"/>
      <c r="L29">
        <v>209.85311999999999</v>
      </c>
      <c r="M29">
        <v>59.983811601731354</v>
      </c>
    </row>
    <row r="30" spans="2:13">
      <c r="B30" s="232" t="s">
        <v>272</v>
      </c>
      <c r="C30" s="233"/>
      <c r="D30" s="214"/>
      <c r="E30" s="211">
        <v>-293.89999999999998</v>
      </c>
      <c r="F30" s="211">
        <v>126.89999999999998</v>
      </c>
      <c r="G30" s="211"/>
      <c r="H30" s="209">
        <v>152.27999999999997</v>
      </c>
      <c r="I30" s="209">
        <v>182.73599999999999</v>
      </c>
      <c r="J30" s="212">
        <v>219.28319999999985</v>
      </c>
      <c r="K30" s="235"/>
    </row>
    <row r="31" spans="2:13">
      <c r="B31" s="232" t="s">
        <v>263</v>
      </c>
      <c r="C31" s="233"/>
      <c r="D31" s="213"/>
      <c r="E31" s="213"/>
      <c r="F31" s="213">
        <v>130</v>
      </c>
      <c r="G31" s="232" t="s">
        <v>263</v>
      </c>
      <c r="H31" s="268">
        <v>150</v>
      </c>
      <c r="I31" s="213">
        <v>170</v>
      </c>
      <c r="J31" s="213">
        <v>140</v>
      </c>
      <c r="K31" s="236"/>
    </row>
    <row r="32" spans="2:13">
      <c r="B32" s="232" t="s">
        <v>273</v>
      </c>
      <c r="C32" s="233"/>
      <c r="D32" s="214"/>
      <c r="E32" s="214"/>
      <c r="F32" s="209">
        <v>6.5</v>
      </c>
      <c r="G32" s="209"/>
      <c r="H32" s="209">
        <v>14</v>
      </c>
      <c r="I32" s="209">
        <v>22.5</v>
      </c>
      <c r="J32" s="209">
        <v>29.5</v>
      </c>
      <c r="K32" s="237"/>
    </row>
    <row r="33" spans="2:13">
      <c r="B33" s="232" t="s">
        <v>2</v>
      </c>
      <c r="C33" s="233"/>
      <c r="D33" s="214"/>
      <c r="E33" s="209">
        <v>40.660000000000004</v>
      </c>
      <c r="F33" s="209">
        <v>59.429000000000002</v>
      </c>
      <c r="G33" s="232" t="s">
        <v>2</v>
      </c>
      <c r="H33" s="210">
        <v>80.87715</v>
      </c>
      <c r="I33" s="209">
        <v>106.04357999999998</v>
      </c>
      <c r="J33" s="209">
        <v>129.99469599999998</v>
      </c>
      <c r="K33" s="237"/>
      <c r="L33">
        <v>83.400885199999991</v>
      </c>
      <c r="M33">
        <v>35.67729887391075</v>
      </c>
    </row>
    <row r="34" spans="2:13">
      <c r="B34" s="232"/>
      <c r="C34" s="233"/>
      <c r="D34" s="214"/>
      <c r="E34" s="214"/>
      <c r="F34" s="214"/>
      <c r="G34" s="214"/>
      <c r="H34" s="214"/>
      <c r="I34" s="214"/>
      <c r="J34" s="238"/>
      <c r="K34" s="237"/>
    </row>
    <row r="35" spans="2:13">
      <c r="B35" s="239"/>
      <c r="C35" s="240"/>
      <c r="D35" s="241"/>
      <c r="E35" s="241"/>
      <c r="F35" s="241"/>
      <c r="G35" s="241"/>
      <c r="H35" s="241"/>
      <c r="I35" s="241"/>
      <c r="J35" s="242"/>
      <c r="K35" s="243"/>
    </row>
    <row r="36" spans="2:13" ht="15.75" thickBot="1">
      <c r="B36" s="244"/>
      <c r="C36" s="245"/>
      <c r="D36" s="246"/>
      <c r="E36" s="246"/>
      <c r="F36" s="246"/>
      <c r="G36" s="246"/>
      <c r="H36" s="246"/>
      <c r="I36" s="246"/>
      <c r="J36" s="246"/>
      <c r="K36" s="247"/>
    </row>
    <row r="37" spans="2:13">
      <c r="B37" s="248"/>
      <c r="C37" s="28"/>
      <c r="D37" s="28"/>
      <c r="E37" s="249"/>
      <c r="F37" s="249"/>
      <c r="G37" s="249"/>
      <c r="H37" s="249"/>
      <c r="I37" s="249"/>
      <c r="J37" s="249"/>
      <c r="K37" s="247"/>
    </row>
    <row r="38" spans="2:13">
      <c r="B38" s="248"/>
      <c r="C38" s="28"/>
      <c r="D38" s="28"/>
      <c r="E38" s="250"/>
      <c r="F38" s="250"/>
      <c r="G38" s="250"/>
      <c r="H38" s="250"/>
      <c r="I38" s="250"/>
      <c r="J38" s="250"/>
      <c r="K38" s="247"/>
    </row>
    <row r="39" spans="2:13">
      <c r="B39" s="248" t="s">
        <v>275</v>
      </c>
      <c r="C39" s="28"/>
      <c r="D39" s="251"/>
      <c r="E39" s="251">
        <f>E28-E29-E30+E31-E32+E33</f>
        <v>397.98499999999996</v>
      </c>
      <c r="F39" s="251">
        <f t="shared" ref="F39:J39" si="4">F28-F29-F30+F31-F32+F33</f>
        <v>125.11799999999997</v>
      </c>
      <c r="G39" s="251"/>
      <c r="H39" s="251">
        <f>H28-H29-H30+H31-H32+H33</f>
        <v>138.52895000000001</v>
      </c>
      <c r="I39" s="251">
        <f t="shared" si="4"/>
        <v>168.39973999999989</v>
      </c>
      <c r="J39" s="251">
        <f t="shared" si="4"/>
        <v>141.48308800000007</v>
      </c>
      <c r="K39" s="247"/>
    </row>
    <row r="40" spans="2:13">
      <c r="B40" s="248" t="s">
        <v>18</v>
      </c>
      <c r="C40" s="28"/>
      <c r="D40" s="249"/>
      <c r="E40" s="249">
        <f>E39/(1+$B$2)^1</f>
        <v>397.98499999999996</v>
      </c>
      <c r="F40" s="249">
        <f>F39/(1+$B$2)^2</f>
        <v>125.11799999999997</v>
      </c>
      <c r="G40" s="249"/>
      <c r="H40" s="249">
        <f>H39/(1+$B$2)^3</f>
        <v>138.52895000000001</v>
      </c>
      <c r="I40" s="249">
        <f>I39/(1+$B$2)^4</f>
        <v>168.39973999999989</v>
      </c>
      <c r="J40" s="249">
        <f>J39/(1+$B$2)^5</f>
        <v>141.48308800000007</v>
      </c>
      <c r="K40" s="241">
        <f>((J39*(1+C23))/(C17-C23))/(1+C17)^5</f>
        <v>126072.6178752533</v>
      </c>
    </row>
    <row r="41" spans="2:13">
      <c r="B41" s="248"/>
      <c r="C41" s="28"/>
      <c r="D41" s="28"/>
      <c r="E41" s="28"/>
      <c r="F41" s="28"/>
      <c r="G41" s="28"/>
      <c r="H41" s="28"/>
      <c r="I41" s="28"/>
      <c r="J41" s="28"/>
      <c r="K41" s="247"/>
    </row>
    <row r="42" spans="2:13" ht="15.75" thickBot="1">
      <c r="B42" s="28"/>
      <c r="C42" s="28"/>
      <c r="D42" s="28"/>
      <c r="E42" s="28"/>
      <c r="F42" s="28"/>
      <c r="G42" s="28"/>
      <c r="H42" s="28"/>
      <c r="I42" s="28"/>
      <c r="J42" s="28"/>
      <c r="K42" s="247"/>
    </row>
    <row r="43" spans="2:13">
      <c r="B43" s="206" t="s">
        <v>16</v>
      </c>
      <c r="C43" s="202">
        <f>SUM(E40:K40)</f>
        <v>127044.1326532533</v>
      </c>
      <c r="D43" s="28"/>
      <c r="E43" s="28"/>
      <c r="F43" s="28"/>
      <c r="G43" s="28"/>
      <c r="H43" s="28"/>
      <c r="I43" s="28"/>
      <c r="J43" s="28"/>
      <c r="K43" s="247"/>
    </row>
    <row r="44" spans="2:13">
      <c r="B44" s="203"/>
      <c r="C44" s="204"/>
      <c r="D44" s="28"/>
      <c r="E44" s="28"/>
      <c r="F44" s="28"/>
      <c r="G44" s="28"/>
      <c r="H44" s="28"/>
      <c r="I44" s="28"/>
      <c r="J44" s="28"/>
      <c r="K44" s="247"/>
    </row>
    <row r="45" spans="2:13">
      <c r="B45" s="203"/>
      <c r="C45" s="205"/>
      <c r="D45" s="28"/>
      <c r="E45" s="28"/>
      <c r="F45" s="28"/>
      <c r="G45" s="28"/>
      <c r="H45" s="28"/>
      <c r="I45" s="28"/>
      <c r="J45" s="28"/>
      <c r="K45" s="247"/>
    </row>
    <row r="46" spans="2:13">
      <c r="B46" s="28"/>
      <c r="C46" s="35"/>
      <c r="D46" s="28"/>
      <c r="E46" s="28"/>
      <c r="F46" s="28"/>
      <c r="G46" s="28"/>
      <c r="H46" s="28"/>
      <c r="I46" s="28"/>
      <c r="J46" s="28"/>
      <c r="K46" s="247"/>
    </row>
    <row r="47" spans="2:13">
      <c r="B47" s="14" t="s">
        <v>268</v>
      </c>
      <c r="C47" s="252">
        <v>195000000</v>
      </c>
      <c r="D47" s="28"/>
      <c r="E47" s="28"/>
      <c r="F47" s="28"/>
      <c r="G47" s="28"/>
      <c r="H47" s="28"/>
      <c r="I47" s="28"/>
      <c r="J47" s="28"/>
      <c r="K47" s="247"/>
    </row>
    <row r="48" spans="2:13" ht="15.75" thickBot="1">
      <c r="B48" s="207" t="s">
        <v>284</v>
      </c>
      <c r="C48" s="269">
        <f>(C43/C47)*1000000000</f>
        <v>651508.37258078624</v>
      </c>
      <c r="D48" s="28"/>
      <c r="E48" s="28"/>
      <c r="F48" s="28"/>
      <c r="G48" s="28"/>
      <c r="H48" s="28"/>
      <c r="I48" s="247"/>
      <c r="J48" s="247"/>
      <c r="K48" s="28"/>
    </row>
    <row r="49" spans="2:11">
      <c r="B49" s="247"/>
      <c r="C49" s="247"/>
      <c r="D49" s="247"/>
      <c r="E49" s="247"/>
      <c r="F49" s="247"/>
      <c r="G49" s="247"/>
      <c r="H49" s="247"/>
      <c r="I49" s="247"/>
      <c r="J49" s="247"/>
      <c r="K49" s="247"/>
    </row>
    <row r="50" spans="2:11">
      <c r="B50" s="28"/>
      <c r="C50" s="28"/>
      <c r="D50" s="28"/>
      <c r="E50" s="28"/>
      <c r="F50" s="28"/>
      <c r="G50" s="28"/>
      <c r="H50" s="28"/>
      <c r="I50" s="28"/>
      <c r="J50" s="28"/>
      <c r="K50" s="28"/>
    </row>
  </sheetData>
  <mergeCells count="2">
    <mergeCell ref="D25:K25"/>
    <mergeCell ref="C26:J2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2:M50"/>
  <sheetViews>
    <sheetView topLeftCell="A4" workbookViewId="0">
      <selection activeCell="B43" sqref="B43:C48"/>
    </sheetView>
  </sheetViews>
  <sheetFormatPr defaultRowHeight="15"/>
  <cols>
    <col min="2" max="2" width="30.7109375" bestFit="1" customWidth="1"/>
    <col min="3" max="3" width="13.28515625" bestFit="1" customWidth="1"/>
    <col min="11" max="11" width="12.42578125" bestFit="1" customWidth="1"/>
  </cols>
  <sheetData>
    <row r="2" spans="2:11">
      <c r="B2" s="28"/>
      <c r="C2" s="28"/>
      <c r="D2" s="28"/>
      <c r="E2" s="28"/>
      <c r="F2" s="28"/>
      <c r="G2" s="28"/>
      <c r="H2" s="28"/>
      <c r="I2" s="28"/>
      <c r="J2" s="28"/>
      <c r="K2" s="28"/>
    </row>
    <row r="3" spans="2:11">
      <c r="B3" s="28"/>
      <c r="C3" s="28">
        <v>2011</v>
      </c>
      <c r="D3" s="28">
        <v>2012</v>
      </c>
      <c r="E3" s="28">
        <v>2013</v>
      </c>
      <c r="F3" s="28">
        <v>2014</v>
      </c>
      <c r="G3" s="28">
        <v>2015</v>
      </c>
      <c r="H3" s="28">
        <v>2016</v>
      </c>
      <c r="I3" s="28">
        <v>2017</v>
      </c>
      <c r="J3" s="28">
        <v>2018</v>
      </c>
      <c r="K3" s="28">
        <v>2019</v>
      </c>
    </row>
    <row r="4" spans="2:11" ht="15.75">
      <c r="B4" s="110" t="s">
        <v>91</v>
      </c>
      <c r="C4" s="221">
        <v>189.8</v>
      </c>
      <c r="D4" s="221">
        <v>221.8</v>
      </c>
      <c r="E4" s="221">
        <v>184.8</v>
      </c>
      <c r="F4" s="221">
        <v>164.1</v>
      </c>
      <c r="G4" s="221">
        <v>282.5</v>
      </c>
      <c r="H4" s="221">
        <v>333</v>
      </c>
      <c r="I4" s="221">
        <v>387.59999999999997</v>
      </c>
      <c r="J4" s="221">
        <v>479.11999999999989</v>
      </c>
      <c r="K4" s="221">
        <v>580.94399999999985</v>
      </c>
    </row>
    <row r="5" spans="2:11" ht="15.75">
      <c r="B5" s="108" t="s">
        <v>93</v>
      </c>
      <c r="C5" s="221">
        <v>2</v>
      </c>
      <c r="D5" s="221">
        <v>2.6</v>
      </c>
      <c r="E5" s="221">
        <v>2.8</v>
      </c>
      <c r="F5" s="221">
        <v>3.6</v>
      </c>
      <c r="G5" s="221">
        <v>4</v>
      </c>
      <c r="H5" s="221">
        <v>4.5</v>
      </c>
      <c r="I5" s="221">
        <v>5</v>
      </c>
      <c r="J5" s="221">
        <v>5.5</v>
      </c>
      <c r="K5" s="221">
        <v>6</v>
      </c>
    </row>
    <row r="6" spans="2:11" ht="15.75">
      <c r="B6" s="108" t="s">
        <v>258</v>
      </c>
      <c r="C6" s="221"/>
      <c r="D6" s="221"/>
      <c r="E6" s="221"/>
      <c r="F6" s="221"/>
      <c r="G6" s="221"/>
      <c r="H6" s="28">
        <f>H4*0.01</f>
        <v>3.33</v>
      </c>
      <c r="I6" s="28">
        <f t="shared" ref="I6:K6" si="0">I4*0.01</f>
        <v>3.8759999999999999</v>
      </c>
      <c r="J6" s="28">
        <f t="shared" si="0"/>
        <v>4.791199999999999</v>
      </c>
      <c r="K6" s="28">
        <f t="shared" si="0"/>
        <v>5.8094399999999986</v>
      </c>
    </row>
    <row r="7" spans="2:11" ht="15.75">
      <c r="B7" s="108" t="s">
        <v>94</v>
      </c>
      <c r="C7" s="221">
        <v>4.7</v>
      </c>
      <c r="D7" s="221">
        <v>3.5</v>
      </c>
      <c r="E7" s="221">
        <v>3.4</v>
      </c>
      <c r="F7" s="221">
        <v>6.9</v>
      </c>
      <c r="G7" s="221">
        <v>6.25</v>
      </c>
      <c r="H7" s="221">
        <v>6.9</v>
      </c>
      <c r="I7" s="221">
        <v>7.55</v>
      </c>
      <c r="J7" s="221">
        <v>8.1999999999999993</v>
      </c>
      <c r="K7" s="221">
        <v>8.85</v>
      </c>
    </row>
    <row r="8" spans="2:11" ht="15.75">
      <c r="B8" s="110" t="s">
        <v>95</v>
      </c>
      <c r="C8" s="221">
        <v>196.4</v>
      </c>
      <c r="D8" s="221">
        <v>227.9</v>
      </c>
      <c r="E8" s="221">
        <v>191</v>
      </c>
      <c r="F8" s="221">
        <v>174.7</v>
      </c>
      <c r="G8" s="221">
        <f>G4+G5-G6+G7</f>
        <v>292.75</v>
      </c>
      <c r="H8" s="221">
        <f t="shared" ref="H8:K8" si="1">H4+H5-H6+H7</f>
        <v>341.07</v>
      </c>
      <c r="I8" s="221">
        <f t="shared" si="1"/>
        <v>396.274</v>
      </c>
      <c r="J8" s="221">
        <f t="shared" si="1"/>
        <v>488.02879999999988</v>
      </c>
      <c r="K8" s="221">
        <f t="shared" si="1"/>
        <v>589.98455999999987</v>
      </c>
    </row>
    <row r="9" spans="2:11" ht="15.75">
      <c r="B9" s="108" t="s">
        <v>96</v>
      </c>
      <c r="C9" s="221">
        <v>72.7</v>
      </c>
      <c r="D9" s="221">
        <v>89.1</v>
      </c>
      <c r="E9" s="221">
        <v>70.3</v>
      </c>
      <c r="F9" s="221">
        <v>62.8</v>
      </c>
      <c r="G9" s="221">
        <f>G8*(1-0.7)</f>
        <v>87.825000000000017</v>
      </c>
      <c r="H9" s="221">
        <f t="shared" ref="H9:K9" si="2">H8*(1-0.7)</f>
        <v>102.32100000000001</v>
      </c>
      <c r="I9" s="221">
        <f t="shared" si="2"/>
        <v>118.88220000000001</v>
      </c>
      <c r="J9" s="221">
        <f t="shared" si="2"/>
        <v>146.40863999999999</v>
      </c>
      <c r="K9" s="221">
        <f t="shared" si="2"/>
        <v>176.99536799999998</v>
      </c>
    </row>
    <row r="10" spans="2:11" ht="15.75">
      <c r="B10" s="108" t="s">
        <v>97</v>
      </c>
      <c r="C10" s="111">
        <v>-0.7</v>
      </c>
      <c r="D10" s="111">
        <v>-0.6</v>
      </c>
      <c r="E10" s="111">
        <v>-0.5</v>
      </c>
      <c r="F10" s="111">
        <v>-0.6</v>
      </c>
      <c r="G10" s="111">
        <v>-0.5</v>
      </c>
      <c r="H10" s="111">
        <v>-0.46</v>
      </c>
      <c r="I10" s="111">
        <v>-0.42</v>
      </c>
      <c r="J10" s="111">
        <v>-0.38</v>
      </c>
      <c r="K10" s="111">
        <v>-0.34</v>
      </c>
    </row>
    <row r="11" spans="2:11" ht="15.75">
      <c r="B11" s="110" t="s">
        <v>98</v>
      </c>
      <c r="C11" s="221">
        <v>123.1</v>
      </c>
      <c r="D11" s="221">
        <v>138.19999999999999</v>
      </c>
      <c r="E11" s="221">
        <v>120.3</v>
      </c>
      <c r="F11" s="221">
        <v>111.2</v>
      </c>
      <c r="G11" s="221">
        <v>204.42499999999998</v>
      </c>
      <c r="H11" s="221">
        <v>203.15249999999997</v>
      </c>
      <c r="I11" s="221">
        <v>195.42687500000002</v>
      </c>
      <c r="J11" s="221">
        <v>202.27896875000005</v>
      </c>
      <c r="K11" s="221">
        <v>202.91616718750006</v>
      </c>
    </row>
    <row r="12" spans="2:11">
      <c r="B12" s="28"/>
      <c r="C12" s="28"/>
      <c r="D12" s="28"/>
      <c r="E12" s="28"/>
      <c r="F12" s="28"/>
      <c r="G12" s="28"/>
      <c r="H12" s="28"/>
      <c r="I12" s="28"/>
      <c r="J12" s="28"/>
      <c r="K12" s="28"/>
    </row>
    <row r="13" spans="2:11">
      <c r="B13" s="28"/>
      <c r="C13" s="28"/>
      <c r="D13" s="28"/>
      <c r="E13" s="28"/>
      <c r="F13" s="28"/>
      <c r="G13" s="28"/>
      <c r="H13" s="28"/>
      <c r="I13" s="28"/>
      <c r="J13" s="28"/>
      <c r="K13" s="28"/>
    </row>
    <row r="14" spans="2:11">
      <c r="B14" s="28"/>
      <c r="C14" s="28"/>
      <c r="D14" s="28"/>
      <c r="E14" s="28"/>
      <c r="F14" s="28"/>
      <c r="G14" s="28"/>
      <c r="H14" s="28"/>
      <c r="I14" s="28"/>
      <c r="J14" s="28"/>
      <c r="K14" s="28"/>
    </row>
    <row r="15" spans="2:11">
      <c r="B15" s="28"/>
      <c r="C15" s="28"/>
      <c r="D15" s="28"/>
      <c r="E15" s="28"/>
      <c r="F15" s="28"/>
      <c r="G15" s="28"/>
      <c r="H15" s="28"/>
      <c r="I15" s="28"/>
      <c r="J15" s="28"/>
      <c r="K15" s="28"/>
    </row>
    <row r="16" spans="2:11">
      <c r="B16" s="28" t="s">
        <v>8</v>
      </c>
      <c r="C16" s="28">
        <v>2014</v>
      </c>
      <c r="D16" s="28"/>
      <c r="E16" s="28"/>
      <c r="F16" s="28"/>
      <c r="G16" s="28"/>
      <c r="H16" s="28"/>
      <c r="I16" s="28"/>
      <c r="J16" s="28"/>
      <c r="K16" s="28"/>
    </row>
    <row r="17" spans="2:13">
      <c r="B17" s="28" t="s">
        <v>9</v>
      </c>
      <c r="C17" s="225">
        <v>0.03</v>
      </c>
      <c r="D17" s="225"/>
      <c r="E17" s="225"/>
      <c r="F17" s="225"/>
      <c r="G17" s="225"/>
      <c r="H17" s="225"/>
      <c r="I17" s="28"/>
      <c r="J17" s="28"/>
      <c r="K17" s="28"/>
    </row>
    <row r="18" spans="2:13">
      <c r="B18" s="28" t="s">
        <v>10</v>
      </c>
      <c r="C18" s="225">
        <v>7.5999999999999998E-2</v>
      </c>
      <c r="D18" s="28"/>
      <c r="E18" s="28"/>
      <c r="F18" s="28"/>
      <c r="G18" s="28"/>
      <c r="H18" s="28"/>
      <c r="I18" s="28"/>
      <c r="J18" s="28"/>
      <c r="K18" s="28"/>
    </row>
    <row r="19" spans="2:13">
      <c r="B19" s="28" t="s">
        <v>11</v>
      </c>
      <c r="C19" s="225">
        <v>0.3</v>
      </c>
      <c r="D19" s="28"/>
      <c r="E19" s="28"/>
      <c r="F19" s="28"/>
      <c r="G19" s="28"/>
      <c r="H19" s="28"/>
      <c r="I19" s="28"/>
      <c r="J19" s="28"/>
      <c r="K19" s="28"/>
    </row>
    <row r="20" spans="2:13">
      <c r="B20" s="28" t="s">
        <v>12</v>
      </c>
      <c r="C20" s="225">
        <v>0.5</v>
      </c>
      <c r="D20" s="28"/>
      <c r="E20" s="28"/>
      <c r="F20" s="28"/>
      <c r="G20" s="28"/>
      <c r="H20" s="28"/>
      <c r="I20" s="28"/>
      <c r="J20" s="28"/>
      <c r="K20" s="28"/>
    </row>
    <row r="21" spans="2:13">
      <c r="B21" s="28" t="s">
        <v>267</v>
      </c>
      <c r="C21" s="225">
        <v>0.2</v>
      </c>
      <c r="D21" s="226"/>
      <c r="E21" s="226"/>
      <c r="F21" s="226"/>
      <c r="G21" s="226"/>
      <c r="H21" s="226"/>
      <c r="I21" s="226"/>
      <c r="J21" s="28"/>
      <c r="K21" s="28"/>
    </row>
    <row r="22" spans="2:13">
      <c r="B22" s="28" t="s">
        <v>13</v>
      </c>
      <c r="C22" s="225">
        <v>0.2</v>
      </c>
      <c r="D22" s="28"/>
      <c r="E22" s="28"/>
      <c r="F22" s="28"/>
      <c r="G22" s="28"/>
      <c r="H22" s="28"/>
      <c r="I22" s="28"/>
      <c r="J22" s="28"/>
      <c r="K22" s="28"/>
    </row>
    <row r="23" spans="2:13">
      <c r="B23" s="28" t="s">
        <v>19</v>
      </c>
      <c r="C23" s="267">
        <v>2.9000000000000001E-2</v>
      </c>
      <c r="D23" s="28"/>
      <c r="E23" s="28"/>
      <c r="F23" s="28"/>
      <c r="G23" s="28"/>
      <c r="H23" s="28"/>
      <c r="I23" s="28"/>
      <c r="J23" s="28"/>
      <c r="K23" s="28"/>
    </row>
    <row r="24" spans="2:13">
      <c r="B24" s="28"/>
      <c r="C24" s="28"/>
      <c r="D24" s="28"/>
      <c r="E24" s="28"/>
      <c r="F24" s="28"/>
      <c r="G24" s="28"/>
      <c r="H24" s="28"/>
      <c r="I24" s="28"/>
      <c r="J24" s="28"/>
      <c r="K24" s="28"/>
    </row>
    <row r="25" spans="2:13" ht="15.75" thickBot="1">
      <c r="B25" s="228"/>
      <c r="C25" s="228"/>
      <c r="D25" s="298"/>
      <c r="E25" s="298"/>
      <c r="F25" s="298"/>
      <c r="G25" s="298"/>
      <c r="H25" s="298"/>
      <c r="I25" s="298"/>
      <c r="J25" s="298"/>
      <c r="K25" s="298"/>
    </row>
    <row r="26" spans="2:13">
      <c r="B26" s="229" t="s">
        <v>14</v>
      </c>
      <c r="C26" s="295" t="s">
        <v>15</v>
      </c>
      <c r="D26" s="299"/>
      <c r="E26" s="299"/>
      <c r="F26" s="299"/>
      <c r="G26" s="299"/>
      <c r="H26" s="299"/>
      <c r="I26" s="299"/>
      <c r="J26" s="300"/>
      <c r="K26" s="33" t="s">
        <v>17</v>
      </c>
    </row>
    <row r="27" spans="2:13" ht="15.75" thickBot="1">
      <c r="B27" s="230"/>
      <c r="C27" s="23"/>
      <c r="D27" s="24"/>
      <c r="E27" s="24">
        <v>2015</v>
      </c>
      <c r="F27" s="24">
        <v>2016</v>
      </c>
      <c r="G27" s="24"/>
      <c r="H27" s="24">
        <v>2017</v>
      </c>
      <c r="I27" s="24">
        <v>2018</v>
      </c>
      <c r="J27" s="24">
        <v>2019</v>
      </c>
      <c r="K27" s="231"/>
    </row>
    <row r="28" spans="2:13" ht="15.75">
      <c r="B28" s="232" t="s">
        <v>270</v>
      </c>
      <c r="C28" s="233"/>
      <c r="D28" s="214"/>
      <c r="E28" s="221">
        <v>204.42499999999998</v>
      </c>
      <c r="F28" s="221">
        <v>203.15249999999997</v>
      </c>
      <c r="G28" s="209" t="s">
        <v>270</v>
      </c>
      <c r="H28" s="270">
        <v>195.42687500000002</v>
      </c>
      <c r="I28" s="221">
        <v>202.27896875000005</v>
      </c>
      <c r="J28" s="221">
        <v>202.91616718750006</v>
      </c>
      <c r="K28" s="234"/>
      <c r="L28">
        <v>201.63990218750001</v>
      </c>
      <c r="M28">
        <v>3.5596238292021614</v>
      </c>
    </row>
    <row r="29" spans="2:13" ht="48.75" customHeight="1">
      <c r="B29" s="232" t="s">
        <v>271</v>
      </c>
      <c r="C29" s="233"/>
      <c r="D29" s="213"/>
      <c r="E29" s="209">
        <v>144.1</v>
      </c>
      <c r="F29" s="209">
        <v>16.920000000000002</v>
      </c>
      <c r="G29" s="232" t="s">
        <v>271</v>
      </c>
      <c r="H29" s="210">
        <v>20.303999999999998</v>
      </c>
      <c r="I29" s="210">
        <v>24.364799999999995</v>
      </c>
      <c r="J29" s="210">
        <v>29.237759999999994</v>
      </c>
      <c r="K29" s="235"/>
    </row>
    <row r="30" spans="2:13">
      <c r="B30" s="232" t="s">
        <v>272</v>
      </c>
      <c r="C30" s="233"/>
      <c r="D30" s="214"/>
      <c r="E30" s="211">
        <v>-293.89999999999998</v>
      </c>
      <c r="F30" s="211">
        <v>126.89999999999998</v>
      </c>
      <c r="G30" s="211"/>
      <c r="H30" s="209">
        <v>152.27999999999997</v>
      </c>
      <c r="I30" s="209">
        <v>182.73599999999999</v>
      </c>
      <c r="J30" s="212">
        <v>219.28319999999985</v>
      </c>
      <c r="K30" s="235"/>
    </row>
    <row r="31" spans="2:13">
      <c r="B31" s="232" t="s">
        <v>263</v>
      </c>
      <c r="C31" s="233"/>
      <c r="D31" s="213"/>
      <c r="E31" s="213"/>
      <c r="F31" s="213">
        <v>80</v>
      </c>
      <c r="G31" s="232" t="s">
        <v>263</v>
      </c>
      <c r="H31" s="268">
        <v>70</v>
      </c>
      <c r="I31" s="213">
        <v>65</v>
      </c>
      <c r="J31" s="213">
        <v>50</v>
      </c>
      <c r="K31" s="236"/>
    </row>
    <row r="32" spans="2:13">
      <c r="B32" s="232" t="s">
        <v>273</v>
      </c>
      <c r="C32" s="233"/>
      <c r="D32" s="214"/>
      <c r="E32" s="214"/>
      <c r="F32" s="209">
        <v>4</v>
      </c>
      <c r="G32" s="209"/>
      <c r="H32" s="209">
        <v>7.5</v>
      </c>
      <c r="I32" s="209">
        <v>11</v>
      </c>
      <c r="J32" s="209">
        <v>13.5</v>
      </c>
      <c r="K32" s="237"/>
    </row>
    <row r="33" spans="2:11">
      <c r="B33" s="232" t="s">
        <v>2</v>
      </c>
      <c r="C33" s="233"/>
      <c r="D33" s="214"/>
      <c r="E33" s="102">
        <v>27.660000000000004</v>
      </c>
      <c r="F33" s="102">
        <v>29.352000000000004</v>
      </c>
      <c r="G33" s="232" t="s">
        <v>2</v>
      </c>
      <c r="H33" s="210">
        <v>31.382400000000004</v>
      </c>
      <c r="I33" s="209">
        <v>33.81888</v>
      </c>
      <c r="J33" s="209">
        <v>36.742656000000004</v>
      </c>
      <c r="K33" s="237"/>
    </row>
    <row r="34" spans="2:11">
      <c r="B34" s="232"/>
      <c r="C34" s="233"/>
      <c r="D34" s="214"/>
      <c r="E34" s="214"/>
      <c r="F34" s="214"/>
      <c r="G34" s="214"/>
      <c r="H34" s="214"/>
      <c r="I34" s="214"/>
      <c r="J34" s="238"/>
      <c r="K34" s="237"/>
    </row>
    <row r="35" spans="2:11">
      <c r="B35" s="239"/>
      <c r="C35" s="240"/>
      <c r="D35" s="241"/>
      <c r="E35" s="241"/>
      <c r="F35" s="241"/>
      <c r="G35" s="241"/>
      <c r="H35" s="241"/>
      <c r="I35" s="241"/>
      <c r="J35" s="242"/>
      <c r="K35" s="243"/>
    </row>
    <row r="36" spans="2:11" ht="15.75" thickBot="1">
      <c r="B36" s="244"/>
      <c r="C36" s="245"/>
      <c r="D36" s="246"/>
      <c r="E36" s="246"/>
      <c r="F36" s="246"/>
      <c r="G36" s="246"/>
      <c r="H36" s="246"/>
      <c r="I36" s="246"/>
      <c r="J36" s="246"/>
      <c r="K36" s="247"/>
    </row>
    <row r="37" spans="2:11">
      <c r="B37" s="248"/>
      <c r="C37" s="28"/>
      <c r="D37" s="28"/>
      <c r="E37" s="249"/>
      <c r="F37" s="249"/>
      <c r="G37" s="249"/>
      <c r="H37" s="249"/>
      <c r="I37" s="249"/>
      <c r="J37" s="249"/>
      <c r="K37" s="247"/>
    </row>
    <row r="38" spans="2:11">
      <c r="B38" s="248"/>
      <c r="C38" s="28"/>
      <c r="D38" s="28"/>
      <c r="E38" s="250"/>
      <c r="F38" s="250"/>
      <c r="G38" s="250"/>
      <c r="H38" s="250"/>
      <c r="I38" s="250"/>
      <c r="J38" s="250"/>
      <c r="K38" s="247"/>
    </row>
    <row r="39" spans="2:11">
      <c r="B39" s="248" t="s">
        <v>275</v>
      </c>
      <c r="C39" s="28"/>
      <c r="D39" s="251"/>
      <c r="E39" s="251">
        <f>E28-E29-E30+E31-E32+E33</f>
        <v>381.88499999999999</v>
      </c>
      <c r="F39" s="251">
        <f t="shared" ref="F39" si="3">F28-F29-F30+F31-F32+F33</f>
        <v>164.68449999999999</v>
      </c>
      <c r="G39" s="251"/>
      <c r="H39" s="251">
        <f>H28-H29-H30+H31-H32+H33</f>
        <v>116.72527500000005</v>
      </c>
      <c r="I39" s="251">
        <f>I28-I29-I30+I31-I32+I33</f>
        <v>82.997048750000062</v>
      </c>
      <c r="J39" s="251">
        <f>J28-J29-J30+J31-J32+J33</f>
        <v>27.637863187500209</v>
      </c>
      <c r="K39" s="247"/>
    </row>
    <row r="40" spans="2:11">
      <c r="B40" s="248" t="s">
        <v>18</v>
      </c>
      <c r="C40" s="28"/>
      <c r="D40" s="249"/>
      <c r="E40" s="249">
        <f>E39/(1+$B$2)^1</f>
        <v>381.88499999999999</v>
      </c>
      <c r="F40" s="249">
        <f>F39/(1+$B$2)^2</f>
        <v>164.68449999999999</v>
      </c>
      <c r="G40" s="249"/>
      <c r="H40" s="249">
        <f>H39/(1+$B$2)^3</f>
        <v>116.72527500000005</v>
      </c>
      <c r="I40" s="249">
        <f>I39/(1+$B$2)^4</f>
        <v>82.997048750000062</v>
      </c>
      <c r="J40" s="249">
        <f>J39/(1+$B$2)^5</f>
        <v>27.637863187500209</v>
      </c>
      <c r="K40" s="241">
        <f>((J39*(1+C23))/(C17-C23))/(1+C17)^5</f>
        <v>24532.042810592673</v>
      </c>
    </row>
    <row r="41" spans="2:11">
      <c r="B41" s="248"/>
      <c r="C41" s="28"/>
      <c r="D41" s="28"/>
      <c r="E41" s="28"/>
      <c r="F41" s="28"/>
      <c r="G41" s="28"/>
      <c r="H41" s="28"/>
      <c r="I41" s="28"/>
      <c r="J41" s="28"/>
      <c r="K41" s="247"/>
    </row>
    <row r="42" spans="2:11" ht="15.75" thickBot="1">
      <c r="B42" s="28"/>
      <c r="C42" s="28"/>
      <c r="D42" s="28"/>
      <c r="E42" s="28"/>
      <c r="F42" s="28"/>
      <c r="G42" s="28"/>
      <c r="H42" s="28"/>
      <c r="I42" s="28"/>
      <c r="J42" s="28"/>
      <c r="K42" s="247"/>
    </row>
    <row r="43" spans="2:11">
      <c r="B43" s="206" t="s">
        <v>16</v>
      </c>
      <c r="C43" s="202">
        <f>SUM(E40:K40)</f>
        <v>25305.972497530172</v>
      </c>
      <c r="D43" s="28"/>
      <c r="E43" s="28"/>
      <c r="F43" s="28"/>
      <c r="G43" s="28"/>
      <c r="H43" s="28"/>
      <c r="I43" s="28"/>
      <c r="J43" s="28"/>
      <c r="K43" s="247"/>
    </row>
    <row r="44" spans="2:11">
      <c r="B44" s="203"/>
      <c r="C44" s="204"/>
      <c r="D44" s="28"/>
      <c r="E44" s="28"/>
      <c r="F44" s="28"/>
      <c r="G44" s="28"/>
      <c r="H44" s="28"/>
      <c r="I44" s="28"/>
      <c r="J44" s="28"/>
      <c r="K44" s="247"/>
    </row>
    <row r="45" spans="2:11">
      <c r="B45" s="203"/>
      <c r="C45" s="205"/>
      <c r="D45" s="28"/>
      <c r="E45" s="28"/>
      <c r="F45" s="28"/>
      <c r="G45" s="28"/>
      <c r="H45" s="28"/>
      <c r="I45" s="28"/>
      <c r="J45" s="28"/>
      <c r="K45" s="247"/>
    </row>
    <row r="46" spans="2:11">
      <c r="B46" s="28"/>
      <c r="C46" s="35"/>
      <c r="D46" s="28"/>
      <c r="E46" s="28"/>
      <c r="F46" s="28"/>
      <c r="G46" s="28"/>
      <c r="H46" s="28"/>
      <c r="I46" s="28"/>
      <c r="J46" s="28"/>
      <c r="K46" s="247"/>
    </row>
    <row r="47" spans="2:11">
      <c r="B47" s="14" t="s">
        <v>268</v>
      </c>
      <c r="C47" s="252">
        <f>195000000-12000000</f>
        <v>183000000</v>
      </c>
      <c r="D47" s="28"/>
      <c r="E47" s="28"/>
      <c r="F47" s="28"/>
      <c r="G47" s="28"/>
      <c r="H47" s="28"/>
      <c r="I47" s="28"/>
      <c r="J47" s="28"/>
      <c r="K47" s="247"/>
    </row>
    <row r="48" spans="2:11" ht="15.75" thickBot="1">
      <c r="B48" s="207" t="s">
        <v>288</v>
      </c>
      <c r="C48" s="269">
        <f>(C43/C47)*1000000000</f>
        <v>138284.0027187441</v>
      </c>
      <c r="D48" s="28"/>
      <c r="E48" s="28"/>
      <c r="F48" s="28"/>
      <c r="G48" s="28"/>
      <c r="H48" s="28"/>
      <c r="I48" s="247"/>
      <c r="J48" s="247"/>
      <c r="K48" s="28"/>
    </row>
    <row r="49" spans="2:11">
      <c r="B49" s="247"/>
      <c r="C49" s="247"/>
      <c r="D49" s="247"/>
      <c r="E49" s="247"/>
      <c r="F49" s="247"/>
      <c r="G49" s="247"/>
      <c r="H49" s="247"/>
      <c r="I49" s="247"/>
      <c r="J49" s="247"/>
      <c r="K49" s="247"/>
    </row>
    <row r="50" spans="2:11">
      <c r="B50" s="28"/>
      <c r="C50" s="28"/>
      <c r="D50" s="28"/>
      <c r="E50" s="28"/>
      <c r="F50" s="28"/>
      <c r="G50" s="28"/>
      <c r="H50" s="28"/>
      <c r="I50" s="28"/>
      <c r="J50" s="28"/>
      <c r="K50" s="28"/>
    </row>
  </sheetData>
  <mergeCells count="2">
    <mergeCell ref="D25:K25"/>
    <mergeCell ref="C26:J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2:U55"/>
  <sheetViews>
    <sheetView topLeftCell="A35" workbookViewId="0">
      <selection activeCell="K36" sqref="K36"/>
    </sheetView>
  </sheetViews>
  <sheetFormatPr defaultRowHeight="15"/>
  <cols>
    <col min="1" max="1" width="9.140625" style="28"/>
    <col min="2" max="2" width="31" style="28" bestFit="1" customWidth="1"/>
    <col min="3" max="3" width="9" style="28" bestFit="1" customWidth="1"/>
    <col min="4" max="4" width="10.140625" style="28" bestFit="1" customWidth="1"/>
    <col min="5" max="5" width="9" style="28" bestFit="1" customWidth="1"/>
    <col min="6" max="6" width="11.28515625" style="28" customWidth="1"/>
    <col min="7" max="10" width="9.140625" style="28"/>
    <col min="11" max="11" width="10" style="28" bestFit="1" customWidth="1"/>
    <col min="12" max="14" width="9.140625" style="28"/>
    <col min="15" max="15" width="25.140625" style="28" bestFit="1" customWidth="1"/>
    <col min="16" max="16384" width="9.140625" style="28"/>
  </cols>
  <sheetData>
    <row r="2" spans="2:21">
      <c r="F2" s="28" t="s">
        <v>260</v>
      </c>
      <c r="G2" s="28">
        <f>G3-G7</f>
        <v>235</v>
      </c>
      <c r="H2" s="28">
        <f t="shared" ref="H2:K2" si="0">H3-H7</f>
        <v>44.527499999999918</v>
      </c>
      <c r="I2" s="28">
        <f t="shared" si="0"/>
        <v>5.0768750000002001</v>
      </c>
      <c r="J2" s="28">
        <f t="shared" si="0"/>
        <v>-26.141031249999969</v>
      </c>
      <c r="K2" s="28">
        <f t="shared" si="0"/>
        <v>-71.187832812499664</v>
      </c>
    </row>
    <row r="3" spans="2:21" ht="15.75" thickBot="1">
      <c r="F3" s="28" t="s">
        <v>259</v>
      </c>
      <c r="G3" s="98">
        <f>F7+'Income statement buy'!H18</f>
        <v>1028.125</v>
      </c>
      <c r="H3" s="98">
        <f>G7+'Income statement buy'!I18</f>
        <v>996.27749999999992</v>
      </c>
      <c r="I3" s="98">
        <f>H7+'Income statement buy'!J18</f>
        <v>1147.1768750000001</v>
      </c>
      <c r="J3" s="98">
        <f>I7+'Income statement buy'!K18</f>
        <v>1344.37896875</v>
      </c>
      <c r="K3" s="98">
        <f>J7+'Income statement buy'!L18</f>
        <v>1573.4361671875001</v>
      </c>
    </row>
    <row r="4" spans="2:21" ht="16.5" thickBot="1">
      <c r="B4" s="169"/>
      <c r="C4" s="276" t="s">
        <v>87</v>
      </c>
      <c r="D4" s="276"/>
      <c r="E4" s="276"/>
      <c r="F4" s="276"/>
      <c r="G4" s="103"/>
      <c r="H4" s="103"/>
      <c r="I4" s="103"/>
      <c r="J4" s="103"/>
      <c r="K4" s="103"/>
      <c r="L4" s="103"/>
      <c r="M4" s="103"/>
      <c r="O4" s="120"/>
      <c r="P4" s="223" t="s">
        <v>189</v>
      </c>
      <c r="Q4" s="122"/>
      <c r="R4" s="277" t="s">
        <v>190</v>
      </c>
      <c r="S4" s="277"/>
      <c r="T4" s="122"/>
      <c r="U4" s="123"/>
    </row>
    <row r="5" spans="2:21" ht="16.5" thickBot="1">
      <c r="B5" s="170" t="s">
        <v>155</v>
      </c>
      <c r="C5" s="171">
        <v>2011</v>
      </c>
      <c r="D5" s="171">
        <v>2012</v>
      </c>
      <c r="E5" s="171">
        <v>2013</v>
      </c>
      <c r="F5" s="171">
        <v>2014</v>
      </c>
      <c r="G5" s="104">
        <v>2015</v>
      </c>
      <c r="H5" s="104">
        <v>2016</v>
      </c>
      <c r="I5" s="104">
        <v>2017</v>
      </c>
      <c r="J5" s="104">
        <v>2018</v>
      </c>
      <c r="K5" s="104">
        <v>2019</v>
      </c>
      <c r="L5" s="104"/>
      <c r="M5" s="104"/>
      <c r="O5" s="124" t="s">
        <v>155</v>
      </c>
      <c r="P5" s="125" t="s">
        <v>191</v>
      </c>
      <c r="Q5" s="125" t="s">
        <v>192</v>
      </c>
      <c r="R5" s="125" t="s">
        <v>193</v>
      </c>
      <c r="S5" s="125" t="s">
        <v>194</v>
      </c>
      <c r="T5" s="125" t="s">
        <v>195</v>
      </c>
      <c r="U5" s="126" t="s">
        <v>196</v>
      </c>
    </row>
    <row r="6" spans="2:21" ht="15.75">
      <c r="B6" s="172" t="s">
        <v>156</v>
      </c>
      <c r="C6" s="29"/>
      <c r="D6" s="29"/>
      <c r="E6" s="29"/>
      <c r="F6" s="29"/>
      <c r="G6" s="89"/>
      <c r="H6" s="89"/>
      <c r="I6" s="89"/>
      <c r="J6" s="89"/>
      <c r="K6" s="89"/>
      <c r="L6" s="89"/>
      <c r="M6" s="89"/>
      <c r="O6" s="127" t="s">
        <v>215</v>
      </c>
      <c r="P6" s="128">
        <v>823.7</v>
      </c>
      <c r="Q6" s="128">
        <v>939.2</v>
      </c>
      <c r="R6" s="184">
        <v>1069.4000000000001</v>
      </c>
      <c r="S6" s="184">
        <v>1166.8</v>
      </c>
      <c r="T6" s="184">
        <v>1256.5</v>
      </c>
      <c r="U6" s="185">
        <v>1308.3</v>
      </c>
    </row>
    <row r="7" spans="2:21" ht="15.75">
      <c r="B7" s="110" t="s">
        <v>157</v>
      </c>
      <c r="C7" s="221">
        <v>583.5</v>
      </c>
      <c r="D7" s="221">
        <v>637.1</v>
      </c>
      <c r="E7" s="221">
        <v>727.8</v>
      </c>
      <c r="F7" s="221">
        <v>823.7</v>
      </c>
      <c r="G7" s="98">
        <f>G21*5</f>
        <v>793.125</v>
      </c>
      <c r="H7" s="98">
        <f t="shared" ref="H7:K7" si="1">H21*5</f>
        <v>951.75</v>
      </c>
      <c r="I7" s="98">
        <f t="shared" si="1"/>
        <v>1142.0999999999999</v>
      </c>
      <c r="J7" s="98">
        <f t="shared" si="1"/>
        <v>1370.52</v>
      </c>
      <c r="K7" s="98">
        <f t="shared" si="1"/>
        <v>1644.6239999999998</v>
      </c>
      <c r="L7" s="98"/>
      <c r="M7" s="98"/>
      <c r="O7" s="127" t="s">
        <v>5</v>
      </c>
      <c r="P7" s="184">
        <v>1343.9</v>
      </c>
      <c r="Q7" s="184">
        <v>1497.9</v>
      </c>
      <c r="R7" s="184">
        <v>1592.1</v>
      </c>
      <c r="S7" s="184">
        <v>1675.4</v>
      </c>
      <c r="T7" s="184">
        <v>1771.7</v>
      </c>
      <c r="U7" s="185">
        <v>1881.7</v>
      </c>
    </row>
    <row r="8" spans="2:21" ht="15.75">
      <c r="B8" s="110" t="s">
        <v>4</v>
      </c>
      <c r="C8" s="221">
        <v>77.5</v>
      </c>
      <c r="D8" s="221">
        <v>97</v>
      </c>
      <c r="E8" s="221">
        <v>79.7</v>
      </c>
      <c r="F8" s="221">
        <v>89.8</v>
      </c>
      <c r="G8" s="99"/>
      <c r="H8" s="99"/>
      <c r="I8" s="99"/>
      <c r="J8" s="99"/>
      <c r="K8" s="99"/>
      <c r="L8" s="99"/>
      <c r="M8" s="99"/>
      <c r="O8" s="127" t="s">
        <v>72</v>
      </c>
      <c r="P8" s="128" t="s">
        <v>163</v>
      </c>
      <c r="Q8" s="128" t="s">
        <v>163</v>
      </c>
      <c r="R8" s="128" t="s">
        <v>163</v>
      </c>
      <c r="S8" s="128" t="s">
        <v>163</v>
      </c>
      <c r="T8" s="128" t="s">
        <v>163</v>
      </c>
      <c r="U8" s="129" t="s">
        <v>163</v>
      </c>
    </row>
    <row r="9" spans="2:21" ht="15.75">
      <c r="B9" s="110" t="s">
        <v>158</v>
      </c>
      <c r="C9" s="221">
        <v>71.400000000000006</v>
      </c>
      <c r="D9" s="221">
        <v>86.6</v>
      </c>
      <c r="E9" s="221">
        <v>72.2</v>
      </c>
      <c r="F9" s="221">
        <v>87.5</v>
      </c>
      <c r="G9" s="99"/>
      <c r="H9" s="99"/>
      <c r="I9" s="99"/>
      <c r="J9" s="99"/>
      <c r="K9" s="99"/>
      <c r="L9" s="99"/>
      <c r="M9" s="99"/>
      <c r="O9" s="127" t="s">
        <v>173</v>
      </c>
      <c r="P9" s="128" t="s">
        <v>176</v>
      </c>
      <c r="Q9" s="128" t="s">
        <v>216</v>
      </c>
      <c r="R9" s="128" t="s">
        <v>217</v>
      </c>
      <c r="S9" s="128" t="s">
        <v>218</v>
      </c>
      <c r="T9" s="128" t="s">
        <v>219</v>
      </c>
      <c r="U9" s="129" t="s">
        <v>220</v>
      </c>
    </row>
    <row r="10" spans="2:21" ht="16.5" thickBot="1">
      <c r="B10" s="110" t="s">
        <v>159</v>
      </c>
      <c r="C10" s="173">
        <v>21.5</v>
      </c>
      <c r="D10" s="173">
        <v>28</v>
      </c>
      <c r="E10" s="173">
        <v>26.8</v>
      </c>
      <c r="F10" s="173">
        <v>26.9</v>
      </c>
      <c r="G10" s="98"/>
      <c r="H10" s="98"/>
      <c r="I10" s="98"/>
      <c r="J10" s="98"/>
      <c r="K10" s="98"/>
      <c r="L10" s="98"/>
      <c r="M10" s="98"/>
      <c r="O10" s="124" t="s">
        <v>221</v>
      </c>
      <c r="P10" s="29"/>
      <c r="Q10" s="29"/>
      <c r="R10" s="29"/>
      <c r="S10" s="29"/>
      <c r="T10" s="29"/>
      <c r="U10" s="112"/>
    </row>
    <row r="11" spans="2:21" ht="15.75">
      <c r="B11" s="174" t="s">
        <v>60</v>
      </c>
      <c r="C11" s="175">
        <v>754</v>
      </c>
      <c r="D11" s="175">
        <v>848.7</v>
      </c>
      <c r="E11" s="175">
        <v>906.4</v>
      </c>
      <c r="F11" s="176">
        <v>1027.8</v>
      </c>
      <c r="G11" s="100">
        <f>G7</f>
        <v>793.125</v>
      </c>
      <c r="H11" s="100">
        <f t="shared" ref="H11:K11" si="2">H7</f>
        <v>951.75</v>
      </c>
      <c r="I11" s="100">
        <f t="shared" si="2"/>
        <v>1142.0999999999999</v>
      </c>
      <c r="J11" s="100">
        <f t="shared" si="2"/>
        <v>1370.52</v>
      </c>
      <c r="K11" s="100">
        <f t="shared" si="2"/>
        <v>1644.6239999999998</v>
      </c>
      <c r="L11" s="100"/>
      <c r="M11" s="100"/>
      <c r="O11" s="127" t="s">
        <v>153</v>
      </c>
      <c r="P11" s="130">
        <v>0.36</v>
      </c>
      <c r="Q11" s="130">
        <v>0.32100000000000001</v>
      </c>
      <c r="R11" s="130">
        <v>0.317</v>
      </c>
      <c r="S11" s="130">
        <v>0.315</v>
      </c>
      <c r="T11" s="130">
        <v>0.32600000000000001</v>
      </c>
      <c r="U11" s="131">
        <v>0.32400000000000001</v>
      </c>
    </row>
    <row r="12" spans="2:21" ht="15.75">
      <c r="B12" s="110" t="s">
        <v>160</v>
      </c>
      <c r="C12" s="221">
        <v>207.1</v>
      </c>
      <c r="D12" s="221">
        <v>235.8</v>
      </c>
      <c r="E12" s="221">
        <v>264.8</v>
      </c>
      <c r="F12" s="221">
        <v>262.5</v>
      </c>
      <c r="G12" s="99">
        <f>F12+G32</f>
        <v>406.6</v>
      </c>
      <c r="H12" s="99">
        <f t="shared" ref="H12:K12" si="3">G12+H32</f>
        <v>423.52000000000004</v>
      </c>
      <c r="I12" s="99">
        <f t="shared" si="3"/>
        <v>443.82400000000001</v>
      </c>
      <c r="J12" s="99">
        <f t="shared" si="3"/>
        <v>468.18880000000001</v>
      </c>
      <c r="K12" s="99">
        <f t="shared" si="3"/>
        <v>497.42655999999999</v>
      </c>
      <c r="L12" s="99"/>
      <c r="M12" s="99"/>
      <c r="O12" s="127" t="s">
        <v>125</v>
      </c>
      <c r="P12" s="128" t="s">
        <v>129</v>
      </c>
      <c r="Q12" s="128" t="s">
        <v>222</v>
      </c>
      <c r="R12" s="128" t="s">
        <v>162</v>
      </c>
      <c r="S12" s="128" t="s">
        <v>223</v>
      </c>
      <c r="T12" s="128" t="s">
        <v>223</v>
      </c>
      <c r="U12" s="129" t="s">
        <v>223</v>
      </c>
    </row>
    <row r="13" spans="2:21" ht="15.75">
      <c r="B13" s="110" t="s">
        <v>161</v>
      </c>
      <c r="C13" s="221">
        <v>17</v>
      </c>
      <c r="D13" s="221">
        <v>12.3</v>
      </c>
      <c r="E13" s="221">
        <v>8.3000000000000007</v>
      </c>
      <c r="F13" s="221">
        <v>3.7</v>
      </c>
      <c r="G13" s="221">
        <v>3.7</v>
      </c>
      <c r="H13" s="221">
        <v>3.7</v>
      </c>
      <c r="I13" s="221">
        <v>3.7</v>
      </c>
      <c r="J13" s="221">
        <v>3.7</v>
      </c>
      <c r="K13" s="221">
        <v>3.7</v>
      </c>
      <c r="L13" s="99"/>
      <c r="M13" s="99"/>
      <c r="O13" s="127" t="s">
        <v>224</v>
      </c>
      <c r="P13" s="128" t="s">
        <v>225</v>
      </c>
      <c r="Q13" s="128" t="s">
        <v>226</v>
      </c>
      <c r="R13" s="132" t="s">
        <v>227</v>
      </c>
      <c r="S13" s="132" t="s">
        <v>228</v>
      </c>
      <c r="T13" s="128" t="s">
        <v>229</v>
      </c>
      <c r="U13" s="129" t="s">
        <v>230</v>
      </c>
    </row>
    <row r="14" spans="2:21" ht="15.75">
      <c r="B14" s="110" t="s">
        <v>164</v>
      </c>
      <c r="C14" s="221">
        <v>0.5</v>
      </c>
      <c r="D14" s="221">
        <v>0.4</v>
      </c>
      <c r="E14" s="221">
        <v>0.5</v>
      </c>
      <c r="F14" s="221">
        <v>0.5</v>
      </c>
      <c r="G14" s="221">
        <v>0.5</v>
      </c>
      <c r="H14" s="221">
        <v>0.5</v>
      </c>
      <c r="I14" s="221">
        <v>0.5</v>
      </c>
      <c r="J14" s="221">
        <v>0.5</v>
      </c>
      <c r="K14" s="221">
        <v>0.5</v>
      </c>
      <c r="L14" s="99"/>
      <c r="M14" s="99"/>
      <c r="O14" s="127" t="s">
        <v>130</v>
      </c>
      <c r="P14" s="128" t="s">
        <v>134</v>
      </c>
      <c r="Q14" s="128" t="s">
        <v>231</v>
      </c>
      <c r="R14" s="128" t="s">
        <v>232</v>
      </c>
      <c r="S14" s="128" t="s">
        <v>231</v>
      </c>
      <c r="T14" s="128" t="s">
        <v>231</v>
      </c>
      <c r="U14" s="129" t="s">
        <v>231</v>
      </c>
    </row>
    <row r="15" spans="2:21" ht="16.5" thickBot="1">
      <c r="B15" s="110" t="s">
        <v>165</v>
      </c>
      <c r="C15" s="173">
        <v>34.4</v>
      </c>
      <c r="D15" s="173">
        <v>33.4</v>
      </c>
      <c r="E15" s="173">
        <v>39.1</v>
      </c>
      <c r="F15" s="173">
        <v>49.4</v>
      </c>
      <c r="G15" s="173">
        <v>49.4</v>
      </c>
      <c r="H15" s="173">
        <v>49.4</v>
      </c>
      <c r="I15" s="173">
        <v>49.4</v>
      </c>
      <c r="J15" s="173">
        <v>49.4</v>
      </c>
      <c r="K15" s="173">
        <v>49.4</v>
      </c>
      <c r="L15" s="98"/>
      <c r="M15" s="98"/>
      <c r="O15" s="127" t="s">
        <v>140</v>
      </c>
      <c r="P15" s="128" t="s">
        <v>144</v>
      </c>
      <c r="Q15" s="128" t="s">
        <v>90</v>
      </c>
      <c r="R15" s="128" t="s">
        <v>233</v>
      </c>
      <c r="S15" s="128" t="s">
        <v>234</v>
      </c>
      <c r="T15" s="128" t="s">
        <v>235</v>
      </c>
      <c r="U15" s="129" t="s">
        <v>236</v>
      </c>
    </row>
    <row r="16" spans="2:21" ht="15.75">
      <c r="B16" s="174" t="s">
        <v>5</v>
      </c>
      <c r="C16" s="176">
        <v>1013</v>
      </c>
      <c r="D16" s="176">
        <v>1130.5999999999999</v>
      </c>
      <c r="E16" s="176">
        <v>1219.0999999999999</v>
      </c>
      <c r="F16" s="176">
        <v>1343.9</v>
      </c>
      <c r="G16" s="195">
        <f>SUM(G11:G15)</f>
        <v>1253.325</v>
      </c>
      <c r="H16" s="195">
        <f t="shared" ref="H16:K16" si="4">SUM(H11:H15)</f>
        <v>1428.8700000000001</v>
      </c>
      <c r="I16" s="195">
        <f t="shared" si="4"/>
        <v>1639.5240000000001</v>
      </c>
      <c r="J16" s="195">
        <f t="shared" si="4"/>
        <v>1892.3088</v>
      </c>
      <c r="K16" s="195">
        <f t="shared" si="4"/>
        <v>2195.6505599999996</v>
      </c>
      <c r="L16" s="100"/>
      <c r="M16" s="100"/>
      <c r="O16" s="124" t="s">
        <v>145</v>
      </c>
      <c r="P16" s="29"/>
      <c r="Q16" s="29"/>
      <c r="R16" s="29"/>
      <c r="S16" s="29"/>
      <c r="T16" s="29"/>
      <c r="U16" s="112"/>
    </row>
    <row r="17" spans="2:21" ht="15.75">
      <c r="B17" s="172" t="s">
        <v>166</v>
      </c>
      <c r="C17" s="29"/>
      <c r="D17" s="29"/>
      <c r="E17" s="29"/>
      <c r="F17" s="29"/>
      <c r="G17" s="89"/>
      <c r="H17" s="89"/>
      <c r="I17" s="89"/>
      <c r="J17" s="89"/>
      <c r="K17" s="89"/>
      <c r="L17" s="89"/>
      <c r="M17" s="89"/>
      <c r="O17" s="127" t="s">
        <v>237</v>
      </c>
      <c r="P17" s="130">
        <v>0.10199999999999999</v>
      </c>
      <c r="Q17" s="130">
        <v>0.115</v>
      </c>
      <c r="R17" s="130">
        <v>6.3E-2</v>
      </c>
      <c r="S17" s="130">
        <v>5.1999999999999998E-2</v>
      </c>
      <c r="T17" s="130">
        <v>5.7000000000000002E-2</v>
      </c>
      <c r="U17" s="131">
        <v>6.2E-2</v>
      </c>
    </row>
    <row r="18" spans="2:21" ht="15.75">
      <c r="B18" s="110" t="s">
        <v>167</v>
      </c>
      <c r="C18" s="221">
        <v>21.5</v>
      </c>
      <c r="D18" s="221">
        <v>30.2</v>
      </c>
      <c r="E18" s="221">
        <v>22</v>
      </c>
      <c r="F18" s="221">
        <v>26.2</v>
      </c>
      <c r="G18" s="98"/>
      <c r="H18" s="98"/>
      <c r="I18" s="98"/>
      <c r="J18" s="98"/>
      <c r="K18" s="98"/>
      <c r="L18" s="98"/>
      <c r="M18" s="98"/>
      <c r="O18" s="127" t="s">
        <v>238</v>
      </c>
      <c r="P18" s="130">
        <v>-9.5000000000000001E-2</v>
      </c>
      <c r="Q18" s="130">
        <v>0.56299999999999994</v>
      </c>
      <c r="R18" s="130">
        <v>-0.191</v>
      </c>
      <c r="S18" s="130">
        <v>-0.105</v>
      </c>
      <c r="T18" s="130">
        <v>2.9000000000000001E-2</v>
      </c>
      <c r="U18" s="131">
        <v>4.8000000000000001E-2</v>
      </c>
    </row>
    <row r="19" spans="2:21" ht="15.75">
      <c r="B19" s="110" t="s">
        <v>168</v>
      </c>
      <c r="C19" s="221">
        <v>42.2</v>
      </c>
      <c r="D19" s="221">
        <v>50.2</v>
      </c>
      <c r="E19" s="221">
        <v>30.6</v>
      </c>
      <c r="F19" s="221">
        <v>30.8</v>
      </c>
      <c r="G19" s="99"/>
      <c r="H19" s="99"/>
      <c r="I19" s="99"/>
      <c r="J19" s="99"/>
      <c r="K19" s="99"/>
      <c r="L19" s="99"/>
      <c r="M19" s="99"/>
      <c r="O19" s="127" t="s">
        <v>239</v>
      </c>
      <c r="P19" s="130">
        <v>0.36399999999999999</v>
      </c>
      <c r="Q19" s="130">
        <v>0.39700000000000002</v>
      </c>
      <c r="R19" s="130">
        <v>0.34200000000000003</v>
      </c>
      <c r="S19" s="130">
        <v>0.33300000000000002</v>
      </c>
      <c r="T19" s="130">
        <v>0.36799999999999999</v>
      </c>
      <c r="U19" s="131">
        <v>0.38200000000000001</v>
      </c>
    </row>
    <row r="20" spans="2:21" ht="16.5" thickBot="1">
      <c r="B20" s="110" t="s">
        <v>169</v>
      </c>
      <c r="C20" s="173">
        <v>26</v>
      </c>
      <c r="D20" s="173">
        <v>34.9</v>
      </c>
      <c r="E20" s="173">
        <v>40.299999999999997</v>
      </c>
      <c r="F20" s="173">
        <v>42.5</v>
      </c>
      <c r="G20" s="98"/>
      <c r="H20" s="98"/>
      <c r="I20" s="98"/>
      <c r="J20" s="98"/>
      <c r="K20" s="98"/>
      <c r="L20" s="98"/>
      <c r="M20" s="98"/>
      <c r="O20" s="127" t="s">
        <v>240</v>
      </c>
      <c r="P20" s="130">
        <v>0.247</v>
      </c>
      <c r="Q20" s="130">
        <v>0.28100000000000003</v>
      </c>
      <c r="R20" s="130">
        <v>0.24399999999999999</v>
      </c>
      <c r="S20" s="130">
        <v>0.23699999999999999</v>
      </c>
      <c r="T20" s="130">
        <v>0.26100000000000001</v>
      </c>
      <c r="U20" s="131">
        <v>0.27100000000000002</v>
      </c>
    </row>
    <row r="21" spans="2:21" ht="15.75">
      <c r="B21" s="174" t="s">
        <v>6</v>
      </c>
      <c r="C21" s="175">
        <v>89.6</v>
      </c>
      <c r="D21" s="175">
        <v>115.3</v>
      </c>
      <c r="E21" s="175">
        <v>93</v>
      </c>
      <c r="F21" s="175">
        <v>99.4</v>
      </c>
      <c r="G21" s="100">
        <f>'Income statement'!H8*0.45</f>
        <v>158.625</v>
      </c>
      <c r="H21" s="100">
        <f>'Income statement'!I8*0.45</f>
        <v>190.35</v>
      </c>
      <c r="I21" s="100">
        <f>'Income statement'!J8*0.45</f>
        <v>228.42</v>
      </c>
      <c r="J21" s="100">
        <f>'Income statement'!K8*0.45</f>
        <v>274.10399999999998</v>
      </c>
      <c r="K21" s="100">
        <f>'Income statement'!L8*0.45</f>
        <v>328.92479999999995</v>
      </c>
      <c r="L21" s="100"/>
      <c r="M21" s="100"/>
      <c r="O21" s="127" t="s">
        <v>152</v>
      </c>
      <c r="P21" s="130">
        <v>9.2999999999999999E-2</v>
      </c>
      <c r="Q21" s="130">
        <v>0.14699999999999999</v>
      </c>
      <c r="R21" s="130">
        <v>9.6000000000000002E-2</v>
      </c>
      <c r="S21" s="130">
        <v>7.9000000000000001E-2</v>
      </c>
      <c r="T21" s="130">
        <v>8.4000000000000005E-2</v>
      </c>
      <c r="U21" s="131">
        <v>8.5999999999999993E-2</v>
      </c>
    </row>
    <row r="22" spans="2:21" ht="15.75">
      <c r="B22" s="110" t="s">
        <v>170</v>
      </c>
      <c r="C22" s="221">
        <v>25.2</v>
      </c>
      <c r="D22" s="221">
        <v>26.5</v>
      </c>
      <c r="E22" s="221">
        <v>28.2</v>
      </c>
      <c r="F22" s="221">
        <v>40.5</v>
      </c>
      <c r="G22" s="99"/>
      <c r="H22" s="99"/>
      <c r="I22" s="99"/>
      <c r="J22" s="99"/>
      <c r="K22" s="99"/>
      <c r="L22" s="99"/>
      <c r="M22" s="99"/>
      <c r="O22" s="127" t="s">
        <v>241</v>
      </c>
      <c r="P22" s="133">
        <v>0.3</v>
      </c>
      <c r="Q22" s="133">
        <v>0.3</v>
      </c>
      <c r="R22" s="133">
        <v>0.3</v>
      </c>
      <c r="S22" s="133">
        <v>0.3</v>
      </c>
      <c r="T22" s="133">
        <v>0.3</v>
      </c>
      <c r="U22" s="134">
        <v>0.3</v>
      </c>
    </row>
    <row r="23" spans="2:21" ht="16.5" thickBot="1">
      <c r="B23" s="110" t="s">
        <v>171</v>
      </c>
      <c r="C23" s="173">
        <v>3.7</v>
      </c>
      <c r="D23" s="173">
        <v>3.5</v>
      </c>
      <c r="E23" s="173">
        <v>3.8</v>
      </c>
      <c r="F23" s="173">
        <v>4.0999999999999996</v>
      </c>
      <c r="G23" s="98"/>
      <c r="H23" s="98"/>
      <c r="I23" s="98"/>
      <c r="J23" s="98"/>
      <c r="K23" s="98"/>
      <c r="L23" s="98"/>
      <c r="M23" s="98"/>
      <c r="O23" s="127" t="s">
        <v>242</v>
      </c>
      <c r="P23" s="130">
        <v>0</v>
      </c>
      <c r="Q23" s="130">
        <v>0</v>
      </c>
      <c r="R23" s="130">
        <v>0</v>
      </c>
      <c r="S23" s="130">
        <v>0</v>
      </c>
      <c r="T23" s="130">
        <v>0</v>
      </c>
      <c r="U23" s="131">
        <v>0</v>
      </c>
    </row>
    <row r="24" spans="2:21" ht="15.75">
      <c r="B24" s="110" t="s">
        <v>243</v>
      </c>
      <c r="C24" s="221"/>
      <c r="D24" s="221"/>
      <c r="E24" s="221"/>
      <c r="F24" s="221"/>
      <c r="G24" s="98"/>
      <c r="H24" s="98">
        <v>80</v>
      </c>
      <c r="I24" s="98">
        <f>70+H24</f>
        <v>150</v>
      </c>
      <c r="J24" s="98">
        <f>65+I24</f>
        <v>215</v>
      </c>
      <c r="K24" s="98">
        <f>50+J24</f>
        <v>265</v>
      </c>
      <c r="L24" s="98"/>
      <c r="M24" s="98"/>
      <c r="O24" s="127"/>
      <c r="P24" s="130"/>
      <c r="Q24" s="130"/>
      <c r="R24" s="130"/>
      <c r="S24" s="130"/>
      <c r="T24" s="130"/>
      <c r="U24" s="131"/>
    </row>
    <row r="25" spans="2:21" ht="16.5" thickBot="1">
      <c r="B25" s="174" t="s">
        <v>172</v>
      </c>
      <c r="C25" s="175">
        <v>118.5</v>
      </c>
      <c r="D25" s="175">
        <v>145.30000000000001</v>
      </c>
      <c r="E25" s="175">
        <v>125</v>
      </c>
      <c r="F25" s="175">
        <v>144</v>
      </c>
      <c r="G25" s="100"/>
      <c r="H25" s="100"/>
      <c r="I25" s="100"/>
      <c r="J25" s="100"/>
      <c r="K25" s="100"/>
      <c r="L25" s="100"/>
      <c r="M25" s="100"/>
      <c r="O25" s="135" t="s">
        <v>178</v>
      </c>
      <c r="P25" s="136">
        <v>0.61299999999999999</v>
      </c>
      <c r="Q25" s="136">
        <v>0.627</v>
      </c>
      <c r="R25" s="136">
        <v>0.67200000000000004</v>
      </c>
      <c r="S25" s="136">
        <v>0.69599999999999995</v>
      </c>
      <c r="T25" s="136">
        <v>0.70899999999999996</v>
      </c>
      <c r="U25" s="137">
        <v>0.69499999999999995</v>
      </c>
    </row>
    <row r="26" spans="2:21" ht="15.75">
      <c r="B26" s="110" t="s">
        <v>173</v>
      </c>
      <c r="C26" s="221">
        <v>890.8</v>
      </c>
      <c r="D26" s="221">
        <v>981.3</v>
      </c>
      <c r="E26" s="180">
        <v>1089.3</v>
      </c>
      <c r="F26" s="180">
        <v>1194</v>
      </c>
      <c r="G26" s="196">
        <f>F26+G32</f>
        <v>1338.1</v>
      </c>
      <c r="H26" s="196">
        <f>G26+H32-H34</f>
        <v>1275.02</v>
      </c>
      <c r="I26" s="196">
        <f t="shared" ref="I26" si="5">H26+I32-I34</f>
        <v>1225.3240000000001</v>
      </c>
      <c r="J26" s="196">
        <f>I26+J32-J34</f>
        <v>1184.6888000000001</v>
      </c>
      <c r="K26" s="196">
        <f>J26+K32-K34</f>
        <v>1163.9265600000001</v>
      </c>
      <c r="L26" s="99"/>
      <c r="M26" s="99"/>
    </row>
    <row r="27" spans="2:21" ht="16.5" thickBot="1">
      <c r="B27" s="110" t="s">
        <v>174</v>
      </c>
      <c r="C27" s="173">
        <v>3.7</v>
      </c>
      <c r="D27" s="173">
        <v>4</v>
      </c>
      <c r="E27" s="173">
        <v>4.9000000000000004</v>
      </c>
      <c r="F27" s="173">
        <v>5.8</v>
      </c>
      <c r="G27" s="173">
        <v>6.4</v>
      </c>
      <c r="H27" s="173">
        <v>7.12</v>
      </c>
      <c r="I27" s="173">
        <v>7.84</v>
      </c>
      <c r="J27" s="173">
        <v>8.56</v>
      </c>
      <c r="K27" s="173">
        <v>9.2799999999999994</v>
      </c>
      <c r="L27" s="98"/>
      <c r="M27" s="98"/>
    </row>
    <row r="28" spans="2:21" ht="16.5" thickBot="1">
      <c r="B28" s="174" t="s">
        <v>175</v>
      </c>
      <c r="C28" s="171">
        <v>894.5</v>
      </c>
      <c r="D28" s="171">
        <v>985.3</v>
      </c>
      <c r="E28" s="182">
        <v>1094.0999999999999</v>
      </c>
      <c r="F28" s="182">
        <v>1199.9000000000001</v>
      </c>
      <c r="G28" s="255">
        <f>G26+G27</f>
        <v>1344.5</v>
      </c>
      <c r="H28" s="255">
        <f t="shared" ref="H28:J28" si="6">H26+H27</f>
        <v>1282.1399999999999</v>
      </c>
      <c r="I28" s="255">
        <f t="shared" si="6"/>
        <v>1233.164</v>
      </c>
      <c r="J28" s="255">
        <f t="shared" si="6"/>
        <v>1193.2488000000001</v>
      </c>
      <c r="K28" s="255">
        <f>K26+K27</f>
        <v>1173.2065600000001</v>
      </c>
      <c r="L28" s="97"/>
      <c r="M28" s="97"/>
    </row>
    <row r="29" spans="2:21" ht="16.5" thickBot="1">
      <c r="B29" s="106"/>
      <c r="C29" s="177"/>
      <c r="D29" s="177"/>
      <c r="E29" s="177"/>
      <c r="F29" s="177"/>
      <c r="G29" s="101"/>
      <c r="H29" s="101"/>
      <c r="I29" s="101"/>
      <c r="J29" s="101"/>
      <c r="K29" s="101"/>
      <c r="L29" s="101"/>
      <c r="M29" s="101"/>
    </row>
    <row r="30" spans="2:21" ht="15.75">
      <c r="B30" s="174" t="s">
        <v>177</v>
      </c>
      <c r="C30" s="176">
        <v>1013</v>
      </c>
      <c r="D30" s="176">
        <v>1130.5999999999999</v>
      </c>
      <c r="E30" s="176">
        <v>1219.0999999999999</v>
      </c>
      <c r="F30" s="176">
        <v>1343.9</v>
      </c>
      <c r="G30" s="198"/>
      <c r="H30" s="198"/>
      <c r="I30" s="198"/>
      <c r="J30" s="198"/>
      <c r="K30" s="198"/>
      <c r="L30" s="102"/>
      <c r="M30" s="102"/>
    </row>
    <row r="31" spans="2:21" ht="15.75">
      <c r="B31" s="174" t="s">
        <v>261</v>
      </c>
      <c r="C31" s="176"/>
      <c r="D31" s="176"/>
      <c r="E31" s="176"/>
      <c r="F31" s="176"/>
      <c r="G31" s="102">
        <f>'Income statement'!H7*0.02</f>
        <v>14.1</v>
      </c>
      <c r="H31" s="102">
        <f>'Income statement'!I7*0.02</f>
        <v>16.920000000000002</v>
      </c>
      <c r="I31" s="102">
        <f>'Income statement'!J7*0.02</f>
        <v>20.303999999999998</v>
      </c>
      <c r="J31" s="102">
        <f>'Income statement'!K7*0.02</f>
        <v>24.364799999999995</v>
      </c>
      <c r="K31" s="102">
        <f>'Income statement'!L7*0.02</f>
        <v>29.237759999999994</v>
      </c>
      <c r="L31" s="102"/>
      <c r="M31" s="102"/>
    </row>
    <row r="32" spans="2:21" ht="15.75">
      <c r="B32" s="187" t="s">
        <v>244</v>
      </c>
      <c r="C32" s="176"/>
      <c r="D32" s="176"/>
      <c r="E32" s="176"/>
      <c r="F32" s="176"/>
      <c r="G32" s="102">
        <f>G31+130</f>
        <v>144.1</v>
      </c>
      <c r="H32" s="102">
        <f t="shared" ref="H32:K32" si="7">H31</f>
        <v>16.920000000000002</v>
      </c>
      <c r="I32" s="102">
        <f t="shared" si="7"/>
        <v>20.303999999999998</v>
      </c>
      <c r="J32" s="102">
        <f t="shared" si="7"/>
        <v>24.364799999999995</v>
      </c>
      <c r="K32" s="102">
        <f t="shared" si="7"/>
        <v>29.237759999999994</v>
      </c>
      <c r="L32" s="102"/>
      <c r="M32" s="102"/>
    </row>
    <row r="33" spans="2:13" ht="15.75">
      <c r="B33" s="174" t="s">
        <v>262</v>
      </c>
      <c r="C33" s="176"/>
      <c r="D33" s="176"/>
      <c r="E33" s="176"/>
      <c r="F33" s="176"/>
      <c r="G33" s="102">
        <f>G2-G32</f>
        <v>90.9</v>
      </c>
      <c r="H33" s="102">
        <f>H2/2</f>
        <v>22.263749999999959</v>
      </c>
      <c r="I33" s="102">
        <f t="shared" ref="I33:K33" si="8">I2/2</f>
        <v>2.5384375000001</v>
      </c>
      <c r="J33" s="102">
        <f t="shared" si="8"/>
        <v>-13.070515624999985</v>
      </c>
      <c r="K33" s="102">
        <f t="shared" si="8"/>
        <v>-35.593916406249832</v>
      </c>
      <c r="L33" s="102"/>
      <c r="M33" s="102"/>
    </row>
    <row r="34" spans="2:13" ht="15.75">
      <c r="B34" s="174" t="s">
        <v>263</v>
      </c>
      <c r="C34" s="176"/>
      <c r="D34" s="176"/>
      <c r="E34" s="176"/>
      <c r="F34" s="176"/>
      <c r="G34" s="102"/>
      <c r="H34" s="102">
        <v>80</v>
      </c>
      <c r="I34" s="102">
        <v>70</v>
      </c>
      <c r="J34" s="102">
        <v>65</v>
      </c>
      <c r="K34" s="102">
        <v>50</v>
      </c>
      <c r="L34" s="102"/>
      <c r="M34" s="102"/>
    </row>
    <row r="35" spans="2:13" ht="15.75">
      <c r="B35" s="174" t="s">
        <v>2</v>
      </c>
      <c r="C35" s="176"/>
      <c r="D35" s="176"/>
      <c r="E35" s="176"/>
      <c r="F35" s="176"/>
      <c r="G35" s="102">
        <f>G12*0.1</f>
        <v>40.660000000000004</v>
      </c>
      <c r="H35" s="102">
        <f>H12*0.1</f>
        <v>42.352000000000004</v>
      </c>
      <c r="I35" s="102">
        <f t="shared" ref="I35:K35" si="9">I12*0.1</f>
        <v>44.382400000000004</v>
      </c>
      <c r="J35" s="102">
        <f t="shared" si="9"/>
        <v>46.818880000000007</v>
      </c>
      <c r="K35" s="102">
        <f t="shared" si="9"/>
        <v>49.742656000000004</v>
      </c>
      <c r="L35" s="102"/>
      <c r="M35" s="102"/>
    </row>
    <row r="36" spans="2:13" ht="15.75">
      <c r="B36" s="174" t="s">
        <v>264</v>
      </c>
      <c r="C36" s="176"/>
      <c r="D36" s="176"/>
      <c r="E36" s="176"/>
      <c r="F36" s="176"/>
      <c r="G36" s="102"/>
      <c r="H36" s="102">
        <f>H24/H26</f>
        <v>6.2744113817822467E-2</v>
      </c>
      <c r="I36" s="102">
        <f t="shared" ref="I36:J36" si="10">I24/I26</f>
        <v>0.12241660164984934</v>
      </c>
      <c r="J36" s="102">
        <f t="shared" si="10"/>
        <v>0.18148225930725434</v>
      </c>
      <c r="K36" s="102">
        <f>K24/K26</f>
        <v>0.2276775950537635</v>
      </c>
      <c r="L36" s="102"/>
      <c r="M36" s="102"/>
    </row>
    <row r="37" spans="2:13" ht="15.75">
      <c r="B37" s="174" t="s">
        <v>265</v>
      </c>
      <c r="C37" s="176"/>
      <c r="D37" s="176"/>
      <c r="E37" s="176"/>
      <c r="F37" s="176"/>
      <c r="G37" s="102">
        <f>G35/'Income statement'!H7</f>
        <v>5.7673758865248233E-2</v>
      </c>
      <c r="H37" s="102">
        <f>H35/'Income statement'!I7</f>
        <v>5.0061465721040192E-2</v>
      </c>
      <c r="I37" s="102">
        <f>I35/'Income statement'!J7</f>
        <v>4.3717888100866832E-2</v>
      </c>
      <c r="J37" s="102">
        <f>J35/'Income statement'!K7</f>
        <v>3.843157341738903E-2</v>
      </c>
      <c r="K37" s="102">
        <f>K35/'Income statement'!L7</f>
        <v>3.402631118115753E-2</v>
      </c>
      <c r="L37" s="102"/>
      <c r="M37" s="102"/>
    </row>
    <row r="38" spans="2:13" ht="15.75">
      <c r="B38" s="174" t="s">
        <v>266</v>
      </c>
      <c r="C38" s="176"/>
      <c r="D38" s="176"/>
      <c r="E38" s="176"/>
      <c r="F38" s="176"/>
      <c r="G38" s="102">
        <f>G32/'Income statement'!H7</f>
        <v>0.20439716312056735</v>
      </c>
      <c r="H38" s="102">
        <f>H32/'Income statement'!I7</f>
        <v>0.02</v>
      </c>
      <c r="I38" s="102">
        <f>I32/'Income statement'!J7</f>
        <v>0.02</v>
      </c>
      <c r="J38" s="102">
        <f>J32/'Income statement'!K7</f>
        <v>0.02</v>
      </c>
      <c r="K38" s="102">
        <f>K32/'Income statement'!L7</f>
        <v>0.02</v>
      </c>
      <c r="L38" s="102"/>
      <c r="M38" s="102"/>
    </row>
    <row r="39" spans="2:13" ht="15.75">
      <c r="B39" s="174"/>
      <c r="C39" s="176"/>
      <c r="D39" s="176"/>
      <c r="E39" s="176"/>
      <c r="F39" s="176"/>
      <c r="G39" s="102">
        <f>AVERAGE(G38:K38)</f>
        <v>5.687943262411347E-2</v>
      </c>
      <c r="H39" s="102"/>
      <c r="I39" s="102"/>
      <c r="J39" s="102"/>
      <c r="K39" s="102"/>
      <c r="L39" s="102"/>
      <c r="M39" s="102"/>
    </row>
    <row r="40" spans="2:13" ht="15.75">
      <c r="B40" s="174" t="s">
        <v>86</v>
      </c>
      <c r="C40" s="176"/>
      <c r="D40" s="176"/>
      <c r="E40" s="176"/>
      <c r="F40" s="176"/>
      <c r="G40" s="256">
        <f>'Income statement buy'!H18/'Balance sheet buy'!G26</f>
        <v>0.15277258799790747</v>
      </c>
      <c r="H40" s="256">
        <f>'Income statement buy'!I18/'Balance sheet buy'!H26</f>
        <v>0.1593327947796897</v>
      </c>
      <c r="I40" s="256">
        <f>'Income statement buy'!J18/'Balance sheet buy'!I26</f>
        <v>0.1594899593903327</v>
      </c>
      <c r="J40" s="256">
        <f>'Income statement buy'!K18/'Balance sheet buy'!J26</f>
        <v>0.1707443919027512</v>
      </c>
      <c r="K40" s="256">
        <f>'Income statement buy'!L18/'Balance sheet buy'!K26</f>
        <v>0.17433760355765063</v>
      </c>
      <c r="L40" s="102"/>
      <c r="M40" s="102"/>
    </row>
    <row r="41" spans="2:13" ht="15.75">
      <c r="B41" s="174" t="s">
        <v>272</v>
      </c>
      <c r="C41" s="176"/>
      <c r="D41" s="176"/>
      <c r="E41" s="176"/>
      <c r="F41" s="176"/>
      <c r="G41" s="264">
        <f>(G11-G21)-(F11-F21)</f>
        <v>-293.89999999999998</v>
      </c>
      <c r="H41" s="264">
        <f t="shared" ref="H41:K41" si="11">(H11-H21)-(G11-G21)</f>
        <v>126.89999999999998</v>
      </c>
      <c r="I41" s="264">
        <f t="shared" si="11"/>
        <v>152.27999999999997</v>
      </c>
      <c r="J41" s="264">
        <f t="shared" si="11"/>
        <v>182.73599999999999</v>
      </c>
      <c r="K41" s="264">
        <f t="shared" si="11"/>
        <v>219.28319999999985</v>
      </c>
      <c r="L41" s="102"/>
      <c r="M41" s="102"/>
    </row>
    <row r="42" spans="2:13" ht="15.75">
      <c r="B42" s="174" t="s">
        <v>145</v>
      </c>
      <c r="C42" s="29"/>
      <c r="D42" s="29"/>
      <c r="E42" s="29"/>
      <c r="F42" s="29"/>
      <c r="G42" s="89"/>
      <c r="H42" s="89"/>
      <c r="I42" s="89"/>
      <c r="J42" s="89"/>
      <c r="K42" s="89"/>
      <c r="L42" s="89"/>
      <c r="M42" s="89"/>
    </row>
    <row r="43" spans="2:13" ht="15.75">
      <c r="B43" s="110" t="s">
        <v>178</v>
      </c>
      <c r="C43" s="178">
        <v>0.57999999999999996</v>
      </c>
      <c r="D43" s="178">
        <v>0.56000000000000005</v>
      </c>
      <c r="E43" s="178">
        <v>0.6</v>
      </c>
      <c r="F43" s="178">
        <v>0.61</v>
      </c>
      <c r="G43" s="99"/>
      <c r="H43" s="99"/>
      <c r="I43" s="99"/>
      <c r="J43" s="99"/>
      <c r="K43" s="99"/>
      <c r="L43" s="99"/>
      <c r="M43" s="99"/>
    </row>
    <row r="44" spans="2:13" ht="15.75">
      <c r="B44" s="110" t="s">
        <v>179</v>
      </c>
      <c r="C44" s="221">
        <v>8.4</v>
      </c>
      <c r="D44" s="221">
        <v>7.4</v>
      </c>
      <c r="E44" s="221">
        <v>9.6999999999999993</v>
      </c>
      <c r="F44" s="221">
        <v>10.3</v>
      </c>
      <c r="G44" s="99"/>
      <c r="H44" s="99"/>
      <c r="I44" s="99"/>
      <c r="J44" s="99"/>
      <c r="K44" s="99"/>
      <c r="L44" s="99"/>
      <c r="M44" s="99"/>
    </row>
    <row r="45" spans="2:13" ht="15.75">
      <c r="B45" s="110" t="s">
        <v>180</v>
      </c>
      <c r="C45" s="178">
        <v>0</v>
      </c>
      <c r="D45" s="178">
        <v>0</v>
      </c>
      <c r="E45" s="178">
        <v>0</v>
      </c>
      <c r="F45" s="178">
        <v>0</v>
      </c>
      <c r="G45" s="99"/>
      <c r="H45" s="99"/>
      <c r="I45" s="99"/>
      <c r="J45" s="99"/>
      <c r="K45" s="99"/>
      <c r="L45" s="99"/>
      <c r="M45" s="99"/>
    </row>
    <row r="46" spans="2:13" ht="15.75">
      <c r="B46" s="110" t="s">
        <v>181</v>
      </c>
      <c r="C46" s="221">
        <v>1.1299999999999999</v>
      </c>
      <c r="D46" s="221">
        <v>1.1499999999999999</v>
      </c>
      <c r="E46" s="221">
        <v>1.1100000000000001</v>
      </c>
      <c r="F46" s="221">
        <v>1.1200000000000001</v>
      </c>
      <c r="G46" s="99"/>
      <c r="H46" s="99"/>
      <c r="I46" s="99"/>
      <c r="J46" s="99"/>
      <c r="K46" s="99"/>
      <c r="L46" s="99"/>
      <c r="M46" s="99"/>
    </row>
    <row r="47" spans="2:13" ht="15.75">
      <c r="B47" s="174" t="s">
        <v>182</v>
      </c>
      <c r="C47" s="29"/>
      <c r="D47" s="29"/>
      <c r="E47" s="29"/>
      <c r="F47" s="29"/>
      <c r="G47" s="99"/>
      <c r="H47" s="99"/>
      <c r="I47" s="99"/>
      <c r="J47" s="99"/>
      <c r="K47" s="99"/>
      <c r="L47" s="99"/>
      <c r="M47" s="99"/>
    </row>
    <row r="48" spans="2:13" ht="15.75">
      <c r="B48" s="110" t="s">
        <v>183</v>
      </c>
      <c r="C48" s="221">
        <v>0.44</v>
      </c>
      <c r="D48" s="221">
        <v>0.48</v>
      </c>
      <c r="E48" s="221">
        <v>0.41</v>
      </c>
      <c r="F48" s="221">
        <v>0.34</v>
      </c>
      <c r="G48" s="99"/>
      <c r="H48" s="99"/>
      <c r="I48" s="99"/>
      <c r="J48" s="99"/>
      <c r="K48" s="99"/>
      <c r="L48" s="99"/>
      <c r="M48" s="99"/>
    </row>
    <row r="49" spans="2:13" ht="15.75">
      <c r="B49" s="110" t="s">
        <v>184</v>
      </c>
      <c r="C49" s="221">
        <v>2.91</v>
      </c>
      <c r="D49" s="221">
        <v>3.03</v>
      </c>
      <c r="E49" s="221">
        <v>3.58</v>
      </c>
      <c r="F49" s="221">
        <v>2.6</v>
      </c>
      <c r="G49" s="99"/>
      <c r="H49" s="99"/>
      <c r="I49" s="99"/>
      <c r="J49" s="99"/>
      <c r="K49" s="99"/>
      <c r="L49" s="99"/>
      <c r="M49" s="99"/>
    </row>
    <row r="50" spans="2:13" ht="15.75">
      <c r="B50" s="110" t="s">
        <v>185</v>
      </c>
      <c r="C50" s="221">
        <v>63</v>
      </c>
      <c r="D50" s="221">
        <v>66</v>
      </c>
      <c r="E50" s="221">
        <v>58</v>
      </c>
      <c r="F50" s="221">
        <v>73</v>
      </c>
      <c r="G50" s="99"/>
      <c r="H50" s="99"/>
      <c r="I50" s="99"/>
      <c r="J50" s="99"/>
      <c r="K50" s="99"/>
      <c r="L50" s="99"/>
      <c r="M50" s="99"/>
    </row>
    <row r="51" spans="2:13" ht="15.75">
      <c r="B51" s="110" t="s">
        <v>186</v>
      </c>
      <c r="C51" s="221">
        <v>125</v>
      </c>
      <c r="D51" s="221">
        <v>121</v>
      </c>
      <c r="E51" s="221">
        <v>102</v>
      </c>
      <c r="F51" s="221">
        <v>141</v>
      </c>
      <c r="G51" s="99"/>
      <c r="H51" s="99"/>
      <c r="I51" s="99"/>
      <c r="J51" s="99"/>
      <c r="K51" s="99"/>
      <c r="L51" s="99"/>
      <c r="M51" s="99"/>
    </row>
    <row r="52" spans="2:13" ht="16.5" thickBot="1">
      <c r="B52" s="110" t="s">
        <v>187</v>
      </c>
      <c r="C52" s="173">
        <v>38</v>
      </c>
      <c r="D52" s="173">
        <v>42</v>
      </c>
      <c r="E52" s="173">
        <v>31</v>
      </c>
      <c r="F52" s="173">
        <v>42</v>
      </c>
      <c r="G52" s="98"/>
      <c r="H52" s="98"/>
      <c r="I52" s="98"/>
      <c r="J52" s="98"/>
      <c r="K52" s="98"/>
      <c r="L52" s="98"/>
      <c r="M52" s="98"/>
    </row>
    <row r="53" spans="2:13" ht="16.5" thickBot="1">
      <c r="B53" s="179" t="s">
        <v>188</v>
      </c>
      <c r="C53" s="171">
        <v>151</v>
      </c>
      <c r="D53" s="171">
        <v>144</v>
      </c>
      <c r="E53" s="171">
        <v>129</v>
      </c>
      <c r="F53" s="171">
        <v>171</v>
      </c>
      <c r="G53" s="100"/>
      <c r="H53" s="100"/>
      <c r="I53" s="100"/>
      <c r="J53" s="100"/>
      <c r="K53" s="100"/>
      <c r="L53" s="100"/>
      <c r="M53" s="100"/>
    </row>
    <row r="55" spans="2:13">
      <c r="C55" s="186"/>
      <c r="D55" s="186"/>
      <c r="E55" s="186"/>
      <c r="F55" s="186"/>
    </row>
  </sheetData>
  <mergeCells count="2">
    <mergeCell ref="C4:F4"/>
    <mergeCell ref="R4:S4"/>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dimension ref="B3:AL44"/>
  <sheetViews>
    <sheetView topLeftCell="A25" workbookViewId="0">
      <selection activeCell="H18" sqref="H18:L18"/>
    </sheetView>
  </sheetViews>
  <sheetFormatPr defaultRowHeight="15.75"/>
  <cols>
    <col min="1" max="1" width="9.140625" style="37"/>
    <col min="2" max="2" width="9.140625" style="36"/>
    <col min="3" max="3" width="32.140625" style="37" bestFit="1" customWidth="1"/>
    <col min="4" max="4" width="18.5703125" style="37" customWidth="1"/>
    <col min="5" max="5" width="10.28515625" style="37" bestFit="1" customWidth="1"/>
    <col min="6" max="7" width="12.140625" style="37" bestFit="1" customWidth="1"/>
    <col min="8" max="10" width="12.140625" style="37" customWidth="1"/>
    <col min="11" max="11" width="12.140625" style="37" bestFit="1" customWidth="1"/>
    <col min="12" max="12" width="12.140625" style="37" customWidth="1"/>
    <col min="13" max="13" width="12.140625" style="37" bestFit="1" customWidth="1"/>
    <col min="14" max="14" width="25.140625" style="37" bestFit="1" customWidth="1"/>
    <col min="15" max="21" width="10.42578125" style="37" bestFit="1" customWidth="1"/>
    <col min="22" max="22" width="12" style="37" bestFit="1" customWidth="1"/>
    <col min="23" max="23" width="11" style="37" bestFit="1" customWidth="1"/>
    <col min="24" max="37" width="12" style="37" bestFit="1" customWidth="1"/>
    <col min="38" max="38" width="11" style="37" bestFit="1" customWidth="1"/>
    <col min="39" max="16384" width="9.140625" style="37"/>
  </cols>
  <sheetData>
    <row r="3" spans="3:38" ht="16.5" thickBot="1">
      <c r="N3" s="90"/>
      <c r="O3" s="91"/>
      <c r="P3" s="91"/>
      <c r="Q3" s="91"/>
      <c r="R3" s="91"/>
      <c r="S3" s="92"/>
      <c r="T3" s="91"/>
      <c r="U3" s="91"/>
      <c r="V3" s="92"/>
      <c r="W3" s="91"/>
      <c r="X3" s="91"/>
      <c r="Y3" s="91"/>
      <c r="Z3" s="91"/>
      <c r="AA3" s="90"/>
      <c r="AB3" s="90"/>
      <c r="AC3" s="88"/>
      <c r="AD3" s="88"/>
      <c r="AE3" s="88"/>
      <c r="AF3" s="88"/>
      <c r="AG3" s="88"/>
      <c r="AH3" s="88"/>
      <c r="AI3" s="88"/>
      <c r="AJ3" s="88"/>
      <c r="AK3" s="88"/>
      <c r="AL3" s="88"/>
    </row>
    <row r="4" spans="3:38">
      <c r="C4" s="105"/>
      <c r="D4" s="274" t="s">
        <v>189</v>
      </c>
      <c r="E4" s="274"/>
      <c r="F4" s="274"/>
      <c r="G4" s="274"/>
      <c r="H4" s="190"/>
      <c r="I4" s="190"/>
      <c r="J4" s="190"/>
      <c r="K4" s="40"/>
      <c r="L4" s="40"/>
      <c r="M4" s="40"/>
      <c r="N4" s="100"/>
      <c r="O4" s="222" t="s">
        <v>189</v>
      </c>
      <c r="P4" s="100"/>
      <c r="Q4" s="275" t="s">
        <v>190</v>
      </c>
      <c r="R4" s="275"/>
      <c r="S4" s="100"/>
      <c r="T4" s="100"/>
    </row>
    <row r="5" spans="3:38">
      <c r="C5" s="106"/>
      <c r="D5" s="273" t="s">
        <v>87</v>
      </c>
      <c r="E5" s="273"/>
      <c r="F5" s="273"/>
      <c r="G5" s="29"/>
      <c r="H5" s="221"/>
      <c r="I5" s="221"/>
      <c r="J5" s="221"/>
      <c r="N5" s="97"/>
      <c r="O5" s="222" t="s">
        <v>191</v>
      </c>
      <c r="P5" s="222" t="s">
        <v>192</v>
      </c>
      <c r="Q5" s="222" t="s">
        <v>193</v>
      </c>
      <c r="R5" s="222" t="s">
        <v>194</v>
      </c>
      <c r="S5" s="222" t="s">
        <v>195</v>
      </c>
      <c r="T5" s="222" t="s">
        <v>196</v>
      </c>
    </row>
    <row r="6" spans="3:38">
      <c r="C6" s="108" t="s">
        <v>88</v>
      </c>
      <c r="D6" s="221">
        <v>2011</v>
      </c>
      <c r="E6" s="221">
        <v>2012</v>
      </c>
      <c r="F6" s="221">
        <v>2013</v>
      </c>
      <c r="G6" s="221">
        <v>2014</v>
      </c>
      <c r="H6" s="221">
        <v>2015</v>
      </c>
      <c r="I6" s="221">
        <v>2016</v>
      </c>
      <c r="J6" s="221">
        <v>2017</v>
      </c>
      <c r="K6" s="221">
        <v>2018</v>
      </c>
      <c r="L6" s="221">
        <v>2019</v>
      </c>
      <c r="M6" s="38"/>
      <c r="N6" s="117" t="s">
        <v>88</v>
      </c>
      <c r="O6" s="97"/>
      <c r="P6" s="97"/>
      <c r="Q6" s="97"/>
      <c r="R6" s="97"/>
      <c r="S6" s="97"/>
      <c r="T6" s="97"/>
      <c r="U6" s="93"/>
    </row>
    <row r="7" spans="3:38">
      <c r="C7" s="108" t="s">
        <v>49</v>
      </c>
      <c r="D7" s="221">
        <v>446.2</v>
      </c>
      <c r="E7" s="221">
        <v>538.5</v>
      </c>
      <c r="F7" s="221">
        <v>498.4</v>
      </c>
      <c r="G7" s="221">
        <v>451</v>
      </c>
      <c r="H7" s="221">
        <f>P7</f>
        <v>705</v>
      </c>
      <c r="I7" s="221">
        <f>H7*1.05</f>
        <v>740.25</v>
      </c>
      <c r="J7" s="221">
        <f t="shared" ref="J7:L7" si="0">I7*1.05</f>
        <v>777.26250000000005</v>
      </c>
      <c r="K7" s="221">
        <f t="shared" si="0"/>
        <v>816.12562500000013</v>
      </c>
      <c r="L7" s="221">
        <f t="shared" si="0"/>
        <v>856.93190625000022</v>
      </c>
      <c r="M7" s="94"/>
      <c r="N7" s="118" t="s">
        <v>49</v>
      </c>
      <c r="O7" s="119">
        <v>451</v>
      </c>
      <c r="P7" s="119">
        <v>705</v>
      </c>
      <c r="Q7" s="119">
        <v>570</v>
      </c>
      <c r="R7" s="119">
        <v>510</v>
      </c>
      <c r="S7" s="119">
        <v>525</v>
      </c>
      <c r="T7" s="119">
        <v>550</v>
      </c>
    </row>
    <row r="8" spans="3:38">
      <c r="C8" s="108" t="s">
        <v>0</v>
      </c>
      <c r="D8" s="221">
        <v>208.1</v>
      </c>
      <c r="E8" s="221">
        <v>262.10000000000002</v>
      </c>
      <c r="F8" s="221">
        <v>258.7</v>
      </c>
      <c r="G8" s="221">
        <v>227.2</v>
      </c>
      <c r="H8" s="221">
        <f>H7*0.5</f>
        <v>352.5</v>
      </c>
      <c r="I8" s="221">
        <f t="shared" ref="I8:L8" si="1">I7*0.5</f>
        <v>370.125</v>
      </c>
      <c r="J8" s="221">
        <f t="shared" si="1"/>
        <v>388.63125000000002</v>
      </c>
      <c r="K8" s="221">
        <f t="shared" si="1"/>
        <v>408.06281250000006</v>
      </c>
      <c r="L8" s="221">
        <f t="shared" si="1"/>
        <v>428.46595312500011</v>
      </c>
      <c r="M8" s="39"/>
      <c r="N8" s="118" t="s">
        <v>3</v>
      </c>
      <c r="O8" s="119" t="s">
        <v>92</v>
      </c>
      <c r="P8" s="119">
        <v>280</v>
      </c>
      <c r="Q8" s="119">
        <v>195</v>
      </c>
      <c r="R8" s="119">
        <v>170</v>
      </c>
      <c r="S8" s="119">
        <v>193</v>
      </c>
      <c r="T8" s="119">
        <v>210</v>
      </c>
      <c r="U8" s="93"/>
      <c r="V8" s="93"/>
      <c r="W8" s="93"/>
      <c r="X8" s="93"/>
      <c r="Y8" s="93"/>
      <c r="Z8" s="93"/>
      <c r="AA8" s="93"/>
      <c r="AB8" s="93"/>
      <c r="AC8" s="93"/>
      <c r="AD8" s="93"/>
      <c r="AE8" s="93"/>
      <c r="AF8" s="93"/>
      <c r="AG8" s="93"/>
      <c r="AH8" s="93"/>
      <c r="AI8" s="93"/>
      <c r="AJ8" s="93"/>
      <c r="AK8" s="93"/>
      <c r="AL8" s="93"/>
    </row>
    <row r="9" spans="3:38">
      <c r="C9" s="110" t="s">
        <v>1</v>
      </c>
      <c r="D9" s="221">
        <v>238.1</v>
      </c>
      <c r="E9" s="221">
        <v>276.39999999999998</v>
      </c>
      <c r="F9" s="221">
        <v>239.7</v>
      </c>
      <c r="G9" s="221">
        <v>223.8</v>
      </c>
      <c r="H9" s="221">
        <f>H7-H8</f>
        <v>352.5</v>
      </c>
      <c r="I9" s="221">
        <f t="shared" ref="I9:L9" si="2">I7-I8</f>
        <v>370.125</v>
      </c>
      <c r="J9" s="221">
        <f t="shared" si="2"/>
        <v>388.63125000000002</v>
      </c>
      <c r="K9" s="221">
        <f t="shared" si="2"/>
        <v>408.06281250000006</v>
      </c>
      <c r="L9" s="221">
        <f t="shared" si="2"/>
        <v>428.46595312500011</v>
      </c>
      <c r="M9" s="39"/>
      <c r="N9" s="118" t="s">
        <v>98</v>
      </c>
      <c r="O9" s="119" t="s">
        <v>99</v>
      </c>
      <c r="P9" s="119" t="s">
        <v>198</v>
      </c>
      <c r="Q9" s="119" t="s">
        <v>199</v>
      </c>
      <c r="R9" s="119" t="s">
        <v>200</v>
      </c>
      <c r="S9" s="119" t="s">
        <v>201</v>
      </c>
      <c r="T9" s="119" t="s">
        <v>202</v>
      </c>
      <c r="U9" s="93"/>
      <c r="V9" s="93"/>
      <c r="W9" s="93"/>
      <c r="X9" s="93"/>
      <c r="Y9" s="93"/>
      <c r="Z9" s="93"/>
      <c r="AA9" s="93"/>
      <c r="AB9" s="93"/>
      <c r="AC9" s="93"/>
      <c r="AD9" s="93"/>
      <c r="AE9" s="93"/>
      <c r="AF9" s="93"/>
      <c r="AG9" s="93"/>
      <c r="AH9" s="93"/>
      <c r="AI9" s="93"/>
      <c r="AJ9" s="93"/>
      <c r="AK9" s="93"/>
      <c r="AL9" s="93"/>
    </row>
    <row r="10" spans="3:38">
      <c r="C10" s="108" t="s">
        <v>89</v>
      </c>
      <c r="D10" s="221">
        <v>48.4</v>
      </c>
      <c r="E10" s="221">
        <v>54.5</v>
      </c>
      <c r="F10" s="221">
        <v>54.9</v>
      </c>
      <c r="G10" s="221">
        <v>59.7</v>
      </c>
      <c r="H10" s="221">
        <v>70</v>
      </c>
      <c r="I10" s="221">
        <v>90</v>
      </c>
      <c r="J10" s="221">
        <v>120</v>
      </c>
      <c r="K10" s="221">
        <v>130</v>
      </c>
      <c r="L10" s="221">
        <v>150</v>
      </c>
      <c r="M10" s="94"/>
      <c r="N10" s="118" t="s">
        <v>203</v>
      </c>
      <c r="O10" s="119">
        <v>195.7</v>
      </c>
      <c r="P10" s="119">
        <v>195.7</v>
      </c>
      <c r="Q10" s="119">
        <v>195.7</v>
      </c>
      <c r="R10" s="119">
        <v>195.7</v>
      </c>
      <c r="S10" s="119">
        <v>195.7</v>
      </c>
      <c r="T10" s="119">
        <v>195.7</v>
      </c>
      <c r="U10" s="95"/>
      <c r="V10" s="95"/>
      <c r="W10" s="95"/>
      <c r="X10" s="95"/>
      <c r="Y10" s="95"/>
      <c r="Z10" s="95"/>
      <c r="AA10" s="95"/>
      <c r="AB10" s="95"/>
      <c r="AC10" s="95"/>
      <c r="AD10" s="95"/>
      <c r="AE10" s="95"/>
      <c r="AF10" s="95"/>
      <c r="AG10" s="95"/>
      <c r="AH10" s="95"/>
      <c r="AI10" s="95"/>
      <c r="AJ10" s="95"/>
      <c r="AK10" s="95"/>
      <c r="AL10" s="95"/>
    </row>
    <row r="11" spans="3:38">
      <c r="C11" s="110" t="s">
        <v>91</v>
      </c>
      <c r="D11" s="221">
        <v>189.8</v>
      </c>
      <c r="E11" s="221">
        <v>221.8</v>
      </c>
      <c r="F11" s="221">
        <v>184.8</v>
      </c>
      <c r="G11" s="221">
        <v>164.1</v>
      </c>
      <c r="H11" s="221">
        <f>H9-H10</f>
        <v>282.5</v>
      </c>
      <c r="I11" s="221">
        <f t="shared" ref="I11:L11" si="3">I9-I10</f>
        <v>280.125</v>
      </c>
      <c r="J11" s="221">
        <f t="shared" si="3"/>
        <v>268.63125000000002</v>
      </c>
      <c r="K11" s="221">
        <f t="shared" si="3"/>
        <v>278.06281250000006</v>
      </c>
      <c r="L11" s="221">
        <f t="shared" si="3"/>
        <v>278.46595312500011</v>
      </c>
      <c r="M11" s="39"/>
      <c r="N11" s="118" t="s">
        <v>204</v>
      </c>
      <c r="O11" s="119" t="s">
        <v>105</v>
      </c>
      <c r="P11" s="119" t="s">
        <v>205</v>
      </c>
      <c r="Q11" s="119" t="s">
        <v>206</v>
      </c>
      <c r="R11" s="119" t="s">
        <v>207</v>
      </c>
      <c r="S11" s="119" t="s">
        <v>208</v>
      </c>
      <c r="T11" s="119" t="s">
        <v>209</v>
      </c>
      <c r="U11" s="93"/>
      <c r="V11" s="93"/>
      <c r="W11" s="93"/>
      <c r="X11" s="93"/>
      <c r="Y11" s="93"/>
      <c r="Z11" s="93"/>
      <c r="AA11" s="93"/>
      <c r="AB11" s="93"/>
      <c r="AC11" s="93"/>
      <c r="AD11" s="93"/>
      <c r="AE11" s="93"/>
      <c r="AF11" s="93"/>
      <c r="AG11" s="93"/>
      <c r="AH11" s="93"/>
      <c r="AI11" s="93"/>
      <c r="AJ11" s="93"/>
      <c r="AK11" s="93"/>
      <c r="AL11" s="93"/>
    </row>
    <row r="12" spans="3:38">
      <c r="C12" s="108" t="s">
        <v>93</v>
      </c>
      <c r="D12" s="221">
        <v>2</v>
      </c>
      <c r="E12" s="221">
        <v>2.6</v>
      </c>
      <c r="F12" s="221">
        <v>2.8</v>
      </c>
      <c r="G12" s="221">
        <v>3.6</v>
      </c>
      <c r="H12" s="221">
        <v>4</v>
      </c>
      <c r="I12" s="221">
        <v>4.5</v>
      </c>
      <c r="J12" s="221">
        <v>5</v>
      </c>
      <c r="K12" s="221">
        <v>5.5</v>
      </c>
      <c r="L12" s="221">
        <v>6</v>
      </c>
      <c r="M12" s="39"/>
      <c r="N12" s="118" t="s">
        <v>210</v>
      </c>
      <c r="O12" s="119" t="s">
        <v>111</v>
      </c>
      <c r="P12" s="119" t="s">
        <v>211</v>
      </c>
      <c r="Q12" s="119" t="s">
        <v>212</v>
      </c>
      <c r="R12" s="119" t="s">
        <v>213</v>
      </c>
      <c r="S12" s="119" t="s">
        <v>197</v>
      </c>
      <c r="T12" s="119" t="s">
        <v>214</v>
      </c>
      <c r="U12" s="93"/>
      <c r="V12" s="93"/>
      <c r="W12" s="93"/>
      <c r="X12" s="93"/>
      <c r="Y12" s="93"/>
      <c r="Z12" s="93"/>
      <c r="AA12" s="93"/>
      <c r="AB12" s="93"/>
      <c r="AC12" s="93"/>
      <c r="AD12" s="93"/>
      <c r="AE12" s="93"/>
      <c r="AF12" s="93"/>
      <c r="AG12" s="93"/>
      <c r="AH12" s="93"/>
      <c r="AI12" s="93"/>
      <c r="AJ12" s="93"/>
      <c r="AK12" s="93"/>
      <c r="AL12" s="93"/>
    </row>
    <row r="13" spans="3:38">
      <c r="C13" s="108" t="s">
        <v>258</v>
      </c>
      <c r="D13" s="221"/>
      <c r="E13" s="221"/>
      <c r="F13" s="221"/>
      <c r="G13" s="221"/>
      <c r="H13" s="221"/>
      <c r="I13">
        <v>0.65</v>
      </c>
      <c r="J13">
        <v>1.4000000000000001</v>
      </c>
      <c r="K13">
        <v>2.25</v>
      </c>
      <c r="L13">
        <v>2.95</v>
      </c>
      <c r="M13" s="39"/>
      <c r="N13" s="118"/>
      <c r="O13" s="119"/>
      <c r="P13" s="119"/>
      <c r="Q13" s="119"/>
      <c r="R13" s="119"/>
      <c r="S13" s="119"/>
      <c r="T13" s="119"/>
      <c r="U13" s="93"/>
      <c r="V13" s="93"/>
      <c r="W13" s="93"/>
      <c r="X13" s="93"/>
      <c r="Y13" s="93"/>
      <c r="Z13" s="93"/>
      <c r="AA13" s="93"/>
      <c r="AB13" s="93"/>
      <c r="AC13" s="93"/>
      <c r="AD13" s="93"/>
      <c r="AE13" s="93"/>
      <c r="AF13" s="93"/>
      <c r="AG13" s="93"/>
      <c r="AH13" s="93"/>
      <c r="AI13" s="93"/>
      <c r="AJ13" s="93"/>
      <c r="AK13" s="93"/>
      <c r="AL13" s="93"/>
    </row>
    <row r="14" spans="3:38">
      <c r="C14" s="108" t="s">
        <v>94</v>
      </c>
      <c r="D14" s="221">
        <v>4.7</v>
      </c>
      <c r="E14" s="221">
        <v>3.5</v>
      </c>
      <c r="F14" s="221">
        <v>3.4</v>
      </c>
      <c r="G14" s="221">
        <v>6.9</v>
      </c>
      <c r="H14" s="221">
        <v>6.25</v>
      </c>
      <c r="I14" s="221">
        <v>6.9</v>
      </c>
      <c r="J14" s="221">
        <v>7.55</v>
      </c>
      <c r="K14" s="221">
        <v>8.1999999999999993</v>
      </c>
      <c r="L14" s="221">
        <v>8.85</v>
      </c>
      <c r="M14" s="94"/>
      <c r="U14" s="96"/>
      <c r="V14" s="96"/>
      <c r="W14" s="96"/>
      <c r="X14" s="96"/>
      <c r="Y14" s="96"/>
      <c r="Z14" s="96"/>
      <c r="AA14" s="96"/>
      <c r="AB14" s="96"/>
      <c r="AC14" s="96"/>
      <c r="AD14" s="96"/>
      <c r="AE14" s="96"/>
      <c r="AF14" s="96"/>
      <c r="AG14" s="96"/>
      <c r="AH14" s="96"/>
      <c r="AI14" s="96"/>
      <c r="AJ14" s="96"/>
      <c r="AK14" s="96"/>
      <c r="AL14" s="96"/>
    </row>
    <row r="15" spans="3:38">
      <c r="C15" s="110" t="s">
        <v>95</v>
      </c>
      <c r="D15" s="221">
        <v>196.4</v>
      </c>
      <c r="E15" s="221">
        <v>227.9</v>
      </c>
      <c r="F15" s="221">
        <v>191</v>
      </c>
      <c r="G15" s="221">
        <v>174.7</v>
      </c>
      <c r="H15" s="221">
        <f>H11+H12-H13+H14</f>
        <v>292.75</v>
      </c>
      <c r="I15" s="221">
        <f t="shared" ref="I15:L15" si="4">I11+I12-I13+I14</f>
        <v>290.875</v>
      </c>
      <c r="J15" s="221">
        <f t="shared" si="4"/>
        <v>279.78125000000006</v>
      </c>
      <c r="K15" s="221">
        <f t="shared" si="4"/>
        <v>289.51281250000005</v>
      </c>
      <c r="L15" s="221">
        <f t="shared" si="4"/>
        <v>290.36595312500015</v>
      </c>
      <c r="M15" s="39"/>
      <c r="U15" s="93"/>
      <c r="V15" s="93"/>
      <c r="W15" s="93"/>
      <c r="X15" s="93"/>
      <c r="Y15" s="93"/>
      <c r="Z15" s="93"/>
      <c r="AA15" s="93"/>
      <c r="AB15" s="93"/>
      <c r="AC15" s="93"/>
      <c r="AD15" s="93"/>
      <c r="AE15" s="93"/>
      <c r="AF15" s="93"/>
      <c r="AG15" s="93"/>
      <c r="AH15" s="93"/>
      <c r="AI15" s="93"/>
      <c r="AJ15" s="93"/>
      <c r="AK15" s="93"/>
      <c r="AL15" s="93"/>
    </row>
    <row r="16" spans="3:38">
      <c r="C16" s="108" t="s">
        <v>96</v>
      </c>
      <c r="D16" s="221">
        <v>72.7</v>
      </c>
      <c r="E16" s="221">
        <v>89.1</v>
      </c>
      <c r="F16" s="221">
        <v>70.3</v>
      </c>
      <c r="G16" s="221">
        <v>62.8</v>
      </c>
      <c r="H16" s="221">
        <f>H15*(1-0.7)</f>
        <v>87.825000000000017</v>
      </c>
      <c r="I16" s="221">
        <f t="shared" ref="I16:L16" si="5">I15*(1-0.7)</f>
        <v>87.262500000000017</v>
      </c>
      <c r="J16" s="221">
        <f t="shared" si="5"/>
        <v>83.934375000000031</v>
      </c>
      <c r="K16" s="221">
        <f t="shared" si="5"/>
        <v>86.853843750000024</v>
      </c>
      <c r="L16" s="221">
        <f t="shared" si="5"/>
        <v>87.109785937500064</v>
      </c>
      <c r="M16" s="39"/>
      <c r="U16" s="93"/>
      <c r="V16" s="93"/>
      <c r="W16" s="93"/>
      <c r="X16" s="93"/>
      <c r="Y16" s="93"/>
      <c r="Z16" s="93"/>
      <c r="AA16" s="93"/>
      <c r="AB16" s="93"/>
      <c r="AC16" s="93"/>
      <c r="AD16" s="93"/>
      <c r="AE16" s="93"/>
      <c r="AF16" s="93"/>
      <c r="AG16" s="93"/>
      <c r="AH16" s="93"/>
      <c r="AI16" s="93"/>
      <c r="AJ16" s="93"/>
      <c r="AK16" s="93"/>
      <c r="AL16" s="93"/>
    </row>
    <row r="17" spans="3:38">
      <c r="C17" s="108" t="s">
        <v>97</v>
      </c>
      <c r="D17" s="111">
        <v>-0.7</v>
      </c>
      <c r="E17" s="111">
        <v>-0.6</v>
      </c>
      <c r="F17" s="111">
        <v>-0.5</v>
      </c>
      <c r="G17" s="111">
        <v>-0.6</v>
      </c>
      <c r="H17" s="111">
        <v>-0.5</v>
      </c>
      <c r="I17" s="111">
        <v>-0.46</v>
      </c>
      <c r="J17" s="111">
        <v>-0.42</v>
      </c>
      <c r="K17" s="111">
        <v>-0.38</v>
      </c>
      <c r="L17" s="111">
        <v>-0.34</v>
      </c>
      <c r="M17" s="94"/>
      <c r="U17" s="96"/>
      <c r="V17" s="96"/>
      <c r="W17" s="96"/>
      <c r="X17" s="96"/>
      <c r="Y17" s="96"/>
      <c r="Z17" s="96"/>
      <c r="AA17" s="96"/>
      <c r="AB17" s="96"/>
      <c r="AC17" s="96"/>
      <c r="AD17" s="96"/>
      <c r="AE17" s="96"/>
      <c r="AF17" s="96"/>
      <c r="AG17" s="96"/>
      <c r="AH17" s="96"/>
      <c r="AI17" s="96"/>
      <c r="AJ17" s="96"/>
      <c r="AK17" s="96"/>
      <c r="AL17" s="96"/>
    </row>
    <row r="18" spans="3:38">
      <c r="C18" s="110" t="s">
        <v>98</v>
      </c>
      <c r="D18" s="221">
        <v>123.1</v>
      </c>
      <c r="E18" s="221">
        <v>138.19999999999999</v>
      </c>
      <c r="F18" s="221">
        <v>120.3</v>
      </c>
      <c r="G18" s="221">
        <v>111.2</v>
      </c>
      <c r="H18" s="221">
        <f>H15-H16+H17</f>
        <v>204.42499999999998</v>
      </c>
      <c r="I18" s="221">
        <f t="shared" ref="I18:L18" si="6">I15-I16+I17</f>
        <v>203.15249999999997</v>
      </c>
      <c r="J18" s="221">
        <f t="shared" si="6"/>
        <v>195.42687500000002</v>
      </c>
      <c r="K18" s="221">
        <f t="shared" si="6"/>
        <v>202.27896875000005</v>
      </c>
      <c r="L18" s="221">
        <f t="shared" si="6"/>
        <v>202.91616718750006</v>
      </c>
      <c r="M18" s="40"/>
    </row>
    <row r="19" spans="3:38">
      <c r="C19" s="192" t="s">
        <v>100</v>
      </c>
      <c r="D19" s="29"/>
      <c r="E19" s="29"/>
      <c r="F19" s="29"/>
      <c r="G19" s="29"/>
      <c r="H19" s="29"/>
      <c r="I19" s="29"/>
      <c r="J19" s="29"/>
      <c r="K19" s="40"/>
      <c r="L19" s="40"/>
      <c r="M19" s="40"/>
    </row>
    <row r="20" spans="3:38">
      <c r="C20" s="110" t="s">
        <v>101</v>
      </c>
      <c r="D20" s="221" t="s">
        <v>102</v>
      </c>
      <c r="E20" s="221" t="s">
        <v>103</v>
      </c>
      <c r="F20" s="221" t="s">
        <v>104</v>
      </c>
      <c r="G20" s="221" t="s">
        <v>105</v>
      </c>
      <c r="H20" s="221"/>
      <c r="I20" s="221"/>
      <c r="J20" s="221"/>
      <c r="K20" s="221"/>
      <c r="L20" s="221"/>
    </row>
    <row r="21" spans="3:38">
      <c r="C21" s="110" t="s">
        <v>106</v>
      </c>
      <c r="D21" s="221">
        <v>195.8</v>
      </c>
      <c r="E21" s="221">
        <v>195.7</v>
      </c>
      <c r="F21" s="221">
        <v>195.7</v>
      </c>
      <c r="G21" s="221">
        <v>195.7</v>
      </c>
      <c r="H21" s="221"/>
      <c r="I21" s="221"/>
      <c r="J21" s="221"/>
    </row>
    <row r="22" spans="3:38">
      <c r="C22" s="110" t="s">
        <v>107</v>
      </c>
      <c r="D22" s="221" t="s">
        <v>108</v>
      </c>
      <c r="E22" s="221" t="s">
        <v>109</v>
      </c>
      <c r="F22" s="221" t="s">
        <v>110</v>
      </c>
      <c r="G22" s="221" t="s">
        <v>111</v>
      </c>
      <c r="H22" s="221"/>
      <c r="I22" s="221"/>
      <c r="J22" s="221"/>
    </row>
    <row r="23" spans="3:38">
      <c r="C23" s="110" t="s">
        <v>112</v>
      </c>
      <c r="D23" s="113">
        <v>0.3</v>
      </c>
      <c r="E23" s="113">
        <v>0.3</v>
      </c>
      <c r="F23" s="113">
        <v>0.3</v>
      </c>
      <c r="G23" s="113">
        <v>0.3</v>
      </c>
      <c r="H23" s="113"/>
      <c r="I23" s="113"/>
      <c r="J23" s="113"/>
    </row>
    <row r="24" spans="3:38">
      <c r="C24" s="110" t="s">
        <v>113</v>
      </c>
      <c r="D24" s="113">
        <v>1.4999999999999999E-2</v>
      </c>
      <c r="E24" s="113">
        <v>1.4E-2</v>
      </c>
      <c r="F24" s="113">
        <v>1.2999999999999999E-2</v>
      </c>
      <c r="G24" s="113">
        <v>8.9999999999999993E-3</v>
      </c>
      <c r="H24" s="113"/>
      <c r="I24" s="113"/>
      <c r="J24" s="113"/>
    </row>
    <row r="25" spans="3:38">
      <c r="C25" s="110" t="s">
        <v>114</v>
      </c>
      <c r="D25" s="221" t="s">
        <v>115</v>
      </c>
      <c r="E25" s="221" t="s">
        <v>116</v>
      </c>
      <c r="F25" s="221" t="s">
        <v>117</v>
      </c>
      <c r="G25" s="221" t="s">
        <v>118</v>
      </c>
      <c r="H25" s="221"/>
      <c r="I25" s="221"/>
      <c r="J25" s="221"/>
    </row>
    <row r="26" spans="3:38">
      <c r="C26" s="110" t="s">
        <v>119</v>
      </c>
      <c r="D26" s="221" t="s">
        <v>120</v>
      </c>
      <c r="E26" s="221" t="s">
        <v>121</v>
      </c>
      <c r="F26" s="221" t="s">
        <v>122</v>
      </c>
      <c r="G26" s="221" t="s">
        <v>123</v>
      </c>
      <c r="H26" s="221"/>
      <c r="I26" s="221"/>
      <c r="J26" s="221"/>
    </row>
    <row r="27" spans="3:38">
      <c r="C27" s="191" t="s">
        <v>124</v>
      </c>
      <c r="D27" s="29"/>
      <c r="E27" s="29"/>
      <c r="F27" s="29"/>
      <c r="G27" s="29"/>
      <c r="H27" s="29"/>
      <c r="I27" s="29"/>
      <c r="J27" s="29"/>
    </row>
    <row r="28" spans="3:38">
      <c r="C28" s="110" t="s">
        <v>125</v>
      </c>
      <c r="D28" s="221" t="s">
        <v>126</v>
      </c>
      <c r="E28" s="221" t="s">
        <v>127</v>
      </c>
      <c r="F28" s="221" t="s">
        <v>128</v>
      </c>
      <c r="G28" s="221" t="s">
        <v>129</v>
      </c>
      <c r="H28" s="221"/>
      <c r="I28" s="221"/>
      <c r="J28" s="221"/>
    </row>
    <row r="29" spans="3:38">
      <c r="C29" s="110" t="s">
        <v>130</v>
      </c>
      <c r="D29" s="221" t="s">
        <v>131</v>
      </c>
      <c r="E29" s="221" t="s">
        <v>132</v>
      </c>
      <c r="F29" s="221" t="s">
        <v>133</v>
      </c>
      <c r="G29" s="221" t="s">
        <v>134</v>
      </c>
      <c r="H29" s="221"/>
      <c r="I29" s="221"/>
      <c r="J29" s="221"/>
    </row>
    <row r="30" spans="3:38">
      <c r="C30" s="110" t="s">
        <v>135</v>
      </c>
      <c r="D30" s="221" t="s">
        <v>136</v>
      </c>
      <c r="E30" s="221" t="s">
        <v>137</v>
      </c>
      <c r="F30" s="221" t="s">
        <v>138</v>
      </c>
      <c r="G30" s="221" t="s">
        <v>139</v>
      </c>
      <c r="H30" s="221"/>
      <c r="I30" s="221"/>
      <c r="J30" s="221"/>
    </row>
    <row r="31" spans="3:38">
      <c r="C31" s="110" t="s">
        <v>140</v>
      </c>
      <c r="D31" s="221" t="s">
        <v>141</v>
      </c>
      <c r="E31" s="221" t="s">
        <v>142</v>
      </c>
      <c r="F31" s="221" t="s">
        <v>143</v>
      </c>
      <c r="G31" s="221" t="s">
        <v>144</v>
      </c>
      <c r="H31" s="221"/>
      <c r="I31" s="221"/>
      <c r="J31" s="221"/>
    </row>
    <row r="32" spans="3:38">
      <c r="C32" s="108" t="s">
        <v>145</v>
      </c>
      <c r="D32" s="29"/>
      <c r="E32" s="29"/>
      <c r="F32" s="29"/>
      <c r="G32" s="29"/>
      <c r="H32" s="29"/>
      <c r="I32" s="29"/>
      <c r="J32" s="29"/>
    </row>
    <row r="33" spans="3:10">
      <c r="C33" s="110" t="s">
        <v>146</v>
      </c>
      <c r="D33" s="113">
        <v>0.76100000000000001</v>
      </c>
      <c r="E33" s="113">
        <v>0.20699999999999999</v>
      </c>
      <c r="F33" s="113">
        <v>-7.3999999999999996E-2</v>
      </c>
      <c r="G33" s="113">
        <v>-9.5000000000000001E-2</v>
      </c>
      <c r="H33" s="113"/>
      <c r="I33" s="113"/>
      <c r="J33" s="113"/>
    </row>
    <row r="34" spans="3:10">
      <c r="C34" s="193" t="s">
        <v>147</v>
      </c>
      <c r="D34" s="29"/>
      <c r="E34" s="29"/>
      <c r="F34" s="29"/>
      <c r="G34" s="29"/>
      <c r="H34" s="29"/>
      <c r="I34" s="29"/>
      <c r="J34" s="29"/>
    </row>
    <row r="35" spans="3:10">
      <c r="C35" s="110" t="s">
        <v>148</v>
      </c>
      <c r="D35" s="113">
        <v>0.53400000000000003</v>
      </c>
      <c r="E35" s="113">
        <v>0.51300000000000001</v>
      </c>
      <c r="F35" s="113">
        <v>0.48099999999999998</v>
      </c>
      <c r="G35" s="113">
        <v>0.496</v>
      </c>
      <c r="H35" s="113"/>
      <c r="I35" s="113"/>
      <c r="J35" s="113"/>
    </row>
    <row r="36" spans="3:10">
      <c r="C36" s="110" t="s">
        <v>149</v>
      </c>
      <c r="D36" s="113">
        <v>0.42499999999999999</v>
      </c>
      <c r="E36" s="113">
        <v>0.41199999999999998</v>
      </c>
      <c r="F36" s="113">
        <v>0.371</v>
      </c>
      <c r="G36" s="113">
        <v>0.36399999999999999</v>
      </c>
      <c r="H36" s="113"/>
      <c r="I36" s="113"/>
      <c r="J36" s="113"/>
    </row>
    <row r="37" spans="3:10">
      <c r="C37" s="110" t="s">
        <v>150</v>
      </c>
      <c r="D37" s="113">
        <v>0.27600000000000002</v>
      </c>
      <c r="E37" s="113">
        <v>0.25700000000000001</v>
      </c>
      <c r="F37" s="113">
        <v>0.24099999999999999</v>
      </c>
      <c r="G37" s="113">
        <v>0.247</v>
      </c>
      <c r="H37" s="113"/>
      <c r="I37" s="113"/>
      <c r="J37" s="113"/>
    </row>
    <row r="38" spans="3:10">
      <c r="C38" s="110" t="s">
        <v>151</v>
      </c>
      <c r="D38" s="113">
        <v>0.122</v>
      </c>
      <c r="E38" s="113">
        <v>0.122</v>
      </c>
      <c r="F38" s="113">
        <v>9.9000000000000005E-2</v>
      </c>
      <c r="G38" s="113">
        <v>8.3000000000000004E-2</v>
      </c>
      <c r="H38" s="113"/>
      <c r="I38" s="113"/>
      <c r="J38" s="113"/>
    </row>
    <row r="39" spans="3:10">
      <c r="C39" s="110" t="s">
        <v>152</v>
      </c>
      <c r="D39" s="113">
        <v>0.13800000000000001</v>
      </c>
      <c r="E39" s="113">
        <v>0.14000000000000001</v>
      </c>
      <c r="F39" s="113">
        <v>0.11</v>
      </c>
      <c r="G39" s="113">
        <v>9.2999999999999999E-2</v>
      </c>
      <c r="H39" s="113"/>
      <c r="I39" s="113"/>
      <c r="J39" s="113"/>
    </row>
    <row r="40" spans="3:10">
      <c r="C40" s="110" t="s">
        <v>153</v>
      </c>
      <c r="D40" s="113">
        <v>0.37</v>
      </c>
      <c r="E40" s="113">
        <v>0.39100000000000001</v>
      </c>
      <c r="F40" s="113">
        <v>0.36799999999999999</v>
      </c>
      <c r="G40" s="113">
        <v>0.36</v>
      </c>
      <c r="H40" s="113"/>
      <c r="I40" s="113"/>
      <c r="J40" s="113"/>
    </row>
    <row r="41" spans="3:10" ht="16.5" thickBot="1">
      <c r="C41" s="114" t="s">
        <v>154</v>
      </c>
      <c r="D41" s="115">
        <v>5060</v>
      </c>
      <c r="E41" s="115">
        <v>5198</v>
      </c>
      <c r="F41" s="115">
        <v>5261</v>
      </c>
      <c r="G41" s="115">
        <v>5469</v>
      </c>
      <c r="H41" s="221"/>
      <c r="I41" s="221"/>
      <c r="J41" s="221"/>
    </row>
    <row r="44" spans="3:10">
      <c r="D44" s="37">
        <f>D18/D7</f>
        <v>0.27588525324966384</v>
      </c>
      <c r="E44" s="37">
        <f>E18/E7</f>
        <v>0.25663881151346329</v>
      </c>
      <c r="F44" s="37">
        <f>F18/F7</f>
        <v>0.24137239165329052</v>
      </c>
      <c r="G44" s="37">
        <f>G18/G7</f>
        <v>0.24656319290465634</v>
      </c>
    </row>
  </sheetData>
  <mergeCells count="3">
    <mergeCell ref="D4:G4"/>
    <mergeCell ref="Q4:R4"/>
    <mergeCell ref="D5:F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2:K47"/>
  <sheetViews>
    <sheetView tabSelected="1" workbookViewId="0">
      <selection activeCell="B43" sqref="B43:C45"/>
    </sheetView>
  </sheetViews>
  <sheetFormatPr defaultRowHeight="15"/>
  <cols>
    <col min="2" max="2" width="30.7109375" bestFit="1" customWidth="1"/>
    <col min="3" max="3" width="13.28515625" bestFit="1" customWidth="1"/>
    <col min="11" max="11" width="12.42578125" bestFit="1" customWidth="1"/>
  </cols>
  <sheetData>
    <row r="2" spans="2:11">
      <c r="B2" s="28"/>
      <c r="C2" s="28"/>
      <c r="D2" s="28"/>
      <c r="E2" s="28"/>
      <c r="F2" s="28"/>
      <c r="G2" s="28"/>
      <c r="H2" s="28"/>
      <c r="I2" s="28"/>
      <c r="J2" s="28"/>
      <c r="K2" s="28"/>
    </row>
    <row r="3" spans="2:11">
      <c r="B3" s="28"/>
      <c r="C3" s="28">
        <v>2011</v>
      </c>
      <c r="D3" s="28">
        <v>2012</v>
      </c>
      <c r="E3" s="28">
        <v>2013</v>
      </c>
      <c r="F3" s="28">
        <v>2014</v>
      </c>
      <c r="G3" s="28">
        <v>2015</v>
      </c>
      <c r="H3" s="28">
        <v>2016</v>
      </c>
      <c r="I3" s="28">
        <v>2017</v>
      </c>
      <c r="J3" s="28">
        <v>2018</v>
      </c>
      <c r="K3" s="28">
        <v>2019</v>
      </c>
    </row>
    <row r="4" spans="2:11" ht="15.75">
      <c r="B4" s="110" t="s">
        <v>91</v>
      </c>
      <c r="C4" s="221">
        <v>189.8</v>
      </c>
      <c r="D4" s="221">
        <v>221.8</v>
      </c>
      <c r="E4" s="221">
        <v>184.8</v>
      </c>
      <c r="F4" s="221">
        <v>164.1</v>
      </c>
      <c r="G4" s="221">
        <f>F4*1.09</f>
        <v>178.869</v>
      </c>
      <c r="H4" s="221">
        <f>G4*1.11</f>
        <v>198.54459000000003</v>
      </c>
      <c r="I4" s="221">
        <f t="shared" ref="I4:K4" si="0">H4*1.07</f>
        <v>212.44271130000004</v>
      </c>
      <c r="J4" s="221">
        <f t="shared" si="0"/>
        <v>227.31370109100007</v>
      </c>
      <c r="K4" s="221">
        <f t="shared" si="0"/>
        <v>243.22566016737008</v>
      </c>
    </row>
    <row r="5" spans="2:11" ht="15.75">
      <c r="B5" s="108" t="s">
        <v>93</v>
      </c>
      <c r="C5" s="221">
        <v>2</v>
      </c>
      <c r="D5" s="221">
        <v>2.6</v>
      </c>
      <c r="E5" s="221">
        <v>2.8</v>
      </c>
      <c r="F5" s="221">
        <v>3.6</v>
      </c>
      <c r="G5" s="221">
        <v>4</v>
      </c>
      <c r="H5" s="221">
        <v>4.5</v>
      </c>
      <c r="I5" s="221">
        <v>5</v>
      </c>
      <c r="J5" s="221">
        <v>5.5</v>
      </c>
      <c r="K5" s="221">
        <v>6</v>
      </c>
    </row>
    <row r="6" spans="2:11" ht="15.75">
      <c r="B6" s="108" t="s">
        <v>258</v>
      </c>
      <c r="C6" s="221"/>
      <c r="D6" s="221"/>
      <c r="E6" s="221"/>
      <c r="F6" s="221"/>
      <c r="G6" s="221"/>
      <c r="H6" s="28">
        <f>H4*0.01</f>
        <v>1.9854459000000004</v>
      </c>
      <c r="I6" s="28">
        <f t="shared" ref="I6:K6" si="1">I4*0.01</f>
        <v>2.1244271130000003</v>
      </c>
      <c r="J6" s="28">
        <f t="shared" si="1"/>
        <v>2.2731370109100006</v>
      </c>
      <c r="K6" s="28">
        <f t="shared" si="1"/>
        <v>2.4322566016737008</v>
      </c>
    </row>
    <row r="7" spans="2:11" ht="15.75">
      <c r="B7" s="108" t="s">
        <v>94</v>
      </c>
      <c r="C7" s="221">
        <v>4.7</v>
      </c>
      <c r="D7" s="221">
        <v>3.5</v>
      </c>
      <c r="E7" s="221">
        <v>3.4</v>
      </c>
      <c r="F7" s="221">
        <v>6.9</v>
      </c>
      <c r="G7" s="221">
        <v>6.25</v>
      </c>
      <c r="H7" s="221">
        <v>6.9</v>
      </c>
      <c r="I7" s="221">
        <v>7.55</v>
      </c>
      <c r="J7" s="221">
        <v>0</v>
      </c>
      <c r="K7" s="221">
        <v>0</v>
      </c>
    </row>
    <row r="8" spans="2:11" ht="15.75">
      <c r="B8" s="110" t="s">
        <v>95</v>
      </c>
      <c r="C8" s="221">
        <v>196.4</v>
      </c>
      <c r="D8" s="221">
        <v>227.9</v>
      </c>
      <c r="E8" s="221">
        <v>191</v>
      </c>
      <c r="F8" s="221">
        <v>174.7</v>
      </c>
      <c r="G8" s="221">
        <f>G4+G5-G6+G7</f>
        <v>189.119</v>
      </c>
      <c r="H8" s="221">
        <f t="shared" ref="H8:K8" si="2">H4+H5-H6+H7</f>
        <v>207.95914410000003</v>
      </c>
      <c r="I8" s="221">
        <f t="shared" si="2"/>
        <v>222.86828418700006</v>
      </c>
      <c r="J8" s="221">
        <f t="shared" si="2"/>
        <v>230.54056408009006</v>
      </c>
      <c r="K8" s="221">
        <f t="shared" si="2"/>
        <v>246.79340356569637</v>
      </c>
    </row>
    <row r="9" spans="2:11" ht="15.75">
      <c r="B9" s="108" t="s">
        <v>96</v>
      </c>
      <c r="C9" s="221">
        <v>72.7</v>
      </c>
      <c r="D9" s="221">
        <v>89.1</v>
      </c>
      <c r="E9" s="221">
        <v>70.3</v>
      </c>
      <c r="F9" s="221">
        <v>62.8</v>
      </c>
      <c r="G9" s="221">
        <f>G8*(1-0.7)</f>
        <v>56.735700000000008</v>
      </c>
      <c r="H9" s="221">
        <f t="shared" ref="H9:K9" si="3">H8*(1-0.7)</f>
        <v>62.387743230000019</v>
      </c>
      <c r="I9" s="221">
        <f t="shared" si="3"/>
        <v>66.86048525610002</v>
      </c>
      <c r="J9" s="221">
        <f t="shared" si="3"/>
        <v>69.162169224027025</v>
      </c>
      <c r="K9" s="221">
        <f t="shared" si="3"/>
        <v>74.038021069708918</v>
      </c>
    </row>
    <row r="10" spans="2:11" ht="15.75">
      <c r="B10" s="108" t="s">
        <v>97</v>
      </c>
      <c r="C10" s="111">
        <v>-0.7</v>
      </c>
      <c r="D10" s="111">
        <v>-0.6</v>
      </c>
      <c r="E10" s="111">
        <v>-0.5</v>
      </c>
      <c r="F10" s="111">
        <v>-0.6</v>
      </c>
      <c r="G10" s="111">
        <v>-0.5</v>
      </c>
      <c r="H10" s="111">
        <v>-0.46</v>
      </c>
      <c r="I10" s="111">
        <v>-0.42</v>
      </c>
      <c r="J10" s="111">
        <v>-0.38</v>
      </c>
      <c r="K10" s="111">
        <v>-0.34</v>
      </c>
    </row>
    <row r="11" spans="2:11" ht="15.75">
      <c r="B11" s="110" t="s">
        <v>98</v>
      </c>
      <c r="C11" s="221">
        <v>123.1</v>
      </c>
      <c r="D11" s="221">
        <v>138.19999999999999</v>
      </c>
      <c r="E11" s="221">
        <v>120.3</v>
      </c>
      <c r="F11" s="221">
        <v>111.2</v>
      </c>
      <c r="G11" s="221">
        <f>G8-G9+G10</f>
        <v>131.88329999999999</v>
      </c>
      <c r="H11" s="221">
        <f>H8-H9+H10</f>
        <v>145.11140087000001</v>
      </c>
      <c r="I11" s="221">
        <f t="shared" ref="I11:J11" si="4">I8-I9+I10</f>
        <v>155.58779893090005</v>
      </c>
      <c r="J11" s="221">
        <f t="shared" si="4"/>
        <v>160.99839485606304</v>
      </c>
      <c r="K11" s="221">
        <f>K8-K9+K10</f>
        <v>172.41538249598744</v>
      </c>
    </row>
    <row r="12" spans="2:11">
      <c r="B12" s="28"/>
      <c r="C12" s="28"/>
      <c r="D12" s="28"/>
      <c r="E12" s="28"/>
      <c r="F12" s="28"/>
      <c r="G12" s="28"/>
      <c r="H12" s="28"/>
      <c r="I12" s="28"/>
      <c r="J12" s="28"/>
      <c r="K12" s="28"/>
    </row>
    <row r="13" spans="2:11">
      <c r="B13" s="28"/>
      <c r="C13" s="28"/>
      <c r="D13" s="28"/>
      <c r="E13" s="28"/>
      <c r="F13" s="28"/>
      <c r="G13" s="28"/>
      <c r="H13" s="28"/>
      <c r="I13" s="28"/>
      <c r="J13" s="28"/>
      <c r="K13" s="28"/>
    </row>
    <row r="14" spans="2:11">
      <c r="B14" s="28"/>
      <c r="C14" s="28"/>
      <c r="D14" s="28"/>
      <c r="E14" s="28"/>
      <c r="F14" s="28"/>
      <c r="G14" s="28"/>
      <c r="H14" s="28"/>
      <c r="I14" s="28"/>
      <c r="J14" s="28"/>
      <c r="K14" s="28"/>
    </row>
    <row r="15" spans="2:11">
      <c r="B15" s="28"/>
      <c r="C15" s="28"/>
      <c r="D15" s="28"/>
      <c r="E15" s="28"/>
      <c r="F15" s="28"/>
      <c r="G15" s="28"/>
      <c r="H15" s="28"/>
      <c r="I15" s="28"/>
      <c r="J15" s="28"/>
      <c r="K15" s="28"/>
    </row>
    <row r="16" spans="2:11">
      <c r="B16" s="28" t="s">
        <v>8</v>
      </c>
      <c r="C16" s="28">
        <v>2014</v>
      </c>
      <c r="D16" s="28"/>
      <c r="E16" s="28"/>
      <c r="F16" s="28"/>
      <c r="G16" s="28"/>
      <c r="H16" s="28"/>
      <c r="I16" s="28"/>
      <c r="J16" s="28"/>
      <c r="K16" s="28"/>
    </row>
    <row r="17" spans="2:11">
      <c r="B17" s="28" t="s">
        <v>9</v>
      </c>
      <c r="C17" s="224">
        <v>3.1199999999999999E-2</v>
      </c>
      <c r="D17" s="225"/>
      <c r="E17" s="225"/>
      <c r="F17" s="225"/>
      <c r="G17" s="225"/>
      <c r="H17" s="225"/>
      <c r="I17" s="28"/>
      <c r="J17" s="28"/>
      <c r="K17" s="28"/>
    </row>
    <row r="18" spans="2:11">
      <c r="B18" s="28" t="s">
        <v>10</v>
      </c>
      <c r="C18" s="225">
        <v>7.5999999999999998E-2</v>
      </c>
      <c r="D18" s="28"/>
      <c r="E18" s="28"/>
      <c r="F18" s="28"/>
      <c r="G18" s="28"/>
      <c r="H18" s="28"/>
      <c r="I18" s="28"/>
      <c r="J18" s="28"/>
      <c r="K18" s="28"/>
    </row>
    <row r="19" spans="2:11">
      <c r="B19" s="28" t="s">
        <v>11</v>
      </c>
      <c r="C19" s="225">
        <v>0.3</v>
      </c>
      <c r="D19" s="28"/>
      <c r="E19" s="28"/>
      <c r="F19" s="28"/>
      <c r="G19" s="28"/>
      <c r="H19" s="28"/>
      <c r="I19" s="28"/>
      <c r="J19" s="28"/>
      <c r="K19" s="28"/>
    </row>
    <row r="20" spans="2:11">
      <c r="B20" s="28" t="s">
        <v>12</v>
      </c>
      <c r="C20" s="225">
        <v>0.5</v>
      </c>
      <c r="D20" s="28"/>
      <c r="E20" s="28"/>
      <c r="F20" s="28"/>
      <c r="G20" s="28"/>
      <c r="H20" s="28"/>
      <c r="I20" s="28"/>
      <c r="J20" s="28"/>
      <c r="K20" s="28"/>
    </row>
    <row r="21" spans="2:11">
      <c r="B21" s="28" t="s">
        <v>267</v>
      </c>
      <c r="C21" s="225">
        <v>0.2</v>
      </c>
      <c r="D21" s="226"/>
      <c r="E21" s="226"/>
      <c r="F21" s="226"/>
      <c r="G21" s="226"/>
      <c r="H21" s="226"/>
      <c r="I21" s="226"/>
      <c r="J21" s="28"/>
      <c r="K21" s="28"/>
    </row>
    <row r="22" spans="2:11">
      <c r="B22" s="28" t="s">
        <v>13</v>
      </c>
      <c r="C22" s="225">
        <v>0.2</v>
      </c>
      <c r="D22" s="28"/>
      <c r="E22" s="28"/>
      <c r="F22" s="28"/>
      <c r="G22" s="28"/>
      <c r="H22" s="28"/>
      <c r="I22" s="28"/>
      <c r="J22" s="28"/>
      <c r="K22" s="28"/>
    </row>
    <row r="23" spans="2:11">
      <c r="B23" s="28" t="s">
        <v>19</v>
      </c>
      <c r="C23" s="227">
        <v>0.03</v>
      </c>
      <c r="D23" s="28"/>
      <c r="E23" s="28"/>
      <c r="F23" s="28"/>
      <c r="G23" s="28"/>
      <c r="H23" s="28"/>
      <c r="I23" s="28"/>
      <c r="J23" s="28"/>
      <c r="K23" s="28"/>
    </row>
    <row r="24" spans="2:11">
      <c r="B24" s="28"/>
      <c r="C24" s="28"/>
      <c r="D24" s="28"/>
      <c r="E24" s="28"/>
      <c r="F24" s="28"/>
      <c r="G24" s="28"/>
      <c r="H24" s="28"/>
      <c r="I24" s="28"/>
      <c r="J24" s="28"/>
      <c r="K24" s="28"/>
    </row>
    <row r="25" spans="2:11" ht="15.75" thickBot="1">
      <c r="B25" s="228"/>
      <c r="C25" s="228"/>
      <c r="D25" s="298"/>
      <c r="E25" s="298"/>
      <c r="F25" s="298"/>
      <c r="G25" s="298"/>
      <c r="H25" s="298"/>
      <c r="I25" s="298"/>
      <c r="J25" s="298"/>
      <c r="K25" s="298"/>
    </row>
    <row r="26" spans="2:11">
      <c r="B26" s="229" t="s">
        <v>14</v>
      </c>
      <c r="C26" s="295" t="s">
        <v>15</v>
      </c>
      <c r="D26" s="299"/>
      <c r="E26" s="299"/>
      <c r="F26" s="299"/>
      <c r="G26" s="299"/>
      <c r="H26" s="299"/>
      <c r="I26" s="299"/>
      <c r="J26" s="300"/>
      <c r="K26" s="33" t="s">
        <v>17</v>
      </c>
    </row>
    <row r="27" spans="2:11" ht="15.75" thickBot="1">
      <c r="B27" s="230"/>
      <c r="C27" s="23"/>
      <c r="D27" s="24"/>
      <c r="E27" s="24">
        <v>2015</v>
      </c>
      <c r="F27" s="24">
        <v>2016</v>
      </c>
      <c r="G27" s="24"/>
      <c r="H27" s="24">
        <v>2017</v>
      </c>
      <c r="I27" s="24">
        <v>2018</v>
      </c>
      <c r="J27" s="24">
        <v>2019</v>
      </c>
      <c r="K27" s="231"/>
    </row>
    <row r="28" spans="2:11">
      <c r="B28" s="232" t="s">
        <v>270</v>
      </c>
      <c r="C28" s="233"/>
      <c r="D28" s="214"/>
      <c r="E28" s="209">
        <v>204.42499999999998</v>
      </c>
      <c r="F28" s="209">
        <v>238.28899999999996</v>
      </c>
      <c r="G28" s="209"/>
      <c r="H28" s="215">
        <v>276.97179999999997</v>
      </c>
      <c r="I28" s="209">
        <v>335.50015999999994</v>
      </c>
      <c r="J28" s="209">
        <v>406.45419199999986</v>
      </c>
      <c r="K28" s="234"/>
    </row>
    <row r="29" spans="2:11" ht="48.75" customHeight="1">
      <c r="B29" s="232" t="s">
        <v>271</v>
      </c>
      <c r="C29" s="233"/>
      <c r="D29" s="213"/>
      <c r="E29" s="209">
        <v>141</v>
      </c>
      <c r="F29" s="209">
        <v>169.20000000000002</v>
      </c>
      <c r="G29" s="232" t="s">
        <v>271</v>
      </c>
      <c r="H29" s="215">
        <v>203.04</v>
      </c>
      <c r="I29" s="210">
        <v>243.64799999999997</v>
      </c>
      <c r="J29" s="210">
        <v>292.37759999999997</v>
      </c>
      <c r="K29" s="235"/>
    </row>
    <row r="30" spans="2:11">
      <c r="B30" s="232" t="s">
        <v>272</v>
      </c>
      <c r="C30" s="233"/>
      <c r="D30" s="214"/>
      <c r="E30" s="211">
        <v>-293.89999999999998</v>
      </c>
      <c r="F30" s="211">
        <v>126.89999999999998</v>
      </c>
      <c r="G30" s="211"/>
      <c r="H30" s="209">
        <v>152.27999999999997</v>
      </c>
      <c r="I30" s="209">
        <v>182.73599999999999</v>
      </c>
      <c r="J30" s="212">
        <v>219.28319999999985</v>
      </c>
      <c r="K30" s="235"/>
    </row>
    <row r="31" spans="2:11">
      <c r="B31" s="232" t="s">
        <v>263</v>
      </c>
      <c r="C31" s="233"/>
      <c r="D31" s="213"/>
      <c r="E31" s="213"/>
      <c r="F31" s="213">
        <v>300</v>
      </c>
      <c r="G31" s="232" t="s">
        <v>263</v>
      </c>
      <c r="H31" s="216">
        <v>0</v>
      </c>
      <c r="I31" s="213"/>
      <c r="J31" s="213"/>
      <c r="K31" s="236"/>
    </row>
    <row r="32" spans="2:11">
      <c r="B32" s="232" t="s">
        <v>273</v>
      </c>
      <c r="C32" s="233"/>
      <c r="D32" s="214"/>
      <c r="E32" s="214"/>
      <c r="F32" s="209"/>
      <c r="G32" s="209"/>
      <c r="H32" s="209"/>
      <c r="I32" s="209"/>
      <c r="J32" s="209"/>
      <c r="K32" s="237"/>
    </row>
    <row r="33" spans="2:11">
      <c r="B33" s="232" t="s">
        <v>2</v>
      </c>
      <c r="C33" s="233"/>
      <c r="D33" s="214"/>
      <c r="E33" s="209">
        <v>40.660000000000004</v>
      </c>
      <c r="F33" s="209">
        <v>59.429000000000002</v>
      </c>
      <c r="G33" s="232" t="s">
        <v>2</v>
      </c>
      <c r="H33" s="215">
        <v>80.87715</v>
      </c>
      <c r="I33" s="209">
        <v>106.04357999999998</v>
      </c>
      <c r="J33" s="209">
        <v>129.99469599999998</v>
      </c>
      <c r="K33" s="237"/>
    </row>
    <row r="34" spans="2:11">
      <c r="B34" s="232"/>
      <c r="C34" s="233"/>
      <c r="D34" s="214"/>
      <c r="E34" s="214"/>
      <c r="F34" s="214"/>
      <c r="G34" s="214"/>
      <c r="H34" s="214"/>
      <c r="I34" s="214"/>
      <c r="J34" s="238"/>
      <c r="K34" s="237"/>
    </row>
    <row r="35" spans="2:11">
      <c r="B35" s="239"/>
      <c r="C35" s="240"/>
      <c r="D35" s="241"/>
      <c r="E35" s="241"/>
      <c r="F35" s="241"/>
      <c r="G35" s="241"/>
      <c r="H35" s="241"/>
      <c r="I35" s="241"/>
      <c r="J35" s="242"/>
      <c r="K35" s="243"/>
    </row>
    <row r="36" spans="2:11" ht="15.75" thickBot="1">
      <c r="B36" s="244"/>
      <c r="C36" s="245"/>
      <c r="D36" s="246"/>
      <c r="E36" s="246"/>
      <c r="F36" s="246"/>
      <c r="G36" s="246"/>
      <c r="H36" s="246"/>
      <c r="I36" s="246"/>
      <c r="J36" s="246"/>
      <c r="K36" s="247"/>
    </row>
    <row r="37" spans="2:11">
      <c r="B37" s="248"/>
      <c r="C37" s="28"/>
      <c r="D37" s="28"/>
      <c r="E37" s="249"/>
      <c r="F37" s="249"/>
      <c r="G37" s="249"/>
      <c r="H37" s="249"/>
      <c r="I37" s="249"/>
      <c r="J37" s="249"/>
      <c r="K37" s="247"/>
    </row>
    <row r="38" spans="2:11">
      <c r="B38" s="248"/>
      <c r="C38" s="28"/>
      <c r="D38" s="28"/>
      <c r="E38" s="250"/>
      <c r="F38" s="250"/>
      <c r="G38" s="250"/>
      <c r="H38" s="250"/>
      <c r="I38" s="250"/>
      <c r="J38" s="250"/>
      <c r="K38" s="247"/>
    </row>
    <row r="39" spans="2:11">
      <c r="B39" s="248" t="s">
        <v>275</v>
      </c>
      <c r="C39" s="28"/>
      <c r="D39" s="251"/>
      <c r="E39" s="251">
        <f>E28-E29-E30+E31-E32+E33</f>
        <v>397.98499999999996</v>
      </c>
      <c r="F39" s="251">
        <f t="shared" ref="F39:J39" si="5">F28-F29-F30+F31-F32+F33</f>
        <v>301.61799999999994</v>
      </c>
      <c r="G39" s="251"/>
      <c r="H39" s="251">
        <f>H28-H29-H30+H31-H32+H33</f>
        <v>2.5289500000000089</v>
      </c>
      <c r="I39" s="251">
        <f t="shared" si="5"/>
        <v>15.159739999999957</v>
      </c>
      <c r="J39" s="251">
        <f t="shared" si="5"/>
        <v>24.788088000000016</v>
      </c>
      <c r="K39" s="247"/>
    </row>
    <row r="40" spans="2:11">
      <c r="B40" s="248" t="s">
        <v>18</v>
      </c>
      <c r="C40" s="28"/>
      <c r="D40" s="249"/>
      <c r="E40" s="249">
        <f>E39/(1+$B$2)^1</f>
        <v>397.98499999999996</v>
      </c>
      <c r="F40" s="249">
        <f>F39/(1+$B$2)^2</f>
        <v>301.61799999999994</v>
      </c>
      <c r="G40" s="249"/>
      <c r="H40" s="249">
        <f>H39/(1+$B$2)^3</f>
        <v>2.5289500000000089</v>
      </c>
      <c r="I40" s="249">
        <f>I39/(1+$B$2)^4</f>
        <v>15.159739999999957</v>
      </c>
      <c r="J40" s="249">
        <f>J39/(1+$B$2)^5</f>
        <v>24.788088000000016</v>
      </c>
      <c r="K40" s="241">
        <f>((J39*(1+C23))/(C17-C23))/(1+C17)^5</f>
        <v>18246.706489830463</v>
      </c>
    </row>
    <row r="41" spans="2:11">
      <c r="B41" s="248"/>
      <c r="C41" s="28"/>
      <c r="D41" s="28"/>
      <c r="E41" s="28"/>
      <c r="F41" s="28"/>
      <c r="G41" s="28"/>
      <c r="H41" s="28"/>
      <c r="I41" s="28"/>
      <c r="J41" s="28"/>
      <c r="K41" s="247"/>
    </row>
    <row r="42" spans="2:11">
      <c r="B42" s="28"/>
      <c r="C42" s="28"/>
      <c r="D42" s="28"/>
      <c r="E42" s="28"/>
      <c r="F42" s="28"/>
      <c r="G42" s="28"/>
      <c r="H42" s="28"/>
      <c r="I42" s="28"/>
      <c r="J42" s="28"/>
      <c r="K42" s="247"/>
    </row>
    <row r="43" spans="2:11">
      <c r="B43" s="14" t="s">
        <v>16</v>
      </c>
      <c r="C43" s="35">
        <f>SUM(E40:K40)</f>
        <v>18988.786267830463</v>
      </c>
      <c r="D43" s="28"/>
      <c r="E43" s="28"/>
      <c r="F43" s="28"/>
      <c r="G43" s="28"/>
      <c r="H43" s="28"/>
      <c r="I43" s="28"/>
      <c r="J43" s="28"/>
      <c r="K43" s="247"/>
    </row>
    <row r="44" spans="2:11">
      <c r="B44" s="14" t="s">
        <v>268</v>
      </c>
      <c r="C44" s="252">
        <f>195000000+180000000</f>
        <v>375000000</v>
      </c>
      <c r="D44" s="28"/>
      <c r="E44" s="28"/>
      <c r="F44" s="28"/>
      <c r="G44" s="28"/>
      <c r="H44" s="28"/>
      <c r="I44" s="28"/>
      <c r="J44" s="28"/>
      <c r="K44" s="247"/>
    </row>
    <row r="45" spans="2:11">
      <c r="B45" s="14" t="s">
        <v>269</v>
      </c>
      <c r="C45" s="253">
        <f>(C43/C44)*1000000000</f>
        <v>50636.763380881232</v>
      </c>
      <c r="D45" s="28"/>
      <c r="E45" s="28"/>
      <c r="F45" s="28"/>
      <c r="G45" s="28"/>
      <c r="H45" s="28"/>
      <c r="I45" s="247"/>
      <c r="J45" s="247"/>
      <c r="K45" s="28"/>
    </row>
    <row r="46" spans="2:11">
      <c r="B46" s="247"/>
      <c r="C46" s="247"/>
      <c r="D46" s="247"/>
      <c r="E46" s="247"/>
      <c r="F46" s="247"/>
      <c r="G46" s="247"/>
      <c r="H46" s="247"/>
      <c r="I46" s="247"/>
      <c r="J46" s="247"/>
      <c r="K46" s="247"/>
    </row>
    <row r="47" spans="2:11">
      <c r="B47" s="28"/>
      <c r="C47" s="28"/>
      <c r="D47" s="28"/>
      <c r="E47" s="28"/>
      <c r="F47" s="28"/>
      <c r="G47" s="28"/>
      <c r="H47" s="28"/>
      <c r="I47" s="28"/>
      <c r="J47" s="28"/>
      <c r="K47" s="28"/>
    </row>
  </sheetData>
  <mergeCells count="2">
    <mergeCell ref="D25:K25"/>
    <mergeCell ref="C26:J2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2:U68"/>
  <sheetViews>
    <sheetView topLeftCell="A30" workbookViewId="0">
      <selection activeCell="G40" sqref="G40:K40"/>
    </sheetView>
  </sheetViews>
  <sheetFormatPr defaultRowHeight="15"/>
  <cols>
    <col min="1" max="1" width="9.140625" style="28"/>
    <col min="2" max="2" width="24.5703125" style="28" bestFit="1" customWidth="1"/>
    <col min="3" max="3" width="9" style="28" bestFit="1" customWidth="1"/>
    <col min="4" max="4" width="10.140625" style="28" bestFit="1" customWidth="1"/>
    <col min="5" max="5" width="9" style="28" bestFit="1" customWidth="1"/>
    <col min="6" max="6" width="11.28515625" style="28" customWidth="1"/>
    <col min="7" max="10" width="9.140625" style="28"/>
    <col min="11" max="11" width="10" style="28" bestFit="1" customWidth="1"/>
    <col min="12" max="14" width="9.140625" style="28"/>
    <col min="15" max="15" width="25.140625" style="28" bestFit="1" customWidth="1"/>
    <col min="16" max="16384" width="9.140625" style="28"/>
  </cols>
  <sheetData>
    <row r="2" spans="2:21">
      <c r="F2" s="28" t="s">
        <v>260</v>
      </c>
      <c r="G2" s="28">
        <f>G3-G7</f>
        <v>162.45830000000001</v>
      </c>
      <c r="H2" s="28">
        <f>H3-H7</f>
        <v>-13.513599129999989</v>
      </c>
      <c r="I2" s="28">
        <f t="shared" ref="I2:K2" si="0">I3-I7</f>
        <v>-34.762201069099774</v>
      </c>
      <c r="J2" s="28">
        <f t="shared" si="0"/>
        <v>-67.421605143937086</v>
      </c>
      <c r="K2" s="28">
        <f t="shared" si="0"/>
        <v>-101.68861750401243</v>
      </c>
    </row>
    <row r="3" spans="2:21" ht="15.75" thickBot="1">
      <c r="F3" s="28" t="s">
        <v>259</v>
      </c>
      <c r="G3" s="98">
        <f>F7+'Convertible valuation'!G11</f>
        <v>955.58330000000001</v>
      </c>
      <c r="H3" s="98">
        <f>G7+'Convertible valuation'!H11</f>
        <v>938.23640087000001</v>
      </c>
      <c r="I3" s="98">
        <f>H7+'Convertible valuation'!I11</f>
        <v>1107.3377989309001</v>
      </c>
      <c r="J3" s="98">
        <f>I7+'Convertible valuation'!J11</f>
        <v>1303.0983948560629</v>
      </c>
      <c r="K3" s="98">
        <f>J7+'Convertible valuation'!K11</f>
        <v>1542.9353824959874</v>
      </c>
    </row>
    <row r="4" spans="2:21" ht="16.5" thickBot="1">
      <c r="B4" s="169"/>
      <c r="C4" s="276" t="s">
        <v>87</v>
      </c>
      <c r="D4" s="276"/>
      <c r="E4" s="276"/>
      <c r="F4" s="276"/>
      <c r="G4" s="103"/>
      <c r="H4" s="103"/>
      <c r="I4" s="103"/>
      <c r="J4" s="103"/>
      <c r="K4" s="103"/>
      <c r="L4" s="103"/>
      <c r="M4" s="103"/>
      <c r="O4" s="120"/>
      <c r="P4" s="223" t="s">
        <v>189</v>
      </c>
      <c r="Q4" s="122"/>
      <c r="R4" s="277" t="s">
        <v>190</v>
      </c>
      <c r="S4" s="277"/>
      <c r="T4" s="122"/>
      <c r="U4" s="123"/>
    </row>
    <row r="5" spans="2:21" ht="16.5" thickBot="1">
      <c r="B5" s="170" t="s">
        <v>155</v>
      </c>
      <c r="C5" s="171">
        <v>2011</v>
      </c>
      <c r="D5" s="171">
        <v>2012</v>
      </c>
      <c r="E5" s="171">
        <v>2013</v>
      </c>
      <c r="F5" s="171">
        <v>2014</v>
      </c>
      <c r="G5" s="104">
        <v>2015</v>
      </c>
      <c r="H5" s="104">
        <v>2016</v>
      </c>
      <c r="I5" s="104">
        <v>2017</v>
      </c>
      <c r="J5" s="104">
        <v>2018</v>
      </c>
      <c r="K5" s="104">
        <v>2019</v>
      </c>
      <c r="L5" s="104"/>
      <c r="M5" s="104"/>
      <c r="O5" s="124" t="s">
        <v>155</v>
      </c>
      <c r="P5" s="125" t="s">
        <v>191</v>
      </c>
      <c r="Q5" s="125" t="s">
        <v>192</v>
      </c>
      <c r="R5" s="125" t="s">
        <v>193</v>
      </c>
      <c r="S5" s="125" t="s">
        <v>194</v>
      </c>
      <c r="T5" s="125" t="s">
        <v>195</v>
      </c>
      <c r="U5" s="126" t="s">
        <v>196</v>
      </c>
    </row>
    <row r="6" spans="2:21" ht="15.75">
      <c r="B6" s="172" t="s">
        <v>156</v>
      </c>
      <c r="C6" s="29"/>
      <c r="D6" s="29"/>
      <c r="E6" s="29"/>
      <c r="F6" s="29"/>
      <c r="G6" s="89"/>
      <c r="H6" s="89"/>
      <c r="I6" s="89"/>
      <c r="J6" s="89"/>
      <c r="K6" s="89"/>
      <c r="L6" s="89"/>
      <c r="M6" s="89"/>
      <c r="O6" s="127" t="s">
        <v>215</v>
      </c>
      <c r="P6" s="128">
        <v>823.7</v>
      </c>
      <c r="Q6" s="128">
        <v>939.2</v>
      </c>
      <c r="R6" s="184">
        <v>1069.4000000000001</v>
      </c>
      <c r="S6" s="184">
        <v>1166.8</v>
      </c>
      <c r="T6" s="184">
        <v>1256.5</v>
      </c>
      <c r="U6" s="185">
        <v>1308.3</v>
      </c>
    </row>
    <row r="7" spans="2:21" ht="15.75">
      <c r="B7" s="110" t="s">
        <v>157</v>
      </c>
      <c r="C7" s="221">
        <v>583.5</v>
      </c>
      <c r="D7" s="221">
        <v>637.1</v>
      </c>
      <c r="E7" s="221">
        <v>727.8</v>
      </c>
      <c r="F7" s="221">
        <v>823.7</v>
      </c>
      <c r="G7" s="98">
        <f>G21*5</f>
        <v>793.125</v>
      </c>
      <c r="H7" s="98">
        <f t="shared" ref="H7:K7" si="1">H21*5</f>
        <v>951.75</v>
      </c>
      <c r="I7" s="98">
        <f t="shared" si="1"/>
        <v>1142.0999999999999</v>
      </c>
      <c r="J7" s="98">
        <f t="shared" si="1"/>
        <v>1370.52</v>
      </c>
      <c r="K7" s="98">
        <f t="shared" si="1"/>
        <v>1644.6239999999998</v>
      </c>
      <c r="L7" s="98"/>
      <c r="M7" s="98"/>
      <c r="O7" s="127" t="s">
        <v>5</v>
      </c>
      <c r="P7" s="184">
        <v>1343.9</v>
      </c>
      <c r="Q7" s="184">
        <v>1497.9</v>
      </c>
      <c r="R7" s="184">
        <v>1592.1</v>
      </c>
      <c r="S7" s="184">
        <v>1675.4</v>
      </c>
      <c r="T7" s="184">
        <v>1771.7</v>
      </c>
      <c r="U7" s="185">
        <v>1881.7</v>
      </c>
    </row>
    <row r="8" spans="2:21" ht="15.75">
      <c r="B8" s="110" t="s">
        <v>4</v>
      </c>
      <c r="C8" s="221">
        <v>77.5</v>
      </c>
      <c r="D8" s="221">
        <v>97</v>
      </c>
      <c r="E8" s="221">
        <v>79.7</v>
      </c>
      <c r="F8" s="221">
        <v>89.8</v>
      </c>
      <c r="G8" s="99"/>
      <c r="H8" s="99"/>
      <c r="I8" s="99"/>
      <c r="J8" s="99"/>
      <c r="K8" s="99"/>
      <c r="L8" s="99"/>
      <c r="M8" s="99"/>
      <c r="O8" s="127" t="s">
        <v>72</v>
      </c>
      <c r="P8" s="128" t="s">
        <v>163</v>
      </c>
      <c r="Q8" s="128" t="s">
        <v>163</v>
      </c>
      <c r="R8" s="128" t="s">
        <v>163</v>
      </c>
      <c r="S8" s="128" t="s">
        <v>163</v>
      </c>
      <c r="T8" s="128" t="s">
        <v>163</v>
      </c>
      <c r="U8" s="129" t="s">
        <v>163</v>
      </c>
    </row>
    <row r="9" spans="2:21" ht="15.75">
      <c r="B9" s="110" t="s">
        <v>158</v>
      </c>
      <c r="C9" s="221">
        <v>71.400000000000006</v>
      </c>
      <c r="D9" s="221">
        <v>86.6</v>
      </c>
      <c r="E9" s="221">
        <v>72.2</v>
      </c>
      <c r="F9" s="221">
        <v>87.5</v>
      </c>
      <c r="G9" s="99"/>
      <c r="H9" s="99"/>
      <c r="I9" s="99"/>
      <c r="J9" s="99"/>
      <c r="K9" s="99"/>
      <c r="L9" s="99"/>
      <c r="M9" s="99"/>
      <c r="O9" s="127" t="s">
        <v>173</v>
      </c>
      <c r="P9" s="128" t="s">
        <v>176</v>
      </c>
      <c r="Q9" s="128" t="s">
        <v>216</v>
      </c>
      <c r="R9" s="128" t="s">
        <v>217</v>
      </c>
      <c r="S9" s="128" t="s">
        <v>218</v>
      </c>
      <c r="T9" s="128" t="s">
        <v>219</v>
      </c>
      <c r="U9" s="129" t="s">
        <v>220</v>
      </c>
    </row>
    <row r="10" spans="2:21" ht="16.5" thickBot="1">
      <c r="B10" s="110" t="s">
        <v>159</v>
      </c>
      <c r="C10" s="173">
        <v>21.5</v>
      </c>
      <c r="D10" s="173">
        <v>28</v>
      </c>
      <c r="E10" s="173">
        <v>26.8</v>
      </c>
      <c r="F10" s="173">
        <v>26.9</v>
      </c>
      <c r="G10" s="98"/>
      <c r="H10" s="98"/>
      <c r="I10" s="98"/>
      <c r="J10" s="98"/>
      <c r="K10" s="98"/>
      <c r="L10" s="98"/>
      <c r="M10" s="98"/>
      <c r="O10" s="124" t="s">
        <v>221</v>
      </c>
      <c r="P10" s="29"/>
      <c r="Q10" s="29"/>
      <c r="R10" s="29"/>
      <c r="S10" s="29"/>
      <c r="T10" s="29"/>
      <c r="U10" s="112"/>
    </row>
    <row r="11" spans="2:21" ht="15.75">
      <c r="B11" s="174" t="s">
        <v>60</v>
      </c>
      <c r="C11" s="175">
        <v>754</v>
      </c>
      <c r="D11" s="175">
        <v>848.7</v>
      </c>
      <c r="E11" s="175">
        <v>906.4</v>
      </c>
      <c r="F11" s="176">
        <v>1027.8</v>
      </c>
      <c r="G11" s="100">
        <f>G7</f>
        <v>793.125</v>
      </c>
      <c r="H11" s="100">
        <f t="shared" ref="H11:K11" si="2">H7</f>
        <v>951.75</v>
      </c>
      <c r="I11" s="100">
        <f t="shared" si="2"/>
        <v>1142.0999999999999</v>
      </c>
      <c r="J11" s="100">
        <f t="shared" si="2"/>
        <v>1370.52</v>
      </c>
      <c r="K11" s="100">
        <f t="shared" si="2"/>
        <v>1644.6239999999998</v>
      </c>
      <c r="L11" s="100"/>
      <c r="M11" s="100"/>
      <c r="O11" s="127" t="s">
        <v>153</v>
      </c>
      <c r="P11" s="130">
        <v>0.36</v>
      </c>
      <c r="Q11" s="130">
        <v>0.32100000000000001</v>
      </c>
      <c r="R11" s="130">
        <v>0.317</v>
      </c>
      <c r="S11" s="130">
        <v>0.315</v>
      </c>
      <c r="T11" s="130">
        <v>0.32600000000000001</v>
      </c>
      <c r="U11" s="131">
        <v>0.32400000000000001</v>
      </c>
    </row>
    <row r="12" spans="2:21" ht="15.75">
      <c r="B12" s="110" t="s">
        <v>160</v>
      </c>
      <c r="C12" s="221">
        <v>207.1</v>
      </c>
      <c r="D12" s="221">
        <v>235.8</v>
      </c>
      <c r="E12" s="221">
        <v>264.8</v>
      </c>
      <c r="F12" s="221">
        <v>262.5</v>
      </c>
      <c r="G12" s="99">
        <f>F12+G32</f>
        <v>406.6</v>
      </c>
      <c r="H12" s="99">
        <f t="shared" ref="H12:K12" si="3">G12+H32</f>
        <v>716.76320043500004</v>
      </c>
      <c r="I12" s="99">
        <f t="shared" si="3"/>
        <v>737.06720043500002</v>
      </c>
      <c r="J12" s="99">
        <f t="shared" si="3"/>
        <v>761.43200043499996</v>
      </c>
      <c r="K12" s="99">
        <f t="shared" si="3"/>
        <v>790.66976043499994</v>
      </c>
      <c r="L12" s="99"/>
      <c r="M12" s="99"/>
      <c r="O12" s="127" t="s">
        <v>125</v>
      </c>
      <c r="P12" s="128" t="s">
        <v>129</v>
      </c>
      <c r="Q12" s="128" t="s">
        <v>222</v>
      </c>
      <c r="R12" s="128" t="s">
        <v>162</v>
      </c>
      <c r="S12" s="128" t="s">
        <v>223</v>
      </c>
      <c r="T12" s="128" t="s">
        <v>223</v>
      </c>
      <c r="U12" s="129" t="s">
        <v>223</v>
      </c>
    </row>
    <row r="13" spans="2:21" ht="15.75">
      <c r="B13" s="110" t="s">
        <v>161</v>
      </c>
      <c r="C13" s="221">
        <v>17</v>
      </c>
      <c r="D13" s="221">
        <v>12.3</v>
      </c>
      <c r="E13" s="221">
        <v>8.3000000000000007</v>
      </c>
      <c r="F13" s="221">
        <v>3.7</v>
      </c>
      <c r="G13" s="221">
        <v>3.7</v>
      </c>
      <c r="H13" s="221">
        <v>3.7</v>
      </c>
      <c r="I13" s="221">
        <v>3.7</v>
      </c>
      <c r="J13" s="221">
        <v>3.7</v>
      </c>
      <c r="K13" s="221">
        <v>3.7</v>
      </c>
      <c r="L13" s="99"/>
      <c r="M13" s="99"/>
      <c r="O13" s="127" t="s">
        <v>224</v>
      </c>
      <c r="P13" s="128" t="s">
        <v>225</v>
      </c>
      <c r="Q13" s="128" t="s">
        <v>226</v>
      </c>
      <c r="R13" s="132" t="s">
        <v>227</v>
      </c>
      <c r="S13" s="132" t="s">
        <v>228</v>
      </c>
      <c r="T13" s="128" t="s">
        <v>229</v>
      </c>
      <c r="U13" s="129" t="s">
        <v>230</v>
      </c>
    </row>
    <row r="14" spans="2:21" ht="15.75">
      <c r="B14" s="110" t="s">
        <v>164</v>
      </c>
      <c r="C14" s="221">
        <v>0.5</v>
      </c>
      <c r="D14" s="221">
        <v>0.4</v>
      </c>
      <c r="E14" s="221">
        <v>0.5</v>
      </c>
      <c r="F14" s="221">
        <v>0.5</v>
      </c>
      <c r="G14" s="221">
        <v>0.5</v>
      </c>
      <c r="H14" s="221">
        <v>0.5</v>
      </c>
      <c r="I14" s="221">
        <v>0.5</v>
      </c>
      <c r="J14" s="221">
        <v>0.5</v>
      </c>
      <c r="K14" s="221">
        <v>0.5</v>
      </c>
      <c r="L14" s="99"/>
      <c r="M14" s="99"/>
      <c r="O14" s="127" t="s">
        <v>130</v>
      </c>
      <c r="P14" s="128" t="s">
        <v>134</v>
      </c>
      <c r="Q14" s="128" t="s">
        <v>231</v>
      </c>
      <c r="R14" s="128" t="s">
        <v>232</v>
      </c>
      <c r="S14" s="128" t="s">
        <v>231</v>
      </c>
      <c r="T14" s="128" t="s">
        <v>231</v>
      </c>
      <c r="U14" s="129" t="s">
        <v>231</v>
      </c>
    </row>
    <row r="15" spans="2:21" ht="16.5" thickBot="1">
      <c r="B15" s="110" t="s">
        <v>165</v>
      </c>
      <c r="C15" s="173">
        <v>34.4</v>
      </c>
      <c r="D15" s="173">
        <v>33.4</v>
      </c>
      <c r="E15" s="173">
        <v>39.1</v>
      </c>
      <c r="F15" s="173">
        <v>49.4</v>
      </c>
      <c r="G15" s="173">
        <v>49.4</v>
      </c>
      <c r="H15" s="173">
        <v>49.4</v>
      </c>
      <c r="I15" s="173">
        <v>49.4</v>
      </c>
      <c r="J15" s="173">
        <v>49.4</v>
      </c>
      <c r="K15" s="173">
        <v>49.4</v>
      </c>
      <c r="L15" s="98"/>
      <c r="M15" s="98"/>
      <c r="O15" s="127" t="s">
        <v>140</v>
      </c>
      <c r="P15" s="128" t="s">
        <v>144</v>
      </c>
      <c r="Q15" s="128" t="s">
        <v>90</v>
      </c>
      <c r="R15" s="128" t="s">
        <v>233</v>
      </c>
      <c r="S15" s="128" t="s">
        <v>234</v>
      </c>
      <c r="T15" s="128" t="s">
        <v>235</v>
      </c>
      <c r="U15" s="129" t="s">
        <v>236</v>
      </c>
    </row>
    <row r="16" spans="2:21" ht="15.75">
      <c r="B16" s="174" t="s">
        <v>5</v>
      </c>
      <c r="C16" s="176">
        <v>1013</v>
      </c>
      <c r="D16" s="176">
        <v>1130.5999999999999</v>
      </c>
      <c r="E16" s="176">
        <v>1219.0999999999999</v>
      </c>
      <c r="F16" s="176">
        <v>1343.9</v>
      </c>
      <c r="G16" s="195">
        <f>SUM(G11:G15)</f>
        <v>1253.325</v>
      </c>
      <c r="H16" s="195">
        <f t="shared" ref="H16:K16" si="4">SUM(H11:H15)</f>
        <v>1722.1132004350002</v>
      </c>
      <c r="I16" s="195">
        <f t="shared" si="4"/>
        <v>1932.7672004349999</v>
      </c>
      <c r="J16" s="195">
        <f t="shared" si="4"/>
        <v>2185.5520004349996</v>
      </c>
      <c r="K16" s="195">
        <f t="shared" si="4"/>
        <v>2488.8937604349999</v>
      </c>
      <c r="L16" s="100"/>
      <c r="M16" s="100"/>
      <c r="O16" s="124" t="s">
        <v>145</v>
      </c>
      <c r="P16" s="29"/>
      <c r="Q16" s="29"/>
      <c r="R16" s="29"/>
      <c r="S16" s="29"/>
      <c r="T16" s="29"/>
      <c r="U16" s="112"/>
    </row>
    <row r="17" spans="2:21" ht="15.75">
      <c r="B17" s="172" t="s">
        <v>166</v>
      </c>
      <c r="C17" s="29"/>
      <c r="D17" s="29"/>
      <c r="E17" s="29"/>
      <c r="F17" s="29"/>
      <c r="G17" s="89"/>
      <c r="H17" s="89"/>
      <c r="I17" s="89"/>
      <c r="J17" s="89"/>
      <c r="K17" s="89"/>
      <c r="L17" s="89"/>
      <c r="M17" s="89"/>
      <c r="O17" s="127" t="s">
        <v>237</v>
      </c>
      <c r="P17" s="130">
        <v>0.10199999999999999</v>
      </c>
      <c r="Q17" s="130">
        <v>0.115</v>
      </c>
      <c r="R17" s="130">
        <v>6.3E-2</v>
      </c>
      <c r="S17" s="130">
        <v>5.1999999999999998E-2</v>
      </c>
      <c r="T17" s="130">
        <v>5.7000000000000002E-2</v>
      </c>
      <c r="U17" s="131">
        <v>6.2E-2</v>
      </c>
    </row>
    <row r="18" spans="2:21" ht="15.75">
      <c r="B18" s="110" t="s">
        <v>167</v>
      </c>
      <c r="C18" s="221">
        <v>21.5</v>
      </c>
      <c r="D18" s="221">
        <v>30.2</v>
      </c>
      <c r="E18" s="221">
        <v>22</v>
      </c>
      <c r="F18" s="221">
        <v>26.2</v>
      </c>
      <c r="G18" s="98"/>
      <c r="H18" s="98"/>
      <c r="I18" s="98"/>
      <c r="J18" s="98"/>
      <c r="K18" s="98"/>
      <c r="L18" s="98"/>
      <c r="M18" s="98"/>
      <c r="O18" s="127" t="s">
        <v>238</v>
      </c>
      <c r="P18" s="130">
        <v>-9.5000000000000001E-2</v>
      </c>
      <c r="Q18" s="130">
        <v>0.56299999999999994</v>
      </c>
      <c r="R18" s="130">
        <v>-0.191</v>
      </c>
      <c r="S18" s="130">
        <v>-0.105</v>
      </c>
      <c r="T18" s="130">
        <v>2.9000000000000001E-2</v>
      </c>
      <c r="U18" s="131">
        <v>4.8000000000000001E-2</v>
      </c>
    </row>
    <row r="19" spans="2:21" ht="15.75">
      <c r="B19" s="110" t="s">
        <v>168</v>
      </c>
      <c r="C19" s="221">
        <v>42.2</v>
      </c>
      <c r="D19" s="221">
        <v>50.2</v>
      </c>
      <c r="E19" s="221">
        <v>30.6</v>
      </c>
      <c r="F19" s="221">
        <v>30.8</v>
      </c>
      <c r="G19" s="99"/>
      <c r="H19" s="99"/>
      <c r="I19" s="99"/>
      <c r="J19" s="99"/>
      <c r="K19" s="99"/>
      <c r="L19" s="99"/>
      <c r="M19" s="99"/>
      <c r="O19" s="127" t="s">
        <v>239</v>
      </c>
      <c r="P19" s="130">
        <v>0.36399999999999999</v>
      </c>
      <c r="Q19" s="130">
        <v>0.39700000000000002</v>
      </c>
      <c r="R19" s="130">
        <v>0.34200000000000003</v>
      </c>
      <c r="S19" s="130">
        <v>0.33300000000000002</v>
      </c>
      <c r="T19" s="130">
        <v>0.36799999999999999</v>
      </c>
      <c r="U19" s="131">
        <v>0.38200000000000001</v>
      </c>
    </row>
    <row r="20" spans="2:21" ht="16.5" thickBot="1">
      <c r="B20" s="110" t="s">
        <v>169</v>
      </c>
      <c r="C20" s="173">
        <v>26</v>
      </c>
      <c r="D20" s="173">
        <v>34.9</v>
      </c>
      <c r="E20" s="173">
        <v>40.299999999999997</v>
      </c>
      <c r="F20" s="173">
        <v>42.5</v>
      </c>
      <c r="G20" s="98"/>
      <c r="H20" s="98"/>
      <c r="I20" s="98"/>
      <c r="J20" s="98"/>
      <c r="K20" s="98"/>
      <c r="L20" s="98"/>
      <c r="M20" s="98"/>
      <c r="O20" s="127" t="s">
        <v>240</v>
      </c>
      <c r="P20" s="130">
        <v>0.247</v>
      </c>
      <c r="Q20" s="130">
        <v>0.28100000000000003</v>
      </c>
      <c r="R20" s="130">
        <v>0.24399999999999999</v>
      </c>
      <c r="S20" s="130">
        <v>0.23699999999999999</v>
      </c>
      <c r="T20" s="130">
        <v>0.26100000000000001</v>
      </c>
      <c r="U20" s="131">
        <v>0.27100000000000002</v>
      </c>
    </row>
    <row r="21" spans="2:21" ht="15.75">
      <c r="B21" s="174" t="s">
        <v>6</v>
      </c>
      <c r="C21" s="175">
        <v>89.6</v>
      </c>
      <c r="D21" s="175">
        <v>115.3</v>
      </c>
      <c r="E21" s="175">
        <v>93</v>
      </c>
      <c r="F21" s="175">
        <v>99.4</v>
      </c>
      <c r="G21" s="100">
        <f>'Income statement'!H8*0.45</f>
        <v>158.625</v>
      </c>
      <c r="H21" s="100">
        <f>'Income statement'!I8*0.45</f>
        <v>190.35</v>
      </c>
      <c r="I21" s="100">
        <f>'Income statement'!J8*0.45</f>
        <v>228.42</v>
      </c>
      <c r="J21" s="100">
        <f>'Income statement'!K8*0.45</f>
        <v>274.10399999999998</v>
      </c>
      <c r="K21" s="100">
        <f>'Income statement'!L8*0.45</f>
        <v>328.92479999999995</v>
      </c>
      <c r="L21" s="100"/>
      <c r="M21" s="100"/>
      <c r="O21" s="127" t="s">
        <v>152</v>
      </c>
      <c r="P21" s="130">
        <v>9.2999999999999999E-2</v>
      </c>
      <c r="Q21" s="130">
        <v>0.14699999999999999</v>
      </c>
      <c r="R21" s="130">
        <v>9.6000000000000002E-2</v>
      </c>
      <c r="S21" s="130">
        <v>7.9000000000000001E-2</v>
      </c>
      <c r="T21" s="130">
        <v>8.4000000000000005E-2</v>
      </c>
      <c r="U21" s="131">
        <v>8.5999999999999993E-2</v>
      </c>
    </row>
    <row r="22" spans="2:21" ht="15.75">
      <c r="B22" s="110" t="s">
        <v>170</v>
      </c>
      <c r="C22" s="221">
        <v>25.2</v>
      </c>
      <c r="D22" s="221">
        <v>26.5</v>
      </c>
      <c r="E22" s="221">
        <v>28.2</v>
      </c>
      <c r="F22" s="221">
        <v>40.5</v>
      </c>
      <c r="G22" s="99"/>
      <c r="H22" s="99"/>
      <c r="I22" s="99"/>
      <c r="J22" s="99"/>
      <c r="K22" s="99"/>
      <c r="L22" s="99"/>
      <c r="M22" s="99"/>
      <c r="O22" s="127" t="s">
        <v>241</v>
      </c>
      <c r="P22" s="133">
        <v>0.3</v>
      </c>
      <c r="Q22" s="133">
        <v>0.3</v>
      </c>
      <c r="R22" s="133">
        <v>0.3</v>
      </c>
      <c r="S22" s="133">
        <v>0.3</v>
      </c>
      <c r="T22" s="133">
        <v>0.3</v>
      </c>
      <c r="U22" s="134">
        <v>0.3</v>
      </c>
    </row>
    <row r="23" spans="2:21" ht="16.5" thickBot="1">
      <c r="B23" s="110" t="s">
        <v>171</v>
      </c>
      <c r="C23" s="173">
        <v>3.7</v>
      </c>
      <c r="D23" s="173">
        <v>3.5</v>
      </c>
      <c r="E23" s="173">
        <v>3.8</v>
      </c>
      <c r="F23" s="173">
        <v>4.0999999999999996</v>
      </c>
      <c r="G23" s="98"/>
      <c r="H23" s="98"/>
      <c r="I23" s="98"/>
      <c r="J23" s="98"/>
      <c r="K23" s="98"/>
      <c r="L23" s="98"/>
      <c r="M23" s="98"/>
      <c r="O23" s="127" t="s">
        <v>242</v>
      </c>
      <c r="P23" s="130">
        <v>0</v>
      </c>
      <c r="Q23" s="130">
        <v>0</v>
      </c>
      <c r="R23" s="130">
        <v>0</v>
      </c>
      <c r="S23" s="130">
        <v>0</v>
      </c>
      <c r="T23" s="130">
        <v>0</v>
      </c>
      <c r="U23" s="131">
        <v>0</v>
      </c>
    </row>
    <row r="24" spans="2:21" ht="15.75">
      <c r="B24" s="110" t="s">
        <v>243</v>
      </c>
      <c r="C24" s="221"/>
      <c r="D24" s="221"/>
      <c r="E24" s="221"/>
      <c r="F24" s="221"/>
      <c r="G24" s="98"/>
      <c r="H24" s="98">
        <v>300</v>
      </c>
      <c r="I24" s="98">
        <v>300</v>
      </c>
      <c r="J24" s="98"/>
      <c r="K24" s="98"/>
      <c r="L24" s="98"/>
      <c r="M24" s="98"/>
      <c r="O24" s="127"/>
      <c r="P24" s="130"/>
      <c r="Q24" s="130"/>
      <c r="R24" s="130"/>
      <c r="S24" s="130"/>
      <c r="T24" s="130"/>
      <c r="U24" s="131"/>
    </row>
    <row r="25" spans="2:21" ht="16.5" thickBot="1">
      <c r="B25" s="174" t="s">
        <v>172</v>
      </c>
      <c r="C25" s="175">
        <v>118.5</v>
      </c>
      <c r="D25" s="175">
        <v>145.30000000000001</v>
      </c>
      <c r="E25" s="175">
        <v>125</v>
      </c>
      <c r="F25" s="175">
        <v>144</v>
      </c>
      <c r="G25" s="100"/>
      <c r="H25" s="100"/>
      <c r="I25" s="100"/>
      <c r="J25" s="100"/>
      <c r="K25" s="100"/>
      <c r="L25" s="100"/>
      <c r="M25" s="100"/>
      <c r="O25" s="135" t="s">
        <v>178</v>
      </c>
      <c r="P25" s="136">
        <v>0.61299999999999999</v>
      </c>
      <c r="Q25" s="136">
        <v>0.627</v>
      </c>
      <c r="R25" s="136">
        <v>0.67200000000000004</v>
      </c>
      <c r="S25" s="136">
        <v>0.69599999999999995</v>
      </c>
      <c r="T25" s="136">
        <v>0.70899999999999996</v>
      </c>
      <c r="U25" s="137">
        <v>0.69499999999999995</v>
      </c>
    </row>
    <row r="26" spans="2:21" ht="15.75">
      <c r="B26" s="110" t="s">
        <v>173</v>
      </c>
      <c r="C26" s="221">
        <v>890.8</v>
      </c>
      <c r="D26" s="221">
        <v>981.3</v>
      </c>
      <c r="E26" s="180">
        <v>1089.3</v>
      </c>
      <c r="F26" s="180">
        <v>1194</v>
      </c>
      <c r="G26" s="196">
        <f>F26+G32</f>
        <v>1338.1</v>
      </c>
      <c r="H26" s="196">
        <f>G26+H32-H34</f>
        <v>1348.2632004349998</v>
      </c>
      <c r="I26" s="196">
        <f>H26+I32-I34</f>
        <v>1368.5672004349999</v>
      </c>
      <c r="J26" s="196">
        <f>I26+J32-J34+I24</f>
        <v>1692.932000435</v>
      </c>
      <c r="K26" s="196">
        <f>J26+K32-K34+I24</f>
        <v>2022.1697604349999</v>
      </c>
      <c r="L26" s="99"/>
      <c r="M26" s="99"/>
    </row>
    <row r="27" spans="2:21" ht="16.5" thickBot="1">
      <c r="B27" s="110" t="s">
        <v>174</v>
      </c>
      <c r="C27" s="173">
        <v>3.7</v>
      </c>
      <c r="D27" s="173">
        <v>4</v>
      </c>
      <c r="E27" s="173">
        <v>4.9000000000000004</v>
      </c>
      <c r="F27" s="173">
        <v>5.8</v>
      </c>
      <c r="G27" s="173">
        <v>6.4</v>
      </c>
      <c r="H27" s="173">
        <v>7.12</v>
      </c>
      <c r="I27" s="173">
        <v>7.84</v>
      </c>
      <c r="J27" s="173">
        <v>8.56</v>
      </c>
      <c r="K27" s="173">
        <v>9.2799999999999994</v>
      </c>
      <c r="L27" s="98"/>
      <c r="M27" s="98"/>
    </row>
    <row r="28" spans="2:21" ht="16.5" thickBot="1">
      <c r="B28" s="174" t="s">
        <v>175</v>
      </c>
      <c r="C28" s="171">
        <v>894.5</v>
      </c>
      <c r="D28" s="171">
        <v>985.3</v>
      </c>
      <c r="E28" s="182">
        <v>1094.0999999999999</v>
      </c>
      <c r="F28" s="182">
        <v>1199.9000000000001</v>
      </c>
      <c r="G28" s="197">
        <f>G26+G27</f>
        <v>1344.5</v>
      </c>
      <c r="H28" s="197">
        <f t="shared" ref="H28:I28" si="5">H26+H27</f>
        <v>1355.3832004349997</v>
      </c>
      <c r="I28" s="197">
        <f t="shared" si="5"/>
        <v>1376.4072004349998</v>
      </c>
      <c r="J28" s="197">
        <f>J26+J27</f>
        <v>1701.4920004349999</v>
      </c>
      <c r="K28" s="197">
        <f>K26+K27</f>
        <v>2031.4497604349999</v>
      </c>
      <c r="L28" s="97"/>
      <c r="M28" s="97"/>
    </row>
    <row r="29" spans="2:21" ht="16.5" thickBot="1">
      <c r="B29" s="106"/>
      <c r="C29" s="177"/>
      <c r="D29" s="177"/>
      <c r="E29" s="177"/>
      <c r="F29" s="177"/>
      <c r="G29" s="101"/>
      <c r="H29" s="101"/>
      <c r="I29" s="101"/>
      <c r="J29" s="101"/>
      <c r="K29" s="101"/>
      <c r="L29" s="101"/>
      <c r="M29" s="101"/>
    </row>
    <row r="30" spans="2:21" ht="15.75">
      <c r="B30" s="174" t="s">
        <v>177</v>
      </c>
      <c r="C30" s="176">
        <v>1013</v>
      </c>
      <c r="D30" s="176">
        <v>1130.5999999999999</v>
      </c>
      <c r="E30" s="176">
        <v>1219.0999999999999</v>
      </c>
      <c r="F30" s="176">
        <v>1343.9</v>
      </c>
      <c r="G30" s="198"/>
      <c r="H30" s="198"/>
      <c r="I30" s="198"/>
      <c r="J30" s="198"/>
      <c r="K30" s="198"/>
      <c r="L30" s="102"/>
      <c r="M30" s="102"/>
    </row>
    <row r="31" spans="2:21" ht="15.75">
      <c r="B31" s="174" t="s">
        <v>261</v>
      </c>
      <c r="C31" s="176"/>
      <c r="D31" s="176"/>
      <c r="E31" s="176"/>
      <c r="F31" s="176"/>
      <c r="G31" s="102">
        <f>'Income statement'!H7*0.02</f>
        <v>14.1</v>
      </c>
      <c r="H31" s="102">
        <f>'Income statement'!I7*0.02</f>
        <v>16.920000000000002</v>
      </c>
      <c r="I31" s="102">
        <f>'Income statement'!J7*0.02</f>
        <v>20.303999999999998</v>
      </c>
      <c r="J31" s="102">
        <f>'Income statement'!K7*0.02</f>
        <v>24.364799999999995</v>
      </c>
      <c r="K31" s="102">
        <f>'Income statement'!L7*0.02</f>
        <v>29.237759999999994</v>
      </c>
      <c r="L31" s="102"/>
      <c r="M31" s="102"/>
    </row>
    <row r="32" spans="2:21" ht="15.75">
      <c r="B32" s="187" t="s">
        <v>244</v>
      </c>
      <c r="C32" s="176"/>
      <c r="D32" s="176"/>
      <c r="E32" s="176"/>
      <c r="F32" s="176"/>
      <c r="G32" s="102">
        <f>130+G31</f>
        <v>144.1</v>
      </c>
      <c r="H32" s="102">
        <f>H34+H31+(H2/2)</f>
        <v>310.16320043500002</v>
      </c>
      <c r="I32" s="102">
        <f>I31</f>
        <v>20.303999999999998</v>
      </c>
      <c r="J32" s="102">
        <f t="shared" ref="J32:K32" si="6">J31</f>
        <v>24.364799999999995</v>
      </c>
      <c r="K32" s="102">
        <f t="shared" si="6"/>
        <v>29.237759999999994</v>
      </c>
      <c r="L32" s="102"/>
      <c r="M32" s="102"/>
    </row>
    <row r="33" spans="2:13" ht="15.75">
      <c r="B33" s="174" t="s">
        <v>262</v>
      </c>
      <c r="C33" s="176"/>
      <c r="D33" s="176"/>
      <c r="E33" s="176"/>
      <c r="F33" s="176"/>
      <c r="G33" s="102">
        <f>G2-G32</f>
        <v>18.358300000000014</v>
      </c>
      <c r="H33" s="102"/>
      <c r="I33" s="102"/>
      <c r="J33" s="102"/>
      <c r="K33" s="102"/>
      <c r="L33" s="102"/>
      <c r="M33" s="102"/>
    </row>
    <row r="34" spans="2:13" ht="15.75">
      <c r="B34" s="174" t="s">
        <v>263</v>
      </c>
      <c r="C34" s="176"/>
      <c r="D34" s="176"/>
      <c r="E34" s="176"/>
      <c r="F34" s="176"/>
      <c r="G34" s="102"/>
      <c r="H34" s="102">
        <v>300</v>
      </c>
      <c r="I34" s="102">
        <v>0</v>
      </c>
      <c r="J34" s="102">
        <v>0</v>
      </c>
      <c r="K34" s="102">
        <v>0</v>
      </c>
      <c r="L34" s="102"/>
      <c r="M34" s="102"/>
    </row>
    <row r="35" spans="2:13" ht="15.75">
      <c r="B35" s="174" t="s">
        <v>2</v>
      </c>
      <c r="C35" s="176"/>
      <c r="D35" s="176"/>
      <c r="E35" s="176"/>
      <c r="F35" s="176"/>
      <c r="G35" s="102">
        <f>G12*0.1</f>
        <v>40.660000000000004</v>
      </c>
      <c r="H35" s="102">
        <f>H12*0.1</f>
        <v>71.676320043500013</v>
      </c>
      <c r="I35" s="102">
        <f t="shared" ref="I35:K35" si="7">I12*0.1</f>
        <v>73.706720043499999</v>
      </c>
      <c r="J35" s="102">
        <f t="shared" si="7"/>
        <v>76.143200043500002</v>
      </c>
      <c r="K35" s="102">
        <f t="shared" si="7"/>
        <v>79.066976043500006</v>
      </c>
      <c r="L35" s="102"/>
      <c r="M35" s="102"/>
    </row>
    <row r="36" spans="2:13" ht="15.75">
      <c r="B36" s="174" t="s">
        <v>264</v>
      </c>
      <c r="C36" s="176"/>
      <c r="D36" s="176"/>
      <c r="E36" s="176"/>
      <c r="F36" s="176"/>
      <c r="G36" s="102"/>
      <c r="H36" s="102">
        <f>H24/H26</f>
        <v>0.22250848343499166</v>
      </c>
      <c r="I36" s="102">
        <f t="shared" ref="I36:J36" si="8">I24/I26</f>
        <v>0.21920735781527192</v>
      </c>
      <c r="J36" s="102">
        <f t="shared" si="8"/>
        <v>0</v>
      </c>
      <c r="K36" s="102">
        <f>K24/K26</f>
        <v>0</v>
      </c>
      <c r="L36" s="102"/>
      <c r="M36" s="102"/>
    </row>
    <row r="37" spans="2:13" ht="15.75">
      <c r="B37" s="174" t="s">
        <v>265</v>
      </c>
      <c r="C37" s="176"/>
      <c r="D37" s="176"/>
      <c r="E37" s="176"/>
      <c r="F37" s="176"/>
      <c r="G37" s="102">
        <f>G35/'Income statement'!H7</f>
        <v>5.7673758865248233E-2</v>
      </c>
      <c r="H37" s="102">
        <f>H35/'Income statement'!I7</f>
        <v>8.4723782557328625E-2</v>
      </c>
      <c r="I37" s="102">
        <f>I35/'Income statement'!J7</f>
        <v>7.2603152131107171E-2</v>
      </c>
      <c r="J37" s="102">
        <f>J35/'Income statement'!K7</f>
        <v>6.2502626775922651E-2</v>
      </c>
      <c r="K37" s="102">
        <f>K35/'Income statement'!L7</f>
        <v>5.4085522313268887E-2</v>
      </c>
      <c r="L37" s="102"/>
      <c r="M37" s="102"/>
    </row>
    <row r="38" spans="2:13" ht="15.75">
      <c r="B38" s="174" t="s">
        <v>266</v>
      </c>
      <c r="C38" s="176"/>
      <c r="D38" s="176"/>
      <c r="E38" s="176"/>
      <c r="F38" s="176"/>
      <c r="G38" s="102">
        <f>G32/'Income statement'!H7</f>
        <v>0.20439716312056735</v>
      </c>
      <c r="H38" s="102">
        <f>H32/'Income statement'!I7</f>
        <v>0.36662316836288417</v>
      </c>
      <c r="I38" s="102">
        <f>I32/'Income statement'!J7</f>
        <v>0.02</v>
      </c>
      <c r="J38" s="102">
        <f>J32/'Income statement'!K7</f>
        <v>0.02</v>
      </c>
      <c r="K38" s="102">
        <f>K32/'Income statement'!L7</f>
        <v>0.02</v>
      </c>
      <c r="L38" s="102"/>
      <c r="M38" s="102"/>
    </row>
    <row r="39" spans="2:13" ht="15.75">
      <c r="B39" s="174"/>
      <c r="C39" s="176"/>
      <c r="D39" s="176"/>
      <c r="E39" s="176"/>
      <c r="F39" s="176"/>
      <c r="G39" s="102">
        <f>AVERAGE(G38:K38)</f>
        <v>0.12620406629669031</v>
      </c>
      <c r="H39" s="102"/>
      <c r="I39" s="102"/>
      <c r="J39" s="102"/>
      <c r="K39" s="102"/>
      <c r="L39" s="102"/>
      <c r="M39" s="102"/>
    </row>
    <row r="40" spans="2:13" ht="15.75">
      <c r="B40" s="174" t="s">
        <v>86</v>
      </c>
      <c r="C40" s="176">
        <f>'Convertible valuation'!C11/'Balance sheet conv'!C26</f>
        <v>0.13819039066008082</v>
      </c>
      <c r="D40" s="176">
        <f>'Convertible valuation'!D11/'Balance sheet conv'!D26</f>
        <v>0.14083358809742177</v>
      </c>
      <c r="E40" s="176">
        <f>'Convertible valuation'!E11/'Balance sheet conv'!E26</f>
        <v>0.11043789589644726</v>
      </c>
      <c r="F40" s="176">
        <f>'Convertible valuation'!F11/'Balance sheet conv'!F26</f>
        <v>9.313232830820771E-2</v>
      </c>
      <c r="G40" s="176">
        <f>'Convertible valuation'!G11/'Balance sheet conv'!G26</f>
        <v>9.8560122561841421E-2</v>
      </c>
      <c r="H40" s="176">
        <f>'Convertible valuation'!H11/'Balance sheet conv'!H26</f>
        <v>0.10762839245570277</v>
      </c>
      <c r="I40" s="176">
        <f>'Convertible valuation'!I11/'Balance sheet conv'!I26</f>
        <v>0.11368663437312131</v>
      </c>
      <c r="J40" s="176">
        <f>'Convertible valuation'!J11/'Balance sheet conv'!J26</f>
        <v>9.5100331740846297E-2</v>
      </c>
      <c r="K40" s="176">
        <f>'Convertible valuation'!K11/'Balance sheet conv'!K26</f>
        <v>8.5262565917758673E-2</v>
      </c>
      <c r="L40" s="102"/>
      <c r="M40" s="102"/>
    </row>
    <row r="41" spans="2:13" ht="15.75">
      <c r="B41" s="174" t="s">
        <v>145</v>
      </c>
      <c r="C41" s="29"/>
      <c r="D41" s="29"/>
      <c r="E41" s="29"/>
      <c r="F41" s="29"/>
      <c r="G41" s="89"/>
      <c r="H41" s="89"/>
      <c r="I41" s="89"/>
      <c r="J41" s="89"/>
      <c r="K41" s="89"/>
      <c r="L41" s="89"/>
      <c r="M41" s="89"/>
    </row>
    <row r="42" spans="2:13" ht="15.75">
      <c r="B42" s="110" t="s">
        <v>178</v>
      </c>
      <c r="C42" s="178">
        <v>0.57999999999999996</v>
      </c>
      <c r="D42" s="178">
        <v>0.56000000000000005</v>
      </c>
      <c r="E42" s="178">
        <v>0.6</v>
      </c>
      <c r="F42" s="178">
        <v>0.61</v>
      </c>
      <c r="G42" s="99"/>
      <c r="H42" s="99"/>
      <c r="I42" s="99"/>
      <c r="J42" s="99"/>
      <c r="K42" s="99"/>
      <c r="L42" s="99"/>
      <c r="M42" s="99"/>
    </row>
    <row r="43" spans="2:13" ht="15.75">
      <c r="B43" s="110" t="s">
        <v>179</v>
      </c>
      <c r="C43" s="221">
        <v>8.4</v>
      </c>
      <c r="D43" s="221">
        <v>7.4</v>
      </c>
      <c r="E43" s="221">
        <v>9.6999999999999993</v>
      </c>
      <c r="F43" s="221">
        <v>10.3</v>
      </c>
      <c r="G43" s="99"/>
      <c r="H43" s="99"/>
      <c r="I43" s="99"/>
      <c r="J43" s="99"/>
      <c r="K43" s="99"/>
      <c r="L43" s="99"/>
      <c r="M43" s="99"/>
    </row>
    <row r="44" spans="2:13" ht="15.75">
      <c r="B44" s="110" t="s">
        <v>180</v>
      </c>
      <c r="C44" s="178">
        <v>0</v>
      </c>
      <c r="D44" s="178">
        <v>0</v>
      </c>
      <c r="E44" s="178">
        <v>0</v>
      </c>
      <c r="F44" s="178">
        <v>0</v>
      </c>
      <c r="G44" s="99"/>
      <c r="H44" s="99"/>
      <c r="I44" s="99"/>
      <c r="J44" s="99"/>
      <c r="K44" s="99"/>
      <c r="L44" s="99"/>
      <c r="M44" s="99"/>
    </row>
    <row r="45" spans="2:13" ht="15.75">
      <c r="B45" s="110" t="s">
        <v>181</v>
      </c>
      <c r="C45" s="221">
        <v>1.1299999999999999</v>
      </c>
      <c r="D45" s="221">
        <v>1.1499999999999999</v>
      </c>
      <c r="E45" s="221">
        <v>1.1100000000000001</v>
      </c>
      <c r="F45" s="221">
        <v>1.1200000000000001</v>
      </c>
      <c r="G45" s="99"/>
      <c r="H45" s="99"/>
      <c r="I45" s="99"/>
      <c r="J45" s="99"/>
      <c r="K45" s="99"/>
      <c r="L45" s="99"/>
      <c r="M45" s="99"/>
    </row>
    <row r="46" spans="2:13" ht="15.75">
      <c r="B46" s="174" t="s">
        <v>182</v>
      </c>
      <c r="C46" s="29"/>
      <c r="D46" s="29"/>
      <c r="E46" s="29"/>
      <c r="F46" s="29"/>
      <c r="G46" s="99"/>
      <c r="H46" s="99"/>
      <c r="I46" s="99"/>
      <c r="J46" s="99"/>
      <c r="K46" s="99"/>
      <c r="L46" s="99"/>
      <c r="M46" s="99"/>
    </row>
    <row r="47" spans="2:13" ht="15.75">
      <c r="B47" s="110" t="s">
        <v>183</v>
      </c>
      <c r="C47" s="221">
        <v>0.44</v>
      </c>
      <c r="D47" s="221">
        <v>0.48</v>
      </c>
      <c r="E47" s="221">
        <v>0.41</v>
      </c>
      <c r="F47" s="221">
        <v>0.34</v>
      </c>
      <c r="G47" s="99"/>
      <c r="H47" s="99"/>
      <c r="I47" s="99"/>
      <c r="J47" s="99"/>
      <c r="K47" s="99"/>
      <c r="L47" s="99"/>
      <c r="M47" s="99"/>
    </row>
    <row r="48" spans="2:13" ht="15.75">
      <c r="B48" s="110" t="s">
        <v>184</v>
      </c>
      <c r="C48" s="221">
        <v>2.91</v>
      </c>
      <c r="D48" s="221">
        <v>3.03</v>
      </c>
      <c r="E48" s="221">
        <v>3.58</v>
      </c>
      <c r="F48" s="221">
        <v>2.6</v>
      </c>
      <c r="G48" s="99"/>
      <c r="H48" s="99"/>
      <c r="I48" s="99"/>
      <c r="J48" s="99"/>
      <c r="K48" s="99"/>
      <c r="L48" s="99"/>
      <c r="M48" s="99"/>
    </row>
    <row r="49" spans="2:13" ht="15.75">
      <c r="B49" s="110" t="s">
        <v>185</v>
      </c>
      <c r="C49" s="221">
        <v>63</v>
      </c>
      <c r="D49" s="221">
        <v>66</v>
      </c>
      <c r="E49" s="221">
        <v>58</v>
      </c>
      <c r="F49" s="221">
        <v>73</v>
      </c>
      <c r="G49" s="99"/>
      <c r="H49" s="99"/>
      <c r="I49" s="99"/>
      <c r="J49" s="99"/>
      <c r="K49" s="99"/>
      <c r="L49" s="99"/>
      <c r="M49" s="99"/>
    </row>
    <row r="50" spans="2:13" ht="15.75">
      <c r="B50" s="110" t="s">
        <v>186</v>
      </c>
      <c r="C50" s="221">
        <v>125</v>
      </c>
      <c r="D50" s="221">
        <v>121</v>
      </c>
      <c r="E50" s="221">
        <v>102</v>
      </c>
      <c r="F50" s="221">
        <v>141</v>
      </c>
      <c r="G50" s="99"/>
      <c r="H50" s="99"/>
      <c r="I50" s="99"/>
      <c r="J50" s="99"/>
      <c r="K50" s="99"/>
      <c r="L50" s="99"/>
      <c r="M50" s="99"/>
    </row>
    <row r="51" spans="2:13" ht="16.5" thickBot="1">
      <c r="B51" s="110" t="s">
        <v>187</v>
      </c>
      <c r="C51" s="173">
        <v>38</v>
      </c>
      <c r="D51" s="173">
        <v>42</v>
      </c>
      <c r="E51" s="173">
        <v>31</v>
      </c>
      <c r="F51" s="173">
        <v>42</v>
      </c>
      <c r="G51" s="98"/>
      <c r="H51" s="98"/>
      <c r="I51" s="98"/>
      <c r="J51" s="98"/>
      <c r="K51" s="98"/>
      <c r="L51" s="98"/>
      <c r="M51" s="98"/>
    </row>
    <row r="52" spans="2:13" ht="16.5" thickBot="1">
      <c r="B52" s="179" t="s">
        <v>188</v>
      </c>
      <c r="C52" s="171">
        <v>151</v>
      </c>
      <c r="D52" s="171">
        <v>144</v>
      </c>
      <c r="E52" s="171">
        <v>129</v>
      </c>
      <c r="F52" s="171">
        <v>171</v>
      </c>
      <c r="G52" s="100"/>
      <c r="H52" s="100"/>
      <c r="I52" s="100"/>
      <c r="J52" s="100"/>
      <c r="K52" s="100"/>
      <c r="L52" s="100"/>
      <c r="M52" s="100"/>
    </row>
    <row r="54" spans="2:13">
      <c r="C54" s="186"/>
      <c r="D54" s="186"/>
      <c r="E54" s="186"/>
      <c r="F54" s="186"/>
    </row>
    <row r="59" spans="2:13">
      <c r="B59" s="263"/>
      <c r="C59" s="247"/>
      <c r="D59" s="247"/>
      <c r="E59" s="247"/>
      <c r="F59" s="247"/>
      <c r="G59" s="247"/>
      <c r="H59" s="247"/>
      <c r="I59" s="247"/>
      <c r="J59" s="247"/>
      <c r="K59" s="247"/>
    </row>
    <row r="60" spans="2:13">
      <c r="B60" s="247"/>
      <c r="C60" s="247"/>
      <c r="D60" s="247"/>
      <c r="E60" s="247"/>
      <c r="F60" s="247"/>
      <c r="G60" s="247"/>
      <c r="H60" s="247"/>
      <c r="I60" s="247"/>
      <c r="J60" s="247"/>
      <c r="K60" s="247"/>
    </row>
    <row r="61" spans="2:13" ht="15.75">
      <c r="B61" s="261"/>
      <c r="C61" s="221"/>
      <c r="D61" s="221"/>
      <c r="E61" s="221"/>
      <c r="F61" s="221"/>
      <c r="G61" s="144"/>
      <c r="H61" s="144"/>
      <c r="I61" s="144"/>
      <c r="J61" s="144"/>
      <c r="K61" s="144"/>
    </row>
    <row r="62" spans="2:13" ht="15.75">
      <c r="B62" s="262"/>
      <c r="C62" s="175"/>
      <c r="D62" s="175"/>
      <c r="E62" s="175"/>
      <c r="F62" s="175"/>
      <c r="G62" s="257"/>
      <c r="H62" s="257"/>
      <c r="I62" s="257"/>
      <c r="J62" s="257"/>
      <c r="K62" s="257"/>
    </row>
    <row r="63" spans="2:13" ht="15.75">
      <c r="B63" s="261"/>
      <c r="C63" s="221"/>
      <c r="D63" s="221"/>
      <c r="E63" s="180"/>
      <c r="F63" s="180"/>
      <c r="G63" s="258"/>
      <c r="H63" s="258"/>
      <c r="I63" s="258"/>
      <c r="J63" s="258"/>
      <c r="K63" s="258"/>
    </row>
    <row r="64" spans="2:13" ht="15.75">
      <c r="B64" s="261"/>
      <c r="C64" s="221"/>
      <c r="D64" s="221"/>
      <c r="E64" s="221"/>
      <c r="F64" s="221"/>
      <c r="G64" s="221"/>
      <c r="H64" s="221"/>
      <c r="I64" s="221"/>
      <c r="J64" s="221"/>
      <c r="K64" s="221"/>
    </row>
    <row r="65" spans="2:11" ht="15.75">
      <c r="B65" s="262"/>
      <c r="C65" s="175"/>
      <c r="D65" s="175"/>
      <c r="E65" s="176"/>
      <c r="F65" s="176"/>
      <c r="G65" s="259"/>
      <c r="H65" s="259"/>
      <c r="I65" s="259"/>
      <c r="J65" s="259"/>
      <c r="K65" s="259"/>
    </row>
    <row r="66" spans="2:11" ht="15.75">
      <c r="B66" s="262"/>
      <c r="C66" s="176"/>
      <c r="D66" s="176"/>
      <c r="E66" s="176"/>
      <c r="F66" s="176"/>
      <c r="G66" s="176"/>
      <c r="H66" s="176"/>
      <c r="I66" s="176"/>
      <c r="J66" s="176"/>
      <c r="K66" s="176"/>
    </row>
    <row r="67" spans="2:11" ht="15.75">
      <c r="B67" s="262"/>
      <c r="C67" s="176"/>
      <c r="D67" s="176"/>
      <c r="E67" s="176"/>
      <c r="F67" s="176"/>
      <c r="G67" s="260"/>
      <c r="H67" s="260"/>
      <c r="I67" s="260"/>
      <c r="J67" s="260"/>
      <c r="K67" s="260"/>
    </row>
    <row r="68" spans="2:11">
      <c r="B68" s="247"/>
      <c r="C68" s="247"/>
      <c r="D68" s="247"/>
      <c r="E68" s="247"/>
      <c r="F68" s="247"/>
      <c r="G68" s="247"/>
      <c r="H68" s="247"/>
      <c r="I68" s="247"/>
      <c r="J68" s="247"/>
      <c r="K68" s="247"/>
    </row>
  </sheetData>
  <mergeCells count="2">
    <mergeCell ref="C4:F4"/>
    <mergeCell ref="R4:S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C1:K15"/>
  <sheetViews>
    <sheetView workbookViewId="0">
      <selection activeCell="M18" sqref="M18"/>
    </sheetView>
  </sheetViews>
  <sheetFormatPr defaultRowHeight="15"/>
  <cols>
    <col min="4" max="4" width="9.5703125" bestFit="1" customWidth="1"/>
    <col min="9" max="9" width="12" bestFit="1" customWidth="1"/>
    <col min="11" max="11" width="11.5703125" bestFit="1" customWidth="1"/>
  </cols>
  <sheetData>
    <row r="1" spans="3:11">
      <c r="C1" s="265"/>
      <c r="D1" s="265"/>
      <c r="E1" s="265"/>
    </row>
    <row r="2" spans="3:11">
      <c r="C2" s="265"/>
      <c r="D2" s="265"/>
      <c r="E2" s="265"/>
    </row>
    <row r="3" spans="3:11">
      <c r="E3">
        <v>2015</v>
      </c>
      <c r="F3">
        <v>2016</v>
      </c>
      <c r="G3">
        <v>2017</v>
      </c>
      <c r="H3">
        <v>2018</v>
      </c>
      <c r="I3" s="266">
        <v>2019</v>
      </c>
      <c r="J3" s="301" t="s">
        <v>86</v>
      </c>
      <c r="K3" s="302" t="s">
        <v>279</v>
      </c>
    </row>
    <row r="4" spans="3:11">
      <c r="D4" t="s">
        <v>280</v>
      </c>
      <c r="E4">
        <v>0.15277258799790747</v>
      </c>
      <c r="F4">
        <v>0.17206384914636155</v>
      </c>
      <c r="G4">
        <v>0.19085834380798364</v>
      </c>
      <c r="H4">
        <v>0.22245997531155312</v>
      </c>
      <c r="I4">
        <v>0.25261297507901187</v>
      </c>
      <c r="J4" s="302">
        <v>0.25261297507901187</v>
      </c>
      <c r="K4" s="303">
        <f>'Valuation Bond'!B33</f>
        <v>546292.54268706893</v>
      </c>
    </row>
    <row r="5" spans="3:11">
      <c r="D5" t="s">
        <v>281</v>
      </c>
      <c r="E5">
        <v>0.15277258799790747</v>
      </c>
      <c r="F5">
        <v>0.17071980742088708</v>
      </c>
      <c r="G5">
        <v>0.18967144123541407</v>
      </c>
      <c r="H5">
        <v>0.22130633454388951</v>
      </c>
      <c r="I5">
        <v>0.25139355827860554</v>
      </c>
      <c r="J5" s="302">
        <v>0.25139355827860554</v>
      </c>
      <c r="K5" s="303">
        <f>'Valuation Bank loan'!C48</f>
        <v>651508.37258078624</v>
      </c>
    </row>
    <row r="6" spans="3:11">
      <c r="D6" t="s">
        <v>282</v>
      </c>
      <c r="E6">
        <v>0.15277258799790747</v>
      </c>
      <c r="F6">
        <v>0.1593327947796897</v>
      </c>
      <c r="G6">
        <v>0.1594899593903327</v>
      </c>
      <c r="H6">
        <v>0.1707443919027512</v>
      </c>
      <c r="I6">
        <v>0.17433760355765063</v>
      </c>
      <c r="J6" s="302">
        <v>0.17433760355765063</v>
      </c>
      <c r="K6" s="303">
        <f>'Buyback valuation'!C48</f>
        <v>138284.0027187441</v>
      </c>
    </row>
    <row r="7" spans="3:11">
      <c r="D7" t="s">
        <v>283</v>
      </c>
      <c r="E7">
        <v>9.8560122561841421E-2</v>
      </c>
      <c r="F7">
        <v>0.10762839245570277</v>
      </c>
      <c r="G7">
        <v>0.11368663437312131</v>
      </c>
      <c r="H7">
        <v>9.5100331740846297E-2</v>
      </c>
      <c r="I7">
        <v>8.5262565917758673E-2</v>
      </c>
      <c r="J7" s="302">
        <v>8.5262565917758673E-2</v>
      </c>
      <c r="K7" s="303">
        <f>'Convertible valuation'!C45</f>
        <v>50636.763380881232</v>
      </c>
    </row>
    <row r="11" spans="3:11">
      <c r="J11" t="s">
        <v>86</v>
      </c>
      <c r="K11" t="s">
        <v>279</v>
      </c>
    </row>
    <row r="12" spans="3:11">
      <c r="I12" t="s">
        <v>293</v>
      </c>
      <c r="J12">
        <v>0.25261297507901187</v>
      </c>
      <c r="K12">
        <v>546292.54268706893</v>
      </c>
    </row>
    <row r="13" spans="3:11">
      <c r="I13" t="s">
        <v>294</v>
      </c>
      <c r="J13">
        <v>0.25139355827860554</v>
      </c>
      <c r="K13">
        <v>651508.37258078624</v>
      </c>
    </row>
    <row r="14" spans="3:11">
      <c r="I14" t="s">
        <v>295</v>
      </c>
      <c r="J14">
        <v>0.17433760355765063</v>
      </c>
      <c r="K14">
        <v>138284.0027187441</v>
      </c>
    </row>
    <row r="15" spans="3:11">
      <c r="I15" t="s">
        <v>296</v>
      </c>
      <c r="J15">
        <v>8.5262565917758673E-2</v>
      </c>
      <c r="K15">
        <v>50636.763380881232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Income statement</vt:lpstr>
      <vt:lpstr>Balance sheet</vt:lpstr>
      <vt:lpstr>Interest &amp; principal</vt:lpstr>
      <vt:lpstr>Z score</vt:lpstr>
      <vt:lpstr>Business risk</vt:lpstr>
      <vt:lpstr>Financial risk</vt:lpstr>
      <vt:lpstr>WACC</vt:lpstr>
      <vt:lpstr>Valuation Bond</vt:lpstr>
      <vt:lpstr>Valuation Bank loan</vt:lpstr>
      <vt:lpstr>Buyback valuation</vt:lpstr>
      <vt:lpstr>Balance sheet buy</vt:lpstr>
      <vt:lpstr>Income statement buy</vt:lpstr>
      <vt:lpstr>Convertible valuation</vt:lpstr>
      <vt:lpstr>Balance sheet conv</vt:lpstr>
      <vt:lpstr>Comparison ROE</vt:lpstr>
      <vt:lpstr>'Balance sheet'!OLE_LINK1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2017-03-14T20:30:37Z</dcterms:modified>
</cp:coreProperties>
</file>