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881" firstSheet="4" activeTab="8"/>
  </bookViews>
  <sheets>
    <sheet name="Income st" sheetId="9" r:id="rId1"/>
    <sheet name="Balance St" sheetId="1" r:id="rId2"/>
    <sheet name="Ratios" sheetId="4" r:id="rId3"/>
    <sheet name="Business risk" sheetId="5" r:id="rId4"/>
    <sheet name="Financial risk" sheetId="6" r:id="rId5"/>
    <sheet name="Z-Score Model" sheetId="7" r:id="rId6"/>
    <sheet name="WACC" sheetId="8" r:id="rId7"/>
    <sheet name="EPS Valuation" sheetId="11" r:id="rId8"/>
    <sheet name="Bookbuilding" sheetId="12" r:id="rId9"/>
    <sheet name="CB_DATA_" sheetId="14" state="veryHidden" r:id="rId10"/>
    <sheet name="Base Valuation" sheetId="10" r:id="rId11"/>
    <sheet name="Simulation" sheetId="15" r:id="rId12"/>
    <sheet name="Better Valuation" sheetId="18" r:id="rId13"/>
    <sheet name="Worse valuation " sheetId="17" r:id="rId14"/>
    <sheet name="No. of share simulation" sheetId="16" r:id="rId15"/>
  </sheets>
  <externalReferences>
    <externalReference r:id="rId16"/>
    <externalReference r:id="rId17"/>
  </externalReferences>
  <definedNames>
    <definedName name="CB_120038c2284c44f192fbd9f45b1f195b" localSheetId="11" hidden="1">Simulation!$G$14</definedName>
    <definedName name="CB_1e47752b151446938460154bb89ceb95" localSheetId="11" hidden="1">Simulation!$B$33</definedName>
    <definedName name="CB_654e4a0d7c004fc38e77f13a3d90770d" localSheetId="9" hidden="1">#N/A</definedName>
    <definedName name="CB_7d4ea44d61214694a520f7e9bb763c98" localSheetId="9" hidden="1">#N/A</definedName>
    <definedName name="CB_8ebb6b32b0cb487fa880c18dcf6d2c14" localSheetId="9" hidden="1">#N/A</definedName>
    <definedName name="CB_aac63ef09631445eaf0370f4a79aff34" localSheetId="11" hidden="1">Simulation!$B$8</definedName>
    <definedName name="CB_af37655e516743e5baac797914bb0c42" localSheetId="11" hidden="1">Simulation!$G$13</definedName>
    <definedName name="CB_Block_00000000000000000000000000000000" localSheetId="9" hidden="1">"'7.0.0.0"</definedName>
    <definedName name="CB_Block_00000000000000000000000000000000" localSheetId="14" hidden="1">"'7.0.0.0"</definedName>
    <definedName name="CB_Block_00000000000000000000000000000000" localSheetId="11" hidden="1">"'7.0.0.0"</definedName>
    <definedName name="CB_Block_00000000000000000000000000000001" localSheetId="9" hidden="1">"'636254784400053977"</definedName>
    <definedName name="CB_Block_00000000000000000000000000000001" localSheetId="14" hidden="1">"'636254784400209977"</definedName>
    <definedName name="CB_Block_00000000000000000000000000000001" localSheetId="11" hidden="1">"'636254784399741976"</definedName>
    <definedName name="CB_Block_00000000000000000000000000000003" localSheetId="9" hidden="1">"'11.1.4512.0"</definedName>
    <definedName name="CB_Block_00000000000000000000000000000003" localSheetId="14" hidden="1">"'11.1.4512.0"</definedName>
    <definedName name="CB_Block_00000000000000000000000000000003" localSheetId="11" hidden="1">"'11.1.4512.0"</definedName>
    <definedName name="CB_BlockExt_00000000000000000000000000000003" localSheetId="9" hidden="1">"'11.1.2.4.600"</definedName>
    <definedName name="CB_BlockExt_00000000000000000000000000000003" localSheetId="14" hidden="1">"'11.1.2.4.600"</definedName>
    <definedName name="CB_BlockExt_00000000000000000000000000000003" localSheetId="11" hidden="1">"'11.1.2.4.600"</definedName>
    <definedName name="CB_c9b301d8a669428e99bf959e9c9b5141" localSheetId="11" hidden="1">Simulation!$G$18</definedName>
    <definedName name="CB_df6657d006fc4416b1671d1502c215e9" localSheetId="11" hidden="1">Simulation!$B$2</definedName>
    <definedName name="CB_e3075f7af35040a7a0266d853c92c9cb" localSheetId="14" hidden="1">'No. of share simulation'!$I$8</definedName>
    <definedName name="CB_ec6849f465ef4560967a2ddcecb0036b" localSheetId="14" hidden="1">'No. of share simulation'!$I$9</definedName>
    <definedName name="CB_f79a92a2b4ae47bd89f6ae9cb0659b69" localSheetId="14" hidden="1">'No. of share simulation'!$I$10</definedName>
    <definedName name="CBCR_2c71916c389f45bc81742f8629cf3ce9" localSheetId="11" hidden="1">Simulation!$K$18</definedName>
    <definedName name="CBCR_9b3cc9a1517b40a090e4905e02e32b28" localSheetId="11" hidden="1">Simulation!$K$13</definedName>
    <definedName name="CBCR_d966df4a22c94231a4f61949134437b9" localSheetId="11" hidden="1">Simulation!$K$14</definedName>
    <definedName name="CBCR_e5fb7530c87d40f599f68bf195303b8d" localSheetId="11" hidden="1">Simulation!$L$14</definedName>
    <definedName name="CBCR_f836ab6b4c5c4c3bbf21675d57b7ab91" localSheetId="11" hidden="1">Simulation!$L$18</definedName>
    <definedName name="CBCR_f854b36313614bdfa9b37b563be716d1" localSheetId="11" hidden="1">Simulation!$L$13</definedName>
    <definedName name="CBWorkbookPriority" localSheetId="9" hidden="1">-758680221412591</definedName>
    <definedName name="CBx_3a83cbd347fa4476bdcc0b25b679317f" localSheetId="9" hidden="1">"'Sheet1'!$A$1"</definedName>
    <definedName name="CBx_3ab49b80206c44969e84cf041637f5af" localSheetId="9" hidden="1">"'CB_DATA_'!$A$1"</definedName>
    <definedName name="CBx_3e2a095539434ea5a5b4e89363932cdd" localSheetId="9" hidden="1">"'Simulation'!$A$1"</definedName>
    <definedName name="CBx_c8908cfbfe98483ea4d0ad95596bad2e" localSheetId="9" hidden="1">"'No. of share simulation'!$A$1"</definedName>
    <definedName name="CBx_Sheet_Guid" localSheetId="9" hidden="1">"'3ab49b80-206c-4496-9e84-cf041637f5af"</definedName>
    <definedName name="CBx_Sheet_Guid" localSheetId="14" hidden="1">"'c8908cfb-fe98-483e-a4d0-ad95596bad2e"</definedName>
    <definedName name="CBx_Sheet_Guid" localSheetId="11" hidden="1">"'3e2a0955-3943-4ea5-a5b4-e89363932cdd"</definedName>
    <definedName name="CBx_SheetRef" localSheetId="9" hidden="1">CB_DATA_!$A$14</definedName>
    <definedName name="CBx_SheetRef" localSheetId="14" hidden="1">CB_DATA_!$D$14</definedName>
    <definedName name="CBx_SheetRef" localSheetId="11" hidden="1">CB_DATA_!$C$14</definedName>
    <definedName name="CBx_StorageType" localSheetId="9" hidden="1">2</definedName>
    <definedName name="CBx_StorageType" localSheetId="14" hidden="1">2</definedName>
    <definedName name="CBx_StorageType" localSheetId="11" hidden="1">2</definedName>
  </definedNames>
  <calcPr calcId="124519" concurrentCalc="0"/>
</workbook>
</file>

<file path=xl/calcChain.xml><?xml version="1.0" encoding="utf-8"?>
<calcChain xmlns="http://schemas.openxmlformats.org/spreadsheetml/2006/main">
  <c r="D16" i="12"/>
  <c r="D17" i="6" l="1"/>
  <c r="D9" i="5"/>
  <c r="B2" i="17"/>
  <c r="D13" i="18"/>
  <c r="D14"/>
  <c r="D15"/>
  <c r="D18"/>
  <c r="D24"/>
  <c r="B2"/>
  <c r="D25"/>
  <c r="E13"/>
  <c r="E14"/>
  <c r="E15"/>
  <c r="E18"/>
  <c r="E24"/>
  <c r="E25"/>
  <c r="G13"/>
  <c r="G14"/>
  <c r="G15"/>
  <c r="G18"/>
  <c r="G24"/>
  <c r="G25"/>
  <c r="H13"/>
  <c r="H14"/>
  <c r="H15"/>
  <c r="H18"/>
  <c r="H24"/>
  <c r="H25"/>
  <c r="I13"/>
  <c r="I14"/>
  <c r="I15"/>
  <c r="I18"/>
  <c r="I24"/>
  <c r="I25"/>
  <c r="J25"/>
  <c r="B28"/>
  <c r="B30"/>
  <c r="N7"/>
  <c r="M7"/>
  <c r="L7"/>
  <c r="K7"/>
  <c r="D13" i="17"/>
  <c r="D14"/>
  <c r="D15"/>
  <c r="D18"/>
  <c r="D24"/>
  <c r="D25"/>
  <c r="E13"/>
  <c r="E14"/>
  <c r="E15"/>
  <c r="E18"/>
  <c r="E24"/>
  <c r="E25"/>
  <c r="G13"/>
  <c r="G14"/>
  <c r="G15"/>
  <c r="G18"/>
  <c r="G24"/>
  <c r="G25"/>
  <c r="H13"/>
  <c r="H14"/>
  <c r="H15"/>
  <c r="H18"/>
  <c r="H24"/>
  <c r="H25"/>
  <c r="I13"/>
  <c r="I14"/>
  <c r="I15"/>
  <c r="I18"/>
  <c r="I24"/>
  <c r="I25"/>
  <c r="J25"/>
  <c r="B28"/>
  <c r="B30"/>
  <c r="N7"/>
  <c r="M7"/>
  <c r="K7"/>
  <c r="K11" i="8"/>
  <c r="K13"/>
  <c r="K20"/>
  <c r="K18"/>
  <c r="H11"/>
  <c r="H18"/>
  <c r="H13"/>
  <c r="H20"/>
  <c r="I10" i="16"/>
  <c r="D11" i="14"/>
  <c r="C11"/>
  <c r="D13" i="10"/>
  <c r="D18"/>
  <c r="E13"/>
  <c r="E18"/>
  <c r="G13"/>
  <c r="G18"/>
  <c r="H13"/>
  <c r="H18"/>
  <c r="I13"/>
  <c r="I18"/>
  <c r="B11" i="14"/>
  <c r="A11"/>
  <c r="H27" i="4"/>
  <c r="F27"/>
  <c r="E27"/>
  <c r="I27"/>
  <c r="D27"/>
  <c r="C27"/>
  <c r="B27"/>
  <c r="G27"/>
  <c r="F26"/>
  <c r="E26"/>
  <c r="I26"/>
  <c r="D26"/>
  <c r="C26"/>
  <c r="H26"/>
  <c r="B26"/>
  <c r="D19"/>
  <c r="C19"/>
  <c r="D18"/>
  <c r="C18"/>
  <c r="D17"/>
  <c r="C17"/>
  <c r="D16"/>
  <c r="C16"/>
  <c r="D15"/>
  <c r="C15"/>
  <c r="D13"/>
  <c r="C13"/>
  <c r="D12"/>
  <c r="C12"/>
  <c r="D11"/>
  <c r="C11"/>
  <c r="D9"/>
  <c r="C9"/>
  <c r="D8"/>
  <c r="C8"/>
  <c r="D7"/>
  <c r="C7"/>
  <c r="D5"/>
  <c r="C5"/>
  <c r="J27"/>
  <c r="G26"/>
  <c r="J26"/>
  <c r="F11" i="12"/>
  <c r="F9"/>
  <c r="F5"/>
  <c r="F6"/>
  <c r="F7"/>
  <c r="F8"/>
  <c r="F4"/>
  <c r="H17" i="11"/>
  <c r="G33"/>
  <c r="G34"/>
  <c r="G38"/>
  <c r="G39"/>
  <c r="P28"/>
  <c r="Q27"/>
  <c r="R27"/>
  <c r="S27"/>
  <c r="T27"/>
  <c r="P27"/>
  <c r="R25"/>
  <c r="S25"/>
  <c r="T25"/>
  <c r="Q25"/>
  <c r="G32"/>
  <c r="H31"/>
  <c r="I31"/>
  <c r="J31"/>
  <c r="K31"/>
  <c r="G31"/>
  <c r="H29"/>
  <c r="I29"/>
  <c r="J29"/>
  <c r="K29"/>
  <c r="G29"/>
  <c r="G25"/>
  <c r="K25"/>
  <c r="J25"/>
  <c r="I25"/>
  <c r="H25"/>
  <c r="T6"/>
  <c r="O8"/>
  <c r="O7"/>
  <c r="O9"/>
  <c r="G22" i="9"/>
  <c r="H18" i="11"/>
  <c r="I17"/>
  <c r="J17"/>
  <c r="K17"/>
  <c r="K15"/>
  <c r="J15"/>
  <c r="I15"/>
  <c r="H15"/>
  <c r="H8"/>
  <c r="H11"/>
  <c r="I8"/>
  <c r="I11"/>
  <c r="G8"/>
  <c r="G11"/>
  <c r="N7" i="10"/>
  <c r="L7"/>
  <c r="M7"/>
  <c r="H15"/>
  <c r="I15"/>
  <c r="G15"/>
  <c r="E15"/>
  <c r="D15"/>
  <c r="G12" i="11"/>
  <c r="G13"/>
  <c r="H19"/>
  <c r="P29"/>
  <c r="P30"/>
  <c r="G43"/>
  <c r="D17" i="8"/>
  <c r="D16"/>
  <c r="D13"/>
  <c r="D11"/>
  <c r="G28" i="1"/>
  <c r="H28"/>
  <c r="I28"/>
  <c r="J28"/>
  <c r="K28"/>
  <c r="F28"/>
  <c r="E27"/>
  <c r="G27"/>
  <c r="H27"/>
  <c r="I27"/>
  <c r="J27"/>
  <c r="K27"/>
  <c r="F27"/>
  <c r="H26"/>
  <c r="I26"/>
  <c r="J26"/>
  <c r="K26"/>
  <c r="G26"/>
  <c r="H10"/>
  <c r="I10"/>
  <c r="J10"/>
  <c r="K10"/>
  <c r="G10"/>
  <c r="D4" i="7"/>
  <c r="F26" i="1"/>
  <c r="E26"/>
  <c r="F10"/>
  <c r="E10"/>
  <c r="H5" i="9"/>
  <c r="E14" i="10"/>
  <c r="E24"/>
  <c r="I5" i="9"/>
  <c r="G14" i="10"/>
  <c r="G24"/>
  <c r="B2"/>
  <c r="G25"/>
  <c r="J5" i="9"/>
  <c r="H14" i="10"/>
  <c r="H24"/>
  <c r="K5" i="9"/>
  <c r="I14" i="10"/>
  <c r="G5" i="9"/>
  <c r="D14" i="10"/>
  <c r="C8" i="9"/>
  <c r="D18" i="8"/>
  <c r="D14"/>
  <c r="D15"/>
  <c r="D20"/>
  <c r="H8" i="9"/>
  <c r="I8"/>
  <c r="J8"/>
  <c r="K8"/>
  <c r="G8"/>
  <c r="H4"/>
  <c r="I4"/>
  <c r="J4"/>
  <c r="K4"/>
  <c r="G4"/>
  <c r="H22"/>
  <c r="H21"/>
  <c r="I21"/>
  <c r="J21"/>
  <c r="K21"/>
  <c r="K22"/>
  <c r="G21"/>
  <c r="G12"/>
  <c r="H12"/>
  <c r="I12"/>
  <c r="J12"/>
  <c r="K12"/>
  <c r="E12"/>
  <c r="F12"/>
  <c r="D12"/>
  <c r="D29" i="7"/>
  <c r="D24"/>
  <c r="D23"/>
  <c r="D15"/>
  <c r="D10"/>
  <c r="D5"/>
  <c r="D6"/>
  <c r="D8"/>
  <c r="E15" i="6"/>
  <c r="F15"/>
  <c r="D15"/>
  <c r="E6"/>
  <c r="E16"/>
  <c r="E17"/>
  <c r="E23"/>
  <c r="F6"/>
  <c r="D6"/>
  <c r="E5"/>
  <c r="F5"/>
  <c r="D5"/>
  <c r="E13" i="5"/>
  <c r="F13"/>
  <c r="D13"/>
  <c r="D20"/>
  <c r="E6"/>
  <c r="F6"/>
  <c r="D6"/>
  <c r="D15" i="9"/>
  <c r="F22" i="6"/>
  <c r="E22"/>
  <c r="D22"/>
  <c r="F16"/>
  <c r="F17"/>
  <c r="F23"/>
  <c r="D16"/>
  <c r="F10"/>
  <c r="E10"/>
  <c r="D10"/>
  <c r="F7"/>
  <c r="F11"/>
  <c r="D7"/>
  <c r="D11"/>
  <c r="F20" i="5"/>
  <c r="E20"/>
  <c r="F22"/>
  <c r="E22"/>
  <c r="D8"/>
  <c r="F21"/>
  <c r="E7" i="6"/>
  <c r="E11"/>
  <c r="D11" i="7"/>
  <c r="D13"/>
  <c r="J22" i="9"/>
  <c r="I22"/>
  <c r="D30" i="7"/>
  <c r="D32"/>
  <c r="F23" i="5"/>
  <c r="D25" i="7"/>
  <c r="D27"/>
  <c r="D16"/>
  <c r="D18"/>
  <c r="D23" i="6"/>
  <c r="G7"/>
  <c r="F24" i="5"/>
  <c r="E21"/>
  <c r="D7"/>
  <c r="D14"/>
  <c r="D22"/>
  <c r="E23"/>
  <c r="D15"/>
  <c r="D35" i="7"/>
  <c r="D16" i="5"/>
  <c r="E24"/>
  <c r="D24" i="10"/>
  <c r="D25"/>
  <c r="E24" i="15"/>
  <c r="E25"/>
  <c r="H24"/>
  <c r="H25"/>
  <c r="D24"/>
  <c r="D25"/>
  <c r="G24"/>
  <c r="G25"/>
  <c r="I24"/>
  <c r="H25" i="10"/>
  <c r="E25"/>
  <c r="K7"/>
  <c r="I24"/>
  <c r="I25" i="15"/>
  <c r="J25"/>
  <c r="B28"/>
  <c r="B33"/>
  <c r="I25" i="10"/>
  <c r="J25"/>
  <c r="B28"/>
  <c r="B30"/>
</calcChain>
</file>

<file path=xl/sharedStrings.xml><?xml version="1.0" encoding="utf-8"?>
<sst xmlns="http://schemas.openxmlformats.org/spreadsheetml/2006/main" count="446" uniqueCount="270">
  <si>
    <t>Year</t>
  </si>
  <si>
    <t>Formula</t>
  </si>
  <si>
    <t>Liquidity Ratio</t>
  </si>
  <si>
    <t>Net working Capital Ratio</t>
  </si>
  <si>
    <t>Current Assets – Current Liabilities/Total Assets</t>
  </si>
  <si>
    <t>Activity Ratios</t>
  </si>
  <si>
    <t>Total Asset Turnover</t>
  </si>
  <si>
    <t>Total Sales/ Total Assets</t>
  </si>
  <si>
    <t>Asset to Equity Ratio</t>
  </si>
  <si>
    <t>Total Assets/Owners' Equity</t>
  </si>
  <si>
    <t>Equity turnover</t>
  </si>
  <si>
    <t>Net sales/owner's equity</t>
  </si>
  <si>
    <t>Debt Ratios</t>
  </si>
  <si>
    <t xml:space="preserve">Debt Ratio </t>
  </si>
  <si>
    <t>Total Liabilities/ Total Assets</t>
  </si>
  <si>
    <t>Debt- Equity Ratio</t>
  </si>
  <si>
    <t>Book Value of Long term Debt / Shareholders' Equity</t>
  </si>
  <si>
    <t>Total Debt to EBITDA</t>
  </si>
  <si>
    <t>Total Debt/EBITDA</t>
  </si>
  <si>
    <t>Profitability Ratios</t>
  </si>
  <si>
    <t>Operating Profit Margin</t>
  </si>
  <si>
    <t>Operating Profit/ Total Revenues</t>
  </si>
  <si>
    <t>Net Profit Margin</t>
  </si>
  <si>
    <t>Net Income/ Total Revenues</t>
  </si>
  <si>
    <t>Earnings per share (EPS)</t>
  </si>
  <si>
    <t>Earnings available for common stockholders/ No. of shares of common stock outstanding</t>
  </si>
  <si>
    <t>Return on Assets (ROA)</t>
  </si>
  <si>
    <t>Net Income/ Total Assets</t>
  </si>
  <si>
    <t>Return on Equity (ROE)</t>
  </si>
  <si>
    <t>Net Income/ Total Shareholders' Equity</t>
  </si>
  <si>
    <t>Du Pont Analysis</t>
  </si>
  <si>
    <t>ROE</t>
  </si>
  <si>
    <t>(EBIT/Total Revenues) * (Total Revenues/ Total Assets)* (Total Assets/ Total Equity)*EBT/EBIT*EAT/EBT</t>
  </si>
  <si>
    <t>Net Income</t>
  </si>
  <si>
    <t>Total Revenues</t>
  </si>
  <si>
    <t>EBIT</t>
  </si>
  <si>
    <t>Total Assets</t>
  </si>
  <si>
    <t>Total Equity</t>
  </si>
  <si>
    <t>Opreating Profit Margin</t>
  </si>
  <si>
    <t>Financial Leverage</t>
  </si>
  <si>
    <t>Business Risk</t>
  </si>
  <si>
    <t>Sales Variability</t>
  </si>
  <si>
    <t>Particulars</t>
  </si>
  <si>
    <t xml:space="preserve">Standerd deviation of Revenue </t>
  </si>
  <si>
    <t>Mean Revenue</t>
  </si>
  <si>
    <t>Revenue Variability (CV)</t>
  </si>
  <si>
    <t>Variability in EBIT</t>
  </si>
  <si>
    <t>Standerd deviation of EBIT</t>
  </si>
  <si>
    <t>Mean EBIT</t>
  </si>
  <si>
    <t>Variability in EBIT (CV)</t>
  </si>
  <si>
    <t>Degree Of Operating Leverage</t>
  </si>
  <si>
    <t>Change of EBIT</t>
  </si>
  <si>
    <t>Revenue</t>
  </si>
  <si>
    <t>Change of Revenue</t>
  </si>
  <si>
    <t>Operating leverage</t>
  </si>
  <si>
    <t>Financial Risk</t>
  </si>
  <si>
    <t>Degree Of Financial Leverage</t>
  </si>
  <si>
    <t>Average</t>
  </si>
  <si>
    <t xml:space="preserve">Interest </t>
  </si>
  <si>
    <t>DFL</t>
  </si>
  <si>
    <t>Degree of Financial leverage</t>
  </si>
  <si>
    <t>Interest coverage ratio</t>
  </si>
  <si>
    <t>Interest coverage ratio (TIE)</t>
  </si>
  <si>
    <t>Working Capital</t>
  </si>
  <si>
    <t>X1</t>
  </si>
  <si>
    <t>Working Capital/Total Assets</t>
  </si>
  <si>
    <t>Weight</t>
  </si>
  <si>
    <t>Total</t>
  </si>
  <si>
    <t>Retained Earnings</t>
  </si>
  <si>
    <t>X2</t>
  </si>
  <si>
    <t>Retained Earnings/Total Assets</t>
  </si>
  <si>
    <t>X3</t>
  </si>
  <si>
    <t>EBIT/Total Assets</t>
  </si>
  <si>
    <t xml:space="preserve"> Equity</t>
  </si>
  <si>
    <t>Total Debt</t>
  </si>
  <si>
    <t xml:space="preserve"> Equity/Total Debt</t>
  </si>
  <si>
    <t>X4</t>
  </si>
  <si>
    <t>Sales</t>
  </si>
  <si>
    <t>Sales/Total Assets</t>
  </si>
  <si>
    <t>X5</t>
  </si>
  <si>
    <t>Altman Z SCORE</t>
  </si>
  <si>
    <t>Safe Zone</t>
  </si>
  <si>
    <t>Gray Zone</t>
  </si>
  <si>
    <t>Risk Distribution</t>
  </si>
  <si>
    <t>Z &gt; 2.90</t>
  </si>
  <si>
    <t>1.23 &lt; Z &lt; 2.90</t>
  </si>
  <si>
    <t>Z &lt; 1.23</t>
  </si>
  <si>
    <t>Distress Zone</t>
  </si>
  <si>
    <t>Risk Free Rate</t>
  </si>
  <si>
    <t>Market Return</t>
  </si>
  <si>
    <t>Beta</t>
  </si>
  <si>
    <t>Cost of Debt</t>
  </si>
  <si>
    <t>Tax Rate</t>
  </si>
  <si>
    <t>Weight of Equity</t>
  </si>
  <si>
    <t>WACC</t>
  </si>
  <si>
    <t>ASSETS</t>
  </si>
  <si>
    <t>Cash and cash equivalents</t>
  </si>
  <si>
    <t>Accounts receivable, net</t>
  </si>
  <si>
    <t>Filmed entertainment and television programming costs, net</t>
  </si>
  <si>
    <t>Investments in equity affiliates</t>
  </si>
  <si>
    <t>Property and equipment, net</t>
  </si>
  <si>
    <t>Intangible assets, net</t>
  </si>
  <si>
    <t>Other assets and investments</t>
  </si>
  <si>
    <t>Total assets</t>
  </si>
  <si>
    <t>LIABILITIES</t>
  </si>
  <si>
    <t>Accounts payable and accrued liabilities</t>
  </si>
  <si>
    <t>Participations, residuals and royalties payable</t>
  </si>
  <si>
    <t>Television programming rights payable</t>
  </si>
  <si>
    <t>Deferred revenue</t>
  </si>
  <si>
    <t>Borrowings</t>
  </si>
  <si>
    <t>Deferred income taxes</t>
  </si>
  <si>
    <t>Other liabilities</t>
  </si>
  <si>
    <t>Due to intercompany affiliates</t>
  </si>
  <si>
    <t>Total liabilities</t>
  </si>
  <si>
    <t>Commitments and contingencies</t>
  </si>
  <si>
    <t>SHAREHOLDERS’ EQUITY</t>
  </si>
  <si>
    <t>Preferred stock</t>
  </si>
  <si>
    <t>Common stock</t>
  </si>
  <si>
    <t>Paid-in capital</t>
  </si>
  <si>
    <t>Retained earnings and other comprehensive income</t>
  </si>
  <si>
    <t>Total shareholders’ equity</t>
  </si>
  <si>
    <t>Total liabilities and shareholders’ equity</t>
  </si>
  <si>
    <t>Selling, general and administrative</t>
  </si>
  <si>
    <t>Depreciation and amortization</t>
  </si>
  <si>
    <t>Other charges</t>
  </si>
  <si>
    <t>Operating income</t>
  </si>
  <si>
    <t>Other Income (expense):</t>
  </si>
  <si>
    <t>Intercompany interest expense, net</t>
  </si>
  <si>
    <t>External interest expense, net</t>
  </si>
  <si>
    <t>Equity in earnings (loss) of affiliates</t>
  </si>
  <si>
    <t>Other income</t>
  </si>
  <si>
    <t>Income before income taxes</t>
  </si>
  <si>
    <t>Income tax expense on a stand-alone basis</t>
  </si>
  <si>
    <t>Net income</t>
  </si>
  <si>
    <t>Basic and diluted earnings per share</t>
  </si>
  <si>
    <t>Basic and diluted weighted average number common equivalent shares outstanding (in millions)</t>
  </si>
  <si>
    <t xml:space="preserve"> </t>
  </si>
  <si>
    <t>Operating Activities</t>
  </si>
  <si>
    <t>by operating activities:</t>
  </si>
  <si>
    <t>Gain on sale of assets</t>
  </si>
  <si>
    <t>Equity in (earnings) losses of affiliates</t>
  </si>
  <si>
    <t>Changes in operating assets and liabilities:</t>
  </si>
  <si>
    <t>Accounts receivable and other assets</t>
  </si>
  <si>
    <t>Filmed entertainment and television programming costs</t>
  </si>
  <si>
    <t>Participations, residuals and royalties payables</t>
  </si>
  <si>
    <t>Net cash provided by operating activities</t>
  </si>
  <si>
    <t>Investing Activities</t>
  </si>
  <si>
    <t>Acquisitions, net of cash acquired</t>
  </si>
  <si>
    <t>Cash used in acquisitions</t>
  </si>
  <si>
    <t>Proceeds from sale of assets</t>
  </si>
  <si>
    <t>Other investments</t>
  </si>
  <si>
    <t>Purchases of property and equipment</t>
  </si>
  <si>
    <t>New cash used in investing activities</t>
  </si>
  <si>
    <t>Financing Activities</t>
  </si>
  <si>
    <t>Repayment of borrowings</t>
  </si>
  <si>
    <t>Advances from affiliates, net</t>
  </si>
  <si>
    <t>Net cash provided by financing activities</t>
  </si>
  <si>
    <t>Net Increase (Decrease) in Cash and Equivalents</t>
  </si>
  <si>
    <t>Cash and Equivalents, beginning of year</t>
  </si>
  <si>
    <t>Cash and Equivalents, end of year</t>
  </si>
  <si>
    <t>Revenues</t>
  </si>
  <si>
    <t>Revenue (in millions of Dollar)</t>
  </si>
  <si>
    <t>EBITDA</t>
  </si>
  <si>
    <t>Net income(growth rate 35%)</t>
  </si>
  <si>
    <t>EBITDA(growth rate 15%)</t>
  </si>
  <si>
    <t>CAPEX</t>
  </si>
  <si>
    <t>Current asset</t>
  </si>
  <si>
    <t>Current liabilities</t>
  </si>
  <si>
    <t>Operating Expense</t>
  </si>
  <si>
    <t>CNWC</t>
  </si>
  <si>
    <t>NWC</t>
  </si>
  <si>
    <t>Assumptions</t>
  </si>
  <si>
    <t>Cost of capital</t>
  </si>
  <si>
    <t>Depreciation (%of sales)</t>
  </si>
  <si>
    <t>COGS(%of sales)</t>
  </si>
  <si>
    <t>CAPEX(% of sales)</t>
  </si>
  <si>
    <t>Sales growth</t>
  </si>
  <si>
    <t>Terminal growth rate</t>
  </si>
  <si>
    <t>Estimated year</t>
  </si>
  <si>
    <t>TV</t>
  </si>
  <si>
    <t>Net capital expenditure</t>
  </si>
  <si>
    <t>Change in NWC</t>
  </si>
  <si>
    <t>New debt</t>
  </si>
  <si>
    <t>Debt repayment</t>
  </si>
  <si>
    <t>Depreciation</t>
  </si>
  <si>
    <t>FCFE</t>
  </si>
  <si>
    <t>PV of CF</t>
  </si>
  <si>
    <t>Equity Value</t>
  </si>
  <si>
    <t xml:space="preserve">No. of shares </t>
  </si>
  <si>
    <t>Cost of Equity</t>
  </si>
  <si>
    <t>After Tax cost of debt</t>
  </si>
  <si>
    <t>Weight ot Debt</t>
  </si>
  <si>
    <t>Total Value(Debt+ Equity)</t>
  </si>
  <si>
    <t>Income Tax</t>
  </si>
  <si>
    <t>value per share</t>
  </si>
  <si>
    <t>Net profit after tax</t>
  </si>
  <si>
    <t>No. of share</t>
  </si>
  <si>
    <t>weight</t>
  </si>
  <si>
    <t>EPS</t>
  </si>
  <si>
    <t>Comparable EPS</t>
  </si>
  <si>
    <t>Disney</t>
  </si>
  <si>
    <t>viacom</t>
  </si>
  <si>
    <t>seagram</t>
  </si>
  <si>
    <t>News</t>
  </si>
  <si>
    <t>Price</t>
  </si>
  <si>
    <t>P/E</t>
  </si>
  <si>
    <t>Price Of FOX</t>
  </si>
  <si>
    <t>Projected</t>
  </si>
  <si>
    <t xml:space="preserve">NAV </t>
  </si>
  <si>
    <t>Earning based value per share</t>
  </si>
  <si>
    <t>Enterprise value to EBITDA</t>
  </si>
  <si>
    <t>Market capitalization</t>
  </si>
  <si>
    <t>Time</t>
  </si>
  <si>
    <t>Viacom</t>
  </si>
  <si>
    <t>Seagram</t>
  </si>
  <si>
    <t>news</t>
  </si>
  <si>
    <t>Add: preferred share</t>
  </si>
  <si>
    <t>Add: Debt</t>
  </si>
  <si>
    <t>Less: cash</t>
  </si>
  <si>
    <t>Enterprize value</t>
  </si>
  <si>
    <t>EV/EBITDA</t>
  </si>
  <si>
    <t>Fox EBITDA</t>
  </si>
  <si>
    <t>FOX EV</t>
  </si>
  <si>
    <t>Less: Debt</t>
  </si>
  <si>
    <t>Less preferred share</t>
  </si>
  <si>
    <t>Add: cash</t>
  </si>
  <si>
    <t>Fox Equity value</t>
  </si>
  <si>
    <t>VPS FOX</t>
  </si>
  <si>
    <t>Price to EBITDA</t>
  </si>
  <si>
    <t>Price/EBITDA</t>
  </si>
  <si>
    <t>FOX Price</t>
  </si>
  <si>
    <t>Fox Average Price</t>
  </si>
  <si>
    <t>Face Value Multiplier</t>
  </si>
  <si>
    <t xml:space="preserve">Average Face Value Multiplier </t>
  </si>
  <si>
    <t xml:space="preserve">Face Value </t>
  </si>
  <si>
    <t xml:space="preserve">Average closing price of last 6 moths </t>
  </si>
  <si>
    <t xml:space="preserve">Face Value Multiplier </t>
  </si>
  <si>
    <t xml:space="preserve">Price Based on Face Value Multiplier </t>
  </si>
  <si>
    <t xml:space="preserve">Face value of Fox </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</si>
  <si>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</si>
  <si>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</si>
  <si>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</si>
  <si>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</si>
  <si>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</si>
  <si>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</si>
  <si>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</si>
  <si>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</si>
  <si>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</si>
  <si>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</si>
  <si>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</si>
  <si>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</si>
  <si>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3ab49b80-206c-4496-9e84-cf041637f5af</t>
  </si>
  <si>
    <t>CB_Block_0</t>
  </si>
  <si>
    <t>㜸〱敤㕣㕢㙣ㅣ㔷ㄹ摥㌳摥㔹敦慣敤搸㡤搳㑢㑡㘹つ㙤㈹慤㠳ㅢ愷つ愵㠵㄰㝣㘹㉥挵㠹摤搸㐹㐱㠰㌶攳摤㌳昱㌴㍢㌳敥捣慣ㄳ㤷㑡慤愰摣挴愵㔲戹㠸㐲戹愸㐲㐸昰挰攵愵ㄴ攸ぢㄲㄲ〸戵〲㈱㤰㐰攲愱㈰〴て㈰㠸挴ぢて㐸昰㝤㘷㘶㜶㘷㜷扤㘳㜷摢㠲㡢㝣搲晤㝤收摣收㥣昳㕦捦晦㥦㘹㑥攴㜲戹㝦㈳昱㉦㔳㥥㤹㙢ㄶ搷㠳㔰㍡ㄳ㌳㕥慤㈶㉢愱敤戹挱挴㤴敦㥢敢㜳㜶㄰昶愱㐱愱㙣愳㍥搰换㠱晤愰㉣㤶搷愴ㅦ愰㤱㥥换ㄵ㡢㠶㠶㝡づ挲摦㐸昲㘰戰搷㘰ㅥ㘰㘹㘶㝡㝥昹㝥㡣扡ㄸ㝡扥摣㌷㜶㈶敡㝢㘸㜲㜲㘲㜲攲昶㠳㤳〷㈶昶敦ㅢ㥢愹搷挲扡㉦て戹戲ㅥ晡㘶㙤摦搸㐲㝤戹㘶㔷摥㈹搷㤷扣昳搲㍤㈴㤷昷摦戶㙣摥晥㤶挹摢てㅥ戴敥扣昳㉤㠳㜸㜵敥攴捣昴㠲㉦慤攰㘵ㅡ㔳攷㤴㙦㥦㤵ㄵ㥢㙢㤳搲户摤㜳ㄳ㌳搳昸㉦㌵㝦㍣摤㌱戱戸㈲㘵挸㔷㑢㕦扡ㄵㄹㄸ攸㌸攰㑣〵㐱摤㔹攵收ㄹ捥ㄱ㉣戵㘲〶愱敥捣挸㕡捤㜰㤲㔱㡢捥㍣昶慥㘶慥て㍡㡢搲つ散搰㕥戳挳昵㠲戳㠴㠱慡㐳捥改㐰㥥㌲摤㜳昲愴改㐸摤㌹㕡户慢昹㈸攵晡㙥㑡㠶㐸㑦㑣㉤㝦㘲㉡㜰㘶㔶㑣㕦捤㈸攰挶㘴戴㍤攲㔷㕡摢㕥摦㝤㕣㑥㕤扤㠱㘳摥搸扤ㅤ㙡捥㤸㝥愳攵㜸昷㤶昱攲㕢㘷㜰㙢昷昶愹㍤㙡敤㜳㜳昷㍥㙡㉢㕢㕢㡢㠱㤸扥搵㡥㘲㌱㐶㠱愰㥦愰㐸㐰〴ㅡ㈵㠲〱㠲㐱〰㤱晦〷戸㈴摤㤱㔵㕡搹搴捡换㕡戹愲㤵慢㕡㔹㙡㘵㑢㉢㥦搳捡㉢㕡搹搶捡昷㙢攵昳㘸㤳愴㘲㝦扦ㄶ愷㝦摣昵换㙦晥晣攱改ㄳ㡦晥晤㠶昷て㍦昵㥢攷〷㜷愱搱扤昱愴㘶㝤昳〲㐸慤㐹挵攰〸晥摢㥣㉢挰ㄴ搶㐱敢づ㙢㜲戲㝡㜰扦㜹㥢愹㜳㔹ㄹ挸㙦㈱㤴ㄱ戴ㅤ戴敥戳摤慡㜷㐱攱敥㥡㘹㌳㤰捤㡤ㅢ㡦敢愶扤扡㕢つ㕥戳㜱攵㘲㘸㠶昲敡昶扡收㈰ㅤ摤ㄶ挱㔶㌲㔰敦扢戶扤摢ㄹ戳㔶㤷㔳ㄷ敤愸晡戵㙤搵捥㠲敦㉤㜷慦㍤攲换〷ㅡ戵ㅤ㌳㥡㠲㔰㕢㔳㘳㜷慣㌲慡㡡收㌵㌶戳攲〵搲㔵搳ㅢ㜷ㄶ散捡㜹改㉦㑡㡡㐴㔹㔵㑢扤㥣㔵㌱搷㡦捦扢㔸㈸戸戵晡晡㜴愹㜵昷挵㄰捣㉣慢㤸敦慡昴挳昵㈵㜳戹㈶慦㘸㘹ㄲ扤ㄳㄵ㝢㕢㡡㡦㜸㤵㝡㌰攳戹愱敦搵㕡㙢愶慡㙢㈶㈴㑤昵㠴㔷㤵昹㝣㑥〹〵〸摣扥㍥㈱㜲户㜴攷〵㠵㠸ㄴ㡡挹挸㔷戵㤲摤挴㈹慣づ慢愸㐹搲愴㜶挳㈶㠳㜱扥㑡挶㘴㜰㘰㙡㑤搴ㅦ㝣改ㅢ㌷ㄹ戶㠱戹㔷戶戱愶㡤挶慢扦㝢㑤扡攱㌱搳慤搶愴㥦愹晤〴㘷㘴っ〳攸㤷㈰㄰扡敥ㅥ㔵㥤戸㈸搶昵ぢ㜶㌵㕣㈹慣㐸晢摣㑡㠸㌲㘸挸㘲㤱㕢摢㤱㡣换㔰㘴散㈶ㄸ〵㈸㤵㜲㠵㍤㙣㔴㈸㈱攵㜴㑡愷っ㕥㙥ㄱ攴散搷挲换㠳搶ㄱ扢ㄶ捡㐸㈸て㕢挰㐸愴搵ㄴ晡㠶㐸愲扥㔹㠹ㄴ挶ㅥ㙢〶㔴㙡摡㙥戸摥攴摢づ㉥㠹㠸㘸㐷ㄶ㙣㍢㔹㐰㔱搰㉡て㌲㜸つ㐴搳㈶つ戲ㅢ愷㠸㠸㙣㤰愱搹㌱㜲㉢㤱戱㝤㠶㡣㐰晢㌴ㄱ戲昵晥敥㌲㠲挴摥㐹愴散搴㤵ㅦ㜷愴搹㐶戶㝣㈴捤㉥挷挶ㄹ㔷㄰㕣㐹㜰ㄵ挱㕥〰昱㈷㐸㌸㑡㌹攴㕢㤳昱ㅡ㍣ㅢ搷㄰扣ㄶ〰昲挹愰捣㠹㐵ㄵ㙤愸慤搸㤱㙣㌷〴㍢㔹ㄹ挵㤱㈸愲㘵摣戰㌳㠷ㅣ㠵攸搸敡摣ㅥ扡㌶慦㜴散ㅢ扡搳㘶㝡㌹愴挸㡣愶改戵㙥搲㌴扤ㄱ㙣摡愳摥扡づ㕤㡤㌱㠲搷〱㤴㡣搷ㄳ㐲戹搰攰摤㥡㐵㑦㤳昲㔵㘱ㄶ㐵挶㔰㡦ち㍥㈶㘴ㅥ〱㌲㠴㕣挷昱㘵挷㠶愶㌹㌸㙥扤敡㙤攸㝤摤昹㍢㐶㝡㥢摥摣搱㍢昴ㄷ扤㐸㉢晡㝡戰㤷昸㕤㔷ㅤ㜳㈳慡㡤㌷㄰摣〴搰愶㘳㜸晡㝥戱㥥〲㘵ㄶ㍢㈹捣敤愶搷㐵㔹戹㑢敢慢㔲㘹愰㐱㙢挹昴捦挹㄰ㅥ㡣攳戳戰㠵㍤摦㤷㌵ㅣ㙡慢慡㠰攷㤷㉢㕢ぢ㠳㈳扥攷戰㝣挷㐶づ㕥ㄵ㡡㈱㥦搷晡㜲㙤㌶㜲㠶慤㤹昲㌹愵㈸㠷㍡昸戶敥㐲㈲搵愹㤵扣搸㉦晢㝣戹㈳㐹㝡㤰㈴㌷㘳㕢㡤㕢〰㈰㈵挴慦扢㑡㤴㝤㙣昶㈶搵慣搵㘲愵㠷㉦攳㜴搲收㐳散㤰㈳〳㤱挳㜶ㅡ晥㠳㘰挸㔹戴㥤㠶戰ㄸ㜰ㄶ愴㕦㠱㙦挱慥挹㔲攴㤶愵愸搹㤱ㄵ慦ㄲ㔹搱搷搷㜱㥥捥昰慦㈹㍡㘹㤳ㄲ㤹摣㥥㔹㤹㜱ㄶ㙦ㄲㄵ摤㤰ㄴ㉡ㄹ慥愱㠶〴㈲攵戱敤㡥㠸改㐱挴摣㡡㡤㌳昶ㄳ㑣ㄲㅣ〰搰㥦㠷愴搹敡挶㌳ㅣ搶扦㐶㤷㜶戹㥣㉢ㄲつ捡㐵昸㕣㔷㘱㜵㤰慦㜹㌳挱ㅤ〰㙤收てㅤ㤰ㄹ㠴愸㔰㥥㈲㐴ㄵ挶戰捥搸昲〲㘹㘰㤷㠵挰搲㑣㍤〸㍤㠷㤱愵㈱㙢搶㍢改㠵戳㜶戰㡡㐸搴愸ㄵ㘷敥㕢㤱㉥愸换㠷敤搳㔶收慤慥捡慡㘱㉤㝡㜵㠸戶攳戳摢攱㘰㡥敤㠰㉤愹捥收㥡㐰敡敤㝣㡣㈱〴㜶㕡昹㕢改㡤摤㤲昷㥢㠷扥攱收㡥㉥搹㘱㑤づ㔸ㄱ搳㌱㕦戴戰㡢㠸ㅣ㔴晢慤愵ㄵ㕦捡搹㈱敢愸㙦㔷㙢戶㉢㠹っ搸㤸っ搶捤挹㜳㠸ㄲ㉣㜸㡣〱㝡敥㤰戵攴㥢㙥戰㙡㌲愰戸扥扢攵㐹㠵㐵㜴㙢摡㜶〳扣㐶㘱㤱昹㘱㙢㜱挵扢㠰㠸㙤摤㜱㡦㥡慢挱戶挰ち㠹㍥㑡ち㌵㐲ㄳ㥡㈶㡡㕡戱㔷晣昰㐰㥥换㤱昷昲〴ち㔷㌹㥤㍥昳っ敤㑤扢㍥㡥搱搰㑥攷㥣〶ㄱ㍤㙡ㄴ昶㘵㑡㘱㜲慡㜱㈷晢摣〵㜰捦搱搳挷㥢㤱戹㤷ㄴ戳搶改攵捦㤰昱㡡㉣ㅡ㠱㄰晡攸㜶㐵愴挲㌲㔲づ㌸㄰ㄸ攷㔳㍢昹㤵㉣搵㠶搴户慢㤹㍤㠲㐸搲愰㌵㘷㉥换ㅡ攲搱㡥ㄹ敥㡡ㅥ㘸挶㍡㘶㉤㠸敢㘶㍣挷㌱㐹㕡㈴换挵㡡㐹ち㥥慡㠷摥〹摢㌵㉣〰㐵㝦㜱㤱㜹ㄱ㐵收㐵㔵㌴㘸㥤㘲㘸㔰攵㌹㤶㜷捥昴敤㜰挵戱㉢㐵㍥㌰㝣户㉤㘸ㄲ㑣㑥挹㥢愴㐴㘶㡣戵㔹昳愷㘱戲〵ㄳ㐰昷〴攴㈸户㡥攸〷攵㙡愲㠰㝦愲㐷挷ㄲ〴㡣昲㤴ㅡ㙦挳㘸扡扡ㅤ〱㤱愳搲愵攴づ挶愵㠷㔱ㄲ〹㈱㘲㍤㠳㐴攰ㄵ㑣〹㜹扡戸ぢ搶㘹搷づ㠱㍤㘲散㠸ㅤ捥〶㐰㌹〰戲敡㜸㝢戵挲㙡慡搳㜸㐳㉢㕣搷㔹搵愲㈶慥敤慣㑦敢㡤ㅢ㌶愸㡥㌴㑡㑡㤱㙣搶㐸㘹㤶つ收戸㥤㔴㡤㔰㡡㍢搱㌶㈲换㙤摡摣㜷㑡㤱㤷愰㤸ㄴ捤攴㡣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摢㘱昱㠵㈷㤸扥㜱㌸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ㄴ㐷㜷㉦㍤慣ㅥ㜳㤷㠰ち㠵〱挱ㄸ㉦㑦㐱㌹散㉡ㄸ㠹〶户搶戴扡〵愳扦戴扣㡤㈹〰挱㌰㌰つ㕡戴㡣っ㥣ㄹ攴㌷㌷㜰慥㐳慢㡣〸㘹㍡㤸捡ㄸ攵㈸ㅣ昶㐰ㅡ戸㠹〷改㈵て㑡㈸摣愳㉥㠶㈵㜷ㄳ挷ㅤㅣ㠱㍣晦㡡戶挲〵㌳挴昵ㄷ㜷㙦㕢昱㔴戵㑡㜳ㄷ晥戹㙤㠱㔵㕣摤㠸捣搱㍤㙤㤷戲搴㥡㘸摦㕤摦㔶ㄱ㕦ㄶ㍣㌰㍢㜱捣っ㉢㉢㡢攱㝡㜴㜱慢㔷㤲搰㥦㠵㍦㘲挳户搳㘶捥扢扣㠸扡挶扤㉦㥤㜷扤ぢ慥㥡㤷ㅥ昰搶ㅦ㈸〴㔷㈸晢㌹挹㔲敥摦昸愷㤲㤶搳㝦㠸ㄱ户㌲㙤づ搰㜴㤰㜰ㅣ㤵㈲㘹㌰㠶㝣〶㥤挰㜶㙦摣ㅡ㈰㥤散㘹愳ㄳ㈵〸㜶〸挵㍤昷戲ㄱ㡡昸〱搰㑡㘲㠹㡥攴搸昳慦㠳昵挵昷㔱㐲㠴攳㌹ㄶ㈳晡敢㤰换㐰㥤ㄲ攴昱ㄵて㕥〸昹晦挱㔲挲捤ㅢ戲搳㝦㠱㤹挵㌳敤㈸扡㤶㈸晡㕥〷㡡〴慦㠱㈸晥扤〷㤹㈴改っ捦扥愸㐰㌸搷戴㜳〰㝤挵㉦晣晥てて愰㜳㌱㜱㈸ㅢつ愱戶ㅢ昱摣㌰ㄱ晡㍡㑣〴〶敦㤵㠹㜰〲ㄹ挱㈸㝥㘴㈲挴㍥㤰㜹ㄴ㙣㙥㈲㌰戶㤷㘱〸愶㐲慤㈹户〶㑦㘰㔷㌸昴㡦ㅤ挳挵㕢ㄹ㈰㥥て愵ㄵ捣挰㈳㜵㘵㘷昱㠲改㥢捥㕥㔵㝥搴㤷㔰㘶晥ㄲ㙥㜲慢㉥散㜱昵㠶㌵慡搳〶扥㡡挴换扥攳㑦搹摡晤㜵㘰㉡㑡㤱晢㕥ㄴ㐵攱㈵㜸㑡〴捦つ戹昷敦昹搶搱摦㍦昸攸㘱摥㔶㡢㘹㔵扦〵昹㕥㐲昶戴㈷㄰搴㑤㕤ㄴ戹㥣ㅦ收㥣挰㈷㑡昶㙡㑤㑥㥢扥戲㠲〲挳㐹戲ㄱ攱愵〸㌳㈲扥敤㘰㘲攲摥㐳㘴㘲㑥戴戹㍢搵㠷㑤捡㐵㌸㤱㥡戸昲改㈵㘱㐳搱㔵㤱昵㘸㙤敡摦㠱㉡㝡㤱ㄳ㘹戵ㄲ㜹敡㘴ㄲ攲摢敤扡敥㈰㜵㕤㜴㤰㘱搸㍦㤱㔲㠸㍦㤰㐲搲〷ㄹ㕥〸㔰㔲敡ㄴ㌲晡慤〰ㄹ㤱戵昶㄰㉦晤〱㍢㐲㐰㌶㉥晤昵昸ㄱぢ㜶ㄱ㔸㑣㝣昱扤㥥㘸㘹㡢㈶慡㠹愱㕡㘵搳㉣㈲愳づ㉦㉣㤸㑣㑡㤷㤰㐹㤲㝥〰戹㉤扢愳昸㤲㈱㈷ち扣㐵㡣慤㍢昴戵㤵㥣扢摤㍡㙥㝥㐰捦ㄴ㤴挲㜰㜷戳ㄸ〷㔲ㄵ愳㡢㥡㤶愲㈲挲攱㈸摢攸㌴㄰㔷㐱㘷戹㝢㜱㉡㐵昰㡦㕦ち戱㝥扣㌹昴攵敤㌵搴㜱㙥㍦ㄶ挸ㅦ散慦㙢㌳ㄸㅢ㙦㈵挷㐰挲㙥愹㔵㌱扡ㅥ㝥ㅡ㕤戸攸㥣㌰㥡㔹昵㉣づ攲㑦挲㔹㝤㕡㠷晥㘷昴㕡㜱搶ㄹ昶㘶ㄸ扢㐵晦扦ぢ〵㥢敡㝦挱搸㥢㐲攴扢攳っㅦ㜴挶㑦㌶つ搹㜰㐷攰搹㐶昰㐶ㅤ㡣つ㤵㘵挸㍢捡㉤攲攳搵愸㕡㐹㜰昸扤昲敤㔷㈳ㅡ㝤㘹摢づ㜴ㄵ㠰㡣つ改㕦㠷〸敡摡扦㔵㙥㈵愷摢挲㝢搰㜱捦〹扢攲㝢㠱㘷㠵㘳㡢〸晡㡥昱摢㌳ぢ㌶捦㤴昸㕡扢㔰扢ㅥ㍢㌱昸㍥昴㌹㌹て㠱㝤㔲㠶㉦㔷㉣㤲㤱㠵慤㐵㌲昸ㅤ搲㐸㉡扣㐴敤㄰㕣㘶摤㕢㌷㙢昸㜴㜵ㅥ扥捥㤰㐵摢㐲搹㐵ㅥ攷昶ㅢㅡ摣㍡摣搱㝡㈷晣㐱戲㌶㠱攰㤸㕡挲㝢摥挷㝤㙤摦㠳搶戶昱摡〲戶散捤攷㔶搲㥦〲㑥户昶㤶㔶㤲攱㍢昹㐵㜲挹㈸ㄳ攲搲晥㘱晣摤扡㠳㤶愳㡤㠲捥攳て扡改〸ㅢ慦挱㝤戶㠵攸昷㔹㜴ㄵ㔳〴昸ㄹ㘶㥣攱㠳愰㤷㡦慣㈸扥㡣㘵㤱〱㤰捦ㄵ㉡〰摤愹晡挹㡤愸㝡攴ㅥ昶㐴ㄲ㍣㘳㤰ㅣ㑢攲㡢㘸挸敤㡡㤶つ㤶攰戲㠵㍡㑢㈰㙦㈴㍤㤰捦〹㥥㈵搴㐴㍥㡦づ㡤㠹搸㈸敤㍥㤱捦㙤㌴ㄱ㐱㉢㐰㉤㌴㍤晥㐸愲㐵㡣ㅡ慡つ㠷挰㈵昰〰㐶ㄲ㘵㌲㑣昹㐸愱㔳㠸㘲っ摦㈷㡡㤰㝥ㄱ晦㝤攱昰昳捦㌱晤昵戰㔰ㄲㄱ㔵慤慢愰㐴㔴慢㜸㉣扤ちㅦ愵摤㔷昱挹㡤㔶㌱㐲㘱挹㤹ㄸ㈱挰㔰㥦㈸攳㡦㕡㔵ㅤㄹ㙥㈸㝦攲㉣〱㝥㉤戳ㄸ㌱㔱愲晡㕥㐰〶㝤戹昳慡搵㐵㘴㤲扥㍡㌷㈲攳㉢ㅦ㘵㈸昱㐶㈴㥤㍡㠵挸㉢㕢㠸搴㘳搱㠹摤戱摢㐲㐸㘰㐹晣㙣戶慢㙣㉦昴ㄸ敡ㄷㅦ㐹㄰㜳散㔸昲〹㤵ㄶ〷㥦㐰ㄸ㤱㘹㑡㐲攲㐶㡡て㈷㡤扦晢㜴搳㜷㡡ち㈴㔰㑦搴㤸〴愷ㅡ㝦㈸㘹㝣〰㥦㘷愹㌶㌹㕥㈵㘰㝡㈱㘹㑣挲㔴㡤ㅦ㑤ㅡ晦攵挰摥㐶攳㠴づ愳㤱㜵ㄲ㐹㠶搱慢㡥〱愹㑦戵㠷搱㕣户愸㐸〷慣愸㤸㈲㔴挵㤰㙢㑡㤵づ攲㔶㠸㡦㡦愵攷㜰挹〹㜷㐱㈰㙤愳晦㘷挲㜱㕣㝥㥡㌵㐳ㄳ摦㐲慦㈱敡散ㅢ敡㠹㥤ぢ搶扣㡦㠲㝥敢㜸㠰挳㔵㜵㕢㤱〸散㠲㝣戴扦㥢㜸攷㌳㙣挸收㝥㈴搱㌲㡤㤷㐹㝡搳㈲㉡挲㤲ㄷㅦ㐸㌰㥢㝢愴㐹㌳挶挳㐰づ挴㈴㈰㌳挶㈳㠰㔱㐴㘶てぢ㐶挸晦㡡戹㍦挰㡡てㄲ㍣ち㔰ㄲ㘴㜶搲㐱攱㐳〰挳挹晦戱㘲㙣㑤㌹㑥㌴昱㘰昲戲㌴ㄹㄹㅦ㘱㠷㡦〲昴挱㡦㉢㘲㈲㉣ㄹㅦ㐳㐹晡愵ㄴㅣ敡愵ㅦ㘷挵㈷〸㍥〹㔰搲㌹搹㉤敦ㅡ搷搴愳ち晢ㄴ扡㡡㐷〸昰㌳ㅥ㡢㌳㝣搰戹て㙦敤㙥㌴昳㑣㥣㝣攱㡦㤸㘷换愷晣㜷攳搳晣㜵㉥扡て晦㘷ㄲ㕤㔹昸㜹敤慥摥挶㈲ㄳ搰㌸㔷扦㔵㙣昶㑢ㄸ㠷敢㙡㠶㔲㌸㈲㤵㑡㔱㉢〸攲㥢ぢㄶㅥ摥挰户ㅣ㔲ㄵ㐲㤰〶㔴㠵ㅢ㔷ㅣ㐶㠱昱㘹㌶㈵㡥㠹㈷攳㌳㝣㈲㙡搵㈶㝥㌶捥昰㐱㄰慦慡晢晤㜱昷攴㠵挴戵慡戰摢㕥㐸晣慢㡡㤵昴ぢ㥦攰㘰ち㔹挸戴㙡㈵㈲㑤搱搰ㄷ㤱ㄹ敡ㅢ收摣敥挳㑦扢㈸㉡㘷慢㘷捦晥㜳㌸㍦㜶㜵晥㕤敦ㄸ㝣攲㠵㥦晤攱昱㕦扤昷搰㥦晦昵攴㤳扦晡攳攳捦晤敢搹攵㐳㍦㜹敡愹ㅦ摦昳㤵攷晥戰摢晡慡昶昴㍦攷扥晡搰攴昹㠷ㅥ戰㑥摦㜲昴愱㜷摦㝦敦攴挲㘵攳㝤㝤晤晤㌷㡤晥昴慡㌷㡥㍣昲挰㌳攲㐷扦扤搲ㄵ㙡戹㜸㐱敢㌴戸㙣㌵㡤㉦㈱㠳㘹㜰挶慦攸㌴戸㕣戵㔱换昱㐶㑤愳愰〸攷〶㈷愰㉡捣搶㡡㠱晦〰搰戲戴㡦</t>
  </si>
  <si>
    <t>Decisioneering:7.0.0.0</t>
  </si>
  <si>
    <t>3a83cbd3-47fa-4476-bdcc-0b25b679317f</t>
  </si>
  <si>
    <t>CB_Block_7.0.0.0:1</t>
  </si>
  <si>
    <t>㜸〱敤㕣㕢㙣ㅣ㔷ㄹ摥㌳摥㔹敦慣敤搸㡤搳戴㈹愵㌵㤴戶㔰〷㌷㑥ㅢ摡〲㈱昸搲㕣㡡ㄳ扢戱㤳㠲戸㙣挶扢㘷攲㘹㜶㘶摣㤹㔹㈷㉥㤵ㅡ㐱换㐵摣㈴㙥愲㔰㉥慡㔰㈵㕥㠰ち愹㕣㕦㤰㤰㐰㔰㈴ㅥ攰〱㠹㠷㠲㄰㍣㜰㔱㈴㕥㜸㐰㠲敦㍢㌳戳㍢扢敢ㅤ扢摢ㄶ㕣攴㤳敥敦㌳攷㌶攷㥣晦㝡晥晦㑣㜳㈲㤷换晤ㅢ㠹㝦㤹昲捣㕣扦戸ㅥ㠴搲㤹㤸昱㙡㌵㔹〹㙤捦つ㈶愶㝣摦㕣㥦戳㠳戰てつち㘵ㅢ昵㠱㕥づ散㠷㘵戱扣㈶晤〰㡤昴㕣慥㔸㌴㌴搴㜳㄰晥㐶㤲〷㠳扤〶昳〰㑢㌳搳昳换て㘲搴挵搰昳攵晥戱戳㔱摦挳㤳㤳ㄳ㤳ㄳ㜷ㅥ㥡㍣㌸㜱㘰晦搸㑣扤ㄶ搶㝤㜹搸㤵昵搰㌷㙢晢挷ㄶ敡换㌵扢昲づ戹扥攴㕤㤰敥㘱戹㝣攰㡥㘵昳捥扢㈷敦㍣㜴挸扡攷㥥扢〷昱敡摣愹㤹改〵㕦㕡挱㑢㌴愶捥㈹摦㌹㉢㉢㌶搷㈶愵㙦扢攷㈷㘶愶昱㕦㙡晥㜸扡㙢㘲㜱㐵捡㤰慦㤶扥㜴㉢㌲㌰搰㜱挰㤹ち㠲扡戳捡捤㌳㥣愳㔸㙡挵っ㐲摤㤹㤱戵㥡攱㈴愳ㄶ㥤㜹散㕤捤㕣ㅦ㜴ㄶ愵ㅢ搸愱扤㘶㠷敢〵㘷〹〳㔵㠷㥣㌳㠱㍣㙤扡攷攵㈹搳㤱扡㜳慣㙥㔷昳㔱捡昵摤㥡っ㤱㥥㤸㕡晥挴㔴攰捣慣㤸扥㥡㔱挰㡤挹㘸㝢搴慦戴戶扤愹晢戸㥣扡㝡〳挷扣戹㝢㍢搴㥣㌵晤㐶换昱敥㉤攳挵户捥攰昶敥敤㔳㝢搴摡攷つ摤晢愸慤㙣㙤㉤〶㘲晡㔶㍢㡡挵ㄸ〵㠲㝥㠲㈲〱ㄱ㘸㤴〸〶〸〶〱㐴晥ㅦ攰㤲㜴㐷㔶㘹㘵㔳㉢㉦㙢攵㡡㔶慥㙡㘵愹㤵㉤慤㝣㕥㉢慦㘸㘵㕢㉢㍦愸㤵㉦愰㑤㤲㡡晤晤㕡㥣摥㜲户晤攴㔳㝢摦㝡昲㍢㤷晦ㄶ扣慦昸㡢㘷〶㜷愱搱晤昱愴㘶㝤昳㈲㐸慤㐹挵攰〸晥摢㥣㉢挰ㄴ搶㈱敢㉥㙢㜲戲㝡攸㠰㜹㠷愹㜳㔹ㄹ挸㙦㈱㤴ㄱ戴ㅤ戴ㅥ戰摤慡㜷㔱攱敥晡㘹㌳㤰捤㡤ㅢ㡦敢愶扤扡㕢つ㕥戵㜱攵㘲㘸㠶昲扡昶扡收㈰ㅤ摤ㄶ挱㔶㌲㔰敦扢愱扤摢㔹戳㔶㤷㔳㤷散愸晡搵㙤搵捥㠲敦㉤㜷慦㍤敡换㠷ㅡ戵ㅤ㌳㥡㠲㔰㕢㔳㘳㜷慣㌲慡㡡收㌵㌶戳攲〵搲㔵搳ㅢ㜷ㄶ散捡〵改㉦㑡㡡㐴㔹㔵㑢扤㥡㔵㌱搷㡦捦扢㔸㈸戸戵晡摡㜴愹㜵敦愵㄰捣㉣慢㤸敦慡昴挳昵㈵㜳戹㈶昷戶㌴㠹摥㠹㡡㝤㉤挵㐷扤㑡㍤㤸昱摣搰昷㙡慤㌵㔳搵㌵ㄳ㤲愶㝡搲慢捡㝣㍥愷㠴〲〴㙥㕦㥦㄰戹摢扡昳㠲㐲㐴ち挵㘴攴㙢㕢挹㙥攲㌴㔶㠷㔵搴㈴㘹㔲㝢摤㈶㠳㜱扥㑡挶㘴㜰㘰㙡㑤搴ㅦ㝣改敢㌷ㄹ戶㠱戹㤷户戱愶㡤挶慢扦㜷㑤扡攱㜱搳慤搶愴㥦愹晤〴㘷㘴っ〳攸㔷㈰㄰扡敥ㅥ㔵㥤戸㈴搶昵㡢㜶㌵㕣㈹慣㐸晢晣㑡㠸㌲㘸挸㘲㤱㕢摢㤱㡣慢㔰㘴散㈶ㄸ〵㈸㤵㜲㠵㍤㙣㔴㈸㈱攵㜴㑡愷っ㕥㙥ㄱ攴散搷挲换㠳搶㔱扢ㄶ捡㐸㈸て㕢挰㐸愴搵ㄴ晡㠶㐸愲扥㔹㠹ㄴ挶ㅥ㙢〶㔴㙡摡㙥戸摥攴摢づ㉥㠹㠸㘸㐷ㄶ㙣㍢㔹㐰㔱搰㉡て㌲㜸つ㐴搳㈶つ戲ㅢ愷㠸㠸㙣㤰愱搹㌱㜲㉢㤱戱㝤㠶㡣㐰晢㌴ㄱ戲昵㠱敥㌲㠲挴摥㐹愴散搴㤵ㅦ㜷愴搹㐶戶㝣㈴捤慥挶挶ㄹ㝢〹慥㈱戸㤶㘰ㅦ㠰昸ㄳ㈴ㅣ愵ㅣ昲慤挹㜸ㄵ㥥㡤敢〹㕥つ〰昹㘴㔰收挴愲㡡㌶搴㔶散㐸戶ㅢ㠲㥤慣㡣攲㐸ㄴ搱㌲㙥搸㤹㐳㡥㐲㜴㙣㜵㙥て㕤㥢㔷㍡昶㤶敥戴㤹㕥づ㈹㌲愳㘹㝡慤㥢㌴㑤㙦〴㥢昶愸户㙥㐴㔷㘳㡣攰㌵〰㈵攳戵㠴㔰㉥㌴㜸户㘶搱搳愴㝣㐵㤸㐵㤱㌱搴愳㠲㡦〹㤹㐷㠰っ㈱搷㜱㝣搹戱愱㘹づ㡥㕢慦㜸ㅢ㝡㝦㜷晥㡥㤱摥愶㌷㜷昴づ晤㐵㉦搰㡡扥〹散㈵㝥搷㔵挷摣㡣㙡攳ㄶ㠲㕢〱摡㜴っ㑦摦㉦搴㔳愰捣㘲㈷㠵戹摤昴扡㈸㉢㜷㘹㝤㔵㉡つ㌴㘸㉤㤹晥㜹ㄹ挲㠳㜱㘲ㄶ戶戰攷晢戲㠶㐳㙤㔵ㄵ昰晣㜲㑤㙢㘱㜰搴昷ㅣ㤶敦搸挸挱㉢㐲㌱攴昳㕡㕦慥捤㐶捥戰㌵㔳㍥愷ㄴ攵㔰〷摦搱㕤㐸愴㍡戵㤲ㄷ晢㘵㥦㉦㜷㈴㐹て㤲攴つ搸㔶攳㌶〰㐸〹昱㥢慥ㄲ㘵㍦㥢扤㔱㌵㙢戵㔸改攱换㌸㥤戴昹㄰㍢攴挸㐰攴戰㥤㠶晦㈰ㄸ㜲ㄶ㙤愷㈱㉣〶㥣〵改㔷攰㕢戰㙢戲ㄴ戹㘵㈹㙡㜶㘴挵㉢㐴㔶昴昵㜵㥣愷㌳晣㙢㡡㑥摡愴㐴㈶户㘷㔶㘶㥣挵㥢㐴㐵㌷㈴㠵㑡㠶㙢愸㈱㠱㐸㜹㙣扢㈳㘲㝡㄰㌱户㘳攳㡣〳〴㤳〴〷〱昴㕦㐲搲㙣㜵攳ㄹづ敢㕦愳㑢扢㕣捥ㄵ㠹〶攵㈲㝣慥慢戰㍡挴搷扣㠹攰㉥㠰㌶昳㠷づ挸っ㐲㔴㈸㑦ㄱ愲ち㘳㔸㘷㙤㜹㤱㌴戰换㐲㘰㘹愶ㅥ㠴㥥挳挸搲㤰㌵敢㥤昲挲㔹㍢㔸㐵㈴㙡搴㡡㌳て慣㐸ㄷ搴攵挳昶㘹㉢昳㔶㔷㘵搵戰ㄶ扤㍡㐴摢㠹搹敤㜰㌰挷㜶挰㤶㔴㘷㜳㑤㈰昵㜶㍥挶㄰〲㍢慤晣慤昴挶㙥挹晢捤㐳摦㜰㜳㐷㤷散戰㈶〷慣㠸改㤸㉦㕡搸㐵㐴づ慡晤搶搲㡡㉦攵散㤰㜵捣户慢㌵摢㤵㐴〶㙣㑣〶敢收攴㜹㐴〹ㄶ㍣挶〰㍤㜷挸㕡昲㑤㌷㔸㌵ㄹ㔰㕣摦摤昲愴挲㈲扡㌵㙤扢〱㕥愳戰挸晣戰戵戸攲㕤㐴挴戶敥戸挷捣搵㘰㕢㘰㠵㐴ㅦ㈵㠵ㅡ愱〹㑤ㄳ㐵慤搸㉢㝥㜸㈰捦攵挸㝢㜹〲㠵慢㥣㑥㥦㜹㠶昶愶㕤ㅦ挷㘸㘸愷㜳㑥㠳㠸ㅥ㌵ち晢㌲愵㌰㌹搵戸㠷㝤摥っ㜰摦戱㌳㈷㥡㤱戹ㄷㄵ戳搶改攵捦㤰昱㡡㉣ㅡ㠱㄰晡攸㜶㐵愴挲㌲㔲づ㌸㄰ㄸ攷㔳㍢昹㤵㉣搵㠶搴户慢㤹㍤㡡㐸搲愰㌵㘷㉥换ㅡ攲搱㡥ㄹ敥㡡ㅥ㘸挶㍡㘶㉤㠸敢㘶㍣挷㌱㐹㕡㈴换挵㡡㐹ち㥥慡㠷摥㐹摢㌵㉣〰㐵㝦㜱㤱㜹〹㐵收㈵㔵㌴㘸㥤㘶㘸㔰攵㌹㤶㜷摥昴敤㜰挵戱㉢㐵㍥㌰㝣户㉤㘸ㄲ㑣㑥挹㥢愴㐴㘶㡣戵㔹昳㘷㘰戲〵ㄳ㐰昷〴攴㈸户㡥攸〷攵㙡愲㠰㝦愲㐷挷ㄲ〴㡣昲㤴ㅡ㙦挵㘸扡扡ㅤ〱㤱愳搲㤵攴づ挶㤵㐷㔱ㄲ〹㈱㘲㍤㠳㐴攰ㄵ㑣〹㜹扡戸ぢ搶ㄹ搷づ㠱㍤㘲散愸ㅤ捥〶㐰㌹〰戲敡㜸㝢㥤挲㙡慡搳㜸㐳㉢摣搸㔹搵愲㈶㙥攸慣㑦敢㡤搷㙤㔰ㅤ㘹㤴㤴㈲搹慣㤱搲㉣ㅢ捣㜱㍢愹ㅡ愱ㄴ㜷愲㙤㐴㤶摢戴戹敦㤴㈲㉦㐲㌱㈹㥡挹ㄹ㙦㔳㠴㠲㐰㙦慣愳攸戳捦㈶㡦㔴挴㠶㌶㐰㠹㝡㉡㉡ㅢ㡡㐳㠲㈷㜰敤愴㉡㑢昱ㄳ昸㝢㔷㥣㥤慦㠷㉤㌵收愵搱戸㘶慡㔶㥢㜷㘱㈵㔴㑣扦扡㑤㔸ㅡ㙢㡢㌴㡣攲捥㕥戵㝦戴扤㈹㐶㡣搹㤰㘱㤱っ㍦㌰搸㄰捣㤵㡡愸搲㍡ㅢ攲㔶㌷㡡㡢㝣㍡㈹㑤㔷㘱㘰㌱慣捥捡㌵㘵㠶㌵㉤昹㔱搵愱㜱㕡㔴㜲搴戰愶㤶〳愸昴㤰㜲㍣捥㈹〶㌷慣搳㜴㑢攱ㄲ〳挴㙥㥣㕢愸㠴〸敤㌶〶攰挹㘰晢㘰〷㍢ㄲ㠵㑥㘸㥤㔱㠲ㄶ㌲〸户㜵ㄱ攴㥤ㅥ㌱ち㐱㙡愹昴昷㈳攲㡢㑦㌰㝤攳㐸㉥挹挴㑣挴㜰㔷㠶昵〰攴愶㈳㤳攴愲搱㈴㘰ㅥ㐹㌶㈵戴〶㤳㌲㥡ㄸ㐳㌴昹晣㄰户㜸ㄸ换ㅡ㈶摢搴㜰捦㉤戴愱㑤㙢敢扢慣ㄳ㙥愵㔶慦㑡愵㡡ㄳ㔹慤㌴昲戶挰㤷扡〲ㄸ㜱㔳挶扥挴㥢㜲〲㐷㈹㉥㤹㐸敡摤敥㌶㡥愰扢ㄲ㜲ㄸ㈳㔲㝤っ㐰㘶戸攵㔴㐰慣攳㥥〲敤挳摤捤ぢっ敡昲ㅣ㐴㕡㐷ㄱ㘵搹ㅣ敥攳㌵愲挸㡡摢㔲捤收扣㌹㡦㌶㝢慡攸戸ㅤㄵ㙤ぢㅣ㘱㥤㤱挰㉢ㄴ㘰㡣昴挸ㅤㅣ㈴㜷㈵㡥敥㕥㜹㔴㍤收慥〰ㄵち〳㠲㌱㕥㥥㠲㜲搸㔵㌰ㄲつ㙥慤㘹㜵ぢ㐶㝦㘹㜹ㅢ㔳〰㠲㘱㘰ㅡ戴㘸ㄹㄹ㌸㌳挸㙦㙥攰摣㠸㔶ㄹㄱ搲㜴㌰㤵㌱捡㔱㌸散㠱㌴㜰ㄳて搲㑢ㅥ㤴㔰戸㐷㕤っ㑢敥㈶㡥㍢㌸〲㜹晥摥戶挲〵㌳挴昵ㄷ㜷㕦㕢昱㔴戵㑡㜳ㄷ晥戹㙤㠱㔵㕣摤㠸捣搱㍤㙤㤷戲搴㥡㘸摦摤搴㔶ㄱ㕦ㄶ㍣㌸㍢㜱摣っ㉢㉢㡢攱㝡㜴㜱慢㔷㤲搰㝦〴㝦挴㠶㙦愷捤㥣㜷㜹ㄱ㜵㡤㝢㕦扡攰㝡ㄷ㕤㌵㉦㍤攰慤㍦㔰〸慥㔰昶㜳㤲愵摣扦昱㑦㈵㉤愷晦㄰㈳㙥㘵摡ㅣ愰改㈰攱㌸㉡㐵搲㘰っ昹っ㍡㠱敤摥戸㌵㐰㍡搹搳㐶㈷㑡㄰散㄰㡡㝢晥㈵㈳ㄴ昱〳愰㤵挴ㄲㅤ挹戱攷㑦㠳昵挵昷㔱㐲㠴攳㌹ㄶ㈳晡㙢㤰换㐰㥤ㄲ攴昱ㄵて㕥〸昹晦挱㔲挲捤ㅢ戲搳㝦㠱㤹挵昷摡㔱㜴〳㔱昴摤づㄴ〹㕥〳㔱晣㝢ㅦ㌲㐹搲ㄹ㥥㝤㐱㠱㜰慥㘹攷〰晡戲㕦昸晤ㅦㅥ㐰攷㘲攲㔰㌶ㅡ㐲㙤㌷攳戹㘱㈲昴㜵㤸〸っ摥㉢ㄳ攱㈴㌲㠲㔱晣挸㐴㠸㝤㈰昳㈸搸摣㐴㘰㙣㉦挳㄰㑣㠵㕡㔳㙥つ㥥挰昶㍡昴㡦ㅤ挷挵㕢ㄹ㈰㥥て愵ㄵ捣挰㈳㜵㑤㘷昱㠲改㥢捥㍥㔵㝥捣㤷㔰㘶晥ㄲ㙥㜲慢㉥散㜱摤㠶㌵慡搳〶扥㡡挴换扥攳㑦搹摡晤㜵㘰㉡㑡㤱晢㕥ㄴ㐵攱㐵㜸㑡〴捦つ戹昷敦昹收戱摦㍦晣搸ㄱ摥㔶㡢㘹㔵扦つ昹㕥㐲昶戴㈷㄰搴㑤㕤ㄴ戹㥡ㅦ收㥣挴㈷㑡昶㙡㑤㑥㥢扥戲㠲〲挳㐹戲ㄱ攱愵〸㌳㈲扥敤㘰㘲攲摥㐳㘴㘲㑥戴戹㍢搵㠷㑤捡㐵㌸㤱㥡戸昲改㈵㘱㐳搱㔵㤱昵㘸㙤敡摦㠶㉡㝡㠱ㄳ㘹戵ㄲ㜹敡㘴ㄲ攲㕢敤扡敥㄰㜵㕤㜴㤰㘱搸㍦㤱㔲㠸㍦㤰㐲搲〷ㄹ㕥〸㔰㔲敡㌴㌲晡敤〰ㄹ㤱戵昶㄰㉦晤〱㍢㐲㐰㌶㉥晤昵昸ㄱぢ㜶ㄱ㔸㑣㝣昱扤㥥㘸㘹㡢㈶慡㠹愱㕡㘵搳㉣㈲愳づ㉦㉣㤸㑣㑡㤷㤰㐹㤲㝥㄰戹㉤扢愳昸㤲㈱㈷ち扣㐵㡣慤㍢昴戵㤵㥣㝢摤㍡㙥㝥㐰捦ㄴ㤴挲㜰㜷戳ㄸ〷㔲ㄵ愳㡢㥡㤶愲㈲挲攱㈸摢攸㌴㄰㔷㐱㘷戹晢㜰㉡㐵昰㡦㕦ち戱㝥扣㌹昴搵敤㌵搴㜱㙥㍦ㄶ挸ㅦ散慦ㅢ㌲ㄸㅢ㙦㈵挷㐰挲㙥愹㔵㌱扡ㅥ㝥〶㕤戸攸㥣㌰㥡㔹昵㉣づ攱㑦挲㔹㝤㕡㠷晥㘷昴㕡㜱搶㔹昶㘶ㄸ扢㐵晦扦ㄳ〵㥢敡㝦挱搸㥢㐲攴扢攲っㅦ㜴挶㑦㌶つ搹㜰㐷攰搹㐶昰㐶ㅤ㡣つ㤵㘵挸㍢捡㉤攲攳搵愸㕡㐹㜰昸扤昲敤㔷㈳ㅡ㝤㘹摢づ㜴ㄵ㠰㡣つ改㑦㐳〴㜵敤摦㉡户㤲搳㙤攱摤攸戸攷愴㕤昱扤挰戳挲戱㐵〴㝤挷昸敤㤹〵㥢㘷㑡㝣扤㕤愸摤㠴㥤ㄸ㝣㉦晡㥣㥡㠷挰㍥㈵挳㤷㉡ㄶ挹挸挲搶㈲ㄹ晣づ㘹㈴ㄵ㕥愲㜶〸慥戲敥慦㥢㌵㝣扡㍡て㕦㘷挸愲㙤愱散㈲㡦㜳晢つつ㙥ㅤ敥㘸扤〳晥㈰㔹㥢㐰㜰㑣㉤攱摤敦攵扥戶敦㐱㙢摢㜸㙤〱㕢昶收㜳㉢改㑦〱愷㕢㝢㑢㉢挹昰㥤晣㈲戹㘴㤴〹㜱㘹晦〸晥㙥摤㐱换搱㐶㐱攷昱〷摤㜴㠴㡤搷攰㍥摢㐲昴晢ㅣ扡㡡㈹〲晣っ㌳捥昰㐱搰换㐷㔶ㄴ㕦挱戲挸〰挸攷ちㄵ㠰敥㔴晤攴㐶㔴㍤㜲ㅦ㝢㈲〹㥥㌱㐸㡥㈵昱㈵㌴攴㜶㐵换〶㑢㜰搹㐲㥤㈵㤰㌷㤲ㅥ挸攷〴捦ㄲ㙡㈲㕦㐰㠷挶㐴㙣㤴㜶㥦挸攷㌷㥡㠸愰ㄵ愰ㄶ㥡ㅥ㝦㈴搱㈲㐶つ搵㠶㐳攰ㄲ㜸〰㈳㠹㌲ㄹ愶㝣愴搰㈹㐴㌱㠶敦ㄳ㐵㐸扦㡡晦㍥㝦攴㤷捦㌱晤昵㠸㔰ㄲㄱ㔵慤慢愰㐴㔴慢昸㔴㝡ㄵ㍥㑡扢慦攲ㄳㅢ慤㘲㠴挲㤲㌳㌱㐲㠰愱㍥㔱挶ㅦ戵慡㍡㌲摣㔰晥挴㌹〲晣㕡㘶㌱㘲愲㐴昵扤㠸っ晡㜲攷㔵慢㑢挸㈴㝤㜵㙥㐴挶㔷㍥捡㔰攲㡤㐸㍡㜵ち㤱㔷戶㄰愹挷愲ㄳ扢㘳户㠵㤰挰㤲昸搹㙣㔷搹㕥攸㌱搴㉦㍥㥣㈰收昸昱攴ㄳ㉡㉤づ㍥㠱㌰㈲搳㤴㠴挴㡤ㄴㅦ㑡ㅡ㍦昳㙣搳㜷㡡ち㈴㔰㑦搴㤸〴愷ㅡ㍦㥥㌴㍥㠸捦戳㔴㥢ㅣ慦ㄲ㌰㍤㥦㌴㈶㘱慡挶㡦㈵㡤晦㜲㜰㕦愳㜱㐲㠷搱挸㍡㠹㈴挳攸㔵挷㠰搴愷摡挳㘸慥㕢㔴愴〳㔶㔴㑣ㄱ慡㘲挸㌵愵㑡〷㜱㉢挴挷挷搲㜳戸攴㠴扢㈰㤰戶搱晦㌳攱〴㉥㍦捤㥡愱㠹㙦愱搷㄰㜵昶つ昵挴捥〵㙢摥㐷㐱扦㜵㈲挰攱慡扡慤㐸〴㜶㐱㍥摡摦㑤扣昳ㄹ㌶㘴㜳㍦㤲㘸㤹挶换㈴扤㘹ㄱㄵ㘱挹㡢て㈴㤸捤㕤㙥搲㡣昱㈸㤰〳㌱〹挸㡣㜱ㄹ㌰㡡挸散㘱挱〸昹㕦㌱昷〷㔸昱㐱㠲挷〰㑡㠲捣㑥㍡㈸㍣づ㌰㥣晣ㅦ㉢挶搶㤴攳㐴ㄳて㈷㉦㑢㤳㤱昱㘱㜶昸〸㐰ㅦ晣戸㈲㈶挲㤲昱㔱㤴愴㕦㑡挱愱㕥晡㌱㔶㝣㥣攰ㄳ〰㈵㥤㤳摤昲慥㜱㑤㍤慡戰㑦愲慢戸㑣㠰㥦昱愹㌸挳〷㥤晢昰㤶敥㐶㌳捦挴挹ㄷ晥㠸㜹戶㝣捡㝦㉦㍥捤㕦攷愲晢昰㝦㈶搱㤵㠵㥦搷摥摣摢㔸㘴〲ㅡ攷敡户㡡捤㝥ㄱ攳㜰㕤捤㔰ち㐷愴㔲㈹㙡〵㐱㝣㜳挱挲挳ㅢ昸㤶挳慡㐲〸搲㠰慡㜰攳㡡㈳㈸㌰㍥挳愶挴㌱昱㘴㝣㤶㑦㐴慤摡挴捦挵ㄹ㍥〸攲㔵㜵㝦㌰敥㥥扣㤰戸㔶ㄵ㜶摢ぢ㠹㝦㔵戱㤲㝥攱ㄳㅣ㑣㈱ぢ㤹㔶慤㐴愴㈹ㅡ晡ㄲ㌲㐳㝤挳㥣摢〳昸㘹㤷㐴攵㕣昵摣戹㝦づ攷挷慥换扦昳敤㠳㑦㍣晦昳㍦㝣晡搷敦㌹晣攷㝦㍤昹攴慦晦昸改攷晥昵愳攵挳㍦㝤敡愹㥦摣昷搵攷晥戰摢晡㥡昶散㍦攷扥昶挸攴㠵㐷ㅥ戲捥摣㜶散㤱㜷㍤㜸晦攴挲㔵攳㝤㝤晤晤户㡥晥散摡搷㡦㕣㝥攸㝢攲挷扦扤挶ㄵ㙡戹㜸㐱敢㌴戸㙣㌵㡤㉦㈳㠳㘹㜰挶㉦敢㌴戸㕣戵㔱换昱㐶㑤愳愰〸攷〶㈷愰㉡捣搶㡡㠱晦〰㈸挱戲捦</t>
  </si>
  <si>
    <t>㜸〱敤㕢㝢㜰㕣㔷㜹摦戳摡㝢戵㘷昵摡搸㑥㙡㥢㤰挸挱挶㘹愴㔱㉤扦攲㄰㔴㕢㡦挸㔶㈲㍦攵〷愱捤㈸㔷扢攷㑡㌷摥摤慢摣㝢㔷㤶㘸愸捤㌳㜴㌲㉤慤ぢ㑣㐳〳㐹㠱㘶㕡㠶㑣晢㐷㈷愴戴戴捤っ㘹㈹㌵㥤㑥换㤴㠶扦㍣㐹愶てㅡ㈰っ慦㤴〶搲摦敦摣扢摡摤扢㉢挹㔶捣㔴㝦㜰ㅣ㝤㝢摥昷㥣敦晢捥昷㍡㈷〹㤱㐸㈴㕥㐷攲㉦㔳㡡㤹ㅢ㈷ㄶ晣㐰ㄵ晢㠶摤㐲㐱攵〲挷㉤昹㝤㠳㥥㘷㉤㡣㍢㝥搰㠲づ收愴㠳㜶摦㤸昴㥤㜷愹昴攴㥣昲㝣㜴㌲ㄲ㠹㜴㕡㈶搱捥㍥晣换㔶ち㤲㈵㤹㈲㐰慦㐴扢〹㜰㜲㜸攸攸搴〳㤸㝦㈲㜰㍤搵摢㝤㍡㥣㘵愰扦扦慦扦㙦昷㥥晥㥤㝤㍢㝡扢㠷换㠵愰散愹㠱㤲㉡〷㥥㔵攸敤㍥㔶㥥㉡㌸戹㝢搴挲㐹昷慣㉡つ愸愹ㅤ扢愶慣摤晢晡㜷敦搹㘳摦㜱挷扥昶㔶捣㝣㘴㜸攸㤸愷㙣晦㕡捤㤹收㥣㐷㠷㠷晡㡥愸攰㕡捤㈹㌱㈷愶ㅣ㜱㡢㤶㔳扡㐶㤳ㅡ挴昲㥥ㄱ㤵㜳㐸づ愵㍣愷㌴摤㠷㘵搷㈱ㅡ愵摢晢〶㝤扦㕣㥣㈵㘵㠷㔵愱㜰㐲搹摣愲㉣㡥昸挱㌱换㉢晡敤㐵攲㑦㜹慡㤴㔳㝥㘷昱慥昹㥣㉡㐴ㅤ晤㜴昱戴攵ㅤ戱㡡㉡挵㑣㔷㌱愴攱㔸㕥㤵〲㈷㔸攸㈸㥥昲搵〹慢㌴慤搸挵㈸ㅥ㉣㍢㜹㤱㑡攱扦㐴换昶㘶㉢搳㠴挲㝡㡡挳㌳㤶ㄷ攸ㄲ㐹搸摦慣㙦つ扢攸㕤搴慤㡢㉣搵ㅤㅢ㐵㥡㑤㌸挵㝢㤴㔷㔲〵㝥㠴摢散㠹㜵搲〸ち改戰㠸愹捡㜶㐸㈵搱ㄶㅤ〷敥㠵㕦㌱㌳〰摢挷摤改㈳慥㔷〴㑦ㅥ㔶㔶㘹㘰攷捥摥㠹㈰㍦愲收〶㜶昶敤散ㅤ㜷㜳ㄶ戱㍢戰㐳戶愱戳㙣攷戰づ㠰攴愱扤戲㤳㌵㕤〰㈲昵ち㡥㕥敤昴散㥣㥣戴㤲㤳㔳挹挹㕣㜲㌲㥦㥣㔴挹㐹㍢㌹㌹㥤㥣㥣㐹㑥㍡挹挹〷㤲㤳㘷搱愷㤲搲慤慤挹㈸晤昰㐳㠳て晦搱愹敦㡤㍣昵收攷扥昳攴愷㝦昴㝤挱搳㐶㠶㌰慦〳搸㜶慡攴搸㔸㙥敦㘱愷㌴搰扦㙦㐷㤴㝡て㕢昳㔸㝡愵㈸搷愱慢㕣捦㐱ㅢ〰㤲㘳㝢攵昵慣戹〱㐰㠸晦挲㘲戹攰捥户扥昳㤱㘷㜶㕥ㅣ晢搰挳捦晦㘰敡挰攰㉦ㄹ㍣搲扢㥡㘱㌵㑥戰㔱ㅣ昴㥣攵〷ㄱ㉦㤱搰搷㤶搵㔶收戴㔱㉦昷戳攷㌴㝣攴㥡㜰㥡摣㐸散㙦〲㌰㌷〳㕣㝦愴㕣㥣㔲㕥户㙢㜷晢㌸㉤捡敦昶摤㐲㕥扥㠹㥤㙥〴㄰攲挵㠸㐴㉦捦㍥晢攲挳摦晡晢戱扦晡挳昲㔳㌷㍥扦搷㘸扦〹捤挷㈳㍥ㅥ昱慣㜳㤰っ㔵愱〳㐹换㝦㉢㑢㕢〸㕢㝢㡦㝤扢摤摦㥦摦戳挳摡㘵ㄹ攴搷㉢㍤搶㔹昴㙤户捦㌸愵扣㝢㑥㥦昳ㅢ㠷㉣㕦㔵㠹搱ㄳ戵つ戹攵㔲摥㝦㔳昳挶㠹挰ち搴收㜸㕢㜵㤲㠶㘱ㄳ㤰㠲捡搷摦扢㈹㍥散戴㔵㈸慢挱㜹㈷㙣㝥㜳慣ㄹ㌲搰㥤㕡扡㜵搴㔳て㉥戶㌶慣㘸㄰㙡㜳㑥捦摤戰换戰㈹㕣㔷昷昰㡣敢慢㤲㕥㕥㑦昱㤸㤳㍢慢扣〹㐵愵慢昲㝡慢搷戳㈹ㄲ挴㍤㐷㑢搸㈸㐴㙢晥㤶摡㕡晢慥昹㐰㤵昲㉡㡦昵捥㉡㉦㔸㌸㘹㑤ㄵ搴つ㜵㕤挲㙦愲㘱㔳㕤昵愸㥢㉢晢挳㙥㈹昰摣㐲㝤换㘰㝥捥㠲昰捦ㅦ㜶昳ち戲㍢挵㤴㄰㠹㤶ㄶ㈱ㄲ户㌵㍢敡㥣搷敦搳㠴愸㈱㌱㑦昸挶㝡戶敢㍢㠱摤㘱ㄷ〵㐵㥥㑣㙥㕤㘱㌲㍤㉦愷昹挵愵㍢搶散㠹ㄶち㝢摦扡㜴㙦扤挶㐵捡晤㙣㍢㈷㤳敢愳摤摦㌵〷〵㜹挸㉡攵ぢ捡㕢搶扥ㄲ㕣㤱扣ㄹ挰戸㡣搳扣㈴昶㈸摥挵扣㔸㌰捥㌹昹㘰挶㥣㔱捥昴㑣㠰㍡搸㘰改㌴㔱摢㤰攴ㄶ㔴挹㕢〸摥〲㤰挹㈴捣慤散㘴㘶攴戶戰㙣㔰㑦㕤扤敡愵㤵㈷戵慡㠷㕤收ㅢ㐵㠸㜹扦愵愵搹㉥て㔹晥㑣㐰昶㕣戶㤱㑡㔶扥㤵㘰㍢㠰㐱㝤戹愲㘶愷㍥㑤搱㠰改㈸㡥㈸摢㠲搹愸㑦户戰㡣㘲㘸㠹㡣㈸㍦㈷㘹戲㡣攱慣捣㥢挸攱昰户ㄷ挹晤㙡㍥ㄸ戱〲慢戵〸攳〷㔴㤲攸搴愳㐷㠵㌹㡥散搰㜵㤵搱㤹愸㠴ㄹ戲㍡㕢㌳㑢㥢慥〸㘷挲挱挱㜹㐹戴㐴㜰昹㑤㘰敤㔴ㅡ㘶㥣搱敢㡤ㄸ搸㔶昹㠳慡㜴㜲㘱㔶昹散㥥㌶㤷㐵㘵晣㜸㜱戲愳戹愹㔳㠱㔳昰晢戰搲㠳㥥㕢㥥扤愶昳㘰㑤昲㔶㠰㑡㌲扥づ㉥扥昲㍤搱晦㘸㥤㈳㙤㈶㈷挱捡㈸戱㐶搲㜶㤲攴㔶㑣昶㍡㝥㜴㤲扤昸挹㉣搷㘶㤰㉤慥挶攰搳摥㐹ㄱㄸ㍡改㈹㙤挲愶㜵〱搸敥㈸㥥㜱扤戳㔳慥㝢㤶晣搴愹㑢晥㡣㔲〱捤挲戶挸っ搶收慥㄰㉤㉤㜵㐶㕤㡤晤㐸㠳搲摣〱搰㌱㔸㈸㜴㔷㘶昴捤㝥㔴戵挰㐰㌵㜷㈲戳㘱ㄸ㡡戱㝢㜷户㈶㑥昷摥㕤㝤昳〵㝦㕥㝣ㄵ㍢愷昹昵㉦晦昰扥户晤昸攰摣挸ㄷ㉦戵㙤㝢㝡愱晦扣戸ㄴ㌵㌴㔸㠰戴收戴昹戹〷ㄹ昱ㄵ㜴愳㐴㐱扥㍥挹摢㔱㤶晢〸敥〰㠰㕣搰㤸㠶㔸戸㌳㉣ち㕡㠴ㄴつ昲敤〴〳〰㠲㜶愱㌶㘴㝦ㄹ㤹㑡ㄲ捦㘲㝥搲㕢搳㡣㈶㘴㈳捤㠶㔰㥢㤱换戴〹㕡㥢愴㥢㈴㥥㈴㌱㈳㠹ㄵ昱㜹㑣摣ㄴ〱㑦㐷つつ㠶㈹捤愷㘵捣㤳㍡㕢㤰㉢慡㌳㑦摡敤㔱愷㄰㈸㑦㙢愰㉥ㅢ㍦愱㕦愵换ㅤ搴扡㥥㤵ぢ㍤㤶つ昶㌰ㄴ㉦ㅣ戹㘰愱㙡㡡㌴㈸晥㔰㉦晥摣扣㔹㜳收㡤㌶㙥敡㑣㥣㘵捣〷㌰㑤捣挰㔹扥㜳つㄳ㔱戳㌷ㄵ㐶㥡愵晡㌰㜳㍤㤳戱㝦㕣㜲㙡㙦㜵戱㝦㉤ㄳ戲昷㡥愵捤ㅥ㌲㝢㈳㤳㜲搰㤲㈶挶捦つ戴㘶〱戰搰㐰扢〷㠸㤳攳〴㠷〹㡥㄰ㅣ〵㄰㝦ち㘱㐴㌱晢㘱㔸㐵摦㐷挵㤷昰晢愲㤶㠷挷搹攷〴挱〴㐰㡤㤸㍤㠵愲㜹ㅡ愰慢攲㈰㜷㠷㉣㤶㐹〸㍡㝦㕡昴㥥㐱㐶扥㠳愵㝢〱㡥ㅣ㔲〵ㄸ晢搷㉡挴㘵搰㠷㕣摥㍣〱晦㔰㥦摣㔰㥣㔸㈸攵㘶㍣户㠴搰ㅦ慤愶挱ㅣ㘲㐴扥戰捣攲戸㍢㕣づ捣攲㈱〷㍦敤挵ㄳ㙡㔶㔹挱㌰㥣㌹㤸㘴攳㜰晡戵挱㌵㤶㥦晦晦㌴挸ㄲ戴㥡攱㈷㔷㙤㌲ㄱ㍦扤愱㘹ㄴ愱户㙦挴㐵扣㔱改攰㈷搱㙥㥡㌰慥搷愰挵㤵㤰敦挴敡ㅥ晦敥㘷敦摣昶㠹㍦㜹㍤晡㍤て㉥搴㐹㌲㜸搰愸㠹敦㐳㙤㘶戹㌶挱愰挲愲㈶㌶愷㔰㙡〱ㅢ㠴摡昸㌱㑣摤㔴ㅢ晦㝥搴㄰㡦㐱ㄸ昴㘹慥挲㜷搴㤶㡢㝤摡㔱攷㘸散㜶摡〸㉣づ㤷晤挰搵㤶㜹㠷㍤攲ㅥ㜱㠳ㄱ挷㥦㉤㔸ぢ敢敤㈸㜳㘶㐶㤵攰㌷㝢㜰㥦㘳㜵敥散慣捡㑢㝢挲㉤㝢㌹㌵㌶戲ㄶ晣㙡愰〳扣愸㕤敡愴㐰㕡㥤慢愸搹㌹挳㤴㌰戶㘰挲戸挵㕦愳㌰慡戶〹㘳㌱㕤㔵㡣㥥㜴㠲㠲㙡戳㜵扢捥愷㙤㘰ㄱ挱㠸㝣慢㝤㜲〶㤶昰㐸㠷㝤搰㜳昲〵愷愴㐸っ搸㍢㡣搶㡥慢㘹〴ㅥ㡥戹扥挳㔸㘷㠷㝤搲戳㑡晥㉣㝤愸摣挲扡扡㤲㍥晢㠶㍤攴㤴㝣㝣㐶㔳㤱昹㉥㝢㘲挶㍤㠷㙢㠶㜲戱㜴搰㥡昵搷〴㔵㈸慢挳愴㐹㈳㤲㈲㤹ㄴ改㘴㝡戵昴㌱㙤捣㜶〳挲挵㈵ㅤ㉥敥〶慢〶㥥㌳㔵㈶捥昴㜷㘸摣愶〸愰ㄳ㐸挵㕢㤰㕢㐶敤㔳昹㐷ㄱ㈱㐶㍢戸摣扡㈰㙡㔳挷㝢昱晡㠶ち㕦㑥㜳捣っ挰摤〷㑦㡤㔵攳㠰㙦攸收挵㘰㑣㈱㉥㑣攳捣户ㄸ㜶搱敥㐳挸㐵慣㈳㔳攱㜰㠲ㄹ㔸㡡㜳㘶挶搶㝤挸愴㥤搵散㈸㍣昷㜶㝢摣㥡㔲〵愸捤愲ㄵ㜴㠶〵㥡㐰〸换晢㔱摢戰㕢㉣㕡攴㍡㜲散㐴捥㉡愸戴㍤㔸づ㕣〴挲愵つ愰㔹㌳慡戲收㔱㘵捤敢慡㜶晢〴〳㤱㍡捦戹摣㘹换㜳㠲㤹愲㤳㑢戳挰㘰攱㥡㘰㔷㥣㝦慤搴㠰㝤愶㡡㌸㠹㉢昳㔰慤㠱摣㝤㌰㉤㠸㍡㤲ㅦ㑣㥤ㄴ㈶晥㠹㔵挶愹愰㑡戵㕥㤱て㘰㌶〳㤶づ㉡愲昳昳㑡攵㑥昱㤵昳愸搱㥣㉤ㄸ㘶㘲戳㍣ㅢ㘵㔸㐸㌱搲戳㙣㄰㠳㍣㥢ㄹ㜷慤晣㈸ㅣ㉥搷㙢㡤㙥ち搳㈰㉤愵㡤㤷㘵㔸㘹ㄸ㤱㑡㐴㐰攷㥣扣昲搲慣㤸㠰㠱㤲㘲㐰捡っ㘹㐸摣㈴っ愳㉤摤散㕢㘳㤵戹戶㐶捥㝡敤摤攷㔸挳晣㉦ㅦ摦户ㅦ㡢挲戶㜸挳㈲ぢ〴㐵〰戱ㅤ㠰晢㠹㜵攰㐱㤷㉥㠰挱搰㐸㥣㌶昵ㄱㅥ挴㠱ㄸ㈵㐸改㍢㌶挶㥥搲㠸搳攸愰㤵愱㌷搲㔶ㄳ㙣㌲挳㌸㔳扡㜲㜱㘷㑥昰㕥㈰㥦〹㐵㉣捤㌳㤲㈳㤹㑣㠱搴㘶摣ㄳ㙥昸㉣㈶㉢㑥㈸ㅤ㠵ㄲ㡣扣㤸戳〰ㄹㅥㄶ捣㍦㠹㥢慢㜸〰㈶㤳㤱ㅥ扡㈴㌲愲ㄷ戰戲㙦㤳㌵ㄹ㉤㘸㝣㘴㘵〰㈰ㄸ㠲愰〱㐰づ搱摣〰摢㤶㜱㠷㉤慣㌲换〰ㅢ愲㉢慡ㄵ〵愴㘰愸㠲㐲㔲捥〱〸挶㉣㈸㝢ㄶ㜹㜱ㅥ昹㤵㜹㤱戱つ捤㡢ぢ㔱㠶〵挱〰㐷㘵ㅦ挸㔶〸晣㉥㘴攵慦〱〸〶㍦㥡㜴㜸㠸ㅤ摥捤づ㡣㠷㤰挸收慦〳㉣㈲て㌷㘹㑤㤰㜷〱㕤㠰扣㈱挰捡㥣㌵挸㝢て慡攵㝢〱っ㍡ㅢ换㠸㔶搸㘴㌵㉥㈹愳㌲愶つ㘴〶㤰㝡㈴摥愸ㄳ㠰㝥敤㌶〰戲摡㜷摣慣愵㘱捤愰㥥㐵㐳敢收挶愶㍡换敢愶挶昶㕡㔳㙣㙢㤳收搰㐸慢戱捤㔶敡愴㡤戵㈶㙢㕣㑢搶㥢〸㝤㠹挸㠰ㄳ摢㤶昶扣㙢昰捥㐳昱〶㙣㍤昳㝤ㄸて愶㜸㍦愱挰㍦ㅣ挰て㈰㑢慢㠱扥攸昲㍣㔲ㄳ㠹愰㙤㥤愱晤ㄷ搶㜵㐴愱慥戱㤲て昱㤹㠹㑡㔰㡥㥤㔱昶㘸㌹愸㙢戱收搷㐷㉤〸㘳ㅥ㉤挱愴挹㔹㕥㝥㡤攸㐳散㉤戴摣戴㙡㕢慤㔵㡤㔹㤰㙡戴ㄸ㝣愵て愲㠶戸愶换㝦㌵㠱ㅣ晡㔰ㅤ㐴昷㘲㝣㈷捤ㄲㅦづ㘸㉡㠴㉦〷戴㡢㜳㑣挱㍦挱㔳㡡㠲㕡慦〷㉣ㄶ戵散㤷昶攰ㄴ敥㝣换〱つ愱㈸愷㑦扡戴㑦愸〲㥥ㅣ捣㈹搸㉤㔱敥㔸㉥㐰搸㜲㜱〲摥㈷慥ㅤち〱㈳愹㠸㑡㐲搳挹㕣㠶㜹敢㌷挱㐳戴㑡慡㐲挶摢㍡㝤㝢扦昸昸愳㑣㝦扣㍦㔱挹搰㐶〱㜱ㄹ捡㔹挶晣㠶戰慤㡤扡昱㈴慤慦〴㠳㐳ㄱ愷愵㔷㝢愵㡥㌶㝡〷摤㈹㉦挰愵㍢㕦㍥㜴昱攸ㄴ㘰挴〴づ捣搱挲㐲愷㍤㔶捡ㄵ捡㜹愵㙤搹㡡搰搶㈶敤㥡愰㤷㝥ㄳㄶ搲㙡ㄹ扣㐴㐸ㄹ挳挳戰捡㈵散敡㝤㕡昹㌰搰慡㌵㈶收挸挸摦㐰㠹愴㘱㠰敤慡㐳㥣㝣慤戳慥ㅡ愰搷㡦㤳㈰摡ㅡ慡㈸搳ㄸ愷㕡㡣㤲敡ㄳ㔷搳㙤摣挵戳ㅥ昸挴㌵㔵㠷㥣戰㙡㑤搰〹晢っ〵㥦㘹挲愲㕦摤〹挹㝣晤搳㡦㍣昹戹㡦づ㜲㉥㐸扦昳ㅦ㜸昰摤㕦昸攴收㙦敥て㙤戶㠴㘰っ㜳ぢ㥢㜴摣㠸㑡㈸㐱捦㌵㔹㜵㕦挵〹㤴戵㜵昶〸㌲㠲愱捥搰㍡ぢ改㈹㝦ㄳㄵ㉢㕢㘷っ㠹㘲敥㠴晣慤㈸挳㠲㘰っ戴㘲㈸㈱ぢ㥥搰收昷㠷㤱㤵扦つ㈰ㄸㅦ㙤搲攱㜷搸攱㈲㠰挱㌰㔹㕣搰㉣ㄹ昱攳攴㐶㤱㔶㜴扡㐸㙦〲挷搴挴㠵㌱㈲㥡㄰㐱㘶㕢㥡ㄱ㐱昹扢〰㕦扤㜴㠹㜶㘱㐲㌰愴㔶昹㍥慦ㄲ㈳㌳昸㈳挸捡㡦戲挳㌴〱㑢ㅦ㡢㌲晡ㅢ昴㥥攲㑥㐱㠳挳㐶㉦て慡ㄹ慥摢㐴戰㔰㠰扢捣㉣㥤㠴㌰挷〵㠶捤㜰㕤㕣て㠷㌶ㄵて散㉦㡥㘵㘰扦㙤㐳散㕤㠶ㅥ挶ㄶ㝡㠶㠶㠳㈸摥㤲攳戹㠳敡㈵㉤挷㌰㤹扦〷戰攱戰㤳昳㕣摦戵㠳敥〹㐴㠳扡昹捥挵挶愹ㅤ㌴愶㌱㘳搳㙦㜲㘳愹ㄲ㥦ぢ捥昱摥㌷㜳戶攴㥥㉢改搵ㄸ㍥㥦晢㘸㝣戵戶昲㌳㍣换㍡扤〵㔸捣㥥㐵㤶㠳攵挷〱㍡㕡戲㜴挳㤸戲㜴挵㤸戲昴扢㤸戲昴扤㤸って攰㑡ㅤ㈱捥㉤愶㐴㑥攴㠵㑡戵戶㌶搸㜸つづ搴攲慤㍣攲挴晣㤸挲㤶攳㠶㘱昳㐱昵ㄸ攵㘰扤戱挷㤰㤱㥦〰挸㘴改㑡戱捥晣㈴㐰攷昰搰㘴㑤ㅣ挸㝣ㅣ㜵敤愸搳㈲敢〴㕥攲㤸㑦愰收㍡搴搴㍦捦㌴晦〰搵敢㔰㡤慢收捡攵㌳㔹㈸㑢ㅦ㑤㝦㤱晡㑣㍦㔷㤴㥦㘱㡥攷㕡㘸㌷㡢愵㈷㔹挲ㅦ㤹㔶搰捤㈲攳㡡㝢戱㑢戲ぢ昲〹㐹ㅥ㈰戹挵ㄹ搴㤰攴昵㈴愳戳愵扦昳㔹㘴㐰㌲㍡㔶㑣㔹㍡㔷㑣㔹㝡㔲㑣㔹㝡㔳㑣攲〲〰挹㈶㑥㘱㍡愲㔴㌳挴攷㔰㈳㥦〲挸㘴摦〳愸㈷㈵㙡㈴㜱㈱㥦㈰攰㘶戳㜴愰㜴攳㍡㔶慤㈷昸㌳〲敥捣㜸㍦㐰㥣㐰㌵㌱慢㤸攵㥥慤㜱愷㌴愹慦戳㡦㤷慤〲㥥扤ㅥ㠵㑡て㔸戵ㄶㄴ㐱㉡㌴慣㔶攴㜲扤㠵㕦戹㡦捣ㄶ挷㐱㍤㤳㐶㝢搳敦㑤㔶愹㔶㡣扢㐱户㉢晢ち愹㕢ㄵ㉥㕣ㅤ搹㉤㈳㍦㑦㠸愸〱ㅤㅥ捤〱捦㈰㔳㐹攲㠳挸㌵搴ㅡ㌴㈳慥摣㘶攱昸昵搵挰て㐳㝣㍤〵㤸㙦㔷㄰㔱晤㜳㝥㥥㘶㑡挳ㅡ㠴㔶㠳㘸㤱㝦ㄱ㌵敢搳㐳㌵愸㑦捦〸㄰㔳㌹㍤收ㄷ㔱扢愴〴ㄵ㐳攸摡㜸愴愸㈱㌵㠳晦㌵㌲㌸㔲搴㠶㑣㔹㙡㐴愶㉣搵ㅦ㔳昶㘲昸㥢攸愲搲攲挱㌴愳㡡㙢昶㤳愵慡攳〶㘵晤㔹捣㔲晢改晡㡤㙣摣㐴昰ㅣ㐰㤶㝡㔰慦晥㙦㤱改㘸㌱㈸捡敦㕣摡㤷慥ㄱ㝡㍤戰㌸敢摥㍤摥㠵㜷㡣ぢ㐹㡣㙦㐱搴㉦㡣㤵愵㤲㙦㕢摤㕣㍣ㅢ㔰昲〹晥ㄹ㜷〰敦㙦㘰ㅥ戲㐴㤵愱㌹攳捤昸㤳㕦〶攸愲㠰愷愱㄰㈳挴㉢晢㔱挷㜴㐰挳挴㠶攸㜷攳㠱㉥㙡㠳扡ㄱ昱㕢扦㜰挴摥〳愱㕢㈳づ㠸捦愰愶ぢ㝦昱昷㌴扢戱慤愶㌷㜸扢愲㠶昸㠳愲散㤳㤸㐵ㄳ敢ㅦ㤱改㘸ㄱㄴ攲㈴㤸攸挷〸㘲㐹㙦散㥦㔰搳㐵昱㕣户㑣㤴㤱攲ㅢ㑢ㅦ搰搵㠹散㠱㉥捡㜲㍤攲㍥戱攵攲愰㜱昹㝣㤳㡤㕤〸晥昹ㅢ㠳攸昷㌷户攵㉦てち捡昱㘶ㅢ敢㕤㙡㘳㍤㔱㐳晣愱㤰愰㙣搱㈷昷㕦㤱㈱㥢昲㉦㕢ㄱ㌰㐲㥦㙥搴挸挵ㅡ㌶昳㍣㙢㙣晣ㅢ㌲挰〶捦㥦挶挶昶㕡㙣㝣〳戵攲㌹㠰敡㑡愷㔰ち㌵敢㉤㑢慤㜴㑢搴搰㜰㠹捡㘳戲搲㈵㙡捤㥢㘷㝥搴戰愹攲摢散戰㥡㥣慤㈳㍣〵㙤㘲戵攳挲挳挳慢攳㜱㕣敤攱㥡〳晦户㐴㘴㌱攰捡㡦㤶㙦㈵愴㉥㜵㠹㠳㑤晢愸㠷ㄸ㝢慢㍤收㈳㠶㤱㑦攳搵㘴㠰㘷㔲愵戵愰晡㘰昴愶㈸〱㐰㐰扥㔴㑥㌶戵㌷㘹㐸挶㝤㠰ㅡ愵㕦挵㐷挵㡦㑤昲㥥㘴㜵㡡捦扣㡣㡦搵㕣晥攵㙢㉥晦㔲攲㘶㔰㌹ㄴ攸ㄷㄲ慦愳㈳㔲㌲㈱㕦挰㡦㝥昶愶㔹ㄲ㈰㈳㕦㘲搵搶ち㐸ㄸ㤴ㅤ昱扤搱〱ㄸ攵收㘳㉦㠲摢摡戸攱㑡ㄲ㍣扡㘴㈲昳摦〱ㄶ㘳敥昵敢摡搴㜴㕤晦㠹〱戱㜵㝤㤳㔵搵㜵〹ㅥ㝤慥慤㤲戲㍣㑦晡㡣扣㡣㡣晣ㄶ挱户〱㌲㠲㘷㐶㉦攳㍢挸㔴摦扤㘸て挰㑦㡡㙣㘵〵晦扤㜳㔳ㄵ㌳摦攵㜸㥥ㅥ愱㠹㑣捣㝣㡦㔵㌵㉢攰㜱攳ち㑥㍥晡㠵〳㍦搹㜵摦愰㐱㙣㕥㌱戵㈹〳㔶㘹〱晣〰㐳挵㑢〴昸㤳㍦㡣㌲㉣〸㈲㡥换㤰㍦㘲㠹㌸搳㝤㕥㡤㌲扡て昱愳㠵㐷㉢㜶㑥㔱晡㜶㔴愴㤳愶㈰捥㜴㠳ㄹ㌵っ攸〶㈱㠸㐷摤㘰㐴つ晢㔱㈱㕦〳㄰挴㤳晥攰㑦㔸㈲㡡昴〷㝦ㅡ㘵昴〷昵㝡㔱戱㈸搳㤰㑦㘴戹㙥㑤㉦㡥㠰㑣搳㉢㙥攸挵㤵敢㕥㐹摤慢㡢ㅦ㍤㠳扦攴扣挸摤㥦扦晦晥㔷扢㔲摤㥢㔳敦㌸搰晥攸攵慦扣㜰昱㙢扦㍡昰ㅦ慦㍤昶搸搷㕥扡㜸改戵扦㥣ㅡ昸扢㑦㝤敡㑢㜷㍦㝥改㠵㜵昶ㄳ挹愷㕦ㅤ㝦攲愱晥戳て㍤㘸㥦扡敤攰㐳昷㍥㜰扣晦搸㜵㍤㉤㉤慤慤摢搷㝦㜹攳慤搹ぢて㍥㈳㥥㝤晥ㄷ㑡㐲敦愳㘱ㄹ摣㡦㕥〶㈳㔴㔸㉣搷慣㌱昲扦㍦つ㜱㌸㠴づ㘹㔴㜳㤹扡攱挷戱〶づ搴つ晦㔳摦搰昶㝦㈴扥扢㠱</t>
  </si>
  <si>
    <t>3e2a0955-3943-4ea5-a5b4-e89363932cdd</t>
  </si>
  <si>
    <t>㜸〱敤㕣㕢㙣ㅣ搷㜹摥㌳扢戳摣㔹㤲㈲㉤捡ㄷ昹㑡挷㜱ㅣ㥢㉡㉤捡㔶㝤㘹㔴㤵ㄷ敢攲㔰㈲慤愵攴〴愹戱ㅡ敥㥥ㄱ挷摡㤹愱㘷㘶㈹搱㌱㘰挳㜵㙡ㄷ㘹ㅡ㈰㙤㠳㌸㜱摡挰〸〲攴㈵㘹㕦搲愴挹㑢㠱〲㉤〲〷挸㐳晡㔰㈰て㡥ㄱ㈴て㉤ち〱㝤挹㠳〱攷晢捥捣散捥敥㜲㠷昴摡㑥攸㠰㐷摥㥦㘷捥㙤捥㌹晦昵晣晦ㄹ攷㐴㉥㤷㝢〷㠹㝦㤹ち捣摣㕡搹っ㐲改㑣捦㝢㡤㠶慣㠵戶攷〶搳戳扥㙦㙥㉥摡㐱㤸㐷㠳㘲搵㐶㝤愰㔷〳晢㔹㔹慡㙥㐸㍦㐰㈳㍤㤷㉢㤵っつ昵ㅣ㠴扦昱攴挱㘰慦㤱〲挰捡晣摣搲敡搳ㄸ戵ㄲ㝡扥㍣㌴㜹㈱敡㝢㙣㘶㘶㝡㘶晡挱愳㌳㐷愶てㅦ㥡㥣㙦㌶挲愶㉦㡦戹戲ㄹ晡㘶攳搰攴㜲㜳戵㘱搷㍥㈹㌷㔷扣换搲㍤㈶㔷て㍦戰㙡㍥昸昰捣㠳㐷㡦㕡㡦㍣昲昰〸㕥㥤㍢㍢㍦户散㑢㉢㜸㥦挶搴㌹攵〷ㄷ㘴捤收摡愴昴㙤昷搲昴晣ㅣ晥㑢捤ㅦ㑦て㑤㔷搶愴っ昹㙡改㑢户㈶〳〳ㅤ㠷㥤搹㈰㘸㍡敢摣㍣挳㌹㠱愵搶捣㈰搴㥤㜹搹㘸ㄸ㑥㌲㙡挹㔹挲摥㌵捣捤ㄱ愷㈲摤挰づ敤つ㍢摣㉣㍡㉢ㄸ愸㍥敡㥣て攴㌹搳扤㈴捦㥡㡥搴㥤㤳㑤扢㕥㠸㔲㉥㝦㑦㌲㐴㝡㘲㙡昹搳戳㠱㌳扦㘶晡㙡㐶〱㌷㈶愳敤〹扦搶搹昶慥晥攳㜲敡敡つㅣ昳敥晥敤㔰㜳挱昴㕢㉤愷晡户㡣ㄷ摦㌹㠳晢晢户㑦敤㔱㘷㥦㝢晢昷㔱㕢搹搹㕡っ挷昴慤㜶ㄴ㡢㌱㡡〴㐳〴㈵〲㈲搰㈸ㄳっㄳ㡣〰㠸挲晦㠳㑢搲ㅤ㔹愵㔵㑤慤扡慡㔵㙢㕡戵慥㔵愵㔶戵戴敡㈵慤扡愶㔵㙤慤晡戴㔶扤㡣㌶㐹㉡つつ㘹㜱㝡敢㥤㉢㥦晦㠵㜹攷攲てて摤晢㔴敤㤵㑡㝥㘴ㅦㅡ㍤ㄱ㑦㙡挱㌷慦㠰搴摡㔴っ㡥攰扦敤戹〲㑣㘱ㅤ戵ㅥ戲㘶㘶敡㐷て㥢て㤸㍡㤷㤵㠱晣づ㐲ㄹ㐷摢ㄱ敢㐹摢慤㝢㔷ㄴ敥㙥㥤㌳〳搹摥戸愹戸㙥捥㙢扡昵攰㤶慤㉢㉢愱ㄹ捡㥢扢敢摡㠳昴㜴慢㠰慤㘴愰摥㜷㝢㜷户ぢ㘶愳㈹㘷慦摡㔱昵㙤㕤搵捥戲敦慤昶慦㍤攱换㘷㕡戵㍤㌳㥡㠵㔰摢㔰㘳昷慣㌲慡㡡收㌵㌹扦收〵搲㔵搳㥢㜲㤶敤摡㘵改㔷㈴㐵愲慣慢愵㕥捦慡㤸敢愷㤶㕣㉣ㄴ摣㕡晦㐸扡搴㝡散㙡〸㘶㤶㜵捣㜷㕤晡攱收㡡戹摡㤰㌷㜴㌴㠹摥㠹㡡㠳ㅤ挵㈷扣㕡㌳㤸昷摣搰昷ㅡ㥤㌵戳昵つㄳ㤲愶㝥挶慢换㐲㈱愷㠴〲〴㙥㍥㉦㐴敥扥晥扣愰㄰㤱㐲㌱ㄹ昹愶㑥戲㥢㍥㠷搵㘱ㄵつ㐹㥡搴㍥扡捤㘰㥣慦㤲㌱ㄹㅣ㤸㕡ㄳ昵〷㕦晡昱㙤㠶㙤㘱敥㠳㙤慣㘹ㄳ昱敡ㅦ摢㤰㙥㜸捡㜴敢つ改㘷㙡㍦挱ㄹㄹ㘳〰晡㌵〸㠴扥扢㐷㔵㈷慥㡡㑤晤㡡㕤て搷㡡㙢搲扥戴ㄶ愲っㅡ戲㔴攲搶昶㈴攳㍡ㄴㄹ晢〹㈶〰捡攵㕣昱〰ㅢㄵ换㐸㌹㥤搲㈹㠳㤷㍢〴㌹晢㜵昰昲㠸㜵挲㙥㠴㌲ㄲ捡㘳ㄶ㌰ㄲ㘹㌵㠵扥㔱㤲愸㙦搶㈲㠵㜱挰㥡〷㤵㥡戶ㅢ㙥戶昹戶㠷㑢㈲㈲摡㤳〵扢㑥ㄶ㔰ㄴ㜴捡㠳っ㕥〳搱㜴㐹㠳散挶㈹㈲㈲ㅢ㘴㘸㜶㡣摣㐹㘴㙣㥦㈱㈳搰㍥㑤㠴㙣㝤戸扦㡣㈰戱昷ㄲ㈹㍢昵攵挷㍤㘹戶㤵㉤ㅦ㐹戳敢戱㜱挶つ〴㌷ㄲ摣㐴㜰㄰㐰晣ちㄲ㡥㔲づ昹捥㘴摣㠲㘷攳㔶㠲摢〰㈰㥦っ捡㥣㔸㔴搱㠶摡㠹ㅤ挹㜶愳戰㤳㤵㔱ㅣ㠹㈲㕡挶㉤㍢㜳搴㔱㠸㡥慤捥摤愱㙢ぢ㑡挷㝥慣㍦㙤愶㤷㐳㡡捣㘸㥡㕥敢㌶㑤搳ㅢ挱愶〳敡慤㍢搰搵㤸㈴戸ㄳ愰㙣㝣㠴㄰捡㠵〶敦捥㉣㝡㥡㤴ㅦち戳㈸㌲㠶〶㔴昰㌱㈱昳〸㤰㈱攴㝡㡥㉦㝢㌶㌴捤挱㈹敢㐳㙦㐳ㅦ敡捦摦㌱搲扢昴收㥥摥愱扦攸㕤㕡搱㜷㠱扤挴捦晢敡㤸扢㔱㙤㝣㡣攰ㅥ㠰㉥ㅤ挳搳昷扢昵ㄴ㈸戳搸㐹㘱㙥㍦扤㉥捡捡㕤搹㕣㤷㑡〳㡤㔸㉢愶㝦㐹㠶昰㘰㥣㕥㠰㉤散昹扥㙣攰㔰㕢㔷〵㍣扦摣搸㔹ㄸ㥣昰㍤㠷攵㝢㌶㜲昰愱㔰っ㠵㠲㤶捦㜵搹挸ㄹ戶㘶捡攷㤴愲ㅣ敡攰〷晡ぢ㠹㔴愷㑥昲㘲扦散昳攵㥥㈴ㄹ㐰㤲摣㡢㙤㌵敥〳㠰㤴㄰晦搵㔷愲ㅣ㘲戳㍦㔲捤㍡㉤㔶㝡昸㌲㑥㈷㕤㍥挴ㅥ㌹㌲ㅣ㌹㙣攷攰㍦〸㐶㥤㡡敤戴㠴挵戰戳㉣晤ㅡ㝣ぢ㜶㐳㤶㈳户㉣㐵捤㥥慣昸㤰挸㡡㝣扥攷㍣㥤攱㕦㔳㜴搲㈵㈵㌲戹㍤戳㌲攳㉣摥㈶㉡扡㈱㈹㔴㌲㕣㐳㉤〹㐴捡㘳摢㍤ㄱ㌳㠰㠸戹ㅦㅢ㘷ㅣ㈶㤸㈱㌸〲愰晦〴㤲㘶愷ㅢ捦㜰搸搰〶㕤摡搵㙡慥㐴㌴㈸ㄷ攱ㅢ㝤㠵搵㔱扥收㡦〹ㅥ〲攸㌲㝦攸㠰捣㈰㐴㠵昲ㄴ㈱慡㌰㠶㜵挱㤶㔷㐸〳晢㉣〴㤶收㥢㐱攸㌹㡣㉣㡤㕡ぢ摥㔹㉦㕣戰㠳㜵㐴愲㈶慣㌸昳攴㥡㜴㐱㕤㍥㙣㥦慥㌲㙦㝤㕤搶つ慢攲㌵㈱摡㑥㉦散㠶㠳㌹戶〳戶愴㍡㥢㙢〲㘹戰昳㌱㠶㄰搸㘹攵㙦愵㌷㜶㐷摥㙦ㅥ晡挶摡㍢扡㘲㠷つ㌹㙣㐵㑣挷㝣挹挲㉥㈲㜲㔰ㅦ戲㔶搶㝣㈹ㄷ㐶慤㤳扥㕤㙦搸慥㈴㌲㘰㘳㌲㔸户㈸㉦㈱㑡戰散㌱〶攸戹愳搶㡡㙦扡挱扡挹㠰攲收晥㡥㈷ㄵㄶ搱慤㌹摢つ昰ㅡ㠵㐵收挷慣捡㥡㜷〵ㄱ摢愶攳㥥㌴搷㠳㕤㠱ㄵㄲ㝤㤴ㄴ㙡㠴㈶㌴㑤㤴戴搲愰昸攱㠱㍣㤷㈳敦ㄵ〸ㄴ慥㜲㍡㝤收ㄹ摡㥢㜶㝤ㅣ愳愱㥤捥㌹㡤㈰㝡搴㉡捣㘷㑡㘱㜲慡昱〸晢㍣ち昰昸挹昳愷摢㤱戹昷ㄴ戳搶改攵捦㤰昱㡡㉣㕡㠱㄰晡攸昶㐵愴挲㌲㔲づ㌸㄰ㄸ攷㔳㌷昹㤵㉤搵㠶搴户慦㥤㍤㠱㐸搲㠸戵㘸慥捡〶攲搱㡥ㄹ敥㡢ㅥ㘸挶㍡㘶㈳㠸敢收㍤挷㌱㐹㕡㈴换㑡捤㈴〵捦㌶㐳敦㡣敤ㅡㄶ㠰愲扦戸挸扣㡡㈲昳慡㉡ㅡ戱捥㌱㌴愸昲ㅣ换扢㘴晡㜶戸收搸戵ㄲㅦㄸ扥摢ㄵ㌴〹㈶愷攴㑤㔲㈲㌳㈶扢慣昹昳㌰搹㠲㘹愰㝢ㅡ㜲㤴㕢㐷昴㠳㜲㌵㔱挴㍦㌱愰㘳〹〲㐶㜹㑡㡤㑦㘰㌴㕤摤㡥㠰挸㔱改㕡㜲〷攳摡昳㈸㠹㠴㄰戱㥥㐱㈲昰ち愶㠴㍣㕤摣㐵敢扣㙢㠷挰ㅥ㌱㜶挲づㄷ〲愰ㅣ〰㔹㜵扣扤㔹㘱㌵搵㘹慡愵ㄵ敥攸慤敡㔰ㄳ户昷搶愷昵挶㐷户愸㡥㌴㑡㑡㤱㙣搷㐸㘹㤶㉤收戸㥢㔴㡤㔰㡡㍢搱㌶㈲换㙤摡摥㜷㑡㤱昷愰㤸ㄴ捤攴㡣㍦㔵㠴㠲㐰㙦慣愳攸戳捦㈶㡦㔴挴㠶㌶㐰㤹㝡㉡㉡ㅢ㡤㐳㠲愷㜱敤愴㉥换昱ㄳ昸㝢㕦㥣㕤㙡㠶ㅤ㌵收搵㠹戸㘶戶搱㔸㜲㘱㈵搴㑣扦扥㑢㔸ㅡ㙢㡢㌴㡣攲捥㐱戵㝦戴扤㈹㐶㡣搹㤰㘱㤱っ㍦㌰搸㄰捣㤵㡡愸搲㍡ㅢ攵㔶户㡡㑢㝣㍡㈳㑤㔷㘱愰ㄲ搶ㄷ攴㠶㌲挳摡㤶晣㠴敡搰㍡㉤㉡㌹㙡㔸戳慢〱㔴㝡㐸㌹ㅥ攷ㄴ㠳ㅢ搶㌹扡愵㜰㠹〱㘲㌷捥㉤搷㐲㠴㜶㕢〳昰㘴戰㝢戰㠳ㅤ㠹㐲㈷戴捥㈸㐱㡢ㄹ㠴摢戹〸昲捥㠰ㄸ㠵㈰戵㔴晡扦攳攲慢慦㌲㝤晢㜸㉥挹挴㑣挴㜰㔷㠶昵〰攴愶㈳㤳攴愲㠹㈴㘰ㅥ㐹㌶㈵戴㐶㤲㌲㥡ㄸ愳㌴昹晣㄰户㜸ㄸ换ㅡ㈳摢㌴㜰捦㉤戴愱㑤ㅢ㥢晢慣搳㙥慤搱慣㑢愵㡡ㄳ㔹慤㌴昲慥挰㤷扡〲ㄸ㜱㔳挶扥挴㥢㜲ㅡ㐷㈹㉥㤹㐸ㅡ摣敥㌶㡥愳扢ㄲ㜲ㄸ㈳㔲㝤っ㐰㘶戸攵㔴㐰慣攷㥥〲敤挳晤敤ぢっ敡昲ㅣ㐴㕡㑦ㄱ㘵搹㈲敥攳戵愲挸㡡摢㔲捤ㄶ扤㐵㡦㌶㝢慡攸㤴ㅤㄵ敤ちㅣ㘱㥤㤱挰㉢ㄶ㘱㡣っ挸ㅤㅣ㈴㜷㉤㡥敥㕥㝢㕥㍤收慥〱ㄵち〳㠲㌱㕥㥥㠲㜲搸㔵㌰ㄲつ㙥慤㙤㜵ぢ㐶㝦㘹㜹ㅢ戳〰㠲㘱㘰ㅡ戴㘸ㄹㄹ㌸昳挸㙦㙦攰摣㠱㔶ㄹㄱ搲㜴㌰㤵㌱捡〹㌸散㠱㌴㜰ㄳて搲㉢ㅥ㤴㔰㜸㐰㕤っ㑢敥㈶㑥㌹㌸〲㜹晥つ㕤㠵换㘶㠸敢㉦敥挱慥攲搹㝡㥤收㉥晣㜳扢〲慢戸扡ㄱ㤹愳〷扡㉥㘵愹㌵搱扥扢慢慢㈲扥㉣㜸㘴㘱晡㤴ㄹ搶搶㉡攱㘶㜴㜱㙢㔰㤲搰㝦〴㝦挴㤶㙦愷捤㕣㜰㜹ㄱ㜵㠳㝢㕦扥散㝡㔷㕣㌵㉦㍤攰慤㍦㔰〸慥㔰づ㜱㤲攵摣㍢昸愷㤲㤶搳㝦㠸ㄱ㜷㌲㙤づ搰㜶㤰㜰ㅣ㤵㈲㘹㌰㠹㝣〶㥤挰㜶㙦摤ㅡ㈰㥤ㅣ攸愲ㄳ㈵〸昶〸挵扤昴扥ㄱ㡡昸㔷愰㤵挴ㄲㅤ挹戱攷摦〲敢㡢ㅦ愰㠴〸挷㜳㉣㐶昴㍢㤱换㐰㥤ㄲ攴昱ㄵて㕥〸昹挳挱㔲挲捤㕢戲搳敦㠰㤹挵昷扢㔱㜴㍢㔱昴㉦㍤㈸ㄲ扣〶愲昸昷㜱㘴㤲愴㌳㍣晢慥〲攱㕣搳摥〱昴〳扦昰晢㝢㍣㠰㉥挶挴愱㙣㌴㠴摡敥挶㜳换㐴挸昷㤸〸っ摥㉢ㄳ攱っ㌲㠲㔱晣挸㐴㠸㝤㈰㑢㈸搸摥㐴㘰㙣㉦挳㄰㑣㠵㕡㔳㙥つ㥥挰㙥㜰攸ㅦ㍢㠵㡢户㌲㐰㍣ㅦ㑡㉢㤸㠷㐷敡挶摥攲㘵搳㌷㥤㠳慡晣愴㉦愱捣晣ㄵ摣攴㔶㕤搸攳收㉤㙢㔴愷㉤㝣ㄵ㠹㤷㝤捦㥦戲戳晢敢挰㔴㤴㈲昷扤㈸㠹攲㝢昰㤴〸㥥ㅢ㜲㥦㍤昰㥤㤳扦㜸昶愵攳扣慤ㄶ搳慡㝥ㅦ昲㠳㠴散㘹㑦㈰愸㥢扡㈸㜲㍤㍦捣㌹㠳㑦㤴散昵㠶㥣㌳㝤㘵〵〵㠶㤳㘴㈳挲㑢ㄱ㘶㐴㝣扢挱挴挴扤㠷挸挴㥣敥㜲㜷慡て㥢㤴㡢㜰㍡㌵㜱攵搳㑢挲㠶愲慦㈲ㅢ搰摡搴晦〹慡攸㕤㑥愴搳㑡攴愹㤳㐹㠸敦㜶敢扡愳搴㜵搱㐱㠶㘱晦㐴㑡㈱晥㐰ち㐹ㅦ㘴㜸㈱㐰㐹愹㜳挸攸昷〳㘴㐴搶扡㐳扣昴〷散〹〱搹扡昴㌷攰㐷㉣搸㐵㘰㌱昱挵て㝡愲愵㉤㥡愸㈶㠶㙡㤵㑤㔳㐱㐶ㅤ㕥㔸㌰㤳㤴慥㈰㤳㈴晤〸㜲㍢㜶㐷昱㈵愳㑥ㄴ㜸㡢ㄸ㕢㜷攸㙢㉢㍢㡦戹㑤摣晣㠰㥥㈹㉡㠵攱敥㘷㌱づ愴㉡㐶ㄷ㌵㉤㐷㐵㠴㘳㔱戶搵㘹㌸慥㠲捥㜲て攲㔴㡡攰ㅦ扦ㄴ㘲晤㔴㝢攸敢扢㙢愸攳摣㈱㉣㤰㍦搸㕦户㘷㌰㌶摥㑡㡥㠱㠴摤㔱慢㔲㜴㍤晣㍣扡㜰搱㌹㘱戴戳敡㔹ㅣ挵㥦㠴戳昲㕡㡦晥㘷昴㕡㜱搶〵昶㘶ㄸ扢㐳晦㝦ち〵摢敡㝦挱搸㥢㐲攴愷攳っㅦ㜴挶㑦戶つ搹㜰㐷攰搹㐶昰㐶ㅤ㡣つ㤵㘵挸㍢捡㔵昰昱㙡㔴慤㈴㌸晣㕥㠵敥慢ㄱ慤扥戴㙤㠷晢ち㐰挶㠶昴㙦㐱〴昵敤摦㈹户㤲搳㙤昱㌳攸㜸攰㡣㕤昳扤挰戳挲挹ち㠲扥㤳晣昶捣㠲捤㌳㉢扥搹㉤搴敥挲㑥㡣㍣㠵㍥㘷㤷㈰戰捦捡昰晤㡡㐵㌲戲戰戳㐸〶扦㐳ㅡ㑦㠵㤷愸ㅤ㠲敢慣㈷㥡㘶〳㥦慥㉥挱搷ㄹ戲㘸㔷㈸扢挸攳摣㝤㐳㠳㕢㠷㍢㕡㥦㠴㍦㐸㌶愶ㄱㅣ㔳㑢昸捣㔳摣搷敥㍤攸㙣ㅢ慦㉤㘰换挱㝣㙥㘵晤㜵攰㜴㘷㙦改㈴ㄹ扥㤳㕦㈴㤷㡤㉡㈱㉥敤ㅦ挷摦㥤㍢㘸㌹摡〴攸㍣晥愰㥢㡥戰愹〶摣㘷㍢㠸㝥㕦㐴㔷㌱㑢㠰㥦㘱挶ㄹ㍥〸㝡昹挸㡡攲ㅦ戰㉣㌲〰昲戹㘲つ愰㍦㔵扦戶ㄵ㔵㡦㍦捥㥥㐸㠲㘷っ㤲㘳㔹㝣つつ戹㕤搱戲挱ㄲ㕣戶㔰㘷〹攴㡤愴〷昲㌹挱戳㠴㥡挸㔷搰愱㌵ㄱㅢ愵晤㈷昲攵慤㈶㈲㘸〵愸㠵愶挷ㅦ㑦戴㠸搱㐰戵攱㄰戸〴ㅥ挰㜸愲㑣挶㈸ㅦ㈹㜴㡡㔱㡣攱〷㐴ㄱ搲㑦攳扦㙦ㅥ晦挹ㅢ㑣晦㝢㕣㈸㠹㠸慡捥㔵㔰㈲慡㔵㝣㌱扤ちㅦ愵晤㔷昱㠵慤㔶㌱㑥㘱挹㤹ㄸ㈱挰㘸㕥㔴昱㐷慤慡㠹っ㌷㤴㍦㜱㤱〰扦㡥㔹㡣㥢㈸㔱㝤慦㈰㠳扥摣㜹搵敡㉡㌲㐹㕦㥤ㅢ㤱昱㤵㡦㌲㤴㜸㈳㤲㑥㥤㘲攴㤵㉤㐶敡戱攴挴敥搸㕤㈱㈴戰㈴㝥㌶摢㔷戶ㄷ〷っ昵㡢㤷ㄳ挴㥣㍡㤵㝣㐲愵挵挱㈷㄰㐶㘴㥡㤲㤰戸㤱攲㉦㤳挶晦晣扤戶敦ㄴㄵ㐸愰㥥愸㌱〹㑥㌵晥㕣搲昸〸㍥捦㔲㙤㜲扣㑡挰昴㘶搲㤸㠴愹ㅡ扦㤴㌴晥㥦㈳〷㕢㡤ㄳ㍡㡣㐶搶㐹㈴ㄹ㐶慦㍡〶愴㍥搵ㅥ㐳㜳摤愲㈲ㅤ戶愲㘲㡡㔰ㄵ㐳㙥㈸㔵㍡㠲㕢㈱㍥㍥㤶㕥挴㈵㈷摣〵㠱戴㡤晥㥦〹愷㜱昹㘹挱っ㑤㝣ぢ扤㠱愸戳㙦愸㈷㜶㉥㕡㑢㍥ち㠶慣搳〱づ㔷昵㕤㐵㈲戰ぢち搱晥㙥攳㥤捦戰㈱摢晢㤱㐴换㌴㕥㈶ㄹ㑣㡢愸〸㑢㐱扣㤸㘰㌶昷㐲㥢㘶㡣攷㠱ㅣ㠸㐹㐰㘶㡣ㄷ〰愳㠸捣〱ㄶ㡣㤳晦ㄵ㜳扦挸㡡扦㈰㜸〹愰㉣挸散愴㠳攲攷〰挶㤲晦㘳挵攴㠶㜲㥣㘸攲搹攴㘵㘹㌲㌲㕥㘶㠷㔷〰昲昰攳㡡㤸〸换挶㕦愱㈴晤㔲ちづ昵搲捦戳攲慦〹扥〰㔰搶㌹搹ㅤ敦ㅡ搷㌴愰ち晢ㅢ㜴ㄵ㉦㄰攰㘷㝣㌱捥昰㐱攷㍥晣㐹㝦愳㤹㘷攲攴ぢ㝦挴㍣㍢㍥攵㝦っ㥦收㙦㜲搱㜹晣㥦㐹㜴㘵攱ㄷ戴㐷〷ㅢ㡢㑣㐰攳㕣晤搶戱搹敦㘱ㅣ慥慢ㅤ㑡攱㠸㔴㉡㈵慤㈸㠸㙦㉥㔸㜸㜸〳摦㜲㑣㔵〸㐱ㅡ㔰ㄵ㙥㕣㜱ㅣ〵挶摦戲㈹㜱㑣㍣ㄹ㝦挷㈷愲㔶㙤攲摦挷ㄹ㍥〸攲㔵㜵㝦㍡敥㥥扣㤰戸㔶ㄵ㜶搷ぢ㠹㝦㔵戱㤶㝥攱慢ㅣ㑣㈱ぢ㤹㑥慤㐴愴㈹ㅡ晡ㅡ㌲愳昹㌱捥敤㐹晣戴慢愲㜶戱㝥昱攲㙦挶ち㤳㌷ㄷ㍥昵㘷㈳慦扥昹攳户扥昴戳㍦㍦昶敢户㕦㝢敤㘷扦晣搲ㅢ㙦晦㘸昵搸㝦扣晥晡扦㍦晥㡦㙦扣戵摦晡㠶昶扤摦㉣㝥攳戹㤹换捦㍤㘳㥤扦敦攴㜳㥦㝥晡㠹㤹攵敢愶昲昹愱愱㝢㈶晥昳愶㡦㡦扦昰捣昷挵扦晤昷㡤慥㔰换挵ぢ㍡愷挱㘵慢㘹㝣ㅤㄹ㑣㠳㌳晥㐰愷挱攵慡㡤㕡㡤㌷㙡づ〵㈵㌸㌷㌸〱㔵㘱㜶㔶っ晦ㄶち㤴戲攱</t>
  </si>
  <si>
    <t>c8908cfb-fe98-483e-a4d0-ad95596bad2e</t>
  </si>
  <si>
    <t>Amount</t>
  </si>
  <si>
    <t>㜸〱敤㕣㕢㙣㈴㔷㤹敥㔳敥㙡㜷戵敤戱㌳㥥㕣㈶㠴挴㈴㈴㠱㜸搶ㄹ㑦㌲㠴戰㍢㍢昸㤲戹〴捦搸㤹昶㑣㐰㠰㝡捡摤愷挶㤵改慡㜲慡慡㍤攳㙣戴ㄹ㐱㔸㔸㜱㤳戸㠹㐰戸㈸㐲㐸〸㠹换㑢㐸㠰〷㤰㤰㐰㄰㈴ㅥ攰〱㠹㠷㠰㔶昰〰㐲㈳戱搲昲㠰挴㝥摦愹慡敥敡㙥㜷搹改㈴㡢戳昲㤹昴敦㔳攷㔶攷㥣晦㝡晥晦㔴㜲㈲㤷换晤ㅤ㠹㝦㤹昲捣摣㔴摥〸㐲改㑣捤㜹昵扡慣㠶戶攷〶㔳㌳扥㙦㙥㉣搸㐱㌸㠰〶㠵㡡㡤晡㐰慦〴昶㘳戲㔸㔹㤷㝥㠰㐶㝡㉥㔷㉣ㅡㅡ敡㌹〸㝦㘳挹㠳挱㕥挳㜹㠰攵戹搹挵㤵㐷㌰㙡㌹昴㝣㜹㘰攲㕣搴昷挸昴昴搴昴搴扤㠷愷て㑤ㅤ㍣㌰㌱搷愸㠷つ㕦ㅥ㜱㘵㈳昴捤晡㠱㠹愵挶㑡摤慥扥㐳㙥㉣㝢ㄷ愵㝢㐴慥ㅣ扣㘷挵扣昷慤搳昷ㅥ㍥㙣摤㝦晦㕢㠷昱敡摣改戹搹㈵㕦㕡挱㉢㌴愶捥㈹摦㍢㉦慢㌶搷㈶愵㙦扢ㄷ愶收㘶昱㕦㙡晥㜸扡㙦慡扣㉡㘵挸㔷㑢㕦扡㔵ㄹㄸ攸㌸攴捣〴㐱挳㔹攳收ㄹ捥㌱㉣戵㙡〶愱敥捣挹㝡摤㜰㤲㔱㡢捥㈲昶慥㙥㙥っ㍢㘵改〶㜶㘸慦摢攱㐶挱㔹挶㐰戵ㄱ攷㙣㈰捦㤸敥〵㜹摡㜴愴敥ㅣ㙦搸戵㝣㤴㜲〳㜷㈶㐳愴㈷愶㤶㍦㌵ㄳ㌸㜳慢愶慦㘶ㄴ㜰㘳㌲摡ㅥ昳慢敤㙤㙦敢㍤㉥愷慥摥挰㌱㙦敦摤づ㌵攷㑣扦搹㜲戲㜷换㜸昱敤㌳戸扢㜷晢搴ㅥ戵昷㜹㜳敦㍥㙡㉢摢㕢㡢愱㤸扥搵㡥㘲㌱㐶㠱㘰㤰愰㐸㐰〴ㅡ㈵㠲㈱㠲㘱〰㤱晦ぢ戸㈴摤㤱㔵㕡挵搴㉡㉢㕡愵慡㔵㙡㕡㐵㙡ㄵ㑢慢㕣搰㉡慢㕡挵搶㉡㡦㘸㤵㡢㘸㤳愴攲攰愰ㄶ愷慦晦攰搴扦㝦㙦昱㝦㘶㍦昴戳㉢㙦㉦晦昷昹㕢㠷昷愰搱㐳昱愴收㝤昳ㄲ㐸慤㐵挵攰〸晥摢㥡㉢挰ㄴ搶㘱敢㍥㙢㝡扡㜶昸愰㜹㡦愹㜳㔹ㄹ挸㙦㈳㤴㌱戴ㅤ戶ㅥ戶摤㥡㜷㐹攱敥愶㔹㌳㤰慤㡤㥢㡣敢㘶扤㠶㕢ぢ㕥户㜹㘵㌹㌴㐳㜹㘳㘷㕤㙢㤰慥㙥㘵戰㤵っ搴晢㙥敥散㜶捥慣㌷攴捣㘵㍢慡㝥㝤㐷戵戳攴㝢㉢扤㙢㡦昹昲搱㘶㙤搷㡣㘶㈰搴搶搵搸㕤慢㡣慡愲㜹㑤捣慤㝡㠱㜴搵昴㈶㥤㈵扢㝡㔱晡㘵㐹㤱㈸㙢㙡愹搷戲㉡收晡挹㐵ㄷぢ〵户搶㙥㑤㤷㕡て㕣づ挱捣戲㠶昹慥㐹㍦摣㔸㌶㔷敡昲扡戶㈶搱㍢㔱戱扦慤昸㤸㔷㙤〴㜳㥥ㅢ晡㕥扤扤㘶愶戶㙥㐲搲搴㑥㜹㌵㤹捦攷㤴㔰㠰挰ㅤㄸ㄰㈲㜷㔷㙦㕥㔰㠸㐸愱㤸㡣㝣㐳㍢搹㑤㥤挱敡戰㡡扡㈴㑤㙡㙦摣㘲㌰捥㔷挹㤸っづ㑣慤㠹晡㠳㉦㝤搳ㄶ挳㌶㌱昷敡㌶搶戴昱㜸昵て慣㑢㌷㍣㘱扡戵扡昴㌳戵㥦攰㡣㡣㔱〰晤㉡〴㐲捦摤愳慡ㄳ㤷挵㠶㝥挹慥㠵慢㠵㔵㘹㕦㔸つ㔱〶つ㔹㉣㜲㙢扢㤲㜱つ㡡㡣扤〴攳〰愵㔲慥戰㡦㡤ち㈵愴㥣㑥改㤴挱换㙤㠲㥣晤摡㜸㜹搸㍡㘶搷㐳ㄹ〹攵㔱ぢㄸ㠹戴㥡㐲摦〸㐹搴㌷慢㤱挲搸㘷捤㠱㑡㑤摢つ㌷㕡㝣摢挵㈵ㄱㄱ敤捡㠲ㅤ㈷ぢ㈸ち摡攵㐱〶慦㠱㘸㍡愴㐱㜶攳ㄴㄱ㤱つ㌲㌴㍢㐶㙥㈷㌲戶捦㤰ㄱ㘸㥦㈶㐲戶㍥搸㕢㐶㤰搸扢㠹㤴㥤㝡昲攳慥㌴摢捣㤶㡦愴搹戵搸㌸攳㍡㠲敢〹㙥㈰搸て㈰㝥て〹㐷㈹㠷㝣㝢㌲㕥㠷㘷攳㈶㠲搷〳㐰㍥ㄹ㤴㌹戱愸愲つ戵ㅤ㍢㤲敤㐶㘰㈷㉢愳㌸ㄲ㐵戴㡣㥢㜶收㠸愳㄰ㅤ㕢㥤㍢㐳搷收㤵㡥扤愳㌷㙤愶㤷㐳㡡捣㘸㥡㕥敢ㄶ㑤搳ㅢ挱愶㝤敡慤㕢搰搵㤸㈰㜸〳㐰挹戸㤵㄰捡㠵〶敦昶㉣㝡㥡㤴慦〹戳㈸㌲㠶晡㔴昰㌱㈱昳〸㤰㈱攴扡㡥㉦扢㌶㌴捤挱㐹敢㌵㙦㐳ㅦ攸捤摦㌱搲㍢昴收慥摥愱扦攸㈵㕡搱户㠱扤挴㙦㝡敡㤸摢㔱㙤摣㐱㜰㈷㐰㠷㡥攱改晢愵㝡ち㤴㔹散愴㌰户㤷㕥ㄷ㘵攵㉥㙦慣㐹愵㠱㠶慤㘵搳扦㈰㐳㜸㌰㑥捥挳ㄶ昶㝣㕦搶㜱愸慤愹〲㥥㕦慥㙦㉦っ㡥昹㥥挳昲㕤ㅢ㌹㜸㑤㈸㠶㝣㕥ㅢ挸㜵搸挸ㄹ戶㘶捡攷㤴愲ㅣ敡攰㝢㝡ぢ㠹㔴愷㜶昲㘲扦散昳攵慥㈴改㐳㤲扣ㄹ摢㙡摣〵〰㈹㈱㝥搵㔳愲ㅣ㘰戳㝦㔲捤摡㉤㔶㝡昸㌲㑥㈷ㅤ㍥挴㉥㌹㌲ㄴ㌹㙣㘷攱㍦〸㐶㥣戲敤㌴㠵挵㤰戳㈴晤㉡㝣ぢ㜶㕤㤶㈲户㉣㐵捤慥慣㜸㡤挸㡡㠱㠱慥昳㜴㠶㝦㑤搱㐹㠷㤴挸攴昶捣捡㡣戳㜸㡢愸攸㠶愴㔰挹㜰つ㌵㈵㄰㈹㡦㙤㜷㐵㑣ㅦ㈲收㙥㙣㥣㜱㤰㘰㥡攰㄰㠰晥㜳㐸㥡敤㙥㍣挳㘱㠳敢㜴㘹㔷㉡戹㈲搱愰㕣㠴㉦昴ㄴ㔶㠷昹㥡户㄰摣〷搰㘱晥搰〱㤹㐱㠸ち攵㈹㐲㔴㘱っ敢㥣㉤㉦㤱〶昶㔸〸㉣捤㌵㠲搰㜳ㄸ㔹ㅡ戱收扤搳㕥㌸㙦〷㙢㠸㐴㡤㕢㜱收攱㔵改㠲扡㝣搸㍥ㅤ㘵摥摡㥡慣ㄹ㔶搹㙢㐰戴㥤㥣摦〹〷㜳㙣〷㙣㐹㜵㌶搷〴㔲㝦攷㘳っ㈱戰搳捡摦㑡㙦散戶扣摦㍣昴㡤戶㜶㜴搹づ敢㜲挸㡡㤸㡥昹愲㠵㕤㐴攴愰㌶㘸㉤慦晡㔲捥㡦㔸挷㝤扢㔶户㕤㐹㘴挰挶㘴戰㙥㐱㕥㐰㤴㘰挹㘳っ搰㜳㐷慣㘵摦㜴㠳㌵㤳〱挵㡤扤㙤㑦㉡㉣愲㕢戳戶ㅢ攰㌵ち㡢捣㡦㕡攵㔵敦ㄲ㈲戶つ挷㍤㙥慥〵㍢〲㉢㈴晡㈸㈹搴〸㑤㘸㥡㈸㙡挵㝥昱挳〳㜹㉥㐷摥换ㄳ㈸㕣攵㜴晡捣㌳戴㌷敤晡㌸㐶㐳㍢㥤㜳ㅡ㐶昴愸㔹㌸㤰㈹㠵挹愹挶晤散昳㌶㠰〷㡦㥦㍤搹㡡捣扤慣㤸戵㑥㉦㝦㠶㡣㔷㘴搱っ㠴搰㐷户㈷㈲ㄵ㤶㤱㜲挰㠱挰㌸㥦㍡挹慦㘴愹㌶愴扥㍤慤散㌱㐴㤲㠶慤〵㜳㐵搶ㄱ㡦㜶捣㜰㑦昴㐰㌳搶㌱敢㐱㕣㌷攷㌹㡥㐹搲㈲㔹㤶慢㈶㈹㜸愶ㄱ㝡愷㙣搷戰〰ㄴ晤挵㐵收㘵ㄴ㤹㤷㔵搱戰㜵㠶愱㐱㤵攷㔸摥〵搳户挳㔵挷慥ㄶ昹挰昰摤㡥愰㐹㌰㌹㈵㙦㤲ㄲ㤹㌱搱㘱捤㥦㠵挹ㄶ㑣〱摤㔳㤰愳摣㍡愲ㅦ㤴慢㠹〲晥㠹㍥ㅤ㑢㄰㌰捡㔳㙡晣ぢ㐶搳搵敤〸㠸ㅣ㤵慥㈶㜷㌰慥㍥㠱㤲㐸〸ㄱ敢ㄹ㈴〲慦㘰㑡挸搳挵㕤戰捥扡㜶〸散ㄱ㘳挷散㜰㍥〰捡〱㤰㔵挷摢ㅢㄵ㔶㔳㥤㈶㥢㕡攱㤶敥慡㌶㌵㜱㜳㜷㝤㕡㙦扣㜱㤳敡㐸愳愴ㄴ挹㔶㡤㤴㘶搹㘴㡥㍢㐹搵〸愵戸ㄳ㙤㈳戲摣愶慤㝤愷ㄴ㜹ㄹ㡡㐹搱㑣捥昸㔷㐵㈸〸昴挶㍡㡡㍥晢㙣昲㐸㐵㙣㘸〳㤴愸愷愲戲㤱㌸㈴㜸ㄲ搷㑥㙡戲ㄴ㍦㠱扦昷挴搹挵㐶搸㔶㘳㕥ㅥ㡦㙢㘶敡昵㐵ㄷ㔶㐲搵昴㙢㍢㠴愵戱戶㐸挳㈸敥散㔷晢㐷摢㥢㘲挴㤸つㄹㄶ挹昰〳㠳つ挱㕣愹㠸㉡慤戳ㄱ㙥㜵戳戸挸愷㔳搲㜴ㄵ〶捡㘱㙤㕥慥㉢㌳慣㘵挹㡦慢づ捤搳愲㤲愳㠶㌵戳ㄲ㐰愵㠷㤴攳㜱㑥㌱戸㘱㥤愱㕢ち㤷ㄸ㈰㜶攳摣㔲㌵㐴㘸户㌹〰㑦〶㍢〷㍢搸㤱㈸㜴㐲敢㡣ㄲ戴㤰㐱戸敤㡢㈰敦昴㠹㔱〸㔲㑢愵㍦ㅦㄵ㥦㝢㡡改㙢㐷㜳㐹㈶㘶㈲㠶扢㌲慣〷㈰㌷ㅤ㤹㈴ㄷ㡤㈷〱昳㐸戲㈹愱㌵㥣㤴搱挴ㄸ愱挹攷㠷戸挵挳㔸搶㈸搹愶㡥㝢㙥愱つ㙤㕡摦搸㘳㥤㜴慢昵㐶㑤㉡㔵㥣挸㙡愵㤱㜷〴扥搴ㄵ挰㠸㥢㌲昶㈵摥㤴㤳㌸㑡㜱挹㐴㔲晦㜶户㜱ㄴ摤㤵㤰挳ㄸ㤱敡㘳〰㌲挳㉤愷〲㘲㕤昷ㄴ㘸ㅦ敥㙤㕤㘰㔰㤷攷㈰搲扡㡡㈸换ㄶ㜰ㅦ慦ㄹ㐵㔶摣㤶㙡戶攰㉤㜸戴搹㔳㐵㈷散愸㘸㐷攰〸敢㡣〴㕥愱〰㘳愴㑦敥攰㈰戹慢㜱㜴昷敡ㄳ敡㌱㜷ㄵ愸㔰ㄸ㄰㡣昱昲ㄴ㤴挳慥㠲㤱㘸㜰㙢㉤慢㕢㌰晡㑢换摢㤸〱㄰っ〳搳愰㐵换挸挰㤹㐳㝥㙢〳攷ㄶ戴捡㠸㤰愶㠳愹㡣㔱㡥挳㘱て愴㠱㥢㜸㤰㕥昶愰㠴挲㝤敡㘲㔸㜲㌷㜱搲挱ㄱ挸昳慦敢㈸㕣㌲㐳㕣㝦㜱昷㜷ㄴ捦搴㙡㌴㜷攱㥦摢ㄱ㔸挵搵㡤挸ㅣ摤搷㜱㈹㑢慤㠹昶摤㙤ㅤㄵ昱㘵挱㐳昳㔳㈷捣戰扡㕡づ㌷愲㡢㕢晤㤲㠴晥㝤昸㈳㌶㝤㍢㙤收扣换㡢愸敢摣晢搲㐵搷扢攴慡㜹改〱㙦晤㠱㐲㜰㠵㜲㤰㤳㉣攵晥㡥㝦㉡㘹㌹晤㝢ㄸ㜱㍢搳收〰㉤〷〹挷㔱㈹㤲〶ㄳ挸㘷搰〹㙣昷收慤〱搲挹扥づ㍡㔱㠲㘰㤷㔰摣ぢ慦ㄸ愱㠸敦〲慤㈴㤶攸㐸㡥㍤晦㉡㔸㕦㍣㡦ㄲ㈲ㅣ捦戱ㄸ搱摦㠰㕣〶敡㤴㈰㡦慦㜸昰㐲挸晦ㅦ㉣㈵摣扣㈹㍢晤ㅦ㌰戳㜸慥ㄳ㐵㌷ㄳ㐵摦改㐲㤱攰㌵㄰挵扦て㈲㤳㈴㥤攱搹㤷ㄴ〸攷㥡㜶て愰慦晡㠵摦㝦攰〱㜴㈱㈶づ㘵愳㈱搴㜶㍢㥥㥢㈶挲㐰㤷㠹挰攰扤㌲ㄱ㑥㈱㈳ㄸ挵㡦㑣㠴搸〷戲㠸㠲慤㑤〴挶昶㌲っ挱㔴愸㌵攵搶攰〹散㍡㠷晥戱ㄳ戸㜸㉢〳挴昳愱戴㠲㌹㜸愴慥敦㉥㕥㌲㝤搳搹慦捡㡦晢ㄲ捡捣㕦挶㑤㙥搵㠵㍤㙥摣戴㐶㜵摡挴㔷㤱㜸搹㜷晤㈹摢扢扦づ㑣㐵㈹㜲摦㡢愲㈸扣っ㑦㠹攰戹㈱昷㙦晢扥㜱晣户㡦㍤㜹㤴户搵㘲㕡搵敦㐲扥㥦㤰㍤敤〹〴㜵㔳ㄷ㐵慥攵㠷㌹愷昰㠹㤲扤㔶㤷戳愶慦慣愰挰㜰㤲㙣㐴㜸㈹挲㡣㠸㙦㈷㤸㤸戸昷㄰㤹㤸㔳ㅤ敥㑥昵㘱㤳㜲ㄱ㑥愵㈶慥㝣㝡㐹搸㔰昴㔴㘴㝤㕡㥢晡户愰㡡㕥攲㐴摡慤㐴㥥㍡㤹㠴昸㘶愷慥㍢㑣㕤ㄷㅤ㘴ㄸ昶㑦愴ㄴ攲て愴㤰昴㐱㠶ㄷ〲㤴㤴㍡㠳㡣㝥㌷㐰㐶㘴慤㌳挴㑢㝦挰慥㄰㤰捤㑢㝦㝤㝥挴㠲㕤〴ㄶㄳ㕦㝣扦㈷㕡摡愲㠹㙡㘲愸㔶搹㌴㘵㘴搴攱㠵〵搳㐹改㌲㌲㐹搲て㈱户㙤㜷ㄴ㕦㌲攲㐴㠱户㠸戱㜵㠷扥戶㤲昳㠰摢挰捤て攸㤹㠲㔲ㄸ敥㕥ㄶ攳㐰慡㘲㜴㔱搳㔲㔴㐴㌸ㅡ㘵㥢㥤㠶攲㉡攸㉣㜷㍦㑥愵〸晥昱㑢㈱搶㑦戶㠶扥戶戳㠶㍡捥ㅤ挴〲昹㠳晤㜵㜳〶㘳攳慤攴ㄸ㐸搸㙤戵㉡㐶搷挳捦愲ぢㄷ㥤ㄳ㐶㉢慢㥥挵㘱晣㐹㌸㙢㐰敢搲晦㡣㕥㉢捥㍡挷摥っ㘳户改晦㜷愲㘰㑢晤㉦ㄸ㝢㔳㠸㝣㔷㥣攱㠳捥昸挹㤶㈱ㅢ敥〸㍣摢〸摥愸㠳戱愱戲っ㜹㐷戹㌲㍥㕥㡤慡㤵〴㠷摦㉢摦㜹㌵愲搹㤷戶敤㔰㑦〱挸搸㤰晥㔵㠸愰㥥晤摢攵㔶㜲扡㉤扣ㅢㅤ昷㥤戲慢扥ㄷ㜸㔶㌸㔱㐶搰㜷㠲摦㥥㔹戰㜹㘶挴㔷㍡㠵摡㙤搸㠹攱昷愲捦改㐵〸散搳㌲㝣愵㘲㤱㡣㉣㙣㉦㤲挱敦㤰挶㔲攱㈵㙡㠷攰ㅡ敢愱㠶㔹挷愷慢㡢昰㜵㠶㉣摡ㄱ捡㉥昲㌸㜷摥搰攰搶攱㡥搶㍢攰て㤲昵㈹〴挷搴ㄲ摥晤㕥敥㙢攷ㅥ戴户㡤搷ㄶ戰㘵㝦㍥户㤲晥っ㜰扡扤户戴㤳っ摦挹㉦㤲㑢㐶㠵㄰㤷昶㡦攲敦昶ㅤ戴ㅣ㙤ㅣ㜴ㅥ㝦搰㑤㐷搸㘴ㅤ敥戳㙤㐴扦捦愳慢㤸㈱挰捦㌰攳っㅦ〴扤㝣㘴㐵昱㐵㉣㡢っ㠰㝣慥㔰〵攸㑤搵㑦㙦㐶搵㘳て戲㈷㤲攰ㄹ㠳攴㔸ㄲ㥦㐷㐳㙥㔷戴㙣戰〴㤷㉤搴㔹〲㜹㈳改㠱㝣㑥昰㉣愱㈶昲㔹㜴㘸㑥挴㐶㘹敦㠹㝣㘶戳㠹〸㕡〱㙡愱改昱挷ㄲ㉤㘲搴㔱㙤㌸〴㉥㠱〷㌰㤶㈸㤳㔱捡㐷ち㥤㐲ㄴ㘳㜸㥥㈸㐲晡㐵晣昷挵愳㍦㝦㠱改㑦㐷㠵㤲㠸愸㙡㕦〵㈵愲㕡挵挷搳慢昰㔱摡㝢ㄵㅦ摤㙣ㄵ㘳ㄴ㤶㥣㠹ㄱ〲㡣っ㠸ち晥愸㔵㌵㤰攱㠶昲㈷捥ㄳ攰搷㌶㡢㌱ㄳ㈵慡敦㈵㘴搰㤷㍢慦㕡㕤㐶㈶改慢㜳㈳㌲扥昲㔱㠶ㄲ㙦㐴搲愹㔳㠸扣戲㠵㐸㍤ㄶ㥤搸ㅤ扢㈳㠴〴㤶挴捦㘶㝢捡昶㐲㥦愱㝥昱挱〴㌱㈷㑥㈴㥦㔰㘹㜱昰〹㠴ㄱ㤹愶㈴㈴㙥愴昸㡦愴昱户㥦㙤昹㑥㔱㠱〴敡㠹ㅡ㤳攰㔴攳て㈴㡤て攱昳㉣搵㈶挷慢〴㑣㉦㈶㡤㐹㤸慡昱㤳㐹攳㍦ㅥ摡摦㙣㥣搰㘱㌴戲㑥㈲挹㌰㝡搵㌱㈰昵愹昶㈸㥡敢ㄶㄵ改㤰ㄵㄵ㔳㠴慡ㄸ㜲㕤愹搲㘱摣ち昱昱戱昴〲㉥㌹攱㉥〸愴㙤昴晦㑣㌸㠹换㑦昳㘶㘸攲㕢攸㜵㐴㥤㝤㐳㍤戱㜳挱㕡昴㔱㌰㘸㥤っ㜰戸慡敤㈸ㄲ㠱㕤㤰㡦昶㜷ぢ敦㝣㠶つ搹摡㡦㈴㕡愶昱㌲㐹㝦㕡㐴㐵㔸昲攲㝤〹㘶㜳㔷㕡㌴㘳㍣〱攴㐰㑣〲㌲㘳㕣〱㡣㈲㌲晢㔸㌰㐶晥㔷捣晤㍥㔶扣㥦攰㐹㠰㤲㈰戳㤳づちㅦ〰ㄸ㑤晥㡦ㄵㄳ敢捡㜱愲㠹挷㤲㤷愵挹挸昸㈰㍢㝣〸㘰〰㝥㕣ㄱㄳ㘱挹昸㑦㤴愴㕦㑡挱愱㕥晡㘱㔶㝣㠴攰愳〰㈵㥤㤳摤昶慥㜱㑤㝤慡戰㡦愱慢戸㐲㠰㥦昱昱㌸挳〷㥤晢昰捦扤㡤㘶㥥㠹㤳㉦晣ㄱ昳㙣晢㤴晦〱㝣㥡扦挱㐵て攰晦㑣愲㉢ぢ㍦慦扤慤扦戱挸〴㌴捥搵㙦つ㥢晤㌲挶攱扡㕡愱ㄴ㡥㐸愵㔲搴ち㠲昸收㠲㠵㠷㌷昰㉤㐷㔴㠵㄰愴〱㔵攱挶ㄵ㐷㔱㘰㝣㤲㑤㠹㘳攲挹昸ㄴ㥦㠸㕡戵㠹㥦㡥㌳㝣㄰挴慢敡晥㐸摣㍤㜹㈱㜱慤㉡散㡥ㄷㄲ晦慡㘲㌵晤挲愷㌸㤸㐲ㄶ㌲敤㕡㠹㐸㔳㌴昴㜹㘴㐶〶㐶㌹户㠷昱搳㉥㡢敡昹摡昹昳㝦ㅤ捤㑦摣㤸㝦攷摢㠷㥦㝡昱愷扦晢挴㉦摦㜳攴て㝦㝢晡改㕦晥搷㈷㕥昸摢昷㔷㡥晣昸㤹㘷㝥昴攰㤷㕥昸摤㕥敢换摡戳㝦㕤昸昲攳搳ㄷㅦ㝦搴㍡㝢搷昱挷摦昵挸㐳搳㑢搷㑣づっっづ摥㌹晥㤳ㅢ摥㌴㜶攵搱攷挴て㝦㝤扤㉢搴㜲昱㠲昶㘹㜰搹㙡ㅡ㕦㐰〶搳攰㡣㕦搵㘹㜰戹㙡愳㔶攲㡤㥡㐵㐱ㄱ捥つ㑥㐰㔵㤸敤ㄵ㐳晦ぢ昹㉢戳昶</t>
  </si>
  <si>
    <t>Better</t>
  </si>
  <si>
    <t>Worse</t>
  </si>
  <si>
    <t>Base</t>
  </si>
  <si>
    <t>㜸〱敤㕣㝤㜸㕣㔵㤹㥦㌳挹摣捣㤹㈴捤昴㤳慦ちㄱ㡡㈲愹搹㑣㘶㤲捣愸戵昹敡㐷㑡晡㤹㤶戲㉡愶㜷㘶敥㙤愶㥤㡦㌰㌳㘹ㄳ〴㐱㘵摤昵搹攷㔹搷㜶㐱挱慥昸㠵㉥㡡㡢〲慢㍥㡡て捡搳㐵挰扡敢戲㉣㠲㡡㈲愰慢㠲㉥戸㍣捡扡ㄵ昶昷㍢昷摥挹㥤㍢㤳愴搴晡㙣晦昰戶昷㥤㜳摥昳㥥慦昷扣攷㥣昷㝤捦戹昱〹㥦捦昷㌲ㅥ晥昲㘹㘴㘰攵搸㑣愹㙣攴㍡㠷ち搹慣㤱㉡㘷ち昹㔲攷㐰戱愸捦㡣㘶㑡攵〶㄰㘸攳ㄹ愴㤷〲攳愵捣㤵㐶㜰晣㠰㔱㉣㠱㈸攰昳〵㠳搲捦㜴晢つ㍢ㄱ挹㕣戲㤱〰㔴㍥㐹〲搹㐴㄰〴㘸㤱〰㍢㠷〶户㈶昷愱扡戱㜲愱㘸慣㙥扦搴㉡㜴㑤㈴搲ㄹ改㡣昵㐴扡㍢扢㔶户て㑤㘵换㔳㐵㘳㑤摥㤸㉡ㄷ昵散敡昶㙤㔳挹㙣㈶㜵㠹㌱戳戳戰摦挸慦㌱㤲㕤搱愴ㅥ㡢㐷㘲㍤㍤㘶㈲ㄱ㙦〹愱攴㉤㐳㠳摢㡡㠶㔹㍡㔵㘵㌶戳捣慤㐳㠳㥤㕢㡣昲愹㉡戳〵㘵愲挸攱㐲㑥捦攴㑦㔱愱〱㌲扤㘷搸㐸㘵㌸㍡㠶㔱捣攴昷㜶愲搹㔵㡣㐶慣慦㜳愰㔴㥡捡㑤㜲愰㠷㡣㙣㜶㠷㘱㜲㔴㘴㙥戸㔴摥愶ㄷ㜳愵㤶ㅣ昹㘷ㄴ㡤㝣捡㈸㉤捡慤㥢㑥ㄹ㔹㥢戰ㄴ捣㕤慡ㄷ户攸㌹愳㤱㠱戶㥣㌵㠶㈳㘹㈳㕦捥㤴㘷㕡㜳扢㑡挶づ㍤扦搷㈰㐹㈰户㘱㉡㤳ㄶ㡤㡤昸敦㙢㜸㙤扤㤶愹㠱㐲㝢㜲㐳ㄳ㝡戱慣㘲ㅣ挲㐸㍤㕡㤷戸愸㕥㔴戵㡢㈲搵敥挹挵㌱ㅢ换攴㉥㌱㡡㜹㈳换㑡㌸㤲ㅤㅥ㈲挵㈰㙢ㅣ㉡㥣㜲扡挳㔱ㄲ捤昶散㘰㕦㔸㡢搶ち戰㝥戴戰㜷㑢愱㤸㠳㑣㙥㌶昴晣㥡㔸扣慦㌳ㅥ敢㑥昴昶挵㝢攲戱摥㐸慣㜷昵㔸㌹㍤㙣ㅣ㔸ㄳ㠹㐶㍢㈳戱㘸扣ㅢ晦㘳㕤愰敢㕥㍤㕡㐸改㘴晥㥡㉥戹〸㘵挹㌶㤶ㅡ〶㌸〳ㄲ搶㥥搲㈷㌳㘵㍤摢㙥㑣㑦ㅡ昹㜴㠶昲㉦ㄷ㤳㙣〹㠰㘸晣㈵㘶慦扢㐹散㤳㝦㕣昷㡦㈷晤攳㈹晦㜸摡㍦㙥昸挷㑤晦昸㕥晦昸㠴㝦㍣攳ㅦ摦攷ㅦ摦てㅡ攷〹㌶㌵昹敤攷摥戸㙦挹攸㐵捦てㅦ晡摦挷㕥㜸敢㜹㘷扤㔵㜰挲慡昹扥っ㠱㡥㕤昹㡣㠹㉥慥摥㥣㐱㑢㍢扢愲㤱㥥搵㥢昵㘹ㄵ㡣昷㜴戹㥦㕥戹ㅣㄹ攴ち〰敤っ㠰㘵㍢㡤㘲㉥㤳㐷㈷昶ㄶぢ〷换ㄳ敤㐵扤㙣挸㌳㐹㜳ㄶ㠰㄰㍦㐵㈷搸㤱攷摥㝣摦㘷㈲㌷扣㝤昸昶㠶挹ㄷ㍥㝤搳换㌱挱搵㐲戵攰ㅣ〴㙡㤸摣ㄷ㐵㌳扡㈳㠹㍥慢昲㐸挴㘱㌲㜰㥤戱㘸㈲ㅥ㡤昷昴㜵昷㜶挵搱㔴ㄷ㤳㔷戲攲㔷〱㘸攷〲㠴挸攴㑣㍥㔵挸ㄹ昲㍣愶戴〳〸昱㈳扢㐹㙦㌷晡㙥摦扢晤㈷㐳㕦戹㙤㘶㘶搹㔷㕢〶〵搷㉥搵愴昳ㄱ㐸㜸㤸搲ㄷ㠹挷ㄲ㕤扤搱㘸㙦㍣摥摢搵ㄵ㡢㌹㉣㡡昷愱ㄱ㍤摤㤱㜸愲愷扢㉦ㅡ㑤㐴攴〵挸㉥㔷〱㘸ㄷ〲戴つㄵ㑡攵昶㠲改っ户㝣つ㤳㕦ぢ㈰挴愳㜶㔳扥戳摢晣搱㜱㙤挵昰ㄷ昶扥㙡戹晦摥攵㍦ㄷ㕣㐱㔵㔳㕥㠷㐰つ㜷扡㈳㥤㠹〴㈴慦㉢摥搷ㄷ㠹㈶ㄲ戳㈲ㄸ改改㡣㄰ㄵ敦敥㡥昵昴㐶扡ㄲ㙥敥㕣捣㡡㍢〰戴搵〰㉤挳挶㘴ㄱ㑢㠸ㄲ㔰昹㝡愶㜵〲〸昱㙦㜶愳ㅥㄵ㜷㍥㤰昹搴摦っ摥㜸捦昵ㅦ㌹昲攱敤〳〱慥ㅤ搱㝡㤳捡㍢㕦搷㘳㥤㑦改愵戲扤㤴戰㌳愷㜶愵㔹㜸愱㔹㕦㑣晤昱ㄷㅡ㔴㜲㑡ㄶㅡ搹㐵敥㐷〰戴㙥㠰戶〳㝡㜶捡㘸㥦㌴㡡敤㈵㉣㤶㠶㡣㌲㌹〶㈰挴户散挱改㤸摡㜰敥戲攵㠷搷㕦户㘷昹㈵㕦㍥昲捣昵㉤扤㐸摥㙥㉦㘰挳㐵晤㈰戶㠴搹摤〶㕢㉣晦㉤扣捤㘲㤷㌵㝢捣㍥㌳ㄲ㐹昷㜴改㔱㍤挰㘵敢㐴搷㜳㉥㙣㉤收敥㑣㍥㕤㌸愸ㄶ昸㤵㠳㝡挹㤸ㅤ㠶づ㍢㙤戰㌰㤵㑦㤷捥愹㥦㌸㔶挶ち㜲戶㌷㙤戶㤰㥡㙣㘳搸晥㡣㤲慡敦㕣㙦戶㑢挹挸㠱改㡣㤵晣㉡㑦㌲㌶扦㐲㜲敥搴昵㐵攳㡡㑡㙡㑤㡢〶愰㍥ㅤ㔰㘵搷昴搲㑡戲摡搵㍥㌴㔱㈸ㄹ㜹搵扣㡥摣戶㑣㙡扦㔱ㅣ㌳愸㝣ㄹ㘹搵搵攵㑣戲㜷攰㡥慤㜹㜴ㄴ㝢㙡晡㝣㌷搶㕣㌷㕤挶〶㘱愴搱㕥〸㐵㜹㘶愷㥥捣ㅡ㉢慡㐸慣㍡㤱㜰㔶ㄵ㝡㝤㈱㌵㔵ㅡ㉡攴换挵㐲戶㍡㘵㈰㝤㐰挷慥㥦摥㕣㐸ㅢ搸戴ㅢ昹昸㠴慦愱㐱〸摦挵昵㈶㌹换㉤㜵慡㠱㜰つ㌱昷昰㌳慢挵慥㜳〷㝡㠷㕥㘴つ捡愴㝦搵〲㠵愹㜲㔹捣敢收㈶㜴昵㠹㥡㉡愹㉦㥡㥢㕡戵戱㌲㜲㝦㕣㘲扦㝦愹摤晢㜵〷愰ㄹ㙤搴昳改慣㔱㥣㔷捦ㄶ㙣㤱散〳〸摣㡦搹㍣㈷昷戸㐷㡢㘹㌱ㄳ㌸㤸㐹㤷㈷戴〹㈳戳㜷愲っㅣ㜴昱㘰㤰慣慤㜹㘴〲㈸昹〶㠲㌷〲㠴㐲㍥敤㑤㈴搲㐲㜲㡤ㄵて㔰〳㜹攵㍡ㄷ戵㝤愹㜴㍣㈸攴愵㐰づぢ㝣愹愱愱㕥㉦㌷敡愵㠹㌲挵㜳摥㐴㙡㔷昲捤〴㙢〱〲㔴㝡ㄶ㔴改搸昲㐶㙡慥慤戹㘱挳搴㘱㉦愸搹㉤昴㐰捥㔲㐱㠷㡤㔲㑡㔲㔷ㅤ挱㕣㤹搶㄰挲攴㙦挹㔱晡㡤改昲戰㕥搶㥢㜲搰㝡㌱㑡ㄲ㐴ㅤ㉡㤷ㄵ㘲捥㔶㠵㜳㜲㠷散ㄸ㑡〸慢愰慢㤴㘶㠵戰㑡挲挴挱㝣昱㌵搸㜰晥㑥愰敤摣㉥㌴慦愰㔷㙢慦㔰慡搳ㅢ㡣晣捥㤹㐹愳㐴昲愰㌶㉦㉢扤搳㡢㠵㙤㑤㈵㜷㤵㌳搹㔲㈷㕡扡愱㔸㤸㥡㍣㤵攵戰㉣搹て攰㍣㠱㝢㈰挵㈷摥㈷摡愱㑤㙡㠷ㅢㅦ昷〵㔹ㅡ㌱㤲㥢㠷愴戴愲戰㤷昱愳ㅥ㌹㡣㥦搰㝣㘹〱敡捡慦㐴搳愷摥搹㤲〳㠷㜶ㄶつ㘵扢〴㔵〴摣㙥捤敤㉥ㄴ昷㈷ぢ㠵晤㤴愷㐵㉡㔶㥡㌰㡣㌲敤㠱㘶摢晥㔱㜶㡥㄰つつ㔵㥡戹换㜰愰㈵愱㙤〴㘸ㅤ挸㘶摢㥤ㄲ㑢摡〸㔰つ戰㑣戴㑤〸㉣ㅢ挲挶搸ㅥ㙢㔷㠳搳摥ㅢ敤㥣捥㤶愶挵㍦愱攷搴㤵㜷挹㡢摦㍣㤴戸㘵换㉤㜷晤散㜰敡昰敡挷挵㕤㜶㐲㡤ㅡ㑦㘵㕣ㄹㄶ㥢ㄱ㄰㜷㠰㡣㉢ち挲搵㡦摣㡡戸摣㐶戰ㅤ〰敢㠲攲㌴㤶㠵㌱㉢㉡愸搰㜳㠲挹㥤〴扢〰〴㤵㜸㘵㡤㕣㡡㠰昳㠸㕢㔱晥㍤㜸搵㤸搱〲愸ㅤ戳户〰ㅢ㤲昳愴〹㥡〶ㅣ㌷㐹㍥㐹㜲㐶㤲㉢攲㘶ㄴ㕣㤷〱ㅦ戱ㄳ㙡慣〸㉡晣㡡〱㈹收㍦〲戲晡っ㌰㔸㠷㐹戰ㄷ挰挵㠰㡣ㄵㄵ㌴ㅡㄴ〳昶㤱㘸㍦㠰愰挹愰ㄸ㤰㐵挰㜹挴㘱搴㜱て㕥挵〰㕡ㄹ戵っ㤸〴㌶㈴攷㐹ㄳ敤愰愸挷㠰昷愱攰扡っ昸㉢㍢愱挶㘶愱慤愱ㄸ㌰㠳㠰㜸㉦挸敡㌳攰ㅤ㐸㤶㔷ㄱ㕣つ攰㘲挰㌵㔶㔴搰㕥㔱っ戸ㄶ〱昹㉥〰㐱㐳㐵㌱攰摤〸㌸㡦戸ㅡ㜵摣㠳㔷㌱㠰〶㑥㉤〳摥ぢ㙣㐸捥㤳㈶㘸晥搴㘳㐰〹〵搷㘵㐰搱㑥愸戱㤴㉥㐶㐹㡡〱敦㐷㐰㑣㠲慣㍥〳㍥㠰㘴㜹㠸攰㌰㠰㡢〱搷㕢㔱搱㠱㕦挵㠰ㅢ㐸昴㐱〰㐱愳㐸㌱攰㐳〸㌸㡦搸㡢㍡敥挱慢ㄸ㐰㑢慡㤶〱㐷㠰つ挹㜹搲㐴㈷㈸敡㌱攰㜲ㄴ㕣㤷〱㙦戳ㄳ㙡慣戲㉥㤴㌴㡦㠶㕥㘵〸搱摡慦搲搰㕢捣昵㤹㙣搹㈸㉡㈵慣捤挴㡦攵㔳㔲昱㔶㉡㥥㐵㍤㘵㜹㙢㤶㤹㐳搰㍤攱挴㉡捦捣㙡攳㌵扡慦愵ㅡ晥㐹挳㍦敤㌴㝣愵摦㔷㘹昹昳㘸搰㄰ㅡ㡦㡥㍦㍦戱㑢㠸㐲㄰戱扡晢戱ㄲ愹㑥㤴㕣㉤㘴愴昷㉡て捡㔳㔷愱㜷ぢ㈱愹扢收搶晣㈹散戵㐲捡㑣㜳㙡搹㔴愴晦㘴愳㜸捦〲㉣ㅢ攵ㄶ昰㐶㝥㡡攰搳〴晦㐰㜰㉢㠰戸ㄴ㡢ㄱ㤷搹〰㈲摣㜸㡥挲㐰㜸㑡慤㠷㥦㈵捤㙤〴㥦〳㜰㉤戳户㈳慡㝤ㅥ愰捤昱づ戵㕢㈲ㄶ昲㠹〸搱㜸攵ㄷ〸敥〰㘸戹ㄳ㘰换㐶㈳ぢ㝢昷㔴戹昷〳㜴愳捣慦愱㐳㝥戸㈸慦挸㡤捤攴㔳ㄳ挵㐲ㅥ愷㈰㌴ㅣ〶㔲昰㡦㤷㠴慥攵㐶ぢ㐳㔳㘵㉤户㌱㠳㥦㤶摣づ㘳搲搰换㐳昰㘷挰㉡ㄹ㠵挷㑢搹ㅣ㈳改改晦㑦㥢挴㐷挳ㄱ慥愲㔹戳㐴㜸㘷慦㘵ㅤ搸散敤ㅣ㉥攰慣挵㔰攷㐰㘴扢愶挱扥㍣つ㡤づ㥦扣ぢ慤扢昹昹捦扣昱挲扦扦晤㘵晢昷ㅡ㐸愱㝡㘴㌷ㄲ㙢㜷攲㉦〱ㅢ㥡㉦㑤挴㐰㔱搹㠹戵扢ㄱ㙢㠰ㄸ㔸ち改㈰㡡慥扢ㅢて搸〹㕥㌷㕣愰て昹㕦㠱晢㠴收㡦㌴㉦捤ㄸ〷㘹敦㉤㌲㜱愸㌲㌴㔵㉡ㄷ㤴㜱摡㙡づㄷ戶ㄴ捡挳㤹搲㘴㔶㥦㔹㙡摡㠱摤ㄳ㐶ㅥ慥愳㈲㍣㐸ㅥ㕣㘱㜲搲㐸㑢㜳慣㌰㔵㑣ㄹ㈳挳愷㠳㙢〹晤㠳㉣㉡慦㤲㕦攰㌹㌹㙦〹愴㔹㘰㌱挱攳ぢ搰挷攱㌵㝡㕤ㅢ挶慣㙥ㄲ〶㘱摢㉣㐷㜷㘶捡㔹愳搹㔴改㉡ㅣ㌴挱㐵昸攳搲㑤收捥〹ㄸ㠳挳慤收㠶㘲㈶㥤捤攴つづ〶昴ㅤ㥥㔴㡤ㅡ㝢攱㝢摢㔶㈸㘵㜸㤰搳㙡敥㉣敡昹搲㈴摤〸愹㤹㈵㔵㌱㌵昷〳收㘰㈶㕦㐲㌵㙡ㄴㄹ㙥㌳挷㈶ち〷㜱攲㍡㤵换㙦搰㈷㑢愷挵愸㜰慤戶ㅥ㌵㌴挲㉦晣㝥ㄱ昴〷㑦㜶㝣戴慦愳戴ㄵ㌸㉡换慢愳戲㜶㠸㙡戹㤸㐹㑥㤱㘷慡ㅥ捥捥㐶〲㌵㡣扥〰㥤㔴昳㙣晢摣晣㙤愷㈸ㅤ㝥㙣㙥搵〹㐲㕤摦㔳攵㈴㥢ㅢ扥晣〶昳摣ぢ戰㘹挳慥㤱㔹㔷昸ㅦ㜴敡ㅣ愰㕢捤扢㤸㝡㠵慦攲㜹㔴搶戹㈵㐵挴㔱愸㌰㌹㈱っ㡣㜹㈵㌳㘴㉡ㅡち改愲搹攰㝡㌸慦㕡捣㔱㍤㘹㘴戱㙤收昴昲㈲㉢㐲ㄵ〸㐷㤲㈵㍢㙤愸㤰换改㤴㍡㑡散㔸㑡捦ㅡ㐱㜳㘰慡㕣挰㠱㥥㌴〱㤴㘸摡㈸㝤ㅡ㈸㝤㕡愱㕡捣ㅤ昴挵慢㌰换㉡散搵㡢㤹昲㐴㉥㤳ち㌲㐲㝦昹㘹㈱慥㔸㐲搴愶〶敥昳㜱㤶ㄳ敦㘶㙥㙤㙢ㄸ敥㑥愸ㄶ㘴ㅤ㠷ㅦ㐲敤ㄷㅡ晥㠹㤳㜴搵㘲昱㔱晢㡡㍣㡡搲〲搰㜴搴㙡㠴ㅦ㥦敦㌹㘵〴㌲㜰つ㐴㔴慤㑦㠲㥥㔶捡慢晣㘷㍢挰㐸㈳㥤㥤昳晡昱㜸㐸ㄶㅡ㉤攸改昵㌰戸ち挵㈶晢㤶㐴㄰㐳换搵愶ㄸ愶㘷㜵〸捥㝡ㅣ〲ㅣ挸愴㡤㘲㤰㠸㌱㈸㈸㡤昴挹㙡搶ㄸ㤲㌷扥㐰愰㌹㔸慦慥ㄱ愷慣㔵戶扦捡㝤つ㘴愴愶晣㘷户挷搷戲户愱㄰㑦㈲攵㝤〴摦〴㄰㙢〱搸ㅦて挱晤㈴㜸〰㈰搰て攰ㅤ㥢㙡㈷㈷㕣愱ㄲ㐴㡤敡㝥〱摤慦㐱戸㉡㤵摦㌶愰㍡搲散昲户㙡㤶慢㌵攸㕣㕡搰挶㜸㈸㤶づ㔹㑢㉣搵㌳敡㍡㝥㝦㈳㠶㕡昳㕡挲㌵搵愲戰摣㤸愱ㅣ戱㠲扢慦昶㈰挰㜹㥣㉣㈸㝦㝣慥㘳昹㌷㠱㠸㙡〶㝥搴ㄳち挹㘳っ㠴挴㌰愰挳㡣㔶㘲㐲ㅣ㐹昹㙤㠲㝦〱㄰㥢〱愸ㄵ戸昶㌰戱ㄵ㔱敥㘳㍥敤㕦〱㤶搹㐷捤ぢ慥㥡㘲ㅢ愸㤵㝢晦㍢〸㠸敤〰㕣㤰㉡〲晡㄰挲ぢぢ攸ㄸ㜳攰㤵晦㙥〷ㄸㄱ㜴晣㌹晤㐰搰ㄹ昵㠷ㄱ㤴晦〱㈰攸ㄴ慣㐳昰〸〹扥㑢〲晡〹晢昱㙡㡦〲慣㜴㌸㕡昷㠲㐰ㅤ㜶㝥て㤹挰㑥㍡て㥤㕡㕡㠸戱搸昹㝤〴攵て〰〴ㅤ㝤㕥㜶ㅡ挰㔹散㝣ㅣ愱㔷戰つ〹ㄳ昴㡡愱㍦㐴㐰散〵愸㘲攸ㄳ㐰㉣捣㔰晡㄰ㄵ㐳㝦㙣〷ㄴ㐳昷㈱攲昴挴㌵㡤㥥〴㕡㍥㐵挲晤昵〹㥥㈶挱㑦㐸㤰〵攸挷慢晤ㄴ㘰㠹挳㔰搷愵㠶㍡㙣晣ㄹ㐸挱挶㐹㐰愷㜲ㄷㅢ㝦づ戴晣〵㠰愰搵收㘵攳㍢㠰戳搸昸っ㐲㈷㉥㤵㔷㠱㕡㌱昱㔹〴〴晤㡢㔵㑣晣ㄵ㄰ぢ㌳㤱㝥㐸挵挴晦戲〳㡡㠹搷㈲攲昴〳㐱㐷㉡㥦㐳㔰㍥て㈰摥〵㔰㠷攰搷㈴昸㙦ㄲ扣ㅢ愰ㅦ慦昶〲挰ㄹづㄳ扤㜷㌲敡㜰昲㌷愰〷㈷摦ぢ攸㔴攰㥡摦扦〵㕡扥〸㈰摥て攰攵攴〷㠰戳㌸昹㍦〸扤ㄲ㠱㍣〴㝡挵换摦㈱㈰づ〳㔴昱昲㌸㄰ぢ昳㤲㉥㑤挵换摦摢〱挵换ㅢ㄰㜱㝡攲㐷搸㕥搷㕦㐲㔰㜲㘱ㄳㅦ慣㑦挰愲㈴㤷㔸㐱㌷㘸㍦㕥捤㡦搸㌲㠷㤷㔵昷㐸敡㌰㔲摤㍣っ㠹㈳慥搲㕤㈲ㄹ㘰改ㅡ㐰攰ㄶ㄰捣愳㕢挱㈸㜳昹愴ㄶ戱ㄹ㈶ㄶ捥㌲搴ㅥ戶㘴㝤愶㡣〵扣挵〴㐰㔰㌹㡦捥㔶敡㤰㉢㔳㐷挵搲㍡慦㌶愹捡昴㍡户㌶摤㙤㡢慤慡㤳㙣㔹㘹㉥攳㙣㈱㈲㘵慤搵㘹攳改㘴扥〹换㤹㘰㕢㜰攲挲戹㕤㙦㉥扥㔳晤晥〳㡣㍤愵㙣攱晥㈸㘴〲愲㐷扢㑦㑡㠴㘹晢㝤㙡㐱ㄱ㜱㜹㈲戹扢㠷㘸晦㔹戸㔶摢搵㍤㤲㉦㐱㝤ち搹㌱㈸挷㡢散攰搶愹㜲㔵㡡㍥扤搴㑥挱㐹摥搶㍣㑣㥡㤴㕥㑣㥦㈶晡㌰晡㘶㔹㙥㑡戵㍤㐹慢ㅡ㠵昰㜱㘹戱昰㤵㠴㙣㕥㝦ㅡ㈹慦挴㤱摢〶晡㔶戲扢攲摦つ㌲挶㑢㤳㙡ㄴ慣㕢㤲捡挵戱捤㠰㝦〲搷㐸戳挶㔲㤵愱ㄲ㔵扡㥦㌴〷㤲㈵㤸换㘵ㅡ㐲㜶㐸㑤㜴㘹敥㌰戲戸慥㜶挰㠰摤㘲㠷戶愵捡㌸戶愸ㄴ挰㉢㌵愷捦〸㠱㈳㡤昶㈸〹㌵㑥摡㍣敢㕢㜵㈷㌸㠷㑥㜲㔴㌱㝥愶㝡㝥戵㔶摣㜴㈳㥦㕢搷晡㥣㠰敤㐴愱㉢㜷ㅥ昳ㅢ㙢慤摢敢捥㤹戴搴㌹っ戲㔶㌸戵㜸戵㌸㌸摡攸慤㜴愷ㄴ换戸㜷挶㙢㝦㙤㥣㍡㔹ㄸ㌱攵っ捣搱散捣㈲㜳㈴㥦捡㑥愵つ㘵换㍡㙢戶㌲㘹㑦㡢昱㔲㥢㤴㌵㔶昳昰挵㘶捡〸敥挸㍢昷㤰㑥摥愷㈵㥢㌱㔲㙡戱㐳ㄹ㈱搹㙡捦扢㕢挱散㤳㍡攲㔸㌲㝢㐰愷㉥㘶㘳㘹慢㐱㜱㑤愳㥦扡㜲㑡愲㘶㥣㡢㙣戴㠰敢戴昰㠹戹㔰ㅢ㌳ㄶ敡戴ㄸ㈷㌰挷㕡昸㌴つㄶ晤㐹捥㄰ㄶ搲晦㠶㝥晥搰㜴户㝦搷㕡㉥㐶㥦昸㉣㄰㑡㝢㔳㝥㘳愵㑡搱㜳攵㈷挰㌶㠴㡤㐸摣㠶㤰㔲搳摡㌰㙡攲㜳㠸㔹㙡㥡㌵㥥㜲㌱戰ぢ慢㘹户㈳ㅢ〸㜱摦㥢㠵搸ㄱ挱㌳㄰㐷㑤㐳搰㔱搳㤶㠲㐰㉥㈳攱ㅤ昵〹㤶㤳㘰〵㐰攰㉥㄰㜸ㄷ㥡㌹㍤晥戴敤〳㌹㕡搱挱ㅣ扤〹㤸愶ㅡ敥㑣攱㐴〳㜶慣搶ㅣ扣ㄳ改昲っㄴ晢敤㘳挷攸摡昰㠹㉦〱㌸つ愴ㄱ㙦㥢㘸㘷戲晥戳〰挴㌷㐸㠵㔷㥥捤ㄸ〲慡づ㝡㑦扣㑥㠱ㅡ㠷㑤㈳㠸戰㌵挳㜵㌳㔶㥥挹挲㕤挶㈰㥤〴㔶㠸つ戴㤲攱扡㈸ㄴ㌱㘹ㅢ扤〷㝢㤵扣扤㈸慡㜹㤹攷㙡愲捡挶㤴㝢昱〶㝥昲㔲敤昵扢㑡㝥㌶㝣昶㥥ㄲ昳昰搱㔶〲扦㙣㜳㈶㔵㉣㤴ち㘶戹㝤っ摥攰㜶㕥昵㠴㈵搹㌵㄰㜸ち㈵搶慤㤳ㅤ㙢捣昳㔳㠹〳扣㤶ㄶ摡㥦㉦ㅣ捣慢搶〴㑡扣昱捡摡㘴㔳ㄳ慢攱搲慦㥥ぢ挰扣㌰扤㐸捣㉣捦〵㐹㙢㐳昸㍥㠴愹扤㙢攷㈱㝥攱搰攰搰㡥㜱愳挷㑣昶昵㐴扢㔲昱扥㜴慣换散㐹㈴捣摥㜸搲㡣㈴㠰㡢㈶攳㘹慤扤㐲㥡㑥昴昶愶捤㤸摥摤㥤㑡挴扡愳ㄱ㍤㘶昶㐶ㄲ戱㐴㈴ㅡ㡢㐵晢㤲㠹昰㌷敤攲攵慢㤱㐷㥥て㄰愶㕦㠷㌵捡ぢ㠸㕡㐵搴〳づ㡡〴㡡㌴㜰っ愸ㄳ㜵扥戰㍦㈲㈹㔲㈲㉤㡣挶愶愶ㅡ戵戲挶㘹㔳戹っ愷㘹摣㡢〲㡦㠱捤㕥㕤戴㝥㈶戴捦㌵㡡捣慣㤸㜹ㄱ摢晤㍡㠰㔰㤸㥥ㅡ攲戴㡢ㄱ㕤㌴㌴㌸敥昲㍤㙢ㅤ挰戵〰愷㤶挹ㅤ戸〰慢慤〶㘶㌱㌰搵㥦挳㘸慦〷㝡〹搰戸攱攵摣昹愲搸㠶改〲㔲㌵搲㘰㔱摦㝦挸㉥㤰㕡挷㑢捡㡢㐳㝣㌷㔰昸慦㈶㡡㜸〸㠱愳㜸挵户搱㑢㡡㈸挲㍥㐹戹愳㠸㠹㙦〱㐳㌱慢ㄶㄳ晡㜲㔴㍤扤愰㠳㤸搰㙦挳㈷㑣摦つ㥦昰㈳搶慦㉦晣㕤㍢㈰扥㠷〰㠷㑤㍣㠰攲挸㔲㔶㈱攳㠰㌲〱㄰ち㝦ㅦ㜱㔵㈸㔹㈳挹ぢ挹敥㑢㜶㌶晣〳㈷㜱㌹㜳慤㈰攸㘷攲㈶㠴挴て〹㠸ㅡ〴㘴㠰㑢㠰㜸〲㐰昵散㙢愸慣戶㘷㕦〵戶戶㘷㍦㐶㈶搵㠸昵㈸〷㍤㝢ㄲ㜱㌵〱㌶㈰㙥㑤㠰㐴㌲㥡㑡㈵昴㐸㑦愴㉦ㄹ敢搲扢ㄲ㕤〶扥搵攸㌱扡扡㡤㘸㜷戲㍢慥㙤慣㤰㥡昱㥥㔸㌲摡ㅢ㡤㐴昱改㑥㌲㙤敡挸摢㤷散改㡤㈶㡤扥㐸㙦㍡ㄲ愶㙢㐶㐹晢〸昲挸㑤〰攱愷ㅤ搴㈵㐴㡤ㄲ㐵晦㑣㌵㤵愰攷㐵㜱昳ぢ㌶㌷㔵愳户㌱换㜶㠰㔰㤸捥ㄷ㠵慢挷捤㕦㌸㠹㉢ㄱ㔰㥦戰挸换㤸㔵㜱昳㔹攰㄰昱挹户〰㌲愰戸㐹扦捡㔱愶摣㔲㤷㥢㥦愸换㑤㝡㔷㔴㈳摥㡥㜲挰㑤㝡㔲昸㠴改㑤攱ㄳ晥戵昵敢ぢ搳㝤挲㐷晣〶㐰昵散㘳㜶捦㔴㕢昶〰㑡ㅤ㈰ㄴ晥㉤〸收散ㄹ㥤㈴㉡昱〲〴搴㘷㌱㜲㠲㔹㔵捦㤴㤷㠳昸㝤㐰攱扦搵戳攳〸愸㥥㕤㕦户㘷㠷敢昶㡣扥づ㔵㑦ㅥ攵愰㘷昴㙢㈸㌹㈹㈰㙥挹㠹ㄹ㡦昶敡挹摥㘴㉣搵㤳㡡愵愲挹愴搹ㅤ改敤敢㐹昷昴㈵晢昴㘴㈲愲㑤㔶㐸扢㔳㝤㤱㐴愴㌷ㄵ㡤㈷捣㔸㑦㌲ㄵ㡦昴挵扡捤㜸㙦㜷㈲㘵㐶㔳㐶㈲捣㔹愹㈴攰ち攴㤱㐵㠰㌰㍢愰㔰㈵愲㜸㘸ㄵ㔶㥥㘹㔰㉡〲㐹㔲㐱㑤㔳㜱昳㝤㌶㌷㔵愳愷㤹㘵〶㈰ㄴ愶㐷㐴攱敡挹〹㍤㈵㔶㈲㑢敤㈰戸㤶㔹挹捤〰㑤㘶敦戲攸㍡㥤㜲㤹攸搸摢㝤㘱㤷摦㐴㉤戰㡢捤敤㔳㝡ㄶㅦ昷㙤㠵昲㕥㈶敡㜴㔰昹ㅡ㉤ㄳ㙡挱扤㐵㜵攱慤㤷㜳㠹昷昲愰㝡㙢戰晢愶㉥㔷㥦㥣〲ㄹち扣ㄳ㘳㜷㘲戵㘰㐸㍣ㅢ㄰㈷㙦㐸扥〷〹搴㈴改摡㈰㡤扣㡥搰㝥㐴愸ㅥ㌶㐰㠳攱挴慤ㄳ㤶户㜴昶㠸㠷㠷㜹ㅤ㔹ㄸ㙡㈷㜰㜶晡ㄷ慣㥥〶〹换愸㙥㤹㔲㜸㠹晤㑢㍢㔹慤㐵㔴㜸㡦〲㉢愶㕤㌳㔶㝢ㅦ戰㜳敡㑡攲㐰摤㘹㑣㕤㔸〹昸㕦㈳㠰㘹㑣扤㤷㑦㤸扡慦ち㔰搱㔵〱㉡扢㝣摡愸㥥㠶㄰搰㔴昴ㄴ㠲㌰㤵㕡㜶㔰㔶捦挵㌰昵㕣㠵敦㘲㘲㠴攰〳㐰㠵愹昱慡搶ㅦ㐲愰戵㈱㐰愵敤㡤㜳㍢捤㕣慡㐶〷㙣换慡㡦㝣搶攱愳㥤ㄹ㉥㈷つ㌸摦戳㑥挵ㅡ晤㙦㌸戹戲㌸㌷挸㈰扥㠱ㅣ昸晥〷㤴㠳ㅥ戹〴㥡㈵㥥㠷㔷晥ㅤ昰〱㉡㡤㜵㙤㔷敦ㄷ㠲敥㉦㝡㌹㙡换㜳㈳㈵愸㔷戸散戵戳㌰㔰昹慣㜸戱愳㜶㜵㌸摦㥥㕣㌸㡢㜱㕣㐳㑥戶慤挵㑡㍥㝣换〱ㅤㅢ〹ㅤ晣㔲㘵昹㙣捣㜵慡㜸捥㉣ㄶㅥ㐱昸㈹㡣戴㔳㘲〹〷㙡㡤晥㠶㥡㕢㔳㙡㈹戵㍦㈰收㌱㈲㑢挳㜷㔵㈳改ㄶ昴攰㥣㍡㘷慡㠳㤹戲扡㤳㐰㉢㐹㐸㉡散摡つ〴㙢㔶㡤慥㡡挴〲ㄹっ㠴搷㑥㥢戳づ攴㜳戱㥤㌵㕡敢挸㠷㤰㈰愸㠶㤳昷㐲戶〳㙡㌷ㄱ慣㔹㜵〹㉡ㄱ〶㉡㘱㐵㤴愴㤰㍣㐲㈲敡昱づ㑡㔰㥦㘷㠴愵戵㔱㉤づ㈰攰㤹㐸捦慤〵㡥㑦扦㠲扥㘵昶敦㤹晤㙤搴愱慢㜲㜸敦㘷㝤敤捡挷扦㜵搵搵敦散扦昱晡晤戱㥢㍥戹愷㕦㔰晤㕤㠲㜲扣㤷晦昷愰ㄱ㜵敦㕡㡤摢〹摥慦ㅦ挲搴㥡搵㘴晢㌸〲慤つ㠲慡㉦㈷㥣戸ㅣ㌹㈸攵㑡㌰㍦〹㑣㕢ㅣ愰慡㤹㔶㐷扣ㅤぢ摡ㅤぢ昷户㔱〳㔶㌹㉥ㄷ慦㍥㌴㄰㜸攲ㅡ㙦挷㜶㍥㜵换㠷㡦戶㝦㜴敤㜵㕦㝦昰㘳敢扥昸㠹戵愲ㅦ㌹敡㜵散戲戹㍡戶摢㑥昰㝥搵㄰愶搲慣㍡昶ㄹ〴搰㌱㙡扥慡㘳扢摣ㅤ扢つ㔸㐱㉤搵ㅡ㜹慡挳摡㍦ㄲ愸㤱㡦㡡敤㈰㜶㠶㌹㈴㍦㑦敡㑤ㄵ㙡㙡挴摡ㅤㄶ㌵㠴㌱㉡㌶摢搴㤶㔴摤㐵㙡慡扢㑥〱㠲㙡㙦㐵㑥愸搵㥥〰㍢㕤㜲戲摤㥢挳换捥㉢昷昸㝥晣㥥扦扤扡晦挹て敦扥㘸㘹㝥㝦扦戸っ㌹敡戱㜳愳捤戵㥡慦㘴㌶搸〹摥㙦㈴挲搴㥡ㄵ㍢扦㠲〰搸㐹搵㔷戱㜳ㅤ㜲㔴攴攴㙥㘰摢昶〰㥣㐰挷㕣㜲愲㍢㌹收㤴㤳㈷昶つ摣㤹扥㘳㙤攷㤲㥢㝦户昴ㅤ㕦㕣㉢愸晤搶敢㔸晦㕣ㅤ㕢㙢㈷㜸扦㝤〸敦㐳㐹慡㘳昷㈲㠰㡥㔱昳㔵ㅤ㕢攳敥搸㔱㘰〵㔵㑦㑢㑥愸づ㙢昷ㄱ愸㘵㈸㉥ㄲ㈰㜶㐶㌶㈴敦㈷㜵戱㐲㑤㡤㔸㝢搰愲挶㝡ㄲㄷ㍤㌶戵戵㥥ㅣ㈳㌵搵摤㡡㥣㔰敤㜵㑡㙢㥢㐶攴〴搸改㤲ㄳ慡挰㔵㌹扣㜲戲晥搶㘵摡攳攳㔷昶慦㕢㌷搸昵攲㠳㙦敢ㄷ搷㈲㐷㍤㜶㜶搹㕣慢㤱㤳㍦戳ㄳ扣㕦㔲〸慡㘴昸敦㤳て〱㜲ㅥ昰つ㍢㝡㤹㔰㑡ㄱ㤳㉢ㄸ㈶㔳つ㔲㘳昰㌰〲ㄸ〳慡㉤㙡っ㍡㔰㑤㐵戸ㅥ〱㔶㔰㐳㤸㙤改摤㉣㙡ㄳ㠰㜸捤㕣㉤扤搰㑥愸戹㘵㝡〸㈵㉤㜴换搴昵㕤㌴㡦㘶〲㈶晤ㄱ捤愶㠵㔶ち㠱㜲搱㉢ㅦ㔴ぢ㙥㠴ㄵ昱㘵昲㈸敥㍥攲ㅥㄸ晥㤴㠶敤摥挰㥤㐸扡〶㥤㍢㐷㔲挵㤸㔹㌳户ㄶ㜱〹愹挹ㅣ㈹攱㤰㈷ㅤ挴㤷㤵㘵㝣㐷㤲㍦ㅤ㉣〶㜸〵ㅢ㈹㥥ㄸ㐰㝥捤散慦敢㤰敢㐵㜲摤捤㔷ㅤㅤ㜷捥昲挳㜱昴晢㜹㤱散攴散〵敤〷ㄸ㉦搷㉤㠰戴敢㜶㘴愳戸〰愳㙣戹㍤慥昵搱慡挴攳昷挹ㅦ㈲㡢昶㈳㠰〶戸㤴㤴㔸〲㠴攴ㄳ挰㔸户搱摥㐴挲〰搵㉥㙦晦攸㈵㕤㑦〶㜸扥ㅣ㙥㙥㘶愷㥤愷㤱㥡挳㝣㕡ぢ愵扦㈹㌷慥昳敦〳〵㜳攳㔹㈳扦户㍣㔱昹㥢㐰戰㈰㜱㑤㕣㍥㠹㐲㔸ㄵ㕦㐱敤㠲愵捡愷摣㔸敥捥ㄴ㔸敤㘹㠰捡慤㤲㙡ㅥ㥣㔳㤷〷㍦㐵〶㐹ㅥ捣昶晦㘷㐴戱敢搶㈹戱昸㈴攲攴㠱昳〸㙥㤹慡戶㕦㈰㌰㈷捦㤷搷慤敦㔹㘴昱搴昷㉢愲㕣昵㜱搳慤慡㡦晢慡敡昳㜳〸㔴㌸㜱㤷㠳㝤摥㡤攵晥愳摡昶㙢〴收攰㐴㙢摤㤶扤㠰っ㥥㤶晤㠶㈸㔷换戸㝦㔵戵㡣㥢㠲慡敤㐵〴收攴㐴㔳摤晡㝥挷挲慢㌹㝦㥣㈸㔷㝤㐷ㄱ慦慡㡦㍢㠷攲挴㑢〸㔴㌸挱ㅤ㐲㘱㕦㜶㘱挳て㈱愲㔶㑤ㄲ㑡㐱攰〷〸㠹㠷㤱愰ㅡ摤㠰攸散愷㈲〷愸搰㤷晣攲昸敦敤戹昲㑣昷㔹戳㜳㠵㐷㉤昲㙥㠸〰ぢ愲戰㠴㘴ㄳ㔱慥搶㜲〱㘶㙢㜷摥昸㤵晥摦㐷㉦ㅦ〸㜰㝥㥤昰晣〷敤挹㥡搲晣戳㔹㠲戳㤶㘵挸㄰㘳慡㠹攸ㅤ攷づ㈳㐱捥戴㌶捥㤹㑡㑣㔰昴搹㐴搹捣ㅣ㤴㝡愶挹ㄶ㔷㝥㐱㜱㔵㌴慤挴㔲㔲ㄵ捤㈲ㄷ㑤ㅢ愵㤲㔸慢づ㑡㘳㈵㈶㕥㐰㔰攵㙦㘳づ捡ㄳ搳㈴晦戶ㄷ〳敡愵㈰㈸㥡挵挴㔲〶㠸㤶㑢㕣㌴㙤㉦搹㔸慢づ㡥㌳㘹㔴っ慢慦扤ㅤ晥ㄲ㈳挷敤㤰㘳ㄲ昴昳㌶慥㥤昰慣㥤挰挳愵㈰慥㡤㔰づ捥㘵ㄹ捦搸〹㌴㍥攴ち㔶挸㜱㔶㡤㌹㠳㌱づ㌱㉢㤲㘷摡〱㐶㠴攲㌷戱捥㉥㡤戰㉦㑣扥㉢㜹㍢ㅢ〱散搲㡡慢㌵㔴攴慥愲㕡㘹㔱㈹扥搶㔰㤱扦㡡敡㕣㡢㑡㜱慦㠶㡡㕣㔴㔴敤ㄶ㤵攲㕦つㄵ昹愸愸捥㔷㔴㙤散收㙥㔰昹愷㐵㙡㑦㝡捦㥥ㄷ摢ㅡ摢捦㙥扣慣扦攵挶㈷ㅥ㝣昲搰挳㙦㕢昳㥦挷㡦ㅣ㜹昸改㐳挷㡥摦㥤㕣昳捤㡦㝦晣攸愶㥢㡦㍤戹挴晣愸晦㡢㉦㡥㝥昴慡挸晥慢慥㌰㜷㕤扣攱慡㍦摦户㍤戲㙤㜱㐷㐳㐳㔳搳㙢㤷摥㝦收㐵攱㙢慦昸戲昸挶㘳㘷攴㠵攲㕣㑤㌳挸㐱搵㡣㔵慡ㄹ㠲㕣㔲㘳昰㝤㝢っ〶㤱㈵㠸换㌸㘴㡣㑡昸㥥㈷㠱扣㔰〹㡦㜹ㄲ搸㝤㤵昰愸㈷㠱㍤㔶〹摦昵㈴戰つ㉡攱㤱敡㠴收晦〳㤷㐳㌹㘴</t>
  </si>
  <si>
    <t>㜸〱捤㔸㙢㙣ㅣ㔷ㄵ摥㍢扢戳摥㔹敦㈶摢挴㐹㥡㤰㈶㑢㐹愵㈲扢㑢㌶㡥㤳搴㙤㥡㝡㜷攳〷㑤㙣户摥㈶ㄴ㠴㔶攳㥤扢昶挴昳㜰㘷㘶搷摥㤰㍥愴㈴㐲ㄵ㔰㔵〸㔰愱愸〸㐸㄰〲㈵捤㡦慡㐸愴慤㔴昵て㔰愴㠲昸搵㕦〸昱〷㐴㤰㡡〴ㄴ㠱愰㥣敦捥慣扤㉦愷㠹〹㔲挶㥥戳昷㥥㜳敦戹攷㥥㝢㕥㜷㐲㉣ㄴち㝤㐸て㝥昱㐴搰搸㌹㔳㜷㍤㙥㘶昲戶㘱昰戲愷摢㤶㥢ㄹ㜱ㅣ戵㝥㑣㜷扤㌰つ㠸㤶㜴愲扢㜲挹搵㑦昳㔸愹挶ㅤ㤷〶挹愱㔰㉣愶㐸㐴挷ㄸ扣愹㐶㐷㐱㑦㠹〰搰愸㔰㈲㑡愰㤸捦㑤捤㥥㈲晥㌳㥥敤昰㠱昴〹㥦换攱㙣㌶㤳捤散ㅦ捡敥换散ㅤ㐸攷慢㠶㔷㜵昸㘱㡢㔷㍤㐷㌵〶搲搳搵㔹㐳㉦㍦挲敢㐵㝢㠱㕢㠷昹散摥挱㔹㜵晦愱散晥愱愱捡晤昷ㅦ㑡昴㄰攷改㝣㙥㥣ㅢ㡢挴敦㔶㜱㡤ㄱ搷挹㝣㙥摡攱㤵㕢挵㔳㠶㑡戲〵㕥搶愱㍢捥ㅤ摤㥡换攴㜳昴摦愴ㄵ敡ㅤ捣㑣捤捣㜰换搵㍤扤愶㝢㜵愸㑦㌱愷捡戳㈷㔴愳捡愳愶㄰㈹㘶㥥㔰㥤㐹搵攴㐹昳㜱㤷㍦愶㕡㜳ㅣ㍤搹ㅣ慢敡㕡㠴捥㌴晣挹㙥ぢ〵㑡捡㑣攵㜳昹㜹搵昱〴㑢㈸昰㔳摤㐶㡢㤵㌲㑤愲㠸㌹晥晡㌴㠷昵〶㔶㠳㌵㜱扥㡡〲㄰㈷㄰敤㈵戰戹㘹㘶㕡㑣㑤敦㘳㤱扦㤲敤㌵㑦挴㐸愹愴㑡愵㔹愹㔴㤶㑡㥡㔴攲㔲愹㈲㤵收愴搲扣㔴搲愵搲㈹愹戴㐰㘳ㅡ㑦慣愷㐷ち㥥攳ㄷ㈶㥦晡戸晡戵搱㡢改て晥㜸戵昶攰㡢っ收㈶散㉥㐹つ㘵〳㠱攸㐶〲㕤〴挹㌲昶㍥〹〲㘱昶㉤㕣㝤晥㥤㉢捦㡣晦昰搹户扥昲慥㌹搰挷愰㜰挱攵づ㜰搹〴㉥㥢扢㜳ㄹ㘴散㕡挰㈵昹改㐹ㅥ㍡昳昶搴昳㑢㝦ㄹ㍥晣挲㔲㌲戱㠵愶㑣㤲㥥㌳㤳摣扢㐵㐶㈹㐳扦㌷㝥慥〹ㅡ㉤㥢扥㔹ㄴ戸㕢㔶㘰㌳ㄳ㤶挶㤷愳搴㈲㕢㑡㤸㜹摢昲昸戲㔷㔰㍤戵挷㥣㔶ㅤ㙥㜹ちつ敡ㄷ戳晣ㄶ㘶㈶〵慥㌱㍢ㅥ昴㠸㐳㑡㌴㥢戸昴ち㠴捦㠹㔱㘴〹㐷㝣ㄸ㡢㜶ぢ㌱攳慡㍢敦愹戳〶摦搳㘶㝥搰ㅢ㔹晣攳㥥㙥戸ㄹ㘲㌹收搸搵㐵㘸昴㔶昱㠱捤㉢㌰扤攸㌶〲㈲㈰攲㤷ㄶ㜸㔸戹㤳㝥攲㠲愸㠰㐸〷晣㈱㈸慢戴挴㑥敡㤰㠸〵摢㔴㜵敢ㄶㅤ㙥攲㉥㘲晡㘸攰㔱〵㐷㕤愲攸戰捡㥡㐲㈳晥㍥㍡㍣㔲㜴慣っ㔵づ㔶戲㔹㙤㘸慦㍡愸捡㜰挷㥢昵敥㍥㥡㤳㌰㑦敡㤶㘶㉦〹㜷摦㘴㤲㉦ぢㄷ㉥搶ㄷ戹㐰㈵㉡㐵搵㤹攳ㄴ㐲㥣㠹㐲㕦㈵㙦㍢づ㌷㔴㡦㙢〲㠱扣戱慤ㄵ改㡥㍡戶〹晣捥㥣敡昲搵㔰搲㕦昱ㄷ捡搹㔵㑢㜳㍦搶㥤㌸攳ㄱ敢ㅤ敤戴㔵㈶ㅤ搳㘶㈸扣㜲㔷㐸扡慢㝤㥡㌰晥㤱㘵摤㈷摦搵㐶愶〰㙢捦慥㑤ㅤ㜵昸㤳㉢搴づ㠹㐶㈸㜹搶㌸攸ㅤ扢昴㐹扥㕣ㄴづ㙤㤷㕢㐲扣㝥㜳㕡㉦㉦㜰㘷㠶㈳昵㜲㑤㙣㜵ぢ㐸㥣晣戱捣摤晥㈹愸㥥㈲扣㜶㜷㌳戶㜲㜴搹攳攴捤ㅡ挹㑢㤹捦慢ㄷ攱㐹㕢㕢㠶昸㙢ㄲ㘱㝢ぢ㝡搴㉥㔷㕤㜸慤㘳ㅢ慤㤴ㄱ慤愶搲㥡摡㜱㕢攳㤱㠸ㄴづ㐵㐲ㄱ㍣㈱捡㈸㘱㜲攵扤㙤㡥㉡搲ㄷ㜸扢捤㜹愲挹㜲㤰㐷〷㙦㘸㔲慢㜹㘱㕥户㤰戱㔲㤵戰㍢㕢㝤㈵昳ㄸ㘹㡦戴㘴㜰㌸㤲搴ㅥ㔱㥡〴㕤戵ㅡ㉣搲㌵㥥晡㍢㙡搲ㄹ散ㄶ愳敦㕤㝢㉢㠲敤㡡㘵晣㝦〷㑢搲收㘰昷㐷㙢ㄴ戳挷㔵㑢㌳戸㜳㝤㝤㐱㈲㘵ㄷ挰㙥㠰㌴㠱㜸㐸晥㉤㐵户㌵㌵㠹㝣捡㤶㔹㕤㕥搲㌵㙦㍥㍡捦昵戹㜹㡦㜰㔴昵挵㘲㔰㜳㍦扤㝦愲昷ㄷㄴ敡晦㠰㐲㔲戹ㅢ攰ㄳ〴攲昱㜸㐸挴捦㘸㕣戹㐷昴㐳㑣愴㘵っ㐰㔶敥っ慥昷㘲搸昵㘸っ㈹ㅤ〱㑤ㄹ〰戸て㈰㈳㔰散搷戴て散攵㍤敡扥㑥㤲慣㑡戴ㄷ愳戲ㄸ搵㈴搱愰攸㠷㤸㐸昱ㄸ㠰っ摦㈹搱〱っ扢ㅥ㡤愱㍣㄰ㄲつ㠳挱〳〰てちㄴ㝢㍢㤰㐸愳㉥摥㔵㠹ㅥ挲愸㈳ㄸ搵㈴搱㠸攸㠷㈲挸㍥摤づ㜲㈵㔷㈲㜵挵㡦搹慡㌶慡㤶愹㡥敥〹慡攸㔸摥㌶ㄷ㈹㠳㍢㈹㡣捣㤳晦㔲㕣愸改ㅡ㜷㘲㐰捣㔰摤ㅥ愱㈲摡㡤㡡攸攷㔲㙡づ㠷㘴戹㌷搶㙤慤㠹〶慦㍤㠱㤵㌵摦ぢ㈶㍡昸㕦㝢昴搰ㄱ搴晤昱戸㈸㥢㜲搴㔴昲〴㘴㔸摢㑤㐷っ搸挶㔶㜳㘶摥㕥ㅡ㈷㜳攳慥㕦愴扡㜹㐷昷戶㜵愲愹搴㔰捤敤〲㍦收㜰㑡ㄲ㑥㤱㘲愵搸㈳㘶散攸㑡ㄱ㤳㜶〸㠷㙤ち㔵晤㤵ㄳ㍡㕦㐲㠲摢摤㐹愲㉡㍢㕦㜵㍤㕢㔴㐶扢㍡改〵㝢搲昶ち扡扢㘸愸昵㍤㕤挸㍥攵攴㍣户㈸扥㍢ㄴ收㍦㙡㤰扤戸挸戵㉥㌲捥搸㔵愷捣㈷ち户㐳㠶愰㤳昲ㅦ㈶㤲〳㡢戱愸挴攸㔹㕦㜰㘲摢挱散ぢ㝤㤷挷㝥㜷晡摣㤱㈸愵ㅣ㐶づ㐲㉥㈲㈳㘰慤㈷㠹愰㕥㑥戶㤴㉥㕢㜰㕤㍡㑥㔷㑣㝤搱攰㌹搵㈱挳戶ㅤ㔷㌱ㅢ㑤摦昰㥡㉥㉥扥户摣づ捡愶㑣散攷攰捣摡㌹愸㐹㜰㘱㠳㌰㘶挴㝤搶搷㤶㉣挵扥ㄱ挱搷㜹㔶昲敢ㄴ摤㙥㔲㄰攴㠷㥥ㅡ㉥ㅥ愵ㄲ㘵㄰敡攱㘱昲㔵㘲搵㔵㍥愴㥦㠸㠵㙢慤㤸ㄵ㕦戰散㈵㑢㐸㉥扢愸〷㐵挲改改挱㌶㄰㠲挵㌳搴㌰㥢㤰㥣㈶㐴㝦㌷㕤昹㜵晢捡扤㝢㐲愳ㄴㅡ㕣戴ㄳ戸㘸ㄷㅤ㉥㙥搳㌱搱㈱ㄵ㈶捤㤳戶戳㌰㙢摢ぢ戸㑤㙤㄰㍤㜷㥥㜳て㌷摦㕥搳扦扥愳㑤戶ㅦづ户摣㙥〳扤㠳㠸㕢㠳㥦ㄱ挷愸ㄵㅥ㜵捡愲挷㝥㐲晢挷㐵昴㕦㕦㝥攱㘷㉦晥攷愱昱ぢ扦扡昴昵㈷ㄶ㉥㘵搸㙢〱攱扥ぢ〳攷户晦挰挸扤昹摤㡢㘷捦扣㍦昱てㄹ㐹昶㠶ち㥣ㄴつ摣㔸㔹㠹㕤㐵摤㌳㜸㙦挵㌷つ戴㘳ㄵ㡡㐶㔴㝣㙡㍤㤵攲㍣敤扡㤰慣㡣㌹扡㘶攸ㄶ㠷改㔰㔹㡦慦〴挷昸ㅣㄵ㥡搳㌶扥㐸搸㔶戲㔲㜴㔴换㐵慥戱捡昵㑤㉤㍤攱㉤㜲㈵愷㕢㉥㉤㈳攲㈵摡ㅢ㉢〸攷㜴㜲㔵搳ㅡ㔳ㄷ摤摢挱㥤挸㑥ㅡ㡦ㅦ扣㈴㈶㐹㉣㈶挵搶改ㄱ愱攸㈳挴㙦㜷㤳〷づ愷㈷敤㑣摡慥愴㕤㔲㈲㜷搳慥㙤㔰ㅤ㐰㡢㈰捥㐹晢戰扡ㅦ摥㔰㉥摤㜸ㄹち戹ㄳ攲㉢㔰㜰㍦〸㜷㑢攱㉢㜵㌲晣㑣㌹㐶㠰愱ちㄳ㉥㜳㍣㘸愰挳㔰㜴愱收㘸㑢攲㤳㠴㔲愶㌰〰愵ㄶㄲ昹㥡攱㤹愱づ㐳㠸㘶㔷挸㘰ㄱㄸ愸ㅤ㘲散ㄵ㙡挱户扢昸㈶㐳搵㤶愶㔷㜸㠰〲㝦昰㝤攱挷㌴ㅥ扥昰㥢㜷捥づ晦㜳慣㔶㜸攳㤷扤昷扣㔶捦㍥挳㝥ㄴ㄰慥㉤扥昵晢㉦晥昹攷ㄳ㙦㕥慣㕥摡昹摥〱㤹愱扣㠳㍦㠴愲㈷搱㙡搵㝦搵㥣攵捥つㅣ〱㐳㝤㠸㘳㔰㍥㐳㠰愱㍡ㄴ㥡㝡㈲㘸〸㑤愱ㄸ散愲愹捦ㄲ㕡昹ㅣ〶愲〴扣扥愶㔰ㅦち㑤㕤愰敤慣㙡敡晢搴㕢㑢㔳愸㈶搳昴晡㤱愳㐴慤搵挸昱㥤㐰㈹ㅤ㤱攳攵㠰昰扤慦㝥敢㠳换慦扥㌱昶摣摦㉦㝦晢ち㝦㐹㘷㈸㍤㝤㙤㤵愹戵ㅥ㙢㘵㐷㘸愲㔰ㄵ㡡㕡㌶〲㐰慦挲㠳〶㍡㈹㤴㠰ㄲ扤搱ち㠱つ昹㕣愹改㉡ㄵ㥤㈳摣ㅤ㠴昳挳㘶㈳晡愶昲挱ㅣ昱〱㔱搱愹挷㠴搹㔲㐳㌹㐵愰昱愴㘰扥㐸つ捡〲㠱㘴㌸〵㔳挵㘲ちㄶ㔳挰㍤〵挳ㄵ愸つ㐰搹〴㤸㌸㔸昴㕡㜸攱㠰〵慦㈷愹㐱扣㜰㤸㙤扣㜰戴〲㠵㔲㕦愹ㄲ㘰㘲攷攸搵〸㌴㥥ㄴ㌴㈰㜸㉤㔱㈳ㄹ㘶搸㐲㥡摥攸㌲晡㈳㠶㤱㙥㘴ㄱ㌷㕡〷慡攵㉢㙣昴㌴愱晡昲昴㘹㈴扤㍦㉤扥㜷愵てっ㘶㤶つ㜷㤹㥤て㑥昳搹㤷㕥ㅤ㌶搲摦㈸扣㝣敥摤挸搶㠳㝦㝢㠵㥤ぢ〸敤ㅦ㐲㔳㡤㍤捡㔰搱〳摤㜲㘰挷つ户扦晤㜳挲㔱晡㍣㔰挷挶挳㜴㙤㤰㐵㘴㡦㐸挳敢攳搵愸㐳㄰㡣攴戳㈴昵晦挰〷〶搶㕡㐶挰愳㤴愷〹㌰㥣㜴ㅡ㍤愸㕣㠱㤲ㄵ愸㤵㍤扤㤶〶㥦ち〸ㅤㅦ㠱㘱て㔰ㅥ㍢㐳㈳㈰戱㔸攴㍣㌰㌰㠱㌴扤晥㈲㘲㈵戱挸昲㕡㡢㉣〵㠴昶㙦挴愹㠶昹㌰㔸㡣㔸慤搶扣摡㤷〸㉢㘳㕦敤搵ㄱ㉥㜳愳㌸㥡戶㡢㜹㙦㉦㙡愱攲㌷㝦晡昰扦〷㍦㍦挲㈰㉤愶慦㈰挰戰ㄹ搱晢㕦〶㐵捣散</t>
  </si>
  <si>
    <t>㜸〱敤㕢㝢㜰㕣搵㜹摦戳摡㝢戵㘷昵㕡㙣㠷摡㠴㘲㤹㤸㤸㐶㡥挶挲㜶挱〵挷搶挳て㠱㙣挹㤶ㅦ愱㉤㈳慥㜶捦㤵㉥摡扢㔷摣㝢搷㤶㈸㉤愴㤳愴㤳㘹摡愶㙥挳〴㜰㡡换㌰敥㌴㔳㔲晥挸㈴改㈳搳㘶㈶戴㌴㜵㍡昹㈳搳㐷㈶㝦㌰挰昴改㈶㘴搲㈶戴㈱搰摦敦摣扢摡摤扢㉢搹ㄶ捥㔴㝦攴ㄸ㝤㝢摥昷㥣敦晢捥昷㍡㠷㤴㐸愵㔲㙦㈳昱㤷㈹挳捣捤㤳㡢㐱愸摣晥㘱慦㔴㔲㠵搰昱捡㐱晦愰敦㕢㡢㘳㑥㄰戶愱㠳㌹攵愰㍤㌰愶〲攷ㄱ㤵㥤㍡愳晣〰㥤㡣㔴㉡㥢㤵㘹戴戳て晦昲搵㠲㘴㐹㘶〸搰㉢搵㘹〲㥣ㄸㅥㅡ㥦㝥〸昳㑦㠶㥥慦戶昷㥥㡡㘶搹㍢㌰搰㍦搰扦㙢昷挰ㅤ晤㍢戶昷づ㔷㑡㘱挵㔷㝢换慡ㄲ晡㔶㘹㝢敦㐴㘵扡攴ㄴ敥㔳㡢㈷扣㌹㔵摥慢愶㜷散㥣戶㜶摤㌵戰㙢昷㙥㝢捦㥥扢㍡摢㌱昳搱攱愱〹㕦搹挱昵㥡㌳换㌹挷㠷㠷晡㡦慡昰㝡捤㈹㌱㈷愶ㅣ昱㕣换㈹㕦愷㐹つ㘲㜹昷㠸㉡㌸㈴㠷㔲扥㔳㥥改挷戲ㅢ㄰㡤搲㥤晤㠳㐱㔰㜱攷㐹搹㘱㔵㉡ㅤ㔷㌶户㈸摤㤱㈰㥣戰㝣㌷攸㜴㠹㍦攵慢㜲㐱〵摤敥㠱㠵㠲㉡挵ㅤ㠳慣㝢捡昲㡦㕡慥捡㌰搳攳㐶㌴ㅣ㉤慡㜲攸㠴㡢㕤敥挹㐰ㅤ户捡㌳㡡㕤っ昷㔰挵㈹㡡㑣〶晦愵摡戶戵㕡㤹㈶ㄴ搶攳づ捦㕡㝥愸㑢㈴攱㐰慢扥㜵散愲㜷搱戰㉥戲㔴㙦㘲ㄴ㘹㌶改戸昷㈹扦慣㑡晣〸户搹㤷攸愴ㄱㄴ搱㘱〹㔳搵敤㤰㑡愲㈳㍥づ摣ぢ扦㘲收〰㜶㡦㜹㌳㐷㍤摦〵㑦ㅥ㔱㔶㜹敦挰㥥ㅤ㜱摡㍥ㄹㄶ㐷搴㤹㕡捤昶㌱慦㘰ㄱ搷㝢㜷挸づっ㤵㥤㥣愴㡢㘰搰昵㉡攵㔰㜶戳戶〷㐰㘴㕥挷㘱慣晦㈰〷愴愷慣昴搴㜴㝡慡㤰㥥㉡愶愷㔴㝡捡㑥㑦捤愴愷㘶搳㔳㑥㝡敡愱昴搴ㅣ晡㔴㔳戶扤㍤ㅤ愷晦ㅡ㥤扤晣ㅤ昵攰㠱㈷ㅥ㜹晦户㉥扦搰㌶㈷㜸晥挸㈲收つ〰摢㥡㌶戰戴昰晥㍤昵㑢㕥㠷捥㜲㍤㠷㙤〰㌰㈶㝣愷愰攴扢㔸㜹㈳㠰㄰晦㠶ㄵ㜳搵㡦㑣戵扦㍡昱扤㍦搸㝦攱扤敥㐷敥㌹昷㌷㝦㙢昰愴敦㙣㠵散㈴ㅤて攲晣ㄷ慣㈰㡣㔹㡣昴扦扥ㅣ㜸㘵〶㍣攸ㄷ㝥晣っ㠸㡦㕣ㄷ〶㤴ㅢ㠹晤㑤〰收㑤〰敢㡥㝡晤扤㥥摤ㅢ攰〴愹愰㌷昰㑡㐵昹㙥昶戸ㄹ㐰㠸㔷㘳晡㍣㝢敥愹ㅦ㝣昶㜳㕦㍡昴戱敦㝦昶晣ぢ敡㘹愷昳ㄶ㌴ㅦ㡢㜹㝢挴户捥㐲㕡搴〴ㄱ愴㉦晦㕤㔹〲㐳〰摢扢敤㍢敤㠱㠱攲敥ㅤ搶㑥换㈰挷㕥敤㔱捦愳㙦愷㝤摡㈹ㄷ扤戳晡散摦㍣㘴〵慡㐶㠹扥戸㙤〸挷愴ㄸ扣扢㜵攳㘴㘸㠵敡愶㘴㕢㙤㤲愶㘱㤳㤰㡣㉡搰摦扢㈵㌹散㤴㔵慡愸挱〵㈷㙡晥改㐴㌳攴愲㌷扤㝣敢㐱㕦㍤扣搴摡戴愲㐱愸搲㌳㝡敥愶㕤㐶㑤搱扡㝡㠷㘷扤㐰㤵昵昲晡摣〹愷㌰愷晣㐹㐵㐵慣㡡㝡慢敦㘲㔳㉣㥣晢挶换搸㈸挴㙤昱搶晡㕡晢挰㐲愸捡㐵㔵挴㝡攷㤵ㅦ㉥㥥戰愶㑢敡挶㠶㉥搱㌷搱戰愹愱晡愰㔷愸〴挳㕥㌹昴扤㔲㘳换㘰昱㡣〵㠵㔰㍣攲ㄵㄵ攴㜹㠶㈹㈵㔲㙤㙤㐲愴摥搷敡㥣㜳摥愰㕦ㄳ愲㡥挴㍣摥ㅢㅢ搹慥晦㌸㜶㠷㕤㤴ㄴ㜹㌲扤昵ち㤳改㜹㌹捤捦㉣摦戱㙥㑦戴㕡搸晢昶攵㝢敢㌵㉥㔱敥挷摢㌹㥤㕥ㅦ敦晥挰ㄹ㈸捤挳㔶戹㔸㔲晥㡡㌶㤷攰㡡攴㘶〰攳㘵㥣收㘵戱㐷〱㉦ㄶ挴愲㜱搶㈹㠶戳收慣㜲㘶㘶㐳搴挱㉥换㘶㠹摡愶㈴户愰㑡摥㑡昰ㅥ㠰㕣㉥㘵㙥㘵㈷㌳㈷㙦㡢捡〶戵搵戵慢㘳㕡㝥㔲慢㝦搸㙡㠱攱㐲挶〷㙤㙤慤㜶㜹搸ち㘶㐳戲攷㡡㡤㔴扣昲扤〴摢〰っ㙡捣㉢㙡㝢㙡搴っ㡤㥡㉥㜷㐴搹ㄶ㑣㐹㝤扡㠵㘵戸㤱㜵㌲愲㠲㠲愴ㄹ㌳㡡戳戲㘰㈲㠷挳摦改㤲晢搵㐲㌸㘲㠵㔶扢ぢ㠳〸㔴㤲攸搴愷㐷㐵㌹㡥散搲㜵搵搱戹戸㠴ㄹ昲㍡㕢㌷㑢㠷慥㠸㘶挲挱挱㜹㐹戵挵㜰攵㑤㘰敤搴ㄸ㘶㤲搱ㅢつㅢ搸㕢挵㐳慡㝣㘲㜱㕥〵散㥥㌵㔷㐴㘵昲㜸㜱戲昱挲昴挹搰㈹〵晤㔸改㈱摦慢捣㕦搷㜹戰㈶㜹㍢㐰㌵ㄹ晦〰㉥扥晡㍤搱㈷㘹㍦㐳摡㑣㑤㠱㤵㔱㘲㡤愴〵㈵挹慤㤸散㙤晣攸㈴户攳㈷户㔲㥢㐱戶戸ㄶ㈳㔰㝢㉣㉥㌰㜴挲㔷摡慣捤敡〲戰摤攵㥥昶晣戹㘹捦㥢㈳㍦㜵敢㔲㌰慢㔴㐸㔳戱㈳㌶㡤戵〹㉣㐴㕢㕢㠳㔹㔷㘷㔳搲挸㌴㜷〰㜴つ㤶㑡扤搵ㄹ〳㜳〰㔵㙤㌰㕡捤㍢㤰搹㌰っ挵搸扢慢㔷ㄳ愷昷㘷㜷昶㉦㤴㠲〵昱㌵散㥣戶搷て㍦晥㠹㤷㍥昵搶〷づ㍦昷昵攷㍦㜹晦摣昳晤攲㔲摣搰㘴〳搲㥡搳㐶攸㙥㘴挴㔷搱㡤ㄲ〵昹挶㈴敦㐴㔹摥㐵戰〷〰㜲㐱㘳ㅡ㘲攱敥愸㈸㘸ㄱ㔲㌴挸㝢〸昶〲〸ㅡ㠵摡㤴晤〰㌲搵㈴扥㡣昹㐹㙦㑤㌳㥡㤰捤㌴ㅢ㐲㙤㑥慥搰㈶㘸㙡㤲㙥㤲㜸㤲挴㡣㈴㔶挴ㄷ㌰㜱㑢〴㝣㍥㙥㘸戲㑡㘹㍢慤㘰㥥㌴ㄸ㠲㕣㔱㠳㜹搲㘹ㅦ㜴㑡愱昲戵〶敡戱昱ㄳ昹㕡扡摣㐵慤敢㕢㠵挸㡢搹㘰て㐳昱挲戹ぢㄷ㙢愶㐸㤳攲㡦昴攲㑦捣㥢㌵㘷摥㘸攳愶挱挴㔹挱㝣〰搳㈴っ㥣㤵㍢搷㌱ㄱ㌵㝢㑢㘱愴㔹慡ㅦ㌳㌷㌲ㄹ晢㈷㈵愷昶㘰㤷晡搷㌳㈱㝢敦㔸摥散㈱戳㌷㌳㈹〷㉤㙢㘲晣挴㐰㙢ㄵㄴ㡢っ戴晢㠰㌸㌹㐶㜰㠴攰㈸挱㌸㠰㜸〱挲㠸㘲昶攳戰㡡㕥㐴挵㔷昰晢慡㤶㠷挷搸攷㌸挱㈴㐰㥤㤸㍤㠹愲㜹ち愰愷敡ㅤ昷㐶㉣㤶㑢〹㝡㝥㕡昴㥥㐶㐶㝥㤰愵晢〱㡥ㅥ㔶㈵ㄸ晢搷㉢散㘵搰㠷㕣搹㍣〱晦㔰㥦摣攸㑥㉥㤶ぢ戳扥㔷㐶㌸㤰㔶搳㘰〱㜱愳㐰㔸愶㍢收つ㔷㐲搳㍤散攰愷搳㍤慥收㤵ㄵづ㌳收搱攵㡥挱攳搷〶搷㘸㜱攱晦搳㈰㑢搱㙡㠶㥦㕣戳挹㐴昲昴㐶愶㔱㡣摥晥ㄱて㌱㐸愵〳愲㐴扢㘹挲戸㕥㠳ㄶ㔷㑡晥㍣㔶昷捣㜷㍦㜳昷㙤㥦晥攳户攳摦挷挰㠵㍡㐹㐶づ㥡㌵昱〳愸捤慤搴㈶ㄸ㔴㔸搲挴收㌴㑡㙤㘰㠳㐸ㅢ㥦挷搴㉤戵昱搳㜱㐳㌲〶㘱搰愷戹〶摦㔱㕢㉥昶㈹㐷㥤愵戱摢㙤㈳搸㌸㕣〹㐲㑦㕢收㕤昶㠸㜷搴ぢ㐷㥣㘰扥㘴㉤慥户攳捣改㔹㔵㠶摦散挳㝤㑥搴㜹昳昳慡㈸敤㐹慦攲ㄷ搴攸挸㕡昰慢㠱づ昰愲㜶愹搳〲㘹㜵慥㈲戸㔹㐰㤸㈰愵㡣㉤㤸㌰㘹昱搷㈹㡣㥡㙤挲㔸㑣㑦つ愳㈷㥣戰愴㍡㙣摤慥昳㔹ㅢ㔸㐴㌰愲搸㙥㥦㤸㠵㈵㍣搲㘵ㅦ昲㥤㘲挹㈹㉢ㄲ〳昶づ㈳戸㘳㙡〶㠱㠷〹㉦㜰ㄸ昱散戲㑦昸㔶㌹㤸愷て㔵㔸㕣搷㔰搲㘷摦戰㠷㥣㜲㠰捦㘸㉡㌲摦㘳㑦捥㝡㘷㜱昵㔰㜱换㠷慣昹㘰㑤㔰㠵戲㍡㑡㥡㌴㈲㉤搲㘹㤱㑤㘷㔷㑢ㅦ搳挶㙣㌷㈲〲㕢搶㈱攴㕥戰㙡攸㍢搳ㄵ攲㑣㝦㠷挶㙤㠶㐰㤳㌱㘵摣㡡摣ち㙡㥦捡㍦㡥〸㌱摡挱攵㌶㐴㔰㕢㍡摥㑢㔷㍡㔴昸㜲㠶㘳㘶〱敥㍤㜴㜲戴ㄶ〷㝣㐷户㌱〶㘳ち㐹㘱㥡㘴扥愵戰㡢㜶ㅦ㈲㉥㘲ㅤ㤹ち㠷ㄳ捣挰㔲㤲㌳㜳戶敥㐳㈶敤慥㘵て挲㜳敦戴挷慣㘹㔵㠲摡㜴慤戰㍢㉡搰〴㐲愸㍥㠸摢㠶㍤搷戵挸㜵攴搸挹㠲㔵㔲㔹㝢戰ㄲ㝡㐷㥣戲戴〱㌴㙢挶㔵搶〲慡慣〵㕤搵㘹ㅦ㘷㈰㔲攷㌹㤷㌷㘳昹㑥㌸敢㍡㠵㉣ぢっㄶ慥〹㜶㠵〸搱㑡つ搸㘷慡㡡㤳愴㌲㡦搴ㅡ挸摤て搳㠲愸㈳昹挱搴㘹㘱攲㥦㔸㘵㥣ち挲㐷敢ㄵ昹㄰㘶㌳㘰改㘸㘹㠴㥦㔴敡昵敡㍤攳敢㡦㠱㐵戵㝣ㄲっ㌳㤱㕦攵㕣㥣㘱㈱挳㐸捦㡡㐱っ昲㙣㙥捣戳㡡〷攱㜰㜹㝥㝢㝣㝢㤸〵㘹㈹㙤晣㍣挳㑡挳㠸㔴㈲〲㝡挶㈹㉡㍦换㡡㐹ㄸ㈸ㄹ〶愴捣㠸㠶挴㑤捡㌰㍡戲慤扥㌵㕡㥤㙢㙢散慣搷摦㠷㡥㌶捤㝦昹搸㕤晢戰㈸㙣㡢㜷㉣戲㐴攰〲㠸㙤〰摣㑦愲〳て扡昴〰っ㠶㐶㤲戴㘹㡣昰㈰づ挴㈸㐱㐶摦扢㌱昶㤴㐵㥣㐶〷慤っ扤㤱㡥扡㘰㤳ㄹ挵㤹戲搵换㍣㜳㤲昷〲挵㕣㈴㘲㘹㥥搱搶㐹愷㌳㈰戵㤹昴㠴㥢㍥㡢挹摣㐹愵愳㔰㠲㤱ㄷ㜳ㅥ愰㥢㠷〵昳㑦挵昷㔷挹㈰㑣㉥㈷㝤㜴㑢攵挴㜶挰敡摥戹㠳㕣㑥ぢ㥢〰㔹挹挸愴㘰ㄸ㠲㐶㐰㥤捡ㄲ㡣㍤㙣㘱㥤㔹〱戸〶㌱㈹ㄸ戰愰愸㤴㘷〰〴㈳ㄷ㤴㐰㑢ㅣ戹㠰晣㤵㌹㤲ㄱづ捤㤱㡢㜱㠶〵挱㌰㐷㜵㈷挸㔶挹晣〸戲昲㤷〰〴㐳㈰㉤㍡㍣捡づ扦捣づ㡣㡡㤰搴收慦〰㜴㔵㔱ㄸ摤愷戵挰攰攳攸〵っづ〱㔶愷攵挵㘳㡣挱て㈱㉢㝦ㄵ挰愰搷戱㠲㡣㠵㜱㔶攷㥢㌲㍣㘳摡㈷换㑥〸昱挷㈵ㅣ㜴㐲㄰戲搳〶㐰㔶㍢㤱㌷㘹戱㔸㌷愸㙦挹攲摡摣摣搴㘰㠲摤搲摣㕥㙦㤳㙤㙤搱ㅣ㔹㙢㜵㐶摡㤵㍡㘹慢慤挵ㅡ搷㤲ㄹ㈷㈲愷㈲戶攴挴㙤换扢攰㜵㜸攷挹㜸〷㐶㥦ㄶ扡㈹昹㘱捣〲昶愵晤㈷㍦㠲㉣㙤㐰晡愴㉢戳㐸㕤㐴㠲㌶㜶㡥㜶㘰㔴搷ㄵ㠷扣㐶换〱挴㘸㉥㉥㐱㐹㜶挷搹昱㑡搸搰㘲㉤慣㡦㕢㄰捥ㅣ㉦挳戴㈹㔸㝥㜱㡤攸㐵散㉤戲攰戴㡡㕢愵㜵㡤㐹㤸敡戴ㄹ㝣愶㡦愲㠶戸愶敢㝦㉤〱ㅤ晡㔲㕤㐴昷㔲㥣㈷换ㄲㅦㄵ㘸㉡㐴慦〹戴慢㌳愱攰愷攰㤹㐵㐹慤搷〳㤶㡡㕡〷㐸㝢㜰ㅡ㜷扦㤵㤰〶㔱㥣搳〷㕤摡挷㔵〹て㄰捥㈸搸㉦㜱㙥愲㄰㈲㝣戹㌴〱敦ㄵ搷づ㠵㠰㤱㑣㑣㈵愱改㘴慥挰扣㡤㥢攰ㄹ㕡㈵㔵㈱攵㙤㥤扥扤㑦㍣昵㈴搳ㅦ敥㑢㔵㌳戱㌳挵㤰捥ち㘶㌸㘴㙤㝤昴㡤㈷㘹㝤㌵㈸ㅣ㐹㌸㉤扣㍡慢㜵戴搵扢攸㔶昹㈱㉥摦昹晣愱㠷㐷愷〴㘳㈶㜴㘰㤶㤶ㄶ扢敤搱㜲愱㔴㈹㉡㙤搳㔶㘵戶㌶㙤搷〴扤昴㝢戱㠸㔶㉢攰㈵㐶捡㈸ㅥ㡤㔵㉦㘳㔷敦摢捡㕦〳㕡戵戰挳ㅣ㌹昹㌱㤴㜸敥ㄸ㘸扢收㔰㈷ㄵ敡扡㕡愰㕥㍦㕣㠲㘸㙢慡愲㑣㘳扣㙡㈹㕡慡㑦㕣㕤户㌱て㡦㝣攰ㅢ搷㔵ㅤ㜶愲慡㌵㐱㈷散㌳ㄲ㝣愶〹换㝥㤵㈷〴㜳㥣扥昸挴㈰攷㠲昴㝢散晤㑦㜷㜴㝥㜳昳㙢晢愲㔰㐳㑡㌰㤶戹㠵㑤㍡㝥㐴㈵㤴愲〷㥢慥戹戱攲㌸捡摡㍥晢㜵㘴〴㐳㥥㤱㝤ㄶ搱㔳晥〶㉡慥㙣㥦㌱㌴㡡戹㔳昲㌷攳っぢ㠲戱搰慡㥤㠴㉣㜸㐲㥢攱扦㠵慣晣〴㠰㘰㥣戴㐵㠷摦㘶㠷㜳〰〶挳㘵㐹㐱戳㙣攴㡦㤳ㅢ㉥慤改慣㑢慦〲挷搴挴挵㌱㈲㥢㄰㐱㘶㐷㤶㤱㐱昹㍢〰㕦扢㜴㠹㤶㘱㑡㌰戴㔶晤㍥挵㔴㙣挸晤㉥戲昲㤳散㌰㐳挰搲ㄳ㜱㐶㝦㠳㕥㔴搲㌹㘸㜲摣攸敤㐱㌵挳㠵㥢っㄷ㑢㜰㥢㤹愵戳㄰攵戸挰愸ㄹ㉥㡣攷攳搰㘶㤲〱晥愵戱っ昰㜷㙣㐸扣捦搰挳搸㐲て搱㜰㄰捤㕢㜶㍣㜷㔰扢慣攵ㄸ㈶昳㔳〰ㅢ㡥㌸〵摦ぢ㍣㍢散㥤㐴㔴愸㤷敦㕤㙣㥣摡㐱㘳〶㌳戶晣㈶㌷㤶㈹昳㈹攱ㄹ摥晦收收捡摥搹戲㕥㡤ㄱ昰搹㡦挶㔷㝢㍢㍦挳戳慣搳㝢㠰挵晣ㅣ戲ㅣ㉣㥦〲攸㙡换搳ㅤ㘳捡搳㈵㘳捡搳晦㘲捡搳〷㘳㌲㝣㠰慢㜵㠸㌸户㤸ㄶ〵㔱ㄴ㉡搳摥摥㘴攲㌵㌹㔲㑢户昳㠸ㄷ昳㘳ち㕢㑥摡㠵慤〷㌵㘲㤴㠳昵挶捥㈳㈳㍦つ㤰换搳㥤㘲㥤昹㝢〰摤挳㐳㔳㜵昱㈰昳ㄹ搴㜵愲㑥㡢慣攳㜸㤱㘳㕥㐰捤つ愸㘹㝣扡㘹晥㍥慡搷愱ㅡ㔷捥搵㑢㘸戲㔰㥥㝥㥡晥㈲昵㤹㝥扣㈸㥦㘳㡥攷㕡㘸㐷㡢愵㡢㉣攱㡦㑣㉢攸㘸㤱㜱挵晤搸㈵搹〵昹㤴㈴て㤰摣攲㌴㙡㐸昲㐶㤲搱摤搲摦昹っ㌲㈰ㄹ㕤㉢愶㍣摤㉢愶㍣㝤㈹愶㍣晤㈹㈶昱㌸〰挹㈶㑥㘲㍡愲㔴㑦昰㐷愸㤱捦〳攴昲ㅦ〲搴㜵㐴㡤㈴㉥攴〵〲㙥㌶㑦晦㐹㌷慥㘳搵㝡㠲捦ㄱ㜰㘷挶㠷〱㤲〴慡㡢㕤㈵っ昷㝣㥤㌷愵㐹㝤㠳㝤慣㘲㤵昰㈴㜶ㅣ㉡㍤㘴搵㕡㔰〴㤹挸戰扡㈲㤷敢㉤晣挲〳㘴戶㈴づㅡ㤹㌴摥㥢㝥㜷戲㍡戵㤲㌳敥〵摤慥敥㉢㘴戰㥡㜰攱敡挸㙥㌹昹〵㐲摣㡣搱攱㘱ㅦ昹㐵㠰㙡ㄲㅦ㐵慥愹搶愰ㄹ㜱昵㌶ぢ挷慦慦〵㠰ㄸ敡敢㉢挱㝣扢㡡挸敡㥦昰昳㌴㔳㥡搶㈰戴ㅡ㐴㡢晣戳戸㔹㥦ㅥ慡㐱㝤㝡㐶㠰㤸敡改㌱扦㠴摡㘵㈵愸ㄸ㐲搷收㈳㐵つ愹ㄹ晣㉦㤰挱㤱愲㌶㘴捡㔳㈳㌲攵愹晥㤸昲攷愲摦㔴て㤵ㄶて愶ㄹ㔷㕣户㥦㍣㔵ㅤ㌷㈸ㅢ捦㘲㥥摡㑦搷㙦㘴攳㈶㠲ㄷ〱昲搴㠳㝡昵㝦㠵㑣㔷㥢㐱㔱㝥昷昲慥㜴㥤搰敢㠳挵搹昰晥昱〰摥㌳㉥愶㌱扥つ搱扦㈸㘶㤶㐹晦摣敡收攲搹愰〲攷㥦戱〷㜸㝦〷昳㤰㈵㙡っ捤ㄹ㌷攳㑦扥〴搰㐳〱㙦攰㉦㐱㠸搷昷愱㡥㘹扦㠶愹つ昱敦挶晤㍤搴〶つ㈳㤲户㝦㘸晦换换攳摦ㅡ攴挸搳ㄷ㉦づ㡡攷㤰改挱㕦昲㕤捤㉥㙣慢攵㑤摥捥戸㈱昹戰㈸㝦ㄱ戳㘸㘲晤ㅤ㌲㕤㙤㠲㐲㥣〴ㄳ〳ㄸ㐱㉣改㡤㝤ㅤ㌵㍤ㄴ捦つ换㐴ㄹ㘹㠵㡤㔱㤶㌷㡣㘸戱㌱㜴搹戹㍦昲攰摥摡㈷㈸挷㕢㙤㙣晢㜲ㅢ敢㡢ㅢ㤲て㠶〴㘵㡢㍥戹㝦㡦っ搹㤴㝦昹慡㠰ㄱ晡㜴愳㘶㐹攴戰㙦㥥攷㔹㘳攳ㅦ㤱〱㌶㜸晥㌴㌶戶搵㘳攳㥢愸ㄵ㉦〲搴㔶㍡㡤㔲愴㔹㙦㕤㙥愵㕢攲㠶愶换㔴ㅥ㤳㉢㕤愶搶扤㝤收㐷つ㥢㉡扥挳㡥慡挹搹㍡挲㔳搲㈶㔶㈷㉥㍥㝣扣㍥ㅥ挳ㄵㅦ慥㍢昰㝦㔲挴ㄶ〳慥晥㘸昹㔶㐳敢㔲㤷㌸搸戴挷㝤挴摡摢敤搱〰㌱㡣㘲ㄶ慦㈷㐳㍣㤷㉡慦〵搵〷愳㌷㐳〹〰〲昲挵㜲扡愵扤㐹㐳㌲改〳搴㈹晤ㅡ㍥慡㝥㙣㥡昷㈵慢㔳㝣收换昸㔸㕤㜴扢㔸㜷〹㤸ㄱ㥢㐱攵㐸愰㍦㥥㝡ㅢㅤ㤱搲㈹昹ち㝥捣㔷〱摡㘰愵㘹戶〴挸挹搷㔰ㄳ㕤扡㙣㐵㉥㘵㔰㝥㈴昷㐷㈷攰㈰ㄱ㤰㜸ㅤ摣搱挱㑤㔷㤳攰昱㈵㈳㤹晦っ戰散敡㌶戵㕣摤扦㘲㠸攴敡㙡㉢晢㜷㔶㜱㔱㔱㜸㔲㔰〰㜰㜵搵㤴攷愹搲㈷攵㌲㌲昲㍦〹扥つ㤰ㄳ㍣㌹㝡㈱摦㐱愶昶ち㐶晢〱㐱㕡攴慢㉢昸㡦㍢㌶搵昰昳㕤㡥攷ㄹㄲ㥡搴挴捤昷㔸㔵户〲ㅥ㍡慥攰挴㤳㝦扡晦㐷㍢ㅦㄸ㌴㠸搳慢愶㌹㑦昷㉡敤㠰晦挶㔰昱ㅡ〱晥攴昷攳っぢ㠲㠸攳㌲攴て㔸㈲捥㜴㥦㌷攲㡣敥㐳晣㘸ㄱ搲㡥㥤㔳愰摥㠳㡡㙣摡ㄴ挴㤹㙥㌰攳㠶扤扡㐱〸攲㔱㌷ㄸ㜱挳㍥㔴挸㌷〱〴昱愴㍦昸㈳㤶㠸㈲晤挱户攲㡣晥愰㕥㉦㉡㤶㈴ㅢ昲愹㍣搷慤改挵ㄱ㤰㙣㝡挵㑤扤戸㜲摤㉢慤㝢昵昰愳愷昱㤷㕥㄰㠵〷㡢て㍥昸㐶㑦愶昷愶捣〷昷㜷㍥昹昲㔷㕦㌹昷㡤㕦摣晢㉦㙦㥥㍦晦㡤搷捥㕤㝡昳捦愷昷晥昵戳捦㝥攵摥㘷㉥扤戲捥扥㤰晥晣ㅢ㘳ㄷㅥㅤ㤸㝢昴㘱晢攴晢づ㍤㝡晦㐳挷〶㈶㙥攸㙢㙢㙢㙦摦戶晥愵㡤户攷ㅦ㝦昸㡢攲换晦昴㔳㘵愱昷搱戴っ敥㐷㉦㠳㜱㉡㉣㤶㙢搶ㄸ昹攱㕢ㄱづ㠷搰㈱㡢㙡㉥㔳㌷晣㙦愲㠱〳㜵挳晦㌴㌶㜴晣ㅦ㠰ㄲ捤扦</t>
  </si>
</sst>
</file>

<file path=xl/styles.xml><?xml version="1.0" encoding="utf-8"?>
<styleSheet xmlns="http://schemas.openxmlformats.org/spreadsheetml/2006/main">
  <numFmts count="8">
    <numFmt numFmtId="6" formatCode="&quot;$&quot;#,##0_);[Red]\(&quot;$&quot;#,##0\)"/>
    <numFmt numFmtId="8" formatCode="&quot;$&quot;#,##0.00_);[Red]\(&quot;$&quot;#,##0.00\)"/>
    <numFmt numFmtId="43" formatCode="_(* #,##0.00_);_(* \(#,##0.00\);_(* &quot;-&quot;??_);_(@_)"/>
    <numFmt numFmtId="164" formatCode="_(* #,##0_);_(* \(#,##0\);_(* &quot;-&quot;??_);_(@_)"/>
    <numFmt numFmtId="165" formatCode="0.00_);[Red]\(0.00\)"/>
    <numFmt numFmtId="166" formatCode="0.0000"/>
    <numFmt numFmtId="167" formatCode="0.00000"/>
    <numFmt numFmtId="168" formatCode="0.0%"/>
  </numFmts>
  <fonts count="37">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b/>
      <sz val="11"/>
      <name val="Times New Roman"/>
      <family val="1"/>
    </font>
    <font>
      <sz val="11"/>
      <name val="Times New Roman"/>
      <family val="1"/>
    </font>
    <font>
      <sz val="12"/>
      <color theme="1"/>
      <name val="Times New Roman"/>
      <family val="1"/>
    </font>
    <font>
      <b/>
      <sz val="12"/>
      <name val="Times New Roman"/>
      <family val="1"/>
    </font>
    <font>
      <sz val="12"/>
      <name val="Times New Roman"/>
      <family val="1"/>
    </font>
    <font>
      <b/>
      <sz val="10"/>
      <name val="Arial"/>
      <family val="2"/>
    </font>
    <font>
      <sz val="10"/>
      <name val="Arial"/>
      <family val="2"/>
    </font>
    <font>
      <sz val="12"/>
      <color theme="1"/>
      <name val="Calibri"/>
      <family val="2"/>
      <scheme val="minor"/>
    </font>
    <font>
      <sz val="12"/>
      <color rgb="FFFF0000"/>
      <name val="Calibri"/>
      <family val="2"/>
      <scheme val="minor"/>
    </font>
    <font>
      <sz val="11"/>
      <color theme="1"/>
      <name val="Times New Roman"/>
      <family val="1"/>
    </font>
    <font>
      <b/>
      <sz val="14"/>
      <color rgb="FF00B050"/>
      <name val="Times New Roman"/>
      <family val="1"/>
    </font>
    <font>
      <sz val="12"/>
      <color theme="0"/>
      <name val="Calibri"/>
      <family val="2"/>
      <scheme val="minor"/>
    </font>
    <font>
      <b/>
      <sz val="11"/>
      <color theme="1"/>
      <name val="Times New Roman"/>
      <family val="1"/>
    </font>
    <font>
      <b/>
      <sz val="12"/>
      <color theme="3"/>
      <name val="Times New Roman"/>
      <family val="1"/>
    </font>
    <font>
      <b/>
      <sz val="18"/>
      <color theme="3"/>
      <name val="Times New Roman"/>
      <family val="1"/>
    </font>
    <font>
      <b/>
      <sz val="12"/>
      <color theme="8" tint="-0.249977111117893"/>
      <name val="Times New Roman"/>
      <family val="1"/>
    </font>
    <font>
      <b/>
      <sz val="12"/>
      <color theme="0"/>
      <name val="Times New Roman"/>
      <family val="1"/>
    </font>
    <font>
      <b/>
      <sz val="12"/>
      <color rgb="FF000000"/>
      <name val="Times New Roman"/>
      <family val="1"/>
    </font>
    <font>
      <b/>
      <sz val="12"/>
      <color theme="1"/>
      <name val="Times New Roman"/>
      <family val="1"/>
    </font>
    <font>
      <b/>
      <sz val="12"/>
      <color theme="4" tint="-0.249977111117893"/>
      <name val="Times New Roman"/>
      <family val="1"/>
    </font>
    <font>
      <b/>
      <i/>
      <sz val="12"/>
      <color theme="1"/>
      <name val="Times New Roman"/>
      <family val="1"/>
    </font>
    <font>
      <sz val="9.5"/>
      <color theme="1"/>
      <name val="Times New Roman"/>
      <family val="1"/>
    </font>
    <font>
      <u/>
      <sz val="9.5"/>
      <color theme="1"/>
      <name val="Times New Roman"/>
      <family val="1"/>
    </font>
    <font>
      <sz val="9"/>
      <color theme="1"/>
      <name val="Arial"/>
      <family val="2"/>
    </font>
    <font>
      <sz val="9"/>
      <color theme="1"/>
      <name val="Times New Roman"/>
      <family val="1"/>
    </font>
    <font>
      <sz val="1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b/>
      <sz val="16"/>
      <color rgb="FF00B0F0"/>
      <name val="Calibri"/>
      <family val="2"/>
      <scheme val="minor"/>
    </font>
    <font>
      <sz val="12"/>
      <name val="Calibri"/>
      <family val="2"/>
      <scheme val="minor"/>
    </font>
    <font>
      <sz val="20"/>
      <name val="Calibri"/>
      <family val="2"/>
      <scheme val="minor"/>
    </font>
  </fonts>
  <fills count="23">
    <fill>
      <patternFill patternType="none"/>
    </fill>
    <fill>
      <patternFill patternType="gray125"/>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9"/>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FF00"/>
        <bgColor indexed="64"/>
      </patternFill>
    </fill>
    <fill>
      <patternFill patternType="solid">
        <fgColor rgb="FF00FFFF"/>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medium">
        <color auto="1"/>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rgb="FF7F7F7F"/>
      </right>
      <top style="thin">
        <color rgb="FF7F7F7F"/>
      </top>
      <bottom style="thin">
        <color rgb="FF7F7F7F"/>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style="thin">
        <color rgb="FF7F7F7F"/>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3" applyNumberFormat="0" applyFont="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1" fillId="0" borderId="0"/>
    <xf numFmtId="43" fontId="11" fillId="0" borderId="0" applyFont="0" applyFill="0" applyBorder="0" applyAlignment="0" applyProtection="0"/>
    <xf numFmtId="0" fontId="11" fillId="0" borderId="0"/>
  </cellStyleXfs>
  <cellXfs count="275">
    <xf numFmtId="0" fontId="0" fillId="0" borderId="0" xfId="0"/>
    <xf numFmtId="0" fontId="0" fillId="0" borderId="0" xfId="0" applyBorder="1"/>
    <xf numFmtId="0" fontId="0" fillId="0" borderId="4" xfId="0" applyBorder="1"/>
    <xf numFmtId="0" fontId="12" fillId="0" borderId="0" xfId="0" applyFont="1"/>
    <xf numFmtId="0" fontId="0" fillId="0" borderId="7" xfId="0" applyBorder="1"/>
    <xf numFmtId="0" fontId="0" fillId="0" borderId="7" xfId="0" applyFill="1" applyBorder="1"/>
    <xf numFmtId="0" fontId="14" fillId="0" borderId="0" xfId="0" applyFont="1"/>
    <xf numFmtId="0" fontId="16" fillId="4" borderId="11" xfId="5" applyFont="1" applyBorder="1"/>
    <xf numFmtId="0" fontId="17" fillId="11" borderId="12" xfId="3" applyFont="1" applyFill="1" applyBorder="1"/>
    <xf numFmtId="2" fontId="17" fillId="11" borderId="7" xfId="3" applyNumberFormat="1" applyFont="1" applyFill="1" applyBorder="1"/>
    <xf numFmtId="0" fontId="14" fillId="0" borderId="14" xfId="0" applyFont="1" applyBorder="1"/>
    <xf numFmtId="0" fontId="17" fillId="0" borderId="0" xfId="0" applyFont="1" applyBorder="1"/>
    <xf numFmtId="0" fontId="16" fillId="8" borderId="12" xfId="9" applyFont="1" applyBorder="1"/>
    <xf numFmtId="0" fontId="5" fillId="11" borderId="12" xfId="3" applyFont="1" applyFill="1" applyBorder="1"/>
    <xf numFmtId="2" fontId="5" fillId="11" borderId="7" xfId="3" applyNumberFormat="1" applyFont="1" applyFill="1" applyBorder="1"/>
    <xf numFmtId="0" fontId="14" fillId="0" borderId="0" xfId="0" applyFont="1" applyBorder="1"/>
    <xf numFmtId="0" fontId="4" fillId="5" borderId="16" xfId="6" applyBorder="1"/>
    <xf numFmtId="0" fontId="5" fillId="11" borderId="7" xfId="3" applyFont="1" applyFill="1" applyBorder="1"/>
    <xf numFmtId="0" fontId="18" fillId="0" borderId="0" xfId="12" applyFont="1"/>
    <xf numFmtId="0" fontId="7" fillId="0" borderId="0" xfId="0" applyFont="1"/>
    <xf numFmtId="0" fontId="7" fillId="0" borderId="0" xfId="12" applyFont="1"/>
    <xf numFmtId="0" fontId="21" fillId="12" borderId="7" xfId="12" applyFont="1" applyFill="1" applyBorder="1"/>
    <xf numFmtId="0" fontId="22" fillId="13" borderId="8" xfId="12" applyFont="1" applyFill="1" applyBorder="1" applyAlignment="1">
      <alignment horizontal="left" vertical="top"/>
    </xf>
    <xf numFmtId="2" fontId="8" fillId="11" borderId="7" xfId="3" applyNumberFormat="1" applyFont="1" applyFill="1" applyBorder="1"/>
    <xf numFmtId="165" fontId="23" fillId="11" borderId="7" xfId="12" applyNumberFormat="1" applyFont="1" applyFill="1" applyBorder="1"/>
    <xf numFmtId="0" fontId="7" fillId="11" borderId="7" xfId="12" applyFont="1" applyFill="1" applyBorder="1"/>
    <xf numFmtId="0" fontId="4" fillId="8" borderId="17" xfId="9" applyBorder="1"/>
    <xf numFmtId="0" fontId="24" fillId="14" borderId="7" xfId="12" applyFont="1" applyFill="1" applyBorder="1"/>
    <xf numFmtId="0" fontId="7" fillId="11" borderId="0" xfId="12" applyFont="1" applyFill="1"/>
    <xf numFmtId="0" fontId="22" fillId="13" borderId="7" xfId="12" applyFont="1" applyFill="1" applyBorder="1" applyAlignment="1">
      <alignment horizontal="left" vertical="top"/>
    </xf>
    <xf numFmtId="165" fontId="23" fillId="0" borderId="0" xfId="12" applyNumberFormat="1" applyFont="1"/>
    <xf numFmtId="0" fontId="7" fillId="0" borderId="7" xfId="12" applyFont="1" applyBorder="1"/>
    <xf numFmtId="0" fontId="7" fillId="0" borderId="0" xfId="12" applyFont="1" applyBorder="1"/>
    <xf numFmtId="0" fontId="23" fillId="15" borderId="0" xfId="12" applyFont="1" applyFill="1" applyBorder="1"/>
    <xf numFmtId="0" fontId="7" fillId="0" borderId="0" xfId="12" applyFont="1" applyFill="1" applyBorder="1"/>
    <xf numFmtId="2" fontId="14" fillId="0" borderId="0" xfId="12" applyNumberFormat="1" applyFont="1" applyFill="1" applyBorder="1" applyAlignment="1">
      <alignment horizontal="center"/>
    </xf>
    <xf numFmtId="2" fontId="14" fillId="0" borderId="0" xfId="12" applyNumberFormat="1" applyFont="1" applyAlignment="1">
      <alignment horizontal="center"/>
    </xf>
    <xf numFmtId="0" fontId="23" fillId="0" borderId="0" xfId="12" applyFont="1" applyFill="1" applyBorder="1"/>
    <xf numFmtId="166" fontId="14" fillId="0" borderId="0" xfId="12" applyNumberFormat="1" applyFont="1" applyFill="1" applyBorder="1" applyAlignment="1">
      <alignment horizontal="center"/>
    </xf>
    <xf numFmtId="166" fontId="4" fillId="8" borderId="0" xfId="9" applyNumberFormat="1" applyBorder="1" applyAlignment="1">
      <alignment horizontal="center"/>
    </xf>
    <xf numFmtId="2" fontId="14" fillId="0" borderId="0" xfId="12" applyNumberFormat="1" applyFont="1" applyFill="1" applyBorder="1" applyAlignment="1" applyProtection="1">
      <alignment horizontal="center"/>
    </xf>
    <xf numFmtId="166" fontId="4" fillId="6" borderId="0" xfId="7" applyNumberFormat="1" applyBorder="1" applyAlignment="1">
      <alignment horizontal="center"/>
    </xf>
    <xf numFmtId="0" fontId="1" fillId="0" borderId="0" xfId="0" applyFont="1" applyAlignment="1">
      <alignment horizontal="center"/>
    </xf>
    <xf numFmtId="166" fontId="4" fillId="9" borderId="0" xfId="10" applyNumberFormat="1" applyBorder="1" applyAlignment="1">
      <alignment horizontal="center"/>
    </xf>
    <xf numFmtId="166" fontId="4" fillId="4" borderId="0" xfId="5" applyNumberFormat="1" applyBorder="1" applyAlignment="1">
      <alignment horizontal="center"/>
    </xf>
    <xf numFmtId="166" fontId="4" fillId="5" borderId="0" xfId="6" applyNumberFormat="1" applyBorder="1" applyAlignment="1">
      <alignment horizontal="center"/>
    </xf>
    <xf numFmtId="2" fontId="7" fillId="0" borderId="0" xfId="12" applyNumberFormat="1" applyFont="1" applyFill="1" applyBorder="1" applyAlignment="1">
      <alignment horizontal="center"/>
    </xf>
    <xf numFmtId="2" fontId="7" fillId="0" borderId="0" xfId="12" applyNumberFormat="1" applyFont="1"/>
    <xf numFmtId="0" fontId="25" fillId="0" borderId="0" xfId="12" applyFont="1" applyFill="1" applyBorder="1"/>
    <xf numFmtId="2" fontId="7" fillId="16" borderId="0" xfId="12" applyNumberFormat="1" applyFont="1" applyFill="1" applyBorder="1" applyAlignment="1">
      <alignment horizontal="center"/>
    </xf>
    <xf numFmtId="0" fontId="12" fillId="17" borderId="0" xfId="0" applyFont="1" applyFill="1" applyAlignment="1">
      <alignment horizontal="center"/>
    </xf>
    <xf numFmtId="2" fontId="23" fillId="0" borderId="0" xfId="12" applyNumberFormat="1" applyFont="1" applyFill="1" applyBorder="1" applyAlignment="1">
      <alignment horizontal="center"/>
    </xf>
    <xf numFmtId="2" fontId="7" fillId="0" borderId="0" xfId="12" applyNumberFormat="1" applyFont="1" applyBorder="1" applyAlignment="1">
      <alignment horizontal="center"/>
    </xf>
    <xf numFmtId="0" fontId="25" fillId="16" borderId="0" xfId="12" applyFont="1" applyFill="1" applyBorder="1"/>
    <xf numFmtId="0" fontId="23" fillId="17" borderId="0" xfId="12" applyFont="1" applyFill="1" applyBorder="1"/>
    <xf numFmtId="0" fontId="12" fillId="0" borderId="0" xfId="0" applyFont="1" applyAlignment="1">
      <alignment horizontal="center"/>
    </xf>
    <xf numFmtId="0" fontId="23" fillId="18" borderId="0" xfId="12" applyFont="1" applyFill="1" applyBorder="1"/>
    <xf numFmtId="0" fontId="12" fillId="18" borderId="0" xfId="0" applyFont="1" applyFill="1" applyAlignment="1">
      <alignment horizontal="center"/>
    </xf>
    <xf numFmtId="0" fontId="0" fillId="0" borderId="14" xfId="0" applyBorder="1"/>
    <xf numFmtId="2" fontId="0" fillId="0" borderId="4" xfId="0" applyNumberFormat="1" applyBorder="1"/>
    <xf numFmtId="2" fontId="0" fillId="0" borderId="0" xfId="0" applyNumberFormat="1" applyBorder="1"/>
    <xf numFmtId="0" fontId="0" fillId="0" borderId="20" xfId="0" applyBorder="1"/>
    <xf numFmtId="0" fontId="0" fillId="0" borderId="0" xfId="0" applyAlignment="1"/>
    <xf numFmtId="0" fontId="26" fillId="0" borderId="0" xfId="0" applyFont="1" applyAlignment="1">
      <alignment vertical="top" wrapText="1"/>
    </xf>
    <xf numFmtId="0" fontId="26" fillId="0" borderId="0" xfId="0" applyFont="1" applyAlignment="1">
      <alignment horizontal="center" vertical="top"/>
    </xf>
    <xf numFmtId="0" fontId="26" fillId="0" borderId="22" xfId="0" applyFont="1" applyBorder="1" applyAlignment="1">
      <alignment horizontal="center" vertical="top"/>
    </xf>
    <xf numFmtId="0" fontId="26" fillId="0" borderId="0" xfId="0" applyFont="1" applyAlignment="1">
      <alignment vertical="top"/>
    </xf>
    <xf numFmtId="0" fontId="14" fillId="0" borderId="0" xfId="0" applyFont="1" applyAlignment="1">
      <alignment vertical="top"/>
    </xf>
    <xf numFmtId="6" fontId="26" fillId="0" borderId="0" xfId="0" applyNumberFormat="1" applyFont="1" applyAlignment="1">
      <alignment horizontal="right" vertical="top"/>
    </xf>
    <xf numFmtId="3" fontId="26" fillId="0" borderId="0" xfId="0" applyNumberFormat="1" applyFont="1" applyAlignment="1">
      <alignment horizontal="right" vertical="top"/>
    </xf>
    <xf numFmtId="0" fontId="26" fillId="0" borderId="0" xfId="0" applyFont="1" applyAlignment="1">
      <alignment horizontal="right" vertical="top"/>
    </xf>
    <xf numFmtId="0" fontId="27" fillId="0" borderId="0" xfId="0" applyFont="1" applyAlignment="1">
      <alignment horizontal="right" vertical="top"/>
    </xf>
    <xf numFmtId="0" fontId="26" fillId="0" borderId="0" xfId="0" applyFont="1" applyAlignment="1">
      <alignment horizontal="left" vertical="top"/>
    </xf>
    <xf numFmtId="6" fontId="27" fillId="0" borderId="0" xfId="0" applyNumberFormat="1" applyFont="1" applyAlignment="1">
      <alignment horizontal="left" vertical="top"/>
    </xf>
    <xf numFmtId="6" fontId="27" fillId="0" borderId="0" xfId="0" applyNumberFormat="1" applyFont="1" applyAlignment="1">
      <alignment horizontal="right" vertical="top"/>
    </xf>
    <xf numFmtId="0" fontId="28" fillId="0" borderId="0" xfId="0" applyFont="1" applyAlignment="1">
      <alignment vertical="top"/>
    </xf>
    <xf numFmtId="3" fontId="27" fillId="0" borderId="0" xfId="0" applyNumberFormat="1" applyFont="1" applyAlignment="1">
      <alignment horizontal="right" vertical="top"/>
    </xf>
    <xf numFmtId="0" fontId="26" fillId="0" borderId="22" xfId="0" applyFont="1" applyBorder="1" applyAlignment="1">
      <alignment vertical="top"/>
    </xf>
    <xf numFmtId="6" fontId="27" fillId="0" borderId="0" xfId="0" applyNumberFormat="1" applyFont="1" applyAlignment="1"/>
    <xf numFmtId="8" fontId="0" fillId="0" borderId="0" xfId="0" applyNumberFormat="1"/>
    <xf numFmtId="0" fontId="0" fillId="19" borderId="0" xfId="0" applyFill="1" applyAlignment="1"/>
    <xf numFmtId="6" fontId="26" fillId="0" borderId="0" xfId="0" applyNumberFormat="1" applyFont="1" applyAlignment="1"/>
    <xf numFmtId="0" fontId="26" fillId="0" borderId="0" xfId="0" applyFont="1" applyAlignment="1"/>
    <xf numFmtId="0" fontId="29" fillId="0" borderId="0" xfId="0" applyFont="1" applyAlignment="1"/>
    <xf numFmtId="6" fontId="26" fillId="0" borderId="0" xfId="0" applyNumberFormat="1" applyFont="1" applyAlignment="1">
      <alignment horizontal="right"/>
    </xf>
    <xf numFmtId="0" fontId="14" fillId="0" borderId="0" xfId="0" applyFont="1" applyAlignment="1"/>
    <xf numFmtId="0" fontId="27" fillId="0" borderId="0" xfId="0" applyFont="1" applyAlignment="1"/>
    <xf numFmtId="8" fontId="26" fillId="0" borderId="0" xfId="0" applyNumberFormat="1" applyFont="1" applyAlignment="1"/>
    <xf numFmtId="3" fontId="26" fillId="0" borderId="0" xfId="0" applyNumberFormat="1" applyFont="1" applyAlignment="1"/>
    <xf numFmtId="3" fontId="27" fillId="0" borderId="0" xfId="0" applyNumberFormat="1" applyFont="1" applyAlignment="1"/>
    <xf numFmtId="166" fontId="4" fillId="0" borderId="0" xfId="9" applyNumberFormat="1" applyFill="1" applyBorder="1" applyAlignment="1">
      <alignment horizontal="center"/>
    </xf>
    <xf numFmtId="166" fontId="4" fillId="11" borderId="0" xfId="7" applyNumberFormat="1" applyFill="1" applyBorder="1" applyAlignment="1">
      <alignment horizontal="center"/>
    </xf>
    <xf numFmtId="166" fontId="4" fillId="11" borderId="0" xfId="10" applyNumberFormat="1" applyFill="1" applyBorder="1" applyAlignment="1">
      <alignment horizontal="center"/>
    </xf>
    <xf numFmtId="166" fontId="4" fillId="11" borderId="0" xfId="5" applyNumberFormat="1" applyFill="1" applyBorder="1" applyAlignment="1">
      <alignment horizontal="center"/>
    </xf>
    <xf numFmtId="166" fontId="4" fillId="11" borderId="0" xfId="6" applyNumberFormat="1" applyFill="1" applyBorder="1" applyAlignment="1">
      <alignment horizontal="center"/>
    </xf>
    <xf numFmtId="9" fontId="14" fillId="0" borderId="0" xfId="0" applyNumberFormat="1" applyFont="1" applyAlignment="1">
      <alignment vertical="top"/>
    </xf>
    <xf numFmtId="6" fontId="0" fillId="0" borderId="0" xfId="0" applyNumberFormat="1" applyAlignment="1"/>
    <xf numFmtId="8" fontId="0" fillId="0" borderId="0" xfId="0" applyNumberFormat="1" applyAlignment="1"/>
    <xf numFmtId="0" fontId="0" fillId="0" borderId="0" xfId="0" applyNumberFormat="1" applyAlignment="1"/>
    <xf numFmtId="0" fontId="14" fillId="0" borderId="0" xfId="0" applyNumberFormat="1" applyFont="1" applyAlignment="1">
      <alignment vertical="top"/>
    </xf>
    <xf numFmtId="3" fontId="26" fillId="19" borderId="0" xfId="0" applyNumberFormat="1" applyFont="1" applyFill="1" applyAlignment="1">
      <alignment horizontal="right" vertical="top"/>
    </xf>
    <xf numFmtId="0" fontId="17" fillId="0" borderId="0" xfId="0" applyFont="1" applyAlignment="1">
      <alignment vertical="top"/>
    </xf>
    <xf numFmtId="0" fontId="23" fillId="0" borderId="0" xfId="0" applyFont="1" applyAlignment="1">
      <alignment vertical="top"/>
    </xf>
    <xf numFmtId="8" fontId="26" fillId="0" borderId="0" xfId="0" applyNumberFormat="1" applyFont="1" applyAlignment="1">
      <alignment horizontal="right" vertical="top"/>
    </xf>
    <xf numFmtId="10" fontId="0" fillId="0" borderId="0" xfId="2" applyNumberFormat="1" applyFont="1" applyFill="1"/>
    <xf numFmtId="9" fontId="0" fillId="0" borderId="0" xfId="0" applyNumberFormat="1"/>
    <xf numFmtId="10" fontId="0" fillId="0" borderId="0" xfId="0" applyNumberFormat="1" applyFill="1"/>
    <xf numFmtId="0" fontId="1" fillId="0" borderId="0" xfId="8" applyFill="1" applyBorder="1"/>
    <xf numFmtId="0" fontId="0" fillId="0" borderId="0" xfId="0" applyFill="1" applyBorder="1"/>
    <xf numFmtId="0" fontId="1" fillId="16" borderId="18" xfId="8" applyFill="1" applyBorder="1"/>
    <xf numFmtId="0" fontId="3" fillId="16" borderId="24" xfId="0" applyFont="1" applyFill="1" applyBorder="1" applyAlignment="1">
      <alignment horizontal="center"/>
    </xf>
    <xf numFmtId="0" fontId="1" fillId="16" borderId="20" xfId="8" applyFill="1" applyBorder="1"/>
    <xf numFmtId="0" fontId="1" fillId="16" borderId="20" xfId="8" applyFill="1" applyBorder="1" applyAlignment="1">
      <alignment horizontal="center"/>
    </xf>
    <xf numFmtId="0" fontId="1" fillId="16" borderId="25" xfId="8" applyFill="1" applyBorder="1" applyAlignment="1">
      <alignment horizontal="center"/>
    </xf>
    <xf numFmtId="0" fontId="3" fillId="16" borderId="26" xfId="0" applyFont="1" applyFill="1" applyBorder="1"/>
    <xf numFmtId="0" fontId="28" fillId="0" borderId="0" xfId="0" applyFont="1" applyAlignment="1">
      <alignment wrapText="1"/>
    </xf>
    <xf numFmtId="0" fontId="28" fillId="0" borderId="14" xfId="0" applyFont="1" applyBorder="1" applyAlignment="1">
      <alignment wrapText="1"/>
    </xf>
    <xf numFmtId="8" fontId="28" fillId="0" borderId="0" xfId="0" applyNumberFormat="1" applyFont="1" applyBorder="1" applyAlignment="1">
      <alignment horizontal="right" wrapText="1"/>
    </xf>
    <xf numFmtId="0" fontId="28" fillId="0" borderId="0" xfId="0" applyNumberFormat="1" applyFont="1" applyBorder="1" applyAlignment="1">
      <alignment horizontal="right"/>
    </xf>
    <xf numFmtId="0" fontId="28" fillId="0" borderId="0" xfId="0" applyNumberFormat="1" applyFont="1" applyFill="1" applyBorder="1" applyAlignment="1">
      <alignment horizontal="right"/>
    </xf>
    <xf numFmtId="1" fontId="3" fillId="0" borderId="0" xfId="0" applyNumberFormat="1" applyFont="1" applyFill="1" applyBorder="1"/>
    <xf numFmtId="0" fontId="28" fillId="0" borderId="0" xfId="0" applyFont="1" applyBorder="1" applyAlignment="1">
      <alignment horizontal="right" wrapText="1"/>
    </xf>
    <xf numFmtId="1" fontId="0" fillId="0" borderId="0" xfId="0" applyNumberFormat="1" applyFill="1" applyBorder="1"/>
    <xf numFmtId="0" fontId="28" fillId="0" borderId="0" xfId="0" applyFont="1" applyBorder="1" applyAlignment="1">
      <alignment horizontal="right"/>
    </xf>
    <xf numFmtId="0" fontId="28" fillId="0" borderId="0" xfId="0" applyFont="1" applyFill="1" applyBorder="1" applyAlignment="1">
      <alignment horizontal="right"/>
    </xf>
    <xf numFmtId="1" fontId="3" fillId="0" borderId="0" xfId="0" applyNumberFormat="1" applyFont="1" applyBorder="1"/>
    <xf numFmtId="8" fontId="28" fillId="0" borderId="0" xfId="0" applyNumberFormat="1" applyFont="1" applyBorder="1" applyAlignment="1">
      <alignment horizontal="right"/>
    </xf>
    <xf numFmtId="1" fontId="0" fillId="0" borderId="0" xfId="0" applyNumberFormat="1" applyBorder="1"/>
    <xf numFmtId="8" fontId="28" fillId="0" borderId="4" xfId="0" applyNumberFormat="1" applyFont="1" applyBorder="1" applyAlignment="1">
      <alignment horizontal="right" wrapText="1"/>
    </xf>
    <xf numFmtId="164" fontId="11" fillId="0" borderId="14" xfId="13" applyNumberFormat="1" applyFont="1" applyFill="1" applyBorder="1"/>
    <xf numFmtId="2" fontId="0" fillId="0" borderId="14" xfId="0" applyNumberFormat="1" applyBorder="1"/>
    <xf numFmtId="6" fontId="0" fillId="0" borderId="0" xfId="0" applyNumberFormat="1" applyBorder="1"/>
    <xf numFmtId="2" fontId="0" fillId="0" borderId="20" xfId="0" applyNumberFormat="1" applyBorder="1"/>
    <xf numFmtId="2" fontId="0" fillId="0" borderId="25" xfId="0" applyNumberFormat="1" applyBorder="1"/>
    <xf numFmtId="0" fontId="28" fillId="0" borderId="0" xfId="0" applyFont="1" applyFill="1" applyBorder="1" applyAlignment="1">
      <alignment wrapText="1"/>
    </xf>
    <xf numFmtId="2" fontId="0" fillId="0" borderId="0" xfId="0" applyNumberFormat="1"/>
    <xf numFmtId="2" fontId="0" fillId="0" borderId="0" xfId="0" applyNumberFormat="1" applyFill="1"/>
    <xf numFmtId="0" fontId="10" fillId="11" borderId="27" xfId="3" applyNumberFormat="1" applyFont="1" applyFill="1" applyBorder="1" applyAlignment="1" applyProtection="1">
      <alignment horizontal="left" vertical="top"/>
    </xf>
    <xf numFmtId="43" fontId="11" fillId="11" borderId="28" xfId="1" applyNumberFormat="1" applyFont="1" applyFill="1" applyBorder="1" applyAlignment="1"/>
    <xf numFmtId="0" fontId="10" fillId="11" borderId="12" xfId="3" applyNumberFormat="1" applyFont="1" applyFill="1" applyBorder="1" applyAlignment="1" applyProtection="1">
      <alignment horizontal="left" vertical="top"/>
    </xf>
    <xf numFmtId="8" fontId="11" fillId="11" borderId="29" xfId="1" applyNumberFormat="1" applyFont="1" applyFill="1" applyBorder="1" applyAlignment="1"/>
    <xf numFmtId="43" fontId="11" fillId="11" borderId="29" xfId="1" applyNumberFormat="1" applyFont="1" applyFill="1" applyBorder="1" applyAlignment="1"/>
    <xf numFmtId="43" fontId="11" fillId="11" borderId="7" xfId="1" applyNumberFormat="1" applyFont="1" applyFill="1" applyBorder="1" applyAlignment="1"/>
    <xf numFmtId="0" fontId="10" fillId="11" borderId="7" xfId="3" applyNumberFormat="1" applyFont="1" applyFill="1" applyBorder="1" applyAlignment="1" applyProtection="1">
      <alignment horizontal="left" vertical="top"/>
    </xf>
    <xf numFmtId="0" fontId="10" fillId="11" borderId="20" xfId="3" applyNumberFormat="1" applyFont="1" applyFill="1" applyBorder="1" applyAlignment="1" applyProtection="1">
      <alignment horizontal="left" vertical="top"/>
    </xf>
    <xf numFmtId="43" fontId="0" fillId="0" borderId="7" xfId="0" applyNumberFormat="1" applyFill="1" applyBorder="1"/>
    <xf numFmtId="0" fontId="4" fillId="6" borderId="1" xfId="7" applyBorder="1" applyAlignment="1"/>
    <xf numFmtId="0" fontId="9" fillId="0" borderId="7" xfId="14" applyFont="1" applyBorder="1"/>
    <xf numFmtId="0" fontId="30" fillId="0" borderId="7" xfId="0" applyFont="1" applyBorder="1"/>
    <xf numFmtId="0" fontId="11" fillId="0" borderId="7" xfId="0" applyFont="1" applyBorder="1" applyAlignment="1"/>
    <xf numFmtId="2" fontId="30" fillId="0" borderId="7" xfId="0" applyNumberFormat="1" applyFont="1" applyBorder="1"/>
    <xf numFmtId="3" fontId="30" fillId="0" borderId="7" xfId="0" applyNumberFormat="1" applyFont="1" applyBorder="1"/>
    <xf numFmtId="3" fontId="30" fillId="0" borderId="0" xfId="0" applyNumberFormat="1" applyFont="1" applyBorder="1"/>
    <xf numFmtId="0" fontId="10" fillId="11" borderId="7" xfId="0" applyFont="1" applyFill="1" applyBorder="1" applyAlignment="1"/>
    <xf numFmtId="10" fontId="30" fillId="0" borderId="7" xfId="0" applyNumberFormat="1" applyFont="1" applyBorder="1"/>
    <xf numFmtId="9" fontId="30" fillId="0" borderId="7" xfId="0" applyNumberFormat="1" applyFont="1" applyBorder="1"/>
    <xf numFmtId="167" fontId="2" fillId="11" borderId="2" xfId="1" applyNumberFormat="1" applyFont="1" applyFill="1" applyBorder="1"/>
    <xf numFmtId="6" fontId="28" fillId="0" borderId="0" xfId="0" applyNumberFormat="1" applyFont="1" applyBorder="1" applyAlignment="1">
      <alignment horizontal="right"/>
    </xf>
    <xf numFmtId="6" fontId="28" fillId="0" borderId="0" xfId="0" applyNumberFormat="1" applyFont="1" applyFill="1" applyBorder="1" applyAlignment="1">
      <alignment horizontal="right"/>
    </xf>
    <xf numFmtId="0" fontId="0" fillId="0" borderId="18" xfId="0" applyBorder="1"/>
    <xf numFmtId="0" fontId="0" fillId="0" borderId="23" xfId="0" applyBorder="1"/>
    <xf numFmtId="0" fontId="0" fillId="0" borderId="19" xfId="0" applyBorder="1"/>
    <xf numFmtId="9" fontId="0" fillId="0" borderId="0" xfId="2" applyFont="1" applyBorder="1"/>
    <xf numFmtId="8" fontId="0" fillId="0" borderId="0" xfId="0" applyNumberFormat="1" applyBorder="1"/>
    <xf numFmtId="0" fontId="0" fillId="0" borderId="25" xfId="0" applyBorder="1"/>
    <xf numFmtId="0" fontId="0" fillId="0" borderId="21" xfId="0" applyBorder="1"/>
    <xf numFmtId="8" fontId="0" fillId="0" borderId="4" xfId="0" applyNumberFormat="1" applyBorder="1"/>
    <xf numFmtId="0" fontId="31" fillId="0" borderId="14" xfId="0" applyFont="1" applyBorder="1" applyAlignment="1">
      <alignment horizontal="center"/>
    </xf>
    <xf numFmtId="0" fontId="31" fillId="0" borderId="0" xfId="0" applyFont="1" applyBorder="1"/>
    <xf numFmtId="0" fontId="3" fillId="0" borderId="0" xfId="0" applyFont="1" applyBorder="1"/>
    <xf numFmtId="0" fontId="0" fillId="19" borderId="25" xfId="0" applyFill="1" applyBorder="1"/>
    <xf numFmtId="8" fontId="0" fillId="19" borderId="21" xfId="0" applyNumberFormat="1" applyFill="1" applyBorder="1"/>
    <xf numFmtId="0" fontId="0" fillId="19" borderId="19" xfId="0" applyFill="1" applyBorder="1"/>
    <xf numFmtId="0" fontId="31" fillId="0" borderId="18" xfId="0" applyFont="1" applyBorder="1" applyAlignment="1"/>
    <xf numFmtId="0" fontId="31" fillId="0" borderId="23" xfId="0" applyFont="1" applyBorder="1" applyAlignment="1"/>
    <xf numFmtId="0" fontId="32" fillId="0" borderId="23" xfId="0" applyFont="1" applyBorder="1" applyAlignment="1">
      <alignment horizontal="center"/>
    </xf>
    <xf numFmtId="0" fontId="0" fillId="0" borderId="23" xfId="0" applyFont="1" applyBorder="1"/>
    <xf numFmtId="0" fontId="32" fillId="0" borderId="19" xfId="0" applyFont="1" applyBorder="1" applyAlignment="1">
      <alignment horizontal="center"/>
    </xf>
    <xf numFmtId="0" fontId="0" fillId="19" borderId="20" xfId="0" applyFill="1" applyBorder="1"/>
    <xf numFmtId="0" fontId="31" fillId="0" borderId="18" xfId="0" applyFont="1" applyBorder="1" applyAlignment="1">
      <alignment horizontal="center"/>
    </xf>
    <xf numFmtId="0" fontId="31" fillId="0" borderId="23" xfId="0" applyFont="1" applyBorder="1" applyAlignment="1">
      <alignment horizontal="center"/>
    </xf>
    <xf numFmtId="0" fontId="33" fillId="19" borderId="25" xfId="0" applyFont="1" applyFill="1" applyBorder="1"/>
    <xf numFmtId="0" fontId="34" fillId="19" borderId="25" xfId="0" applyFont="1" applyFill="1" applyBorder="1"/>
    <xf numFmtId="0" fontId="7" fillId="0" borderId="0" xfId="0" applyFont="1" applyBorder="1" applyAlignment="1">
      <alignment horizontal="center" vertical="top"/>
    </xf>
    <xf numFmtId="0" fontId="23" fillId="0" borderId="0" xfId="0" applyFont="1" applyBorder="1" applyAlignment="1">
      <alignment horizontal="center" vertical="top"/>
    </xf>
    <xf numFmtId="0" fontId="7" fillId="0" borderId="23" xfId="0" applyFont="1" applyBorder="1" applyAlignment="1">
      <alignment horizontal="center" vertical="top"/>
    </xf>
    <xf numFmtId="0" fontId="7" fillId="0" borderId="19" xfId="0" applyFont="1" applyBorder="1" applyAlignment="1">
      <alignment horizontal="center" vertical="top"/>
    </xf>
    <xf numFmtId="0" fontId="32" fillId="0" borderId="14" xfId="0" applyFont="1" applyBorder="1" applyAlignment="1"/>
    <xf numFmtId="0" fontId="0" fillId="0" borderId="14" xfId="0" applyFont="1" applyBorder="1" applyAlignment="1"/>
    <xf numFmtId="0" fontId="7" fillId="0" borderId="14" xfId="0" applyFont="1" applyBorder="1"/>
    <xf numFmtId="0" fontId="7" fillId="0" borderId="14" xfId="0" applyFont="1" applyBorder="1" applyAlignment="1">
      <alignment horizontal="left" vertical="top"/>
    </xf>
    <xf numFmtId="0" fontId="23" fillId="0" borderId="14" xfId="0" applyFont="1" applyBorder="1" applyAlignment="1">
      <alignment horizontal="left" vertical="top"/>
    </xf>
    <xf numFmtId="0" fontId="31" fillId="0" borderId="0" xfId="0" applyFont="1"/>
    <xf numFmtId="0" fontId="0" fillId="19" borderId="4" xfId="0" applyFill="1" applyBorder="1"/>
    <xf numFmtId="0" fontId="33" fillId="19" borderId="31" xfId="0" applyFont="1" applyFill="1" applyBorder="1"/>
    <xf numFmtId="0" fontId="34" fillId="11" borderId="30" xfId="0" applyFont="1" applyFill="1" applyBorder="1"/>
    <xf numFmtId="0" fontId="4" fillId="0" borderId="0" xfId="9" applyFill="1"/>
    <xf numFmtId="0" fontId="12" fillId="0" borderId="0" xfId="0" applyFont="1" applyFill="1"/>
    <xf numFmtId="0" fontId="0" fillId="0" borderId="0" xfId="0" applyFill="1"/>
    <xf numFmtId="0" fontId="10" fillId="0" borderId="5" xfId="0" applyFont="1" applyFill="1" applyBorder="1"/>
    <xf numFmtId="0" fontId="0" fillId="0" borderId="6" xfId="0" applyFill="1" applyBorder="1"/>
    <xf numFmtId="0" fontId="6" fillId="0" borderId="0" xfId="0" applyFont="1" applyFill="1" applyBorder="1" applyAlignment="1">
      <alignment horizontal="left"/>
    </xf>
    <xf numFmtId="9" fontId="12" fillId="0" borderId="0" xfId="2" applyFont="1" applyFill="1"/>
    <xf numFmtId="0" fontId="11" fillId="0" borderId="0" xfId="0" applyFont="1" applyFill="1" applyBorder="1" applyAlignment="1">
      <alignment horizontal="center"/>
    </xf>
    <xf numFmtId="0" fontId="11" fillId="0" borderId="7" xfId="0" applyFont="1" applyFill="1" applyBorder="1"/>
    <xf numFmtId="9" fontId="4" fillId="0" borderId="0" xfId="10" applyNumberFormat="1" applyFill="1"/>
    <xf numFmtId="10" fontId="13" fillId="0" borderId="0" xfId="2" applyNumberFormat="1" applyFont="1" applyFill="1"/>
    <xf numFmtId="0" fontId="13" fillId="0" borderId="0" xfId="0" applyFont="1" applyFill="1"/>
    <xf numFmtId="2" fontId="12" fillId="0" borderId="0" xfId="0" applyNumberFormat="1" applyFont="1" applyFill="1"/>
    <xf numFmtId="0" fontId="10" fillId="0" borderId="0" xfId="0" applyFont="1" applyFill="1"/>
    <xf numFmtId="0" fontId="10" fillId="0" borderId="7" xfId="0" applyFont="1" applyFill="1" applyBorder="1"/>
    <xf numFmtId="0" fontId="11" fillId="0" borderId="8" xfId="0" applyFont="1" applyFill="1" applyBorder="1"/>
    <xf numFmtId="0" fontId="11" fillId="0" borderId="7" xfId="0" applyFont="1" applyFill="1" applyBorder="1" applyAlignment="1">
      <alignment horizontal="center"/>
    </xf>
    <xf numFmtId="0" fontId="12" fillId="0" borderId="0" xfId="2" applyNumberFormat="1" applyFont="1" applyFill="1"/>
    <xf numFmtId="9" fontId="0" fillId="0" borderId="0" xfId="2" applyFont="1" applyFill="1"/>
    <xf numFmtId="168" fontId="35" fillId="0" borderId="0" xfId="2" applyNumberFormat="1" applyFont="1" applyFill="1"/>
    <xf numFmtId="168" fontId="30" fillId="0" borderId="0" xfId="5" applyNumberFormat="1" applyFont="1" applyFill="1"/>
    <xf numFmtId="10" fontId="12" fillId="0" borderId="0" xfId="2" applyNumberFormat="1" applyFont="1" applyFill="1"/>
    <xf numFmtId="10" fontId="12" fillId="20" borderId="0" xfId="2" applyNumberFormat="1" applyFont="1" applyFill="1"/>
    <xf numFmtId="0" fontId="36" fillId="20" borderId="0" xfId="4" applyFont="1" applyFill="1"/>
    <xf numFmtId="2" fontId="35" fillId="0" borderId="0" xfId="0" applyNumberFormat="1" applyFont="1" applyFill="1"/>
    <xf numFmtId="0" fontId="30" fillId="0" borderId="0" xfId="0" applyFont="1" applyFill="1"/>
    <xf numFmtId="0" fontId="10" fillId="20" borderId="7" xfId="0" applyFont="1" applyFill="1" applyBorder="1" applyAlignment="1">
      <alignment horizontal="center"/>
    </xf>
    <xf numFmtId="6" fontId="30" fillId="0" borderId="0" xfId="0" applyNumberFormat="1" applyFont="1" applyFill="1"/>
    <xf numFmtId="3" fontId="30" fillId="0" borderId="0" xfId="0" applyNumberFormat="1" applyFont="1" applyFill="1"/>
    <xf numFmtId="10" fontId="30" fillId="0" borderId="7" xfId="2" applyNumberFormat="1" applyFont="1" applyFill="1" applyBorder="1"/>
    <xf numFmtId="2" fontId="30" fillId="0" borderId="7" xfId="2" applyNumberFormat="1" applyFont="1" applyFill="1" applyBorder="1"/>
    <xf numFmtId="10" fontId="30" fillId="20" borderId="7" xfId="10" applyNumberFormat="1" applyFont="1" applyFill="1" applyBorder="1"/>
    <xf numFmtId="0" fontId="3" fillId="0" borderId="0" xfId="0" applyFont="1"/>
    <xf numFmtId="0" fontId="0" fillId="0" borderId="0" xfId="0" quotePrefix="1"/>
    <xf numFmtId="0" fontId="0" fillId="21" borderId="0" xfId="0" applyFill="1"/>
    <xf numFmtId="0" fontId="0" fillId="22" borderId="0" xfId="0" applyFill="1"/>
    <xf numFmtId="0" fontId="28" fillId="0" borderId="0" xfId="0" applyNumberFormat="1" applyFont="1" applyBorder="1" applyAlignment="1">
      <alignment horizontal="center"/>
    </xf>
    <xf numFmtId="0" fontId="28" fillId="0" borderId="0" xfId="0" applyFont="1" applyAlignment="1">
      <alignment horizontal="center" wrapText="1"/>
    </xf>
    <xf numFmtId="0" fontId="0" fillId="0" borderId="0" xfId="0" applyNumberFormat="1" applyAlignment="1">
      <alignment horizontal="center"/>
    </xf>
    <xf numFmtId="10" fontId="0" fillId="21" borderId="0" xfId="2" applyNumberFormat="1" applyFont="1" applyFill="1"/>
    <xf numFmtId="10" fontId="0" fillId="21" borderId="0" xfId="0" applyNumberFormat="1" applyFill="1"/>
    <xf numFmtId="6" fontId="28" fillId="21" borderId="0" xfId="0" applyNumberFormat="1" applyFont="1" applyFill="1" applyBorder="1" applyAlignment="1">
      <alignment horizontal="right"/>
    </xf>
    <xf numFmtId="0" fontId="28" fillId="21" borderId="0" xfId="0" applyNumberFormat="1" applyFont="1" applyFill="1" applyBorder="1" applyAlignment="1">
      <alignment horizontal="right"/>
    </xf>
    <xf numFmtId="43" fontId="0" fillId="22" borderId="7" xfId="0" applyNumberFormat="1" applyFill="1" applyBorder="1"/>
    <xf numFmtId="2" fontId="5" fillId="11" borderId="8" xfId="3" applyNumberFormat="1" applyFont="1" applyFill="1" applyBorder="1" applyAlignment="1">
      <alignment horizontal="center"/>
    </xf>
    <xf numFmtId="2" fontId="5" fillId="11" borderId="13" xfId="3" applyNumberFormat="1" applyFont="1" applyFill="1" applyBorder="1" applyAlignment="1">
      <alignment horizontal="center"/>
    </xf>
    <xf numFmtId="0" fontId="15" fillId="0" borderId="15" xfId="0" applyFont="1" applyBorder="1" applyAlignment="1">
      <alignment horizontal="center"/>
    </xf>
    <xf numFmtId="0" fontId="15" fillId="0" borderId="13" xfId="0" applyFont="1" applyBorder="1" applyAlignment="1">
      <alignment horizontal="center"/>
    </xf>
    <xf numFmtId="0" fontId="4" fillId="10" borderId="0" xfId="11" applyAlignment="1">
      <alignment horizontal="center"/>
    </xf>
    <xf numFmtId="0" fontId="15" fillId="0" borderId="9" xfId="0" applyFont="1" applyBorder="1" applyAlignment="1">
      <alignment horizontal="center"/>
    </xf>
    <xf numFmtId="0" fontId="15" fillId="0" borderId="10" xfId="0" applyFont="1" applyBorder="1" applyAlignment="1">
      <alignment horizontal="center"/>
    </xf>
    <xf numFmtId="2" fontId="17" fillId="11" borderId="8" xfId="3" applyNumberFormat="1" applyFont="1" applyFill="1" applyBorder="1" applyAlignment="1">
      <alignment horizontal="center"/>
    </xf>
    <xf numFmtId="2" fontId="17" fillId="11" borderId="13" xfId="3" applyNumberFormat="1" applyFont="1" applyFill="1" applyBorder="1" applyAlignment="1">
      <alignment horizontal="center"/>
    </xf>
    <xf numFmtId="0" fontId="19" fillId="0" borderId="0" xfId="12" applyFont="1" applyAlignment="1">
      <alignment horizontal="center"/>
    </xf>
    <xf numFmtId="0" fontId="20" fillId="0" borderId="8" xfId="12" applyFont="1" applyBorder="1" applyAlignment="1">
      <alignment horizontal="center"/>
    </xf>
    <xf numFmtId="0" fontId="20" fillId="0" borderId="13" xfId="12" applyFont="1" applyBorder="1" applyAlignment="1">
      <alignment horizontal="center"/>
    </xf>
    <xf numFmtId="0" fontId="24" fillId="0" borderId="8" xfId="12" applyFont="1" applyBorder="1" applyAlignment="1">
      <alignment horizontal="center"/>
    </xf>
    <xf numFmtId="0" fontId="24" fillId="0" borderId="13" xfId="12" applyFont="1" applyBorder="1" applyAlignment="1">
      <alignment horizontal="center"/>
    </xf>
    <xf numFmtId="0" fontId="31" fillId="0" borderId="18" xfId="0" applyFont="1" applyBorder="1" applyAlignment="1">
      <alignment horizontal="center"/>
    </xf>
    <xf numFmtId="0" fontId="31" fillId="0" borderId="23" xfId="0" applyFont="1"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19" borderId="20" xfId="0" applyFill="1" applyBorder="1" applyAlignment="1">
      <alignment horizontal="center"/>
    </xf>
    <xf numFmtId="0" fontId="0" fillId="19" borderId="25" xfId="0" applyFill="1" applyBorder="1" applyAlignment="1">
      <alignment horizontal="center"/>
    </xf>
    <xf numFmtId="0" fontId="1" fillId="0" borderId="0" xfId="8" applyFill="1" applyBorder="1" applyAlignment="1">
      <alignment horizontal="center"/>
    </xf>
    <xf numFmtId="0" fontId="30" fillId="16" borderId="18" xfId="8" applyFont="1" applyFill="1" applyBorder="1" applyAlignment="1">
      <alignment horizontal="center"/>
    </xf>
    <xf numFmtId="0" fontId="30" fillId="16" borderId="23" xfId="8" applyFont="1" applyFill="1" applyBorder="1" applyAlignment="1">
      <alignment horizontal="center"/>
    </xf>
    <xf numFmtId="0" fontId="30" fillId="16" borderId="19" xfId="8" applyFont="1" applyFill="1" applyBorder="1" applyAlignment="1">
      <alignment horizontal="center"/>
    </xf>
    <xf numFmtId="0" fontId="1" fillId="0" borderId="0" xfId="0" applyFont="1" applyBorder="1" applyAlignment="1">
      <alignment horizontal="center"/>
    </xf>
    <xf numFmtId="2" fontId="14" fillId="0" borderId="0" xfId="12" applyNumberFormat="1" applyFont="1" applyBorder="1" applyAlignment="1">
      <alignment horizontal="center"/>
    </xf>
    <xf numFmtId="0" fontId="12" fillId="0" borderId="0" xfId="0" applyFont="1" applyBorder="1"/>
    <xf numFmtId="0" fontId="0" fillId="0" borderId="0" xfId="0" applyFont="1" applyBorder="1" applyAlignment="1">
      <alignment horizontal="center"/>
    </xf>
    <xf numFmtId="2" fontId="7" fillId="0" borderId="0" xfId="12" applyNumberFormat="1" applyFont="1" applyBorder="1"/>
    <xf numFmtId="0" fontId="12" fillId="11" borderId="0" xfId="0" applyFont="1" applyFill="1" applyBorder="1" applyAlignment="1">
      <alignment horizontal="center"/>
    </xf>
    <xf numFmtId="0" fontId="31" fillId="19" borderId="20" xfId="0" applyFont="1" applyFill="1" applyBorder="1" applyAlignment="1">
      <alignment horizontal="center"/>
    </xf>
    <xf numFmtId="0" fontId="31" fillId="19" borderId="25" xfId="0" applyFont="1" applyFill="1" applyBorder="1" applyAlignment="1">
      <alignment horizontal="center"/>
    </xf>
    <xf numFmtId="8" fontId="31" fillId="19" borderId="25" xfId="0" applyNumberFormat="1" applyFont="1" applyFill="1" applyBorder="1"/>
    <xf numFmtId="0" fontId="0" fillId="0" borderId="23" xfId="0" applyBorder="1" applyAlignment="1"/>
    <xf numFmtId="43" fontId="0" fillId="0" borderId="0" xfId="0" applyNumberFormat="1"/>
  </cellXfs>
  <cellStyles count="15">
    <cellStyle name="40% - Accent4" xfId="8" builtinId="43"/>
    <cellStyle name="60% - Accent6" xfId="11" builtinId="52"/>
    <cellStyle name="Accent1" xfId="4" builtinId="29"/>
    <cellStyle name="Accent2" xfId="5" builtinId="33"/>
    <cellStyle name="Accent3" xfId="6" builtinId="37"/>
    <cellStyle name="Accent4" xfId="7" builtinId="41"/>
    <cellStyle name="Accent5" xfId="9" builtinId="45"/>
    <cellStyle name="Accent6" xfId="10" builtinId="49"/>
    <cellStyle name="Comma" xfId="1" builtinId="3"/>
    <cellStyle name="Comma 3" xfId="13"/>
    <cellStyle name="Normal" xfId="0" builtinId="0"/>
    <cellStyle name="Normal 2" xfId="14"/>
    <cellStyle name="Normal 3" xfId="12"/>
    <cellStyle name="Note" xfId="3" builtinId="1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view3D>
      <c:rAngAx val="1"/>
    </c:view3D>
    <c:plotArea>
      <c:layout/>
      <c:bar3DChart>
        <c:barDir val="col"/>
        <c:grouping val="clustered"/>
        <c:ser>
          <c:idx val="0"/>
          <c:order val="0"/>
          <c:tx>
            <c:strRef>
              <c:f>'C:\2nd Semester\F-506\17th Batch Case Analysis\Case 06 Group 33\[Case-06-Group-33.xlsx]Ratio'!$M$24</c:f>
              <c:strCache>
                <c:ptCount val="1"/>
                <c:pt idx="0">
                  <c:v>ROE</c:v>
                </c:pt>
              </c:strCache>
            </c:strRef>
          </c:tx>
          <c:cat>
            <c:numRef>
              <c:f>[1]Ratio!$A$25:$A$27</c:f>
              <c:numCache>
                <c:formatCode>General</c:formatCode>
                <c:ptCount val="3"/>
                <c:pt idx="0">
                  <c:v>0</c:v>
                </c:pt>
                <c:pt idx="1">
                  <c:v>0</c:v>
                </c:pt>
                <c:pt idx="2">
                  <c:v>0</c:v>
                </c:pt>
              </c:numCache>
            </c:numRef>
          </c:cat>
          <c:val>
            <c:numRef>
              <c:f>[1]Ratio!$M$25:$M$27</c:f>
              <c:numCache>
                <c:formatCode>General</c:formatCode>
                <c:ptCount val="3"/>
                <c:pt idx="0">
                  <c:v>0</c:v>
                </c:pt>
                <c:pt idx="1">
                  <c:v>0</c:v>
                </c:pt>
                <c:pt idx="2">
                  <c:v>0</c:v>
                </c:pt>
              </c:numCache>
            </c:numRef>
          </c:val>
        </c:ser>
        <c:shape val="cylinder"/>
        <c:axId val="159267072"/>
        <c:axId val="175235072"/>
        <c:axId val="0"/>
      </c:bar3DChart>
      <c:catAx>
        <c:axId val="159267072"/>
        <c:scaling>
          <c:orientation val="minMax"/>
        </c:scaling>
        <c:axPos val="b"/>
        <c:numFmt formatCode="General" sourceLinked="1"/>
        <c:tickLblPos val="nextTo"/>
        <c:crossAx val="175235072"/>
        <c:crosses val="autoZero"/>
        <c:auto val="1"/>
        <c:lblAlgn val="ctr"/>
        <c:lblOffset val="100"/>
      </c:catAx>
      <c:valAx>
        <c:axId val="175235072"/>
        <c:scaling>
          <c:orientation val="minMax"/>
        </c:scaling>
        <c:axPos val="l"/>
        <c:majorGridlines/>
        <c:numFmt formatCode="General" sourceLinked="1"/>
        <c:tickLblPos val="nextTo"/>
        <c:crossAx val="159267072"/>
        <c:crosses val="autoZero"/>
        <c:crossBetween val="between"/>
      </c:valAx>
    </c:plotArea>
    <c:legend>
      <c:legendPos val="r"/>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view3D>
      <c:rAngAx val="1"/>
    </c:view3D>
    <c:plotArea>
      <c:layout/>
      <c:bar3DChart>
        <c:barDir val="col"/>
        <c:grouping val="clustered"/>
        <c:ser>
          <c:idx val="0"/>
          <c:order val="0"/>
          <c:tx>
            <c:strRef>
              <c:f>'C:\2nd Semester\F-506\17th Batch Case Analysis\Case 06 Group 33\[Case-06-Group-33.xlsx]Ratio'!$M$24</c:f>
              <c:strCache>
                <c:ptCount val="1"/>
                <c:pt idx="0">
                  <c:v>ROE</c:v>
                </c:pt>
              </c:strCache>
            </c:strRef>
          </c:tx>
          <c:cat>
            <c:numRef>
              <c:f>'C:\2nd Semester\F-506\17th Batch Case Analysis\Case 06 Group 33\[Case-06-Group-33.xlsx]Ratio'!$A$25:$A$27</c:f>
              <c:numCache>
                <c:formatCode>General</c:formatCode>
                <c:ptCount val="3"/>
                <c:pt idx="0">
                  <c:v>1998</c:v>
                </c:pt>
                <c:pt idx="1">
                  <c:v>1999</c:v>
                </c:pt>
                <c:pt idx="2">
                  <c:v>2000</c:v>
                </c:pt>
              </c:numCache>
            </c:numRef>
          </c:cat>
          <c:val>
            <c:numRef>
              <c:f>'C:\2nd Semester\F-506\17th Batch Case Analysis\Case 06 Group 33\[Case-06-Group-33.xlsx]Ratio'!$M$25:$M$27</c:f>
              <c:numCache>
                <c:formatCode>General</c:formatCode>
                <c:ptCount val="3"/>
                <c:pt idx="0">
                  <c:v>0.34851621808143546</c:v>
                </c:pt>
                <c:pt idx="1">
                  <c:v>0.19410456062291417</c:v>
                </c:pt>
                <c:pt idx="2">
                  <c:v>3.6442100215775645E-2</c:v>
                </c:pt>
              </c:numCache>
            </c:numRef>
          </c:val>
        </c:ser>
        <c:shape val="cylinder"/>
        <c:axId val="159465856"/>
        <c:axId val="159467392"/>
        <c:axId val="0"/>
      </c:bar3DChart>
      <c:catAx>
        <c:axId val="159465856"/>
        <c:scaling>
          <c:orientation val="minMax"/>
        </c:scaling>
        <c:axPos val="b"/>
        <c:numFmt formatCode="General" sourceLinked="1"/>
        <c:tickLblPos val="nextTo"/>
        <c:crossAx val="159467392"/>
        <c:crosses val="autoZero"/>
        <c:auto val="1"/>
        <c:lblAlgn val="ctr"/>
        <c:lblOffset val="100"/>
      </c:catAx>
      <c:valAx>
        <c:axId val="159467392"/>
        <c:scaling>
          <c:orientation val="minMax"/>
        </c:scaling>
        <c:axPos val="l"/>
        <c:majorGridlines/>
        <c:numFmt formatCode="General" sourceLinked="1"/>
        <c:tickLblPos val="nextTo"/>
        <c:crossAx val="159465856"/>
        <c:crosses val="autoZero"/>
        <c:crossBetween val="between"/>
      </c:valAx>
    </c:plotArea>
    <c:legend>
      <c:legendPos val="r"/>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409575</xdr:colOff>
      <xdr:row>16</xdr:row>
      <xdr:rowOff>14287</xdr:rowOff>
    </xdr:from>
    <xdr:to>
      <xdr:col>21</xdr:col>
      <xdr:colOff>104775</xdr:colOff>
      <xdr:row>30</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409575</xdr:colOff>
      <xdr:row>17</xdr:row>
      <xdr:rowOff>14287</xdr:rowOff>
    </xdr:from>
    <xdr:to>
      <xdr:col>18</xdr:col>
      <xdr:colOff>104775</xdr:colOff>
      <xdr:row>30</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Case%204%20Group%2074%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nd%20Semester\F-506\17th%20Batch%20Case%20Analysis\Case%2006%20Group%2033\Case-06-Group-3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come st"/>
      <sheetName val="Balance St"/>
      <sheetName val="Ratios"/>
      <sheetName val="Business risk"/>
      <sheetName val="Financial risk"/>
      <sheetName val="Z-Score Model"/>
      <sheetName val="WACC"/>
      <sheetName val="Usual Valuation"/>
      <sheetName val="EPS Valuation"/>
      <sheetName val="Bookbuilding"/>
      <sheetName val="Ratio"/>
    </sheetNames>
    <sheetDataSet>
      <sheetData sheetId="0">
        <row r="5">
          <cell r="E5">
            <v>5847</v>
          </cell>
          <cell r="F5">
            <v>7023</v>
          </cell>
        </row>
        <row r="12">
          <cell r="E12">
            <v>320</v>
          </cell>
          <cell r="F12">
            <v>663</v>
          </cell>
        </row>
        <row r="13">
          <cell r="E13">
            <v>500</v>
          </cell>
          <cell r="F13">
            <v>906</v>
          </cell>
        </row>
        <row r="22">
          <cell r="E22">
            <v>30</v>
          </cell>
          <cell r="F22">
            <v>176</v>
          </cell>
        </row>
        <row r="24">
          <cell r="E24">
            <v>548</v>
          </cell>
          <cell r="F24">
            <v>548</v>
          </cell>
        </row>
      </sheetData>
      <sheetData sheetId="1">
        <row r="11">
          <cell r="E11">
            <v>1855</v>
          </cell>
          <cell r="F11">
            <v>2050</v>
          </cell>
        </row>
        <row r="18">
          <cell r="E18">
            <v>11697</v>
          </cell>
          <cell r="F18">
            <v>12630</v>
          </cell>
        </row>
        <row r="24">
          <cell r="E24">
            <v>1065</v>
          </cell>
          <cell r="F24">
            <v>375</v>
          </cell>
        </row>
        <row r="26">
          <cell r="E26">
            <v>246</v>
          </cell>
          <cell r="F26">
            <v>221</v>
          </cell>
        </row>
        <row r="27">
          <cell r="E27">
            <v>4038</v>
          </cell>
          <cell r="F27">
            <v>4391</v>
          </cell>
        </row>
        <row r="32">
          <cell r="E32">
            <v>7930</v>
          </cell>
          <cell r="F32">
            <v>8689</v>
          </cell>
        </row>
        <row r="39">
          <cell r="E39">
            <v>3767</v>
          </cell>
          <cell r="F39">
            <v>3941</v>
          </cell>
        </row>
      </sheetData>
      <sheetData sheetId="2"/>
      <sheetData sheetId="3"/>
      <sheetData sheetId="4"/>
      <sheetData sheetId="5"/>
      <sheetData sheetId="6"/>
      <sheetData sheetId="7"/>
      <sheetData sheetId="8">
        <row r="35">
          <cell r="G35">
            <v>596</v>
          </cell>
        </row>
      </sheetData>
      <sheetData sheetId="9"/>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S-BS"/>
      <sheetName val="Multiples"/>
      <sheetName val="Recent IPO"/>
      <sheetName val="Ratio"/>
      <sheetName val="Biz Risk"/>
      <sheetName val="Fin'l Risk"/>
      <sheetName val="Z score"/>
      <sheetName val="Calculations"/>
      <sheetName val="WACC"/>
      <sheetName val="CB_DATA_"/>
      <sheetName val="Base Case Valuation"/>
      <sheetName val="Alternative 1(IPO)"/>
      <sheetName val="Alternative 2(Bond)"/>
      <sheetName val="Valuation using multiples"/>
      <sheetName val="IPO "/>
    </sheetNames>
    <sheetDataSet>
      <sheetData sheetId="0" refreshError="1"/>
      <sheetData sheetId="1" refreshError="1"/>
      <sheetData sheetId="2" refreshError="1"/>
      <sheetData sheetId="3" refreshError="1">
        <row r="24">
          <cell r="M24" t="str">
            <v>ROE</v>
          </cell>
        </row>
        <row r="25">
          <cell r="A25">
            <v>1998</v>
          </cell>
          <cell r="M25">
            <v>0.34851621808143546</v>
          </cell>
        </row>
        <row r="26">
          <cell r="A26">
            <v>1999</v>
          </cell>
          <cell r="M26">
            <v>0.19410456062291434</v>
          </cell>
        </row>
        <row r="27">
          <cell r="A27">
            <v>2000</v>
          </cell>
          <cell r="M27">
            <v>3.644210021577559E-2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3:K53"/>
  <sheetViews>
    <sheetView topLeftCell="A5" workbookViewId="0">
      <selection activeCell="F12" sqref="F12"/>
    </sheetView>
  </sheetViews>
  <sheetFormatPr defaultRowHeight="15"/>
  <cols>
    <col min="1" max="1" width="9.140625" style="62"/>
    <col min="2" max="2" width="76.140625" style="62" bestFit="1" customWidth="1"/>
    <col min="3" max="3" width="11.7109375" style="62" customWidth="1"/>
    <col min="4" max="5" width="6.28515625" style="62" bestFit="1" customWidth="1"/>
    <col min="6" max="6" width="8.42578125" style="62" bestFit="1" customWidth="1"/>
    <col min="7" max="16384" width="9.140625" style="62"/>
  </cols>
  <sheetData>
    <row r="3" spans="2:11">
      <c r="D3" s="80">
        <v>1996</v>
      </c>
      <c r="E3" s="80">
        <v>1997</v>
      </c>
      <c r="F3" s="80">
        <v>1998</v>
      </c>
      <c r="G3" s="80">
        <v>1999</v>
      </c>
      <c r="H3" s="80">
        <v>2000</v>
      </c>
      <c r="I3" s="80">
        <v>2001</v>
      </c>
      <c r="J3" s="80">
        <v>2002</v>
      </c>
      <c r="K3" s="80">
        <v>2003</v>
      </c>
    </row>
    <row r="4" spans="2:11">
      <c r="B4" s="66" t="s">
        <v>160</v>
      </c>
      <c r="C4" s="95">
        <v>0.19</v>
      </c>
      <c r="D4" s="81">
        <v>4548</v>
      </c>
      <c r="E4" s="81">
        <v>5847</v>
      </c>
      <c r="F4" s="87">
        <v>7023</v>
      </c>
      <c r="G4" s="62">
        <f>F4*(1+$C$4)</f>
        <v>8357.369999999999</v>
      </c>
      <c r="H4" s="62">
        <f>G4*(1+$C$4)</f>
        <v>9945.2702999999983</v>
      </c>
      <c r="I4" s="62">
        <f>H4*(1+$C$4)</f>
        <v>11834.871656999998</v>
      </c>
      <c r="J4" s="62">
        <f>I4*(1+$C$4)</f>
        <v>14083.497271829996</v>
      </c>
      <c r="K4" s="62">
        <f>J4*(1+$C$4)</f>
        <v>16759.361753477693</v>
      </c>
    </row>
    <row r="5" spans="2:11">
      <c r="B5" s="66" t="s">
        <v>165</v>
      </c>
      <c r="C5" s="95">
        <v>0.04</v>
      </c>
      <c r="D5" s="82"/>
      <c r="E5" s="82"/>
      <c r="F5" s="82"/>
      <c r="G5" s="62">
        <f>G4*$C$5</f>
        <v>334.29479999999995</v>
      </c>
      <c r="H5" s="62">
        <f>H4*$C$5</f>
        <v>397.81081199999994</v>
      </c>
      <c r="I5" s="62">
        <f>I4*$C$5</f>
        <v>473.39486627999992</v>
      </c>
      <c r="J5" s="62">
        <f>J4*$C$5</f>
        <v>563.33989087319981</v>
      </c>
      <c r="K5" s="62">
        <f>K4*$C$5</f>
        <v>670.37447013910776</v>
      </c>
    </row>
    <row r="6" spans="2:11">
      <c r="B6" s="66" t="s">
        <v>168</v>
      </c>
      <c r="C6" s="67"/>
      <c r="D6" s="88">
        <v>3442</v>
      </c>
      <c r="E6" s="88">
        <v>4667</v>
      </c>
      <c r="F6" s="88">
        <v>5351</v>
      </c>
    </row>
    <row r="7" spans="2:11">
      <c r="B7" s="66" t="s">
        <v>122</v>
      </c>
      <c r="C7" s="67"/>
      <c r="D7" s="82">
        <v>528</v>
      </c>
      <c r="E7" s="82">
        <v>675</v>
      </c>
      <c r="F7" s="82">
        <v>749</v>
      </c>
    </row>
    <row r="8" spans="2:11">
      <c r="B8" s="66" t="s">
        <v>123</v>
      </c>
      <c r="C8" s="99">
        <f>F8/F4</f>
        <v>3.4600598035027769E-2</v>
      </c>
      <c r="D8" s="82">
        <v>97</v>
      </c>
      <c r="E8" s="82">
        <v>180</v>
      </c>
      <c r="F8" s="82">
        <v>243</v>
      </c>
      <c r="G8" s="98">
        <f>G4*$C$8</f>
        <v>289.17</v>
      </c>
      <c r="H8" s="98">
        <f>H4*$C$8</f>
        <v>344.11229999999995</v>
      </c>
      <c r="I8" s="98">
        <f>I4*$C$8</f>
        <v>409.49363699999998</v>
      </c>
      <c r="J8" s="98">
        <f>J4*$C$8</f>
        <v>487.29742802999988</v>
      </c>
      <c r="K8" s="98">
        <f>K4*$C$8</f>
        <v>579.88393935569979</v>
      </c>
    </row>
    <row r="9" spans="2:11">
      <c r="B9" s="66" t="s">
        <v>124</v>
      </c>
      <c r="C9" s="67"/>
      <c r="D9" s="82"/>
      <c r="E9" s="82">
        <v>5</v>
      </c>
      <c r="F9" s="82">
        <v>17</v>
      </c>
    </row>
    <row r="10" spans="2:11">
      <c r="C10" s="67"/>
      <c r="D10" s="82"/>
      <c r="E10" s="82"/>
      <c r="F10" s="82"/>
    </row>
    <row r="11" spans="2:11">
      <c r="B11" s="66" t="s">
        <v>125</v>
      </c>
      <c r="C11" s="67"/>
      <c r="D11" s="82">
        <v>481</v>
      </c>
      <c r="E11" s="82">
        <v>320</v>
      </c>
      <c r="F11" s="82">
        <v>663</v>
      </c>
    </row>
    <row r="12" spans="2:11">
      <c r="B12" s="66" t="s">
        <v>164</v>
      </c>
      <c r="C12" s="95">
        <v>0.15</v>
      </c>
      <c r="D12" s="82">
        <f>D11+D8</f>
        <v>578</v>
      </c>
      <c r="E12" s="82">
        <f>E11+E8</f>
        <v>500</v>
      </c>
      <c r="F12" s="82">
        <f>F11+F8</f>
        <v>906</v>
      </c>
      <c r="G12" s="62">
        <f>F12*(1+$C$12)</f>
        <v>1041.8999999999999</v>
      </c>
      <c r="H12" s="62">
        <f>G12*(1+$C$12)</f>
        <v>1198.1849999999997</v>
      </c>
      <c r="I12" s="62">
        <f>H12*(1+$C$12)</f>
        <v>1377.9127499999995</v>
      </c>
      <c r="J12" s="62">
        <f>I12*(1+$C$12)</f>
        <v>1584.5996624999993</v>
      </c>
      <c r="K12" s="62">
        <f>J12*(1+$C$12)</f>
        <v>1822.2896118749991</v>
      </c>
    </row>
    <row r="13" spans="2:11">
      <c r="B13" s="66" t="s">
        <v>126</v>
      </c>
      <c r="C13" s="67"/>
      <c r="D13" s="83"/>
      <c r="E13" s="83"/>
      <c r="F13" s="83"/>
    </row>
    <row r="14" spans="2:11">
      <c r="B14" s="66" t="s">
        <v>127</v>
      </c>
      <c r="C14" s="67"/>
      <c r="D14" s="81">
        <v>-97</v>
      </c>
      <c r="E14" s="81">
        <v>-144</v>
      </c>
      <c r="F14" s="82">
        <v>-174</v>
      </c>
    </row>
    <row r="15" spans="2:11">
      <c r="B15" s="66" t="s">
        <v>128</v>
      </c>
      <c r="C15" s="67"/>
      <c r="D15" s="82">
        <f>--- 18</f>
        <v>-18</v>
      </c>
      <c r="E15" s="82">
        <v>-47</v>
      </c>
      <c r="F15" s="82">
        <v>-97</v>
      </c>
    </row>
    <row r="16" spans="2:11">
      <c r="B16" s="66" t="s">
        <v>129</v>
      </c>
      <c r="C16" s="67"/>
      <c r="D16" s="82"/>
      <c r="E16" s="82"/>
      <c r="F16" s="82"/>
    </row>
    <row r="17" spans="2:11">
      <c r="B17" s="66" t="s">
        <v>130</v>
      </c>
      <c r="C17" s="67"/>
      <c r="D17" s="86">
        <v>183</v>
      </c>
      <c r="E17" s="86"/>
      <c r="F17" s="86"/>
    </row>
    <row r="18" spans="2:11">
      <c r="B18" s="66" t="s">
        <v>131</v>
      </c>
      <c r="C18" s="67"/>
      <c r="D18" s="82">
        <v>585</v>
      </c>
      <c r="E18" s="82">
        <v>79</v>
      </c>
      <c r="F18" s="82">
        <v>311</v>
      </c>
    </row>
    <row r="19" spans="2:11">
      <c r="B19" s="66" t="s">
        <v>132</v>
      </c>
      <c r="C19" s="67"/>
      <c r="D19" s="82">
        <v>-174</v>
      </c>
      <c r="E19" s="82">
        <v>-49</v>
      </c>
      <c r="F19" s="82">
        <v>-135</v>
      </c>
    </row>
    <row r="20" spans="2:11">
      <c r="B20" s="66"/>
      <c r="C20" s="67"/>
      <c r="D20" s="82"/>
      <c r="E20" s="82"/>
      <c r="F20" s="82"/>
    </row>
    <row r="21" spans="2:11">
      <c r="B21" s="66" t="s">
        <v>163</v>
      </c>
      <c r="C21" s="95">
        <v>0.35</v>
      </c>
      <c r="D21" s="81">
        <v>411</v>
      </c>
      <c r="E21" s="81">
        <v>30</v>
      </c>
      <c r="F21" s="81">
        <v>176</v>
      </c>
      <c r="G21" s="96">
        <f>F21*(1+$C$21)</f>
        <v>237.60000000000002</v>
      </c>
      <c r="H21" s="96">
        <f>G21*(1+$C$21)</f>
        <v>320.76000000000005</v>
      </c>
      <c r="I21" s="96">
        <f>H21*(1+$C$21)</f>
        <v>433.02600000000007</v>
      </c>
      <c r="J21" s="96">
        <f>I21*(1+$C$21)</f>
        <v>584.58510000000012</v>
      </c>
      <c r="K21" s="96">
        <f>J21*(1+$C$21)</f>
        <v>789.18988500000023</v>
      </c>
    </row>
    <row r="22" spans="2:11">
      <c r="B22" s="66" t="s">
        <v>134</v>
      </c>
      <c r="C22" s="67"/>
      <c r="D22" s="87">
        <v>0.75</v>
      </c>
      <c r="E22" s="87">
        <v>0.05</v>
      </c>
      <c r="F22" s="87">
        <v>0.32</v>
      </c>
      <c r="G22" s="97">
        <f>G21/$F$23</f>
        <v>0.43357664233576648</v>
      </c>
      <c r="H22" s="97">
        <f>H21/$F$23</f>
        <v>0.58532846715328479</v>
      </c>
      <c r="I22" s="97">
        <f>I21/$F$23</f>
        <v>0.79019343065693448</v>
      </c>
      <c r="J22" s="97">
        <f>J21/$F$23</f>
        <v>1.0667611313868615</v>
      </c>
      <c r="K22" s="97">
        <f>K21/$F$23</f>
        <v>1.4401275273722631</v>
      </c>
    </row>
    <row r="23" spans="2:11">
      <c r="B23" s="63" t="s">
        <v>135</v>
      </c>
      <c r="C23" s="63"/>
      <c r="D23" s="82">
        <v>548</v>
      </c>
      <c r="E23" s="82">
        <v>548</v>
      </c>
      <c r="F23" s="82">
        <v>548</v>
      </c>
    </row>
    <row r="25" spans="2:11">
      <c r="D25" s="87"/>
      <c r="E25" s="86"/>
      <c r="F25" s="86"/>
    </row>
    <row r="26" spans="2:11">
      <c r="B26" s="82" t="s">
        <v>137</v>
      </c>
    </row>
    <row r="27" spans="2:11">
      <c r="B27" s="82" t="s">
        <v>133</v>
      </c>
      <c r="D27" s="81">
        <v>411</v>
      </c>
      <c r="E27" s="81">
        <v>30</v>
      </c>
      <c r="F27" s="81">
        <v>176</v>
      </c>
    </row>
    <row r="28" spans="2:11">
      <c r="B28" s="66" t="s">
        <v>138</v>
      </c>
      <c r="D28" s="85"/>
      <c r="E28" s="85"/>
      <c r="F28" s="85"/>
    </row>
    <row r="29" spans="2:11">
      <c r="B29" s="66" t="s">
        <v>123</v>
      </c>
      <c r="D29" s="82">
        <v>97</v>
      </c>
      <c r="E29" s="82">
        <v>180</v>
      </c>
      <c r="F29" s="82">
        <v>243</v>
      </c>
    </row>
    <row r="30" spans="2:11">
      <c r="B30" s="66" t="s">
        <v>139</v>
      </c>
      <c r="D30" s="82">
        <v>-183</v>
      </c>
      <c r="E30" s="82"/>
      <c r="F30" s="82"/>
    </row>
    <row r="31" spans="2:11">
      <c r="B31" s="66" t="s">
        <v>140</v>
      </c>
      <c r="D31" s="82">
        <v>-18</v>
      </c>
      <c r="E31" s="82">
        <v>50</v>
      </c>
      <c r="F31" s="82">
        <v>81</v>
      </c>
    </row>
    <row r="32" spans="2:11">
      <c r="B32" s="66" t="s">
        <v>141</v>
      </c>
      <c r="D32" s="85"/>
      <c r="E32" s="85"/>
      <c r="F32" s="85"/>
    </row>
    <row r="33" spans="2:6">
      <c r="B33" s="66" t="s">
        <v>142</v>
      </c>
      <c r="D33" s="82">
        <v>-34</v>
      </c>
      <c r="E33" s="82">
        <v>-280</v>
      </c>
      <c r="F33" s="82">
        <v>-458</v>
      </c>
    </row>
    <row r="34" spans="2:6">
      <c r="B34" s="66" t="s">
        <v>143</v>
      </c>
      <c r="D34" s="82">
        <v>-36</v>
      </c>
      <c r="E34" s="82">
        <v>-176</v>
      </c>
      <c r="F34" s="82">
        <v>-30</v>
      </c>
    </row>
    <row r="35" spans="2:6">
      <c r="B35" s="66" t="s">
        <v>105</v>
      </c>
      <c r="D35" s="82">
        <v>13</v>
      </c>
      <c r="E35" s="82">
        <v>291</v>
      </c>
      <c r="F35" s="82">
        <v>236</v>
      </c>
    </row>
    <row r="36" spans="2:6">
      <c r="B36" s="66" t="s">
        <v>144</v>
      </c>
      <c r="D36" s="86">
        <v>71</v>
      </c>
      <c r="E36" s="86">
        <v>22</v>
      </c>
      <c r="F36" s="86">
        <v>58</v>
      </c>
    </row>
    <row r="37" spans="2:6">
      <c r="B37" s="66" t="s">
        <v>145</v>
      </c>
      <c r="D37" s="82">
        <v>321</v>
      </c>
      <c r="E37" s="82">
        <v>117</v>
      </c>
      <c r="F37" s="82">
        <v>306</v>
      </c>
    </row>
    <row r="38" spans="2:6">
      <c r="B38" s="66" t="s">
        <v>146</v>
      </c>
      <c r="D38" s="83"/>
      <c r="E38" s="83"/>
      <c r="F38" s="83"/>
    </row>
    <row r="39" spans="2:6">
      <c r="B39" s="66" t="s">
        <v>147</v>
      </c>
      <c r="D39" s="82"/>
      <c r="E39" s="82">
        <v>306</v>
      </c>
      <c r="F39" s="82"/>
    </row>
    <row r="40" spans="2:6">
      <c r="B40" s="66" t="s">
        <v>148</v>
      </c>
      <c r="D40" s="82">
        <v>-643</v>
      </c>
      <c r="E40" s="82"/>
      <c r="F40" s="82">
        <v>-328</v>
      </c>
    </row>
    <row r="41" spans="2:6">
      <c r="B41" s="66" t="s">
        <v>149</v>
      </c>
      <c r="D41" s="82">
        <v>288</v>
      </c>
      <c r="E41" s="82"/>
      <c r="F41" s="82"/>
    </row>
    <row r="42" spans="2:6">
      <c r="B42" s="66" t="s">
        <v>99</v>
      </c>
      <c r="D42" s="82">
        <v>-403</v>
      </c>
      <c r="E42" s="82">
        <v>-2</v>
      </c>
      <c r="F42" s="82">
        <v>-141</v>
      </c>
    </row>
    <row r="43" spans="2:6">
      <c r="B43" s="66" t="s">
        <v>150</v>
      </c>
      <c r="D43" s="82">
        <v>5</v>
      </c>
      <c r="E43" s="82">
        <v>-244</v>
      </c>
      <c r="F43" s="82">
        <v>-199</v>
      </c>
    </row>
    <row r="44" spans="2:6">
      <c r="B44" s="66" t="s">
        <v>151</v>
      </c>
      <c r="D44" s="86">
        <v>-85</v>
      </c>
      <c r="E44" s="86">
        <v>-338</v>
      </c>
      <c r="F44" s="86">
        <v>-208</v>
      </c>
    </row>
    <row r="45" spans="2:6">
      <c r="B45" s="66" t="s">
        <v>152</v>
      </c>
      <c r="D45" s="82">
        <v>-838</v>
      </c>
      <c r="E45" s="82">
        <v>-278</v>
      </c>
      <c r="F45" s="82">
        <v>-876</v>
      </c>
    </row>
    <row r="46" spans="2:6">
      <c r="B46" s="66" t="s">
        <v>153</v>
      </c>
      <c r="D46" s="85"/>
      <c r="E46" s="85"/>
      <c r="F46" s="85"/>
    </row>
    <row r="47" spans="2:6">
      <c r="B47" s="66" t="s">
        <v>109</v>
      </c>
      <c r="D47" s="82">
        <v>349</v>
      </c>
      <c r="E47" s="82">
        <v>623</v>
      </c>
      <c r="F47" s="82">
        <v>282</v>
      </c>
    </row>
    <row r="48" spans="2:6">
      <c r="B48" s="66" t="s">
        <v>154</v>
      </c>
      <c r="D48" s="82">
        <v>-380</v>
      </c>
      <c r="E48" s="82">
        <v>-959</v>
      </c>
      <c r="F48" s="82">
        <v>-972</v>
      </c>
    </row>
    <row r="49" spans="2:6">
      <c r="B49" s="66" t="s">
        <v>155</v>
      </c>
      <c r="D49" s="86">
        <v>579</v>
      </c>
      <c r="E49" s="86">
        <v>698</v>
      </c>
      <c r="F49" s="89">
        <v>1105</v>
      </c>
    </row>
    <row r="50" spans="2:6">
      <c r="B50" s="66" t="s">
        <v>156</v>
      </c>
      <c r="D50" s="86">
        <v>548</v>
      </c>
      <c r="E50" s="86">
        <v>362</v>
      </c>
      <c r="F50" s="86">
        <v>415</v>
      </c>
    </row>
    <row r="51" spans="2:6">
      <c r="B51" s="66" t="s">
        <v>157</v>
      </c>
      <c r="D51" s="82">
        <v>31</v>
      </c>
      <c r="E51" s="82">
        <v>201</v>
      </c>
      <c r="F51" s="82">
        <v>-155</v>
      </c>
    </row>
    <row r="52" spans="2:6">
      <c r="B52" s="66" t="s">
        <v>158</v>
      </c>
      <c r="D52" s="86">
        <v>24</v>
      </c>
      <c r="E52" s="86">
        <v>55</v>
      </c>
      <c r="F52" s="86">
        <v>256</v>
      </c>
    </row>
    <row r="53" spans="2:6">
      <c r="B53" s="66" t="s">
        <v>159</v>
      </c>
      <c r="D53" s="78">
        <v>55</v>
      </c>
      <c r="E53" s="78">
        <v>256</v>
      </c>
      <c r="F53" s="78">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31"/>
  <sheetViews>
    <sheetView workbookViewId="0"/>
  </sheetViews>
  <sheetFormatPr defaultRowHeight="15"/>
  <cols>
    <col min="1" max="4" width="36.7109375" customWidth="1"/>
  </cols>
  <sheetData>
    <row r="1" spans="1:4">
      <c r="A1" s="228" t="s">
        <v>239</v>
      </c>
    </row>
    <row r="3" spans="1:4">
      <c r="A3" t="s">
        <v>240</v>
      </c>
      <c r="B3" t="s">
        <v>241</v>
      </c>
      <c r="C3">
        <v>0</v>
      </c>
    </row>
    <row r="4" spans="1:4">
      <c r="A4" t="s">
        <v>242</v>
      </c>
    </row>
    <row r="5" spans="1:4">
      <c r="A5" t="s">
        <v>243</v>
      </c>
    </row>
    <row r="7" spans="1:4">
      <c r="A7" s="228" t="s">
        <v>244</v>
      </c>
      <c r="B7" t="s">
        <v>245</v>
      </c>
    </row>
    <row r="8" spans="1:4">
      <c r="B8">
        <v>4</v>
      </c>
    </row>
    <row r="10" spans="1:4">
      <c r="A10" t="s">
        <v>246</v>
      </c>
    </row>
    <row r="11" spans="1:4">
      <c r="A11" t="e">
        <f>CB_DATA_!#REF!</f>
        <v>#REF!</v>
      </c>
      <c r="B11" t="e">
        <f>#REF!</f>
        <v>#REF!</v>
      </c>
      <c r="C11" t="e">
        <f>Simulation!#REF!</f>
        <v>#REF!</v>
      </c>
      <c r="D11" t="e">
        <f>'No. of share simulation'!#REF!</f>
        <v>#REF!</v>
      </c>
    </row>
    <row r="13" spans="1:4">
      <c r="A13" t="s">
        <v>247</v>
      </c>
    </row>
    <row r="14" spans="1:4">
      <c r="A14" t="s">
        <v>251</v>
      </c>
      <c r="B14" t="s">
        <v>255</v>
      </c>
      <c r="C14" t="s">
        <v>259</v>
      </c>
      <c r="D14" t="s">
        <v>261</v>
      </c>
    </row>
    <row r="16" spans="1:4">
      <c r="A16" t="s">
        <v>248</v>
      </c>
    </row>
    <row r="17" spans="1:4">
      <c r="B17">
        <v>3</v>
      </c>
    </row>
    <row r="19" spans="1:4">
      <c r="A19" t="s">
        <v>249</v>
      </c>
    </row>
    <row r="20" spans="1:4">
      <c r="A20">
        <v>31</v>
      </c>
      <c r="B20">
        <v>31</v>
      </c>
      <c r="C20">
        <v>31</v>
      </c>
      <c r="D20">
        <v>31</v>
      </c>
    </row>
    <row r="25" spans="1:4">
      <c r="A25" s="228" t="s">
        <v>250</v>
      </c>
    </row>
    <row r="26" spans="1:4">
      <c r="A26" s="229" t="s">
        <v>252</v>
      </c>
      <c r="B26" s="229" t="s">
        <v>256</v>
      </c>
      <c r="C26" s="229" t="s">
        <v>256</v>
      </c>
      <c r="D26" s="229" t="s">
        <v>256</v>
      </c>
    </row>
    <row r="27" spans="1:4">
      <c r="A27" t="s">
        <v>253</v>
      </c>
      <c r="B27" t="s">
        <v>258</v>
      </c>
      <c r="C27" t="s">
        <v>267</v>
      </c>
      <c r="D27" t="s">
        <v>269</v>
      </c>
    </row>
    <row r="28" spans="1:4">
      <c r="A28" s="229" t="s">
        <v>254</v>
      </c>
      <c r="B28" s="229" t="s">
        <v>254</v>
      </c>
      <c r="C28" s="229" t="s">
        <v>254</v>
      </c>
      <c r="D28" s="229" t="s">
        <v>254</v>
      </c>
    </row>
    <row r="29" spans="1:4">
      <c r="A29" s="229" t="s">
        <v>256</v>
      </c>
      <c r="B29" s="229" t="s">
        <v>252</v>
      </c>
      <c r="C29" s="229" t="s">
        <v>252</v>
      </c>
      <c r="D29" s="229" t="s">
        <v>252</v>
      </c>
    </row>
    <row r="30" spans="1:4">
      <c r="A30" t="s">
        <v>268</v>
      </c>
      <c r="B30" t="s">
        <v>257</v>
      </c>
      <c r="C30" t="s">
        <v>260</v>
      </c>
      <c r="D30" t="s">
        <v>263</v>
      </c>
    </row>
    <row r="31" spans="1:4">
      <c r="A31" s="229" t="s">
        <v>254</v>
      </c>
      <c r="B31" s="229" t="s">
        <v>254</v>
      </c>
      <c r="C31" s="229" t="s">
        <v>254</v>
      </c>
      <c r="D31" s="229" t="s">
        <v>254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N83"/>
  <sheetViews>
    <sheetView topLeftCell="A17" workbookViewId="0">
      <selection activeCell="A28" sqref="A28:B30"/>
    </sheetView>
  </sheetViews>
  <sheetFormatPr defaultRowHeight="15"/>
  <cols>
    <col min="1" max="1" width="34.7109375" bestFit="1" customWidth="1"/>
    <col min="2" max="2" width="22.5703125" bestFit="1" customWidth="1"/>
    <col min="5" max="6" width="15.85546875" customWidth="1"/>
    <col min="7" max="7" width="17.140625" customWidth="1"/>
    <col min="8" max="8" width="15" customWidth="1"/>
    <col min="9" max="9" width="19" customWidth="1"/>
    <col min="10" max="10" width="13.28515625" customWidth="1"/>
    <col min="11" max="11" width="26.85546875" customWidth="1"/>
  </cols>
  <sheetData>
    <row r="1" spans="1:14">
      <c r="A1" s="62" t="s">
        <v>171</v>
      </c>
      <c r="B1" s="62"/>
      <c r="D1" s="62"/>
      <c r="H1" s="62"/>
    </row>
    <row r="2" spans="1:14">
      <c r="A2" t="s">
        <v>172</v>
      </c>
      <c r="B2" s="104">
        <f>WACC!D20</f>
        <v>7.9832292632066718E-2</v>
      </c>
      <c r="C2" s="104"/>
      <c r="D2" s="104"/>
      <c r="E2" s="104"/>
      <c r="F2" s="104"/>
      <c r="G2" s="104"/>
    </row>
    <row r="3" spans="1:14">
      <c r="A3" t="s">
        <v>173</v>
      </c>
      <c r="B3" s="104">
        <v>3.5000000000000003E-2</v>
      </c>
    </row>
    <row r="4" spans="1:14">
      <c r="A4" t="s">
        <v>92</v>
      </c>
      <c r="B4" s="104">
        <v>0.35</v>
      </c>
    </row>
    <row r="5" spans="1:14">
      <c r="A5" t="s">
        <v>174</v>
      </c>
      <c r="B5" s="104">
        <v>0.5</v>
      </c>
    </row>
    <row r="6" spans="1:14">
      <c r="A6" t="s">
        <v>175</v>
      </c>
      <c r="B6" s="104">
        <v>0.04</v>
      </c>
      <c r="C6" s="105"/>
      <c r="D6" s="105"/>
      <c r="E6" s="105"/>
      <c r="F6" s="105"/>
      <c r="G6" s="105"/>
      <c r="H6" s="105"/>
    </row>
    <row r="7" spans="1:14">
      <c r="A7" t="s">
        <v>176</v>
      </c>
      <c r="B7" s="104">
        <v>0.19</v>
      </c>
      <c r="E7" s="79">
        <v>1.2170454545454545</v>
      </c>
      <c r="F7" s="79">
        <v>1.07280303030303</v>
      </c>
      <c r="G7" s="79"/>
      <c r="H7" s="79">
        <v>0.94565600448933762</v>
      </c>
      <c r="I7" s="79">
        <v>0.83357825580911959</v>
      </c>
      <c r="J7" s="79">
        <v>0.73478379586137199</v>
      </c>
      <c r="K7" s="79">
        <f>I18/I13</f>
        <v>0.73478379586137199</v>
      </c>
      <c r="L7" s="79" t="e">
        <f>J18/J13</f>
        <v>#DIV/0!</v>
      </c>
      <c r="M7" s="79">
        <f>K18/K13</f>
        <v>0.28157619006204604</v>
      </c>
      <c r="N7" s="79">
        <f>L18/L13</f>
        <v>0.42573207600554075</v>
      </c>
    </row>
    <row r="8" spans="1:14">
      <c r="A8" t="s">
        <v>177</v>
      </c>
      <c r="B8" s="106">
        <v>3.5000000000000003E-2</v>
      </c>
    </row>
    <row r="10" spans="1:14" ht="15.75" thickBot="1">
      <c r="A10" s="107"/>
      <c r="B10" s="107"/>
      <c r="C10" s="260"/>
      <c r="D10" s="260"/>
      <c r="E10" s="260"/>
      <c r="F10" s="260"/>
      <c r="G10" s="260"/>
      <c r="H10" s="260"/>
      <c r="I10" s="260"/>
      <c r="J10" s="260"/>
      <c r="K10" s="108"/>
    </row>
    <row r="11" spans="1:14">
      <c r="A11" s="109" t="s">
        <v>42</v>
      </c>
      <c r="B11" s="261" t="s">
        <v>178</v>
      </c>
      <c r="C11" s="262"/>
      <c r="D11" s="262"/>
      <c r="E11" s="262"/>
      <c r="F11" s="262"/>
      <c r="G11" s="262"/>
      <c r="H11" s="262"/>
      <c r="I11" s="263"/>
      <c r="J11" s="110" t="s">
        <v>179</v>
      </c>
    </row>
    <row r="12" spans="1:14" ht="15.75" thickBot="1">
      <c r="A12" s="111"/>
      <c r="B12" s="112"/>
      <c r="C12" s="113"/>
      <c r="D12" s="113">
        <v>1999</v>
      </c>
      <c r="E12" s="113">
        <v>2000</v>
      </c>
      <c r="F12" s="113"/>
      <c r="G12" s="113">
        <v>2001</v>
      </c>
      <c r="H12" s="113">
        <v>2002</v>
      </c>
      <c r="I12" s="113">
        <v>2003</v>
      </c>
      <c r="J12" s="114"/>
    </row>
    <row r="13" spans="1:14">
      <c r="A13" s="115" t="s">
        <v>133</v>
      </c>
      <c r="B13" s="116"/>
      <c r="C13" s="117"/>
      <c r="D13" s="157">
        <f>'Income st'!G21</f>
        <v>237.60000000000002</v>
      </c>
      <c r="E13" s="157">
        <f>'Income st'!H21</f>
        <v>320.76000000000005</v>
      </c>
      <c r="F13" s="118" t="s">
        <v>133</v>
      </c>
      <c r="G13" s="158">
        <f>'Income st'!I21</f>
        <v>433.02600000000007</v>
      </c>
      <c r="H13" s="158">
        <f>'Income st'!J21</f>
        <v>584.58510000000012</v>
      </c>
      <c r="I13" s="158">
        <f>'Income st'!K21</f>
        <v>789.18988500000023</v>
      </c>
      <c r="J13" s="120"/>
      <c r="K13" s="79">
        <v>296.19295999999997</v>
      </c>
      <c r="L13">
        <v>83.802233575293073</v>
      </c>
    </row>
    <row r="14" spans="1:14" ht="24.75">
      <c r="A14" s="115" t="s">
        <v>180</v>
      </c>
      <c r="B14" s="116"/>
      <c r="C14" s="121"/>
      <c r="D14" s="118">
        <f>'Income st'!G5</f>
        <v>334.29479999999995</v>
      </c>
      <c r="E14" s="118">
        <f>'Income st'!H5</f>
        <v>397.81081199999994</v>
      </c>
      <c r="F14" s="115" t="s">
        <v>180</v>
      </c>
      <c r="G14" s="119">
        <f>'Income st'!I5</f>
        <v>473.39486627999992</v>
      </c>
      <c r="H14" s="119">
        <f>'Income st'!J5</f>
        <v>563.33989087319981</v>
      </c>
      <c r="I14" s="119">
        <f>'Income st'!K5</f>
        <v>670.37447013910776</v>
      </c>
      <c r="J14" s="122"/>
      <c r="K14" s="79">
        <v>209.85311999999999</v>
      </c>
      <c r="L14">
        <v>59.983811601731354</v>
      </c>
    </row>
    <row r="15" spans="1:14">
      <c r="A15" s="115" t="s">
        <v>181</v>
      </c>
      <c r="B15" s="116"/>
      <c r="C15" s="117"/>
      <c r="D15" s="96">
        <f>'Balance St'!G28</f>
        <v>-216.51000000000022</v>
      </c>
      <c r="E15" s="96">
        <f>'Balance St'!H28</f>
        <v>-234.99610000000121</v>
      </c>
      <c r="F15" s="98"/>
      <c r="G15" s="157">
        <f>'Balance St'!I28</f>
        <v>-254.82277100000147</v>
      </c>
      <c r="H15" s="157">
        <f>'Balance St'!J28</f>
        <v>-276.0473988100016</v>
      </c>
      <c r="I15" s="157">
        <f>'Balance St'!K28</f>
        <v>-298.72197166910155</v>
      </c>
      <c r="J15" s="122"/>
      <c r="K15" s="79"/>
    </row>
    <row r="16" spans="1:14">
      <c r="A16" s="115" t="s">
        <v>182</v>
      </c>
      <c r="B16" s="116"/>
      <c r="C16" s="121"/>
      <c r="D16" s="123"/>
      <c r="E16" s="123"/>
      <c r="F16" s="115"/>
      <c r="G16" s="124"/>
      <c r="H16" s="123"/>
      <c r="I16" s="123"/>
      <c r="J16" s="125"/>
      <c r="K16" s="79"/>
    </row>
    <row r="17" spans="1:12">
      <c r="A17" s="115" t="s">
        <v>183</v>
      </c>
      <c r="B17" s="116"/>
      <c r="C17" s="117"/>
      <c r="D17" s="126"/>
      <c r="E17" s="118"/>
      <c r="F17" s="118"/>
      <c r="G17" s="118"/>
      <c r="H17" s="118"/>
      <c r="I17" s="118"/>
      <c r="J17" s="127"/>
      <c r="K17" s="79"/>
    </row>
    <row r="18" spans="1:12">
      <c r="A18" s="115" t="s">
        <v>184</v>
      </c>
      <c r="B18" s="116"/>
      <c r="C18" s="117"/>
      <c r="D18" s="118">
        <f>D13*E7</f>
        <v>289.17</v>
      </c>
      <c r="E18" s="118">
        <f>E13*F7</f>
        <v>344.11229999999995</v>
      </c>
      <c r="F18" s="115" t="s">
        <v>184</v>
      </c>
      <c r="G18" s="118">
        <f>G13*H7</f>
        <v>409.49363699999998</v>
      </c>
      <c r="H18" s="118">
        <f>H13*I7</f>
        <v>487.29742802999988</v>
      </c>
      <c r="I18" s="118">
        <f>I13*J7</f>
        <v>579.88393935569979</v>
      </c>
      <c r="J18" s="127"/>
      <c r="K18" s="79">
        <v>83.400885199999991</v>
      </c>
      <c r="L18">
        <v>35.67729887391075</v>
      </c>
    </row>
    <row r="19" spans="1:12">
      <c r="A19" s="115"/>
      <c r="B19" s="116"/>
      <c r="C19" s="117"/>
      <c r="D19" s="117"/>
      <c r="E19" s="117"/>
      <c r="F19" s="117"/>
      <c r="G19" s="117"/>
      <c r="H19" s="117"/>
      <c r="I19" s="117"/>
      <c r="J19" s="127"/>
      <c r="K19" s="79"/>
    </row>
    <row r="20" spans="1:12">
      <c r="A20" s="129"/>
      <c r="B20" s="130"/>
      <c r="C20" s="60"/>
      <c r="D20" s="60"/>
      <c r="E20" s="60"/>
      <c r="F20" s="60"/>
      <c r="G20" s="60"/>
      <c r="H20" s="60"/>
      <c r="I20" s="60"/>
      <c r="J20" s="131"/>
      <c r="K20" s="79"/>
    </row>
    <row r="21" spans="1:12" ht="15.75" thickBot="1">
      <c r="A21" s="61"/>
      <c r="B21" s="132"/>
      <c r="C21" s="133"/>
      <c r="D21" s="133"/>
      <c r="E21" s="133"/>
      <c r="F21" s="133"/>
      <c r="G21" s="133"/>
      <c r="H21" s="133"/>
      <c r="I21" s="133"/>
      <c r="J21" s="1"/>
      <c r="K21" s="79"/>
    </row>
    <row r="22" spans="1:12">
      <c r="A22" s="134"/>
      <c r="D22" s="135"/>
      <c r="E22" s="135"/>
      <c r="F22" s="135"/>
      <c r="G22" s="135"/>
      <c r="H22" s="135"/>
      <c r="I22" s="135"/>
      <c r="J22" s="1"/>
    </row>
    <row r="23" spans="1:12">
      <c r="A23" s="134"/>
      <c r="D23" s="79"/>
      <c r="E23" s="79"/>
      <c r="F23" s="79"/>
      <c r="G23" s="79"/>
      <c r="H23" s="79"/>
      <c r="I23" s="79"/>
      <c r="J23" s="1"/>
    </row>
    <row r="24" spans="1:12">
      <c r="A24" s="134" t="s">
        <v>185</v>
      </c>
      <c r="C24" s="136"/>
      <c r="D24" s="136">
        <f>D13-D14-D15+D16-D17+D18</f>
        <v>408.9852000000003</v>
      </c>
      <c r="E24" s="136">
        <f>E13-E14-E15+E16-E17+E18</f>
        <v>502.05758800000126</v>
      </c>
      <c r="F24" s="136"/>
      <c r="G24" s="136">
        <f>G13-G14-G15+G16-G17+G18</f>
        <v>623.9475417200016</v>
      </c>
      <c r="H24" s="136">
        <f>H13-H14-H15+H16-H17+H18</f>
        <v>784.59003596680179</v>
      </c>
      <c r="I24" s="136">
        <f>I13-I14-I15+I16-I17+I18</f>
        <v>997.42132588569382</v>
      </c>
      <c r="J24" s="1"/>
    </row>
    <row r="25" spans="1:12">
      <c r="A25" s="134" t="s">
        <v>186</v>
      </c>
      <c r="C25" s="135"/>
      <c r="D25" s="135">
        <f>D24/(1+$B$2)^1</f>
        <v>378.74881385803729</v>
      </c>
      <c r="E25" s="135">
        <f>E24/(1+$B$2)^2</f>
        <v>430.56717073879088</v>
      </c>
      <c r="F25" s="135"/>
      <c r="G25" s="135">
        <f>G24/(1+$B$2)^3</f>
        <v>495.54048889682508</v>
      </c>
      <c r="H25" s="135">
        <f>H24/(1+$B$2)^4</f>
        <v>577.05544645917666</v>
      </c>
      <c r="I25" s="135">
        <f>I24/(1+$B$2)^5</f>
        <v>679.35549820506287</v>
      </c>
      <c r="J25" s="60">
        <f>((I24*(1+B8))/(B2-B8))/(1+B2)^5</f>
        <v>15683.626675369211</v>
      </c>
    </row>
    <row r="26" spans="1:12">
      <c r="A26" s="134"/>
      <c r="J26" s="1"/>
    </row>
    <row r="27" spans="1:12" ht="15.75" thickBot="1">
      <c r="J27" s="1"/>
      <c r="K27" s="1"/>
    </row>
    <row r="28" spans="1:12">
      <c r="A28" s="137" t="s">
        <v>187</v>
      </c>
      <c r="B28" s="138">
        <f>SUM(D25:J25)</f>
        <v>18244.894093527102</v>
      </c>
      <c r="J28" s="1"/>
      <c r="K28" s="1"/>
    </row>
    <row r="29" spans="1:12">
      <c r="A29" s="143" t="s">
        <v>188</v>
      </c>
      <c r="B29" s="4">
        <v>548000000</v>
      </c>
      <c r="J29" s="1"/>
      <c r="K29" s="1"/>
    </row>
    <row r="30" spans="1:12" ht="15.75" thickBot="1">
      <c r="A30" s="144" t="s">
        <v>194</v>
      </c>
      <c r="B30" s="145">
        <f>(B28/B29)*1000000</f>
        <v>33.293602360450912</v>
      </c>
      <c r="H30" s="1"/>
      <c r="I30" s="1"/>
    </row>
    <row r="31" spans="1:12">
      <c r="A31" s="1"/>
      <c r="B31" s="1"/>
      <c r="C31" s="1"/>
      <c r="D31" s="1"/>
      <c r="E31" s="1"/>
      <c r="F31" s="1"/>
      <c r="G31" s="1"/>
      <c r="H31" s="1"/>
      <c r="I31" s="1"/>
      <c r="J31" s="1"/>
      <c r="K31" s="1"/>
    </row>
    <row r="32" spans="1:12">
      <c r="A32" s="1"/>
      <c r="B32" s="1"/>
      <c r="C32" s="1"/>
      <c r="D32" s="1"/>
      <c r="E32" s="1"/>
      <c r="F32" s="1"/>
      <c r="G32" s="1"/>
      <c r="H32" s="1"/>
      <c r="I32" s="1"/>
      <c r="J32" s="1"/>
      <c r="K32" s="1"/>
    </row>
    <row r="33" spans="1:11">
      <c r="A33" s="1"/>
      <c r="B33" s="1"/>
      <c r="C33" s="1"/>
      <c r="D33" s="1"/>
      <c r="E33" s="1"/>
      <c r="F33" s="1"/>
      <c r="G33" s="1"/>
      <c r="H33" s="1"/>
      <c r="I33" s="1"/>
      <c r="J33" s="1"/>
      <c r="K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sheetData>
  <mergeCells count="2">
    <mergeCell ref="C10:J10"/>
    <mergeCell ref="B11:I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N86"/>
  <sheetViews>
    <sheetView workbookViewId="0">
      <selection activeCell="E32" sqref="E32"/>
    </sheetView>
  </sheetViews>
  <sheetFormatPr defaultRowHeight="15"/>
  <cols>
    <col min="1" max="1" width="34.7109375" bestFit="1" customWidth="1"/>
    <col min="2" max="2" width="22.5703125" bestFit="1" customWidth="1"/>
    <col min="5" max="6" width="15.85546875" customWidth="1"/>
    <col min="7" max="7" width="17.140625" customWidth="1"/>
    <col min="8" max="8" width="15" customWidth="1"/>
    <col min="9" max="9" width="19" customWidth="1"/>
    <col min="10" max="10" width="13.28515625" customWidth="1"/>
    <col min="11" max="11" width="26.85546875" customWidth="1"/>
  </cols>
  <sheetData>
    <row r="1" spans="1:14">
      <c r="A1" s="62" t="s">
        <v>171</v>
      </c>
      <c r="B1" s="62"/>
      <c r="D1" s="62"/>
      <c r="H1" s="62"/>
    </row>
    <row r="2" spans="1:14">
      <c r="A2" t="s">
        <v>172</v>
      </c>
      <c r="B2" s="235">
        <v>7.9832292632066718E-2</v>
      </c>
      <c r="C2" s="104"/>
      <c r="D2" s="104"/>
      <c r="E2" s="104"/>
      <c r="F2" s="104"/>
      <c r="G2" s="104"/>
    </row>
    <row r="3" spans="1:14">
      <c r="A3" t="s">
        <v>173</v>
      </c>
      <c r="B3" s="104">
        <v>3.5000000000000003E-2</v>
      </c>
    </row>
    <row r="4" spans="1:14">
      <c r="A4" t="s">
        <v>92</v>
      </c>
      <c r="B4" s="104">
        <v>0.35</v>
      </c>
    </row>
    <row r="5" spans="1:14">
      <c r="A5" t="s">
        <v>174</v>
      </c>
      <c r="B5" s="104">
        <v>0.5</v>
      </c>
    </row>
    <row r="6" spans="1:14">
      <c r="A6" t="s">
        <v>175</v>
      </c>
      <c r="B6" s="104">
        <v>0.04</v>
      </c>
      <c r="C6" s="105"/>
      <c r="D6" s="105"/>
      <c r="E6" s="105"/>
      <c r="F6" s="105"/>
      <c r="G6" s="105"/>
      <c r="H6" s="105"/>
    </row>
    <row r="7" spans="1:14">
      <c r="A7" t="s">
        <v>176</v>
      </c>
      <c r="B7" s="104">
        <v>0.19</v>
      </c>
      <c r="E7" s="79"/>
      <c r="F7" s="79"/>
      <c r="G7" s="79"/>
      <c r="H7" s="79"/>
      <c r="I7" s="79"/>
      <c r="J7" s="79"/>
      <c r="K7" s="79"/>
      <c r="L7" s="79"/>
      <c r="M7" s="79"/>
      <c r="N7" s="79"/>
    </row>
    <row r="8" spans="1:14">
      <c r="A8" t="s">
        <v>177</v>
      </c>
      <c r="B8" s="236">
        <v>3.5000000000000003E-2</v>
      </c>
    </row>
    <row r="10" spans="1:14" ht="15.75" thickBot="1">
      <c r="A10" s="107"/>
      <c r="B10" s="107"/>
      <c r="C10" s="260"/>
      <c r="D10" s="260"/>
      <c r="E10" s="260"/>
      <c r="F10" s="260"/>
      <c r="G10" s="260"/>
      <c r="H10" s="260"/>
      <c r="I10" s="260"/>
      <c r="J10" s="260"/>
      <c r="K10" s="108"/>
    </row>
    <row r="11" spans="1:14">
      <c r="A11" s="109" t="s">
        <v>42</v>
      </c>
      <c r="B11" s="261" t="s">
        <v>178</v>
      </c>
      <c r="C11" s="262"/>
      <c r="D11" s="262"/>
      <c r="E11" s="262"/>
      <c r="F11" s="262"/>
      <c r="G11" s="262"/>
      <c r="H11" s="262"/>
      <c r="I11" s="263"/>
      <c r="J11" s="110" t="s">
        <v>179</v>
      </c>
    </row>
    <row r="12" spans="1:14" ht="15.75" thickBot="1">
      <c r="A12" s="111"/>
      <c r="B12" s="112"/>
      <c r="C12" s="113"/>
      <c r="D12" s="113">
        <v>1999</v>
      </c>
      <c r="E12" s="113">
        <v>2000</v>
      </c>
      <c r="F12" s="113"/>
      <c r="G12" s="113">
        <v>2001</v>
      </c>
      <c r="H12" s="113">
        <v>2002</v>
      </c>
      <c r="I12" s="113">
        <v>2003</v>
      </c>
      <c r="J12" s="114"/>
    </row>
    <row r="13" spans="1:14">
      <c r="A13" s="115" t="s">
        <v>133</v>
      </c>
      <c r="B13" s="116"/>
      <c r="C13" s="117"/>
      <c r="D13" s="157">
        <v>237.60000000000002</v>
      </c>
      <c r="E13" s="157">
        <v>320.76000000000005</v>
      </c>
      <c r="F13" s="232" t="s">
        <v>133</v>
      </c>
      <c r="G13" s="237">
        <v>433.02600000000007</v>
      </c>
      <c r="H13" s="158">
        <v>584.58510000000012</v>
      </c>
      <c r="I13" s="158">
        <v>789.18988500000023</v>
      </c>
      <c r="J13" s="120"/>
      <c r="K13" s="79">
        <v>473.03219700000011</v>
      </c>
      <c r="L13">
        <v>219.43983857260815</v>
      </c>
    </row>
    <row r="14" spans="1:14" ht="24.75">
      <c r="A14" s="115" t="s">
        <v>180</v>
      </c>
      <c r="B14" s="116"/>
      <c r="C14" s="121"/>
      <c r="D14" s="118">
        <v>334.29479999999995</v>
      </c>
      <c r="E14" s="118">
        <v>397.81081199999994</v>
      </c>
      <c r="F14" s="233" t="s">
        <v>180</v>
      </c>
      <c r="G14" s="238">
        <v>473.39486627999992</v>
      </c>
      <c r="H14" s="119">
        <v>563.33989087319981</v>
      </c>
      <c r="I14" s="119">
        <v>670.37447013910776</v>
      </c>
      <c r="J14" s="122"/>
      <c r="K14" s="79">
        <v>487.84296785846146</v>
      </c>
      <c r="L14">
        <v>133.14382382404872</v>
      </c>
    </row>
    <row r="15" spans="1:14">
      <c r="A15" s="115" t="s">
        <v>181</v>
      </c>
      <c r="B15" s="116"/>
      <c r="C15" s="117"/>
      <c r="D15" s="96">
        <v>-216.51000000000022</v>
      </c>
      <c r="E15" s="96">
        <v>-234.99610000000121</v>
      </c>
      <c r="F15" s="234"/>
      <c r="G15" s="157">
        <v>-254.82277100000147</v>
      </c>
      <c r="H15" s="157">
        <v>-276.0473988100016</v>
      </c>
      <c r="I15" s="157">
        <v>-298.72197166910155</v>
      </c>
      <c r="J15" s="122"/>
      <c r="K15" s="79"/>
    </row>
    <row r="16" spans="1:14">
      <c r="A16" s="115" t="s">
        <v>182</v>
      </c>
      <c r="B16" s="116"/>
      <c r="C16" s="121"/>
      <c r="D16" s="123"/>
      <c r="E16" s="123"/>
      <c r="F16" s="233"/>
      <c r="G16" s="124"/>
      <c r="H16" s="123"/>
      <c r="I16" s="123"/>
      <c r="J16" s="125"/>
      <c r="K16" s="79"/>
    </row>
    <row r="17" spans="1:12">
      <c r="A17" s="115" t="s">
        <v>183</v>
      </c>
      <c r="B17" s="116"/>
      <c r="C17" s="117"/>
      <c r="D17" s="126"/>
      <c r="E17" s="118"/>
      <c r="F17" s="232"/>
      <c r="G17" s="118"/>
      <c r="H17" s="118"/>
      <c r="I17" s="118"/>
      <c r="J17" s="127"/>
      <c r="K17" s="79"/>
    </row>
    <row r="18" spans="1:12">
      <c r="A18" s="115" t="s">
        <v>184</v>
      </c>
      <c r="B18" s="116"/>
      <c r="C18" s="117"/>
      <c r="D18" s="118">
        <v>289.17</v>
      </c>
      <c r="E18" s="118">
        <v>344.11229999999995</v>
      </c>
      <c r="F18" s="233" t="s">
        <v>184</v>
      </c>
      <c r="G18" s="238">
        <v>409.49363699999998</v>
      </c>
      <c r="H18" s="118">
        <v>487.29742802999988</v>
      </c>
      <c r="I18" s="118">
        <v>579.88393935569979</v>
      </c>
      <c r="J18" s="127"/>
      <c r="K18" s="79">
        <v>421.99146087713996</v>
      </c>
      <c r="L18">
        <v>115.17139822456109</v>
      </c>
    </row>
    <row r="19" spans="1:12">
      <c r="A19" s="115"/>
      <c r="B19" s="116"/>
      <c r="C19" s="117"/>
      <c r="D19" s="117"/>
      <c r="E19" s="117"/>
      <c r="F19" s="117"/>
      <c r="G19" s="117"/>
      <c r="H19" s="117"/>
      <c r="I19" s="128"/>
      <c r="J19" s="127"/>
      <c r="K19" s="79"/>
    </row>
    <row r="20" spans="1:12">
      <c r="A20" s="129"/>
      <c r="B20" s="130"/>
      <c r="C20" s="60"/>
      <c r="D20" s="60"/>
      <c r="E20" s="60"/>
      <c r="F20" s="60"/>
      <c r="G20" s="60"/>
      <c r="H20" s="60"/>
      <c r="I20" s="59"/>
      <c r="J20" s="131"/>
      <c r="K20" s="79"/>
    </row>
    <row r="21" spans="1:12" ht="15.75" thickBot="1">
      <c r="A21" s="61"/>
      <c r="B21" s="132"/>
      <c r="C21" s="133"/>
      <c r="D21" s="133"/>
      <c r="E21" s="133"/>
      <c r="F21" s="133"/>
      <c r="G21" s="133"/>
      <c r="H21" s="133"/>
      <c r="I21" s="133"/>
      <c r="J21" s="1"/>
      <c r="K21" s="79"/>
    </row>
    <row r="22" spans="1:12">
      <c r="A22" s="134"/>
      <c r="D22" s="135"/>
      <c r="E22" s="135"/>
      <c r="F22" s="135"/>
      <c r="G22" s="135"/>
      <c r="H22" s="135"/>
      <c r="I22" s="135"/>
      <c r="J22" s="1"/>
    </row>
    <row r="23" spans="1:12">
      <c r="A23" s="134"/>
      <c r="D23" s="79"/>
      <c r="E23" s="79"/>
      <c r="F23" s="79"/>
      <c r="G23" s="79"/>
      <c r="H23" s="79"/>
      <c r="I23" s="79"/>
      <c r="J23" s="1"/>
    </row>
    <row r="24" spans="1:12">
      <c r="A24" s="134" t="s">
        <v>185</v>
      </c>
      <c r="C24" s="136"/>
      <c r="D24" s="136">
        <f>D13-D14-D15+D16-D17+D18</f>
        <v>408.9852000000003</v>
      </c>
      <c r="E24" s="136">
        <f>E13-E14-E15+E16-E17+E18</f>
        <v>502.05758800000126</v>
      </c>
      <c r="F24" s="136"/>
      <c r="G24" s="136">
        <f>G13-G14-G15+G16-G17+G18</f>
        <v>623.9475417200016</v>
      </c>
      <c r="H24" s="136">
        <f>H13-H14-H15+H16-H17+H18</f>
        <v>784.59003596680179</v>
      </c>
      <c r="I24" s="136">
        <f>I13-I14-I15+I16-I17+I18</f>
        <v>997.42132588569382</v>
      </c>
      <c r="J24" s="1"/>
    </row>
    <row r="25" spans="1:12">
      <c r="A25" s="134" t="s">
        <v>186</v>
      </c>
      <c r="C25" s="135"/>
      <c r="D25" s="135">
        <f>D24/(1+$B$2)^1</f>
        <v>378.74881385803729</v>
      </c>
      <c r="E25" s="135">
        <f>E24/(1+$B$2)^2</f>
        <v>430.56717073879088</v>
      </c>
      <c r="F25" s="135"/>
      <c r="G25" s="135">
        <f>G24/(1+$B$2)^3</f>
        <v>495.54048889682508</v>
      </c>
      <c r="H25" s="135">
        <f>H24/(1+$B$2)^4</f>
        <v>577.05544645917666</v>
      </c>
      <c r="I25" s="135">
        <f>I24/(1+$B$2)^5</f>
        <v>679.35549820506287</v>
      </c>
      <c r="J25" s="60">
        <f>((I24*(1+B8))/(B2-B8))/(1+B2)^5</f>
        <v>15683.626675369211</v>
      </c>
    </row>
    <row r="26" spans="1:12">
      <c r="A26" s="134"/>
      <c r="J26" s="1"/>
    </row>
    <row r="27" spans="1:12" ht="15.75" thickBot="1">
      <c r="J27" s="1"/>
      <c r="K27" s="1"/>
    </row>
    <row r="28" spans="1:12">
      <c r="A28" s="137" t="s">
        <v>187</v>
      </c>
      <c r="B28" s="138">
        <f>SUM(D25:J25)</f>
        <v>18244.894093527102</v>
      </c>
      <c r="J28" s="1"/>
      <c r="K28" s="1"/>
    </row>
    <row r="29" spans="1:12">
      <c r="A29" s="139"/>
      <c r="B29" s="140"/>
      <c r="J29" s="1"/>
      <c r="K29" s="1"/>
    </row>
    <row r="30" spans="1:12">
      <c r="A30" s="139"/>
      <c r="B30" s="141"/>
      <c r="J30" s="1"/>
      <c r="K30" s="1"/>
    </row>
    <row r="31" spans="1:12">
      <c r="B31" s="142"/>
      <c r="J31" s="1"/>
      <c r="K31" s="1"/>
    </row>
    <row r="32" spans="1:12">
      <c r="A32" s="143" t="s">
        <v>188</v>
      </c>
      <c r="B32" s="4">
        <v>548000000</v>
      </c>
      <c r="J32" s="1"/>
      <c r="K32" s="1"/>
    </row>
    <row r="33" spans="1:11" ht="15.75" thickBot="1">
      <c r="A33" s="144" t="s">
        <v>194</v>
      </c>
      <c r="B33" s="239">
        <f>(B28/B32)*1000000</f>
        <v>33.293602360450912</v>
      </c>
      <c r="H33" s="1"/>
      <c r="I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row r="84" spans="1:11">
      <c r="A84" s="1"/>
      <c r="B84" s="1"/>
      <c r="C84" s="1"/>
      <c r="D84" s="1"/>
      <c r="E84" s="1"/>
      <c r="F84" s="1"/>
      <c r="G84" s="1"/>
      <c r="H84" s="1"/>
      <c r="I84" s="1"/>
      <c r="J84" s="1"/>
      <c r="K84" s="1"/>
    </row>
    <row r="85" spans="1:11">
      <c r="A85" s="1"/>
      <c r="B85" s="1"/>
      <c r="C85" s="1"/>
      <c r="D85" s="1"/>
      <c r="E85" s="1"/>
      <c r="F85" s="1"/>
      <c r="G85" s="1"/>
      <c r="H85" s="1"/>
      <c r="I85" s="1"/>
      <c r="J85" s="1"/>
      <c r="K85" s="1"/>
    </row>
    <row r="86" spans="1:11">
      <c r="A86" s="1"/>
      <c r="B86" s="1"/>
      <c r="C86" s="1"/>
      <c r="D86" s="1"/>
      <c r="E86" s="1"/>
      <c r="F86" s="1"/>
      <c r="G86" s="1"/>
      <c r="H86" s="1"/>
      <c r="I86" s="1"/>
      <c r="J86" s="1"/>
      <c r="K86" s="1"/>
    </row>
  </sheetData>
  <mergeCells count="2">
    <mergeCell ref="C10:J10"/>
    <mergeCell ref="B11:I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83"/>
  <sheetViews>
    <sheetView topLeftCell="A24" workbookViewId="0">
      <selection activeCell="A28" sqref="A28:B30"/>
    </sheetView>
  </sheetViews>
  <sheetFormatPr defaultRowHeight="15"/>
  <cols>
    <col min="1" max="1" width="34.7109375" bestFit="1" customWidth="1"/>
    <col min="2" max="2" width="22.5703125" bestFit="1" customWidth="1"/>
    <col min="5" max="6" width="15.85546875" customWidth="1"/>
    <col min="7" max="7" width="17.140625" customWidth="1"/>
    <col min="8" max="8" width="15" customWidth="1"/>
    <col min="9" max="9" width="19" customWidth="1"/>
    <col min="10" max="10" width="13.28515625" customWidth="1"/>
    <col min="11" max="11" width="26.85546875" customWidth="1"/>
  </cols>
  <sheetData>
    <row r="1" spans="1:14">
      <c r="A1" s="62" t="s">
        <v>171</v>
      </c>
      <c r="B1" s="62"/>
      <c r="D1" s="62"/>
      <c r="H1" s="62"/>
    </row>
    <row r="2" spans="1:14">
      <c r="A2" t="s">
        <v>172</v>
      </c>
      <c r="B2" s="104">
        <f>WACC!K20</f>
        <v>7.2877500000000012E-2</v>
      </c>
      <c r="C2" s="104"/>
      <c r="D2" s="104"/>
      <c r="E2" s="104"/>
      <c r="F2" s="104"/>
      <c r="G2" s="104"/>
    </row>
    <row r="3" spans="1:14">
      <c r="A3" t="s">
        <v>173</v>
      </c>
      <c r="B3" s="104">
        <v>3.5000000000000003E-2</v>
      </c>
    </row>
    <row r="4" spans="1:14">
      <c r="A4" t="s">
        <v>92</v>
      </c>
      <c r="B4" s="104">
        <v>0.35</v>
      </c>
    </row>
    <row r="5" spans="1:14">
      <c r="A5" t="s">
        <v>174</v>
      </c>
      <c r="B5" s="104">
        <v>0.5</v>
      </c>
    </row>
    <row r="6" spans="1:14">
      <c r="A6" t="s">
        <v>175</v>
      </c>
      <c r="B6" s="104">
        <v>0.04</v>
      </c>
      <c r="C6" s="105"/>
      <c r="D6" s="105"/>
      <c r="E6" s="105"/>
      <c r="F6" s="105"/>
      <c r="G6" s="105"/>
      <c r="H6" s="105"/>
    </row>
    <row r="7" spans="1:14">
      <c r="A7" t="s">
        <v>176</v>
      </c>
      <c r="B7" s="104">
        <v>0.19</v>
      </c>
      <c r="E7" s="79">
        <v>1.2170454545454545</v>
      </c>
      <c r="F7" s="79">
        <v>1.07280303030303</v>
      </c>
      <c r="G7" s="79"/>
      <c r="H7" s="79">
        <v>0.94565600448933762</v>
      </c>
      <c r="I7" s="79">
        <v>0.83357825580911959</v>
      </c>
      <c r="J7" s="79">
        <v>0.73478379586137199</v>
      </c>
      <c r="K7" s="79">
        <f>I18/I13</f>
        <v>0.73478379586137199</v>
      </c>
      <c r="L7" s="79" t="e">
        <f>J18/J13</f>
        <v>#DIV/0!</v>
      </c>
      <c r="M7" s="79">
        <f>K18/K13</f>
        <v>0.28157619006204604</v>
      </c>
      <c r="N7" s="79">
        <f>L18/L13</f>
        <v>0.42573207600554075</v>
      </c>
    </row>
    <row r="8" spans="1:14">
      <c r="A8" t="s">
        <v>177</v>
      </c>
      <c r="B8" s="106">
        <v>3.5000000000000003E-2</v>
      </c>
    </row>
    <row r="10" spans="1:14" ht="15.75" thickBot="1">
      <c r="A10" s="107"/>
      <c r="B10" s="107"/>
      <c r="C10" s="260"/>
      <c r="D10" s="260"/>
      <c r="E10" s="260"/>
      <c r="F10" s="260"/>
      <c r="G10" s="260"/>
      <c r="H10" s="260"/>
      <c r="I10" s="260"/>
      <c r="J10" s="260"/>
      <c r="K10" s="108"/>
    </row>
    <row r="11" spans="1:14">
      <c r="A11" s="109" t="s">
        <v>42</v>
      </c>
      <c r="B11" s="261" t="s">
        <v>178</v>
      </c>
      <c r="C11" s="262"/>
      <c r="D11" s="262"/>
      <c r="E11" s="262"/>
      <c r="F11" s="262"/>
      <c r="G11" s="262"/>
      <c r="H11" s="262"/>
      <c r="I11" s="263"/>
      <c r="J11" s="110" t="s">
        <v>179</v>
      </c>
    </row>
    <row r="12" spans="1:14" ht="15.75" thickBot="1">
      <c r="A12" s="111"/>
      <c r="B12" s="112"/>
      <c r="C12" s="113"/>
      <c r="D12" s="113">
        <v>1999</v>
      </c>
      <c r="E12" s="113">
        <v>2000</v>
      </c>
      <c r="F12" s="113"/>
      <c r="G12" s="113">
        <v>2001</v>
      </c>
      <c r="H12" s="113">
        <v>2002</v>
      </c>
      <c r="I12" s="113">
        <v>2003</v>
      </c>
      <c r="J12" s="114"/>
    </row>
    <row r="13" spans="1:14">
      <c r="A13" s="115" t="s">
        <v>133</v>
      </c>
      <c r="B13" s="116"/>
      <c r="C13" s="117"/>
      <c r="D13" s="157">
        <f>'Income st'!G21</f>
        <v>237.60000000000002</v>
      </c>
      <c r="E13" s="157">
        <f>'Income st'!H21</f>
        <v>320.76000000000005</v>
      </c>
      <c r="F13" s="118" t="s">
        <v>133</v>
      </c>
      <c r="G13" s="158">
        <f>'Income st'!I21</f>
        <v>433.02600000000007</v>
      </c>
      <c r="H13" s="158">
        <f>'Income st'!J21</f>
        <v>584.58510000000012</v>
      </c>
      <c r="I13" s="158">
        <f>'Income st'!K21</f>
        <v>789.18988500000023</v>
      </c>
      <c r="J13" s="120"/>
      <c r="K13" s="79">
        <v>296.19295999999997</v>
      </c>
      <c r="L13">
        <v>83.802233575293073</v>
      </c>
    </row>
    <row r="14" spans="1:14" ht="24.75">
      <c r="A14" s="115" t="s">
        <v>180</v>
      </c>
      <c r="B14" s="116"/>
      <c r="C14" s="121"/>
      <c r="D14" s="118">
        <f>'Income st'!G5</f>
        <v>334.29479999999995</v>
      </c>
      <c r="E14" s="118">
        <f>'Income st'!H5</f>
        <v>397.81081199999994</v>
      </c>
      <c r="F14" s="115" t="s">
        <v>180</v>
      </c>
      <c r="G14" s="119">
        <f>'Income st'!I5</f>
        <v>473.39486627999992</v>
      </c>
      <c r="H14" s="119">
        <f>'Income st'!J5</f>
        <v>563.33989087319981</v>
      </c>
      <c r="I14" s="119">
        <f>'Income st'!K5</f>
        <v>670.37447013910776</v>
      </c>
      <c r="J14" s="122"/>
      <c r="K14" s="79">
        <v>209.85311999999999</v>
      </c>
      <c r="L14">
        <v>59.983811601731354</v>
      </c>
    </row>
    <row r="15" spans="1:14">
      <c r="A15" s="115" t="s">
        <v>181</v>
      </c>
      <c r="B15" s="116"/>
      <c r="C15" s="117"/>
      <c r="D15" s="96">
        <f>'Balance St'!G28</f>
        <v>-216.51000000000022</v>
      </c>
      <c r="E15" s="96">
        <f>'Balance St'!H28</f>
        <v>-234.99610000000121</v>
      </c>
      <c r="F15" s="98"/>
      <c r="G15" s="157">
        <f>'Balance St'!I28</f>
        <v>-254.82277100000147</v>
      </c>
      <c r="H15" s="157">
        <f>'Balance St'!J28</f>
        <v>-276.0473988100016</v>
      </c>
      <c r="I15" s="157">
        <f>'Balance St'!K28</f>
        <v>-298.72197166910155</v>
      </c>
      <c r="J15" s="122"/>
      <c r="K15" s="79"/>
    </row>
    <row r="16" spans="1:14">
      <c r="A16" s="115" t="s">
        <v>182</v>
      </c>
      <c r="B16" s="116"/>
      <c r="C16" s="121"/>
      <c r="D16" s="123"/>
      <c r="E16" s="123"/>
      <c r="F16" s="115"/>
      <c r="G16" s="124"/>
      <c r="H16" s="123"/>
      <c r="I16" s="123"/>
      <c r="J16" s="125"/>
      <c r="K16" s="79"/>
    </row>
    <row r="17" spans="1:12">
      <c r="A17" s="115" t="s">
        <v>183</v>
      </c>
      <c r="B17" s="116"/>
      <c r="C17" s="117"/>
      <c r="D17" s="126"/>
      <c r="E17" s="118"/>
      <c r="F17" s="118"/>
      <c r="G17" s="118"/>
      <c r="H17" s="118"/>
      <c r="I17" s="118"/>
      <c r="J17" s="127"/>
      <c r="K17" s="79"/>
    </row>
    <row r="18" spans="1:12">
      <c r="A18" s="115" t="s">
        <v>184</v>
      </c>
      <c r="B18" s="116"/>
      <c r="C18" s="117"/>
      <c r="D18" s="118">
        <f>D13*E7</f>
        <v>289.17</v>
      </c>
      <c r="E18" s="118">
        <f>E13*F7</f>
        <v>344.11229999999995</v>
      </c>
      <c r="F18" s="115" t="s">
        <v>184</v>
      </c>
      <c r="G18" s="118">
        <f>G13*H7</f>
        <v>409.49363699999998</v>
      </c>
      <c r="H18" s="118">
        <f>H13*I7</f>
        <v>487.29742802999988</v>
      </c>
      <c r="I18" s="118">
        <f>I13*J7</f>
        <v>579.88393935569979</v>
      </c>
      <c r="J18" s="127"/>
      <c r="K18" s="79">
        <v>83.400885199999991</v>
      </c>
      <c r="L18">
        <v>35.67729887391075</v>
      </c>
    </row>
    <row r="19" spans="1:12">
      <c r="A19" s="115"/>
      <c r="B19" s="116"/>
      <c r="C19" s="117"/>
      <c r="D19" s="117"/>
      <c r="E19" s="117"/>
      <c r="F19" s="117"/>
      <c r="G19" s="117"/>
      <c r="H19" s="117"/>
      <c r="I19" s="117"/>
      <c r="J19" s="127"/>
      <c r="K19" s="79"/>
    </row>
    <row r="20" spans="1:12">
      <c r="A20" s="129"/>
      <c r="B20" s="130"/>
      <c r="C20" s="60"/>
      <c r="D20" s="60"/>
      <c r="E20" s="60"/>
      <c r="F20" s="60"/>
      <c r="G20" s="60"/>
      <c r="H20" s="60"/>
      <c r="I20" s="60"/>
      <c r="J20" s="131"/>
      <c r="K20" s="79"/>
    </row>
    <row r="21" spans="1:12" ht="15.75" thickBot="1">
      <c r="A21" s="61"/>
      <c r="B21" s="132"/>
      <c r="C21" s="133"/>
      <c r="D21" s="133"/>
      <c r="E21" s="133"/>
      <c r="F21" s="133"/>
      <c r="G21" s="133"/>
      <c r="H21" s="133"/>
      <c r="I21" s="133"/>
      <c r="J21" s="1"/>
      <c r="K21" s="79"/>
    </row>
    <row r="22" spans="1:12">
      <c r="A22" s="134"/>
      <c r="D22" s="135"/>
      <c r="E22" s="135"/>
      <c r="F22" s="135"/>
      <c r="G22" s="135"/>
      <c r="H22" s="135"/>
      <c r="I22" s="135"/>
      <c r="J22" s="1"/>
    </row>
    <row r="23" spans="1:12">
      <c r="A23" s="134"/>
      <c r="D23" s="79"/>
      <c r="E23" s="79"/>
      <c r="F23" s="79"/>
      <c r="G23" s="79"/>
      <c r="H23" s="79"/>
      <c r="I23" s="79"/>
      <c r="J23" s="1"/>
    </row>
    <row r="24" spans="1:12">
      <c r="A24" s="134" t="s">
        <v>185</v>
      </c>
      <c r="C24" s="136"/>
      <c r="D24" s="136">
        <f>D13-D14-D15+D16-D17+D18</f>
        <v>408.9852000000003</v>
      </c>
      <c r="E24" s="136">
        <f>E13-E14-E15+E16-E17+E18</f>
        <v>502.05758800000126</v>
      </c>
      <c r="F24" s="136"/>
      <c r="G24" s="136">
        <f>G13-G14-G15+G16-G17+G18</f>
        <v>623.9475417200016</v>
      </c>
      <c r="H24" s="136">
        <f>H13-H14-H15+H16-H17+H18</f>
        <v>784.59003596680179</v>
      </c>
      <c r="I24" s="136">
        <f>I13-I14-I15+I16-I17+I18</f>
        <v>997.42132588569382</v>
      </c>
      <c r="J24" s="1"/>
    </row>
    <row r="25" spans="1:12">
      <c r="A25" s="134" t="s">
        <v>186</v>
      </c>
      <c r="C25" s="135"/>
      <c r="D25" s="135">
        <f>D24/(1+$B$2)^1</f>
        <v>381.20400511708033</v>
      </c>
      <c r="E25" s="135">
        <f>E24/(1+$B$2)^2</f>
        <v>436.16745807408586</v>
      </c>
      <c r="F25" s="135"/>
      <c r="G25" s="135">
        <f>G24/(1+$B$2)^3</f>
        <v>505.23992898853169</v>
      </c>
      <c r="H25" s="135">
        <f>H24/(1+$B$2)^4</f>
        <v>592.16432313049665</v>
      </c>
      <c r="I25" s="135">
        <f>I24/(1+$B$2)^5</f>
        <v>701.6620081115741</v>
      </c>
      <c r="J25" s="60">
        <f>((I24*(1+B8))/(B2-B8))/(1+B2)^5</f>
        <v>19172.864587036605</v>
      </c>
    </row>
    <row r="26" spans="1:12">
      <c r="A26" s="134"/>
      <c r="J26" s="1"/>
    </row>
    <row r="27" spans="1:12" ht="15.75" thickBot="1">
      <c r="J27" s="1"/>
      <c r="K27" s="1"/>
    </row>
    <row r="28" spans="1:12">
      <c r="A28" s="137" t="s">
        <v>187</v>
      </c>
      <c r="B28" s="138">
        <f>SUM(D25:J25)</f>
        <v>21789.302310458374</v>
      </c>
      <c r="J28" s="1"/>
      <c r="K28" s="1"/>
    </row>
    <row r="29" spans="1:12">
      <c r="A29" s="143" t="s">
        <v>188</v>
      </c>
      <c r="B29" s="4">
        <v>548000000</v>
      </c>
      <c r="G29" s="274"/>
      <c r="J29" s="1"/>
      <c r="K29" s="1"/>
    </row>
    <row r="30" spans="1:12" ht="15.75" thickBot="1">
      <c r="A30" s="144" t="s">
        <v>194</v>
      </c>
      <c r="B30" s="145">
        <f>(B28/B29)*1000000</f>
        <v>39.761500566529875</v>
      </c>
      <c r="H30" s="1"/>
      <c r="I30" s="1"/>
    </row>
    <row r="31" spans="1:12">
      <c r="A31" s="1"/>
      <c r="B31" s="1"/>
      <c r="C31" s="1"/>
      <c r="D31" s="1"/>
      <c r="E31" s="1"/>
      <c r="F31" s="1"/>
      <c r="G31" s="1"/>
      <c r="H31" s="1"/>
      <c r="I31" s="1"/>
      <c r="J31" s="1"/>
      <c r="K31" s="1"/>
    </row>
    <row r="32" spans="1:12">
      <c r="A32" s="1"/>
      <c r="B32" s="1"/>
      <c r="C32" s="1"/>
      <c r="D32" s="1"/>
      <c r="E32" s="1"/>
      <c r="F32" s="1"/>
      <c r="G32" s="1"/>
      <c r="H32" s="1"/>
      <c r="I32" s="1"/>
      <c r="J32" s="1"/>
      <c r="K32" s="1"/>
    </row>
    <row r="33" spans="1:11">
      <c r="A33" s="1"/>
      <c r="B33" s="1"/>
      <c r="C33" s="1"/>
      <c r="D33" s="1"/>
      <c r="E33" s="1"/>
      <c r="F33" s="1"/>
      <c r="G33" s="1"/>
      <c r="H33" s="1"/>
      <c r="I33" s="1"/>
      <c r="J33" s="1"/>
      <c r="K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sheetData>
  <mergeCells count="2">
    <mergeCell ref="C10:J10"/>
    <mergeCell ref="B11:I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83"/>
  <sheetViews>
    <sheetView topLeftCell="A13" workbookViewId="0">
      <selection activeCell="A28" sqref="A28:B30"/>
    </sheetView>
  </sheetViews>
  <sheetFormatPr defaultRowHeight="15"/>
  <cols>
    <col min="1" max="1" width="34.7109375" bestFit="1" customWidth="1"/>
    <col min="2" max="2" width="22.5703125" bestFit="1" customWidth="1"/>
    <col min="5" max="6" width="15.85546875" customWidth="1"/>
    <col min="7" max="7" width="17.140625" customWidth="1"/>
    <col min="8" max="8" width="15" customWidth="1"/>
    <col min="9" max="9" width="19" customWidth="1"/>
    <col min="10" max="10" width="13.28515625" customWidth="1"/>
    <col min="11" max="11" width="26.85546875" customWidth="1"/>
  </cols>
  <sheetData>
    <row r="1" spans="1:14">
      <c r="A1" s="62" t="s">
        <v>171</v>
      </c>
      <c r="B1" s="62"/>
      <c r="D1" s="62"/>
      <c r="H1" s="62"/>
    </row>
    <row r="2" spans="1:14">
      <c r="A2" t="s">
        <v>172</v>
      </c>
      <c r="B2" s="104">
        <f>WACC!H20</f>
        <v>9.1557500000000014E-2</v>
      </c>
      <c r="C2" s="104"/>
      <c r="D2" s="104"/>
      <c r="E2" s="104"/>
      <c r="F2" s="104"/>
      <c r="G2" s="104"/>
    </row>
    <row r="3" spans="1:14">
      <c r="A3" t="s">
        <v>173</v>
      </c>
      <c r="B3" s="104">
        <v>3.5000000000000003E-2</v>
      </c>
    </row>
    <row r="4" spans="1:14">
      <c r="A4" t="s">
        <v>92</v>
      </c>
      <c r="B4" s="104">
        <v>0.35</v>
      </c>
    </row>
    <row r="5" spans="1:14">
      <c r="A5" t="s">
        <v>174</v>
      </c>
      <c r="B5" s="104">
        <v>0.5</v>
      </c>
    </row>
    <row r="6" spans="1:14">
      <c r="A6" t="s">
        <v>175</v>
      </c>
      <c r="B6" s="104">
        <v>0.04</v>
      </c>
      <c r="C6" s="105"/>
      <c r="D6" s="105"/>
      <c r="E6" s="105"/>
      <c r="F6" s="105"/>
      <c r="G6" s="105"/>
      <c r="H6" s="105"/>
    </row>
    <row r="7" spans="1:14">
      <c r="A7" t="s">
        <v>176</v>
      </c>
      <c r="B7" s="104">
        <v>0.19</v>
      </c>
      <c r="E7" s="79">
        <v>1.2170454545454545</v>
      </c>
      <c r="F7" s="79">
        <v>1.07280303030303</v>
      </c>
      <c r="G7" s="79"/>
      <c r="H7" s="79">
        <v>0.94565600448933762</v>
      </c>
      <c r="I7" s="79">
        <v>0.83357825580911959</v>
      </c>
      <c r="J7" s="79">
        <v>0.73478379586137199</v>
      </c>
      <c r="K7" s="79">
        <f>I18/I13</f>
        <v>0.73478379586137199</v>
      </c>
      <c r="L7" s="79"/>
      <c r="M7" s="79">
        <f>K18/K13</f>
        <v>0.28157619006204604</v>
      </c>
      <c r="N7" s="79">
        <f>L18/L13</f>
        <v>0.42573207600554075</v>
      </c>
    </row>
    <row r="8" spans="1:14">
      <c r="A8" t="s">
        <v>177</v>
      </c>
      <c r="B8" s="106">
        <v>3.5000000000000003E-2</v>
      </c>
    </row>
    <row r="10" spans="1:14" ht="15.75" thickBot="1">
      <c r="A10" s="107"/>
      <c r="B10" s="107"/>
      <c r="C10" s="260"/>
      <c r="D10" s="260"/>
      <c r="E10" s="260"/>
      <c r="F10" s="260"/>
      <c r="G10" s="260"/>
      <c r="H10" s="260"/>
      <c r="I10" s="260"/>
      <c r="J10" s="260"/>
      <c r="K10" s="108"/>
    </row>
    <row r="11" spans="1:14">
      <c r="A11" s="109" t="s">
        <v>42</v>
      </c>
      <c r="B11" s="261" t="s">
        <v>178</v>
      </c>
      <c r="C11" s="262"/>
      <c r="D11" s="262"/>
      <c r="E11" s="262"/>
      <c r="F11" s="262"/>
      <c r="G11" s="262"/>
      <c r="H11" s="262"/>
      <c r="I11" s="263"/>
      <c r="J11" s="110" t="s">
        <v>179</v>
      </c>
    </row>
    <row r="12" spans="1:14" ht="15.75" thickBot="1">
      <c r="A12" s="111"/>
      <c r="B12" s="112"/>
      <c r="C12" s="113"/>
      <c r="D12" s="113">
        <v>1999</v>
      </c>
      <c r="E12" s="113">
        <v>2000</v>
      </c>
      <c r="F12" s="113"/>
      <c r="G12" s="113">
        <v>2001</v>
      </c>
      <c r="H12" s="113">
        <v>2002</v>
      </c>
      <c r="I12" s="113">
        <v>2003</v>
      </c>
      <c r="J12" s="114"/>
    </row>
    <row r="13" spans="1:14">
      <c r="A13" s="115" t="s">
        <v>133</v>
      </c>
      <c r="B13" s="116"/>
      <c r="C13" s="117"/>
      <c r="D13" s="157">
        <f>'Income st'!G21</f>
        <v>237.60000000000002</v>
      </c>
      <c r="E13" s="157">
        <f>'Income st'!H21</f>
        <v>320.76000000000005</v>
      </c>
      <c r="F13" s="118" t="s">
        <v>133</v>
      </c>
      <c r="G13" s="158">
        <f>'Income st'!I21</f>
        <v>433.02600000000007</v>
      </c>
      <c r="H13" s="158">
        <f>'Income st'!J21</f>
        <v>584.58510000000012</v>
      </c>
      <c r="I13" s="158">
        <f>'Income st'!K21</f>
        <v>789.18988500000023</v>
      </c>
      <c r="J13" s="120"/>
      <c r="K13" s="79">
        <v>296.19295999999997</v>
      </c>
      <c r="L13">
        <v>83.802233575293073</v>
      </c>
    </row>
    <row r="14" spans="1:14" ht="24.75">
      <c r="A14" s="115" t="s">
        <v>180</v>
      </c>
      <c r="B14" s="116"/>
      <c r="C14" s="121"/>
      <c r="D14" s="118">
        <f>'Income st'!G5</f>
        <v>334.29479999999995</v>
      </c>
      <c r="E14" s="118">
        <f>'Income st'!H5</f>
        <v>397.81081199999994</v>
      </c>
      <c r="F14" s="115" t="s">
        <v>180</v>
      </c>
      <c r="G14" s="119">
        <f>'Income st'!I5</f>
        <v>473.39486627999992</v>
      </c>
      <c r="H14" s="119">
        <f>'Income st'!J5</f>
        <v>563.33989087319981</v>
      </c>
      <c r="I14" s="119">
        <f>'Income st'!K5</f>
        <v>670.37447013910776</v>
      </c>
      <c r="J14" s="122"/>
      <c r="K14" s="79">
        <v>209.85311999999999</v>
      </c>
      <c r="L14">
        <v>59.983811601731354</v>
      </c>
    </row>
    <row r="15" spans="1:14">
      <c r="A15" s="115" t="s">
        <v>181</v>
      </c>
      <c r="B15" s="116"/>
      <c r="C15" s="117"/>
      <c r="D15" s="96">
        <f>'Balance St'!G28</f>
        <v>-216.51000000000022</v>
      </c>
      <c r="E15" s="96">
        <f>'Balance St'!H28</f>
        <v>-234.99610000000121</v>
      </c>
      <c r="F15" s="98"/>
      <c r="G15" s="157">
        <f>'Balance St'!I28</f>
        <v>-254.82277100000147</v>
      </c>
      <c r="H15" s="157">
        <f>'Balance St'!J28</f>
        <v>-276.0473988100016</v>
      </c>
      <c r="I15" s="157">
        <f>'Balance St'!K28</f>
        <v>-298.72197166910155</v>
      </c>
      <c r="J15" s="122"/>
      <c r="K15" s="79"/>
    </row>
    <row r="16" spans="1:14">
      <c r="A16" s="115" t="s">
        <v>182</v>
      </c>
      <c r="B16" s="116"/>
      <c r="C16" s="121"/>
      <c r="D16" s="123"/>
      <c r="E16" s="123"/>
      <c r="F16" s="115"/>
      <c r="G16" s="124"/>
      <c r="H16" s="123"/>
      <c r="I16" s="123"/>
      <c r="J16" s="125"/>
      <c r="K16" s="79"/>
    </row>
    <row r="17" spans="1:12">
      <c r="A17" s="115" t="s">
        <v>183</v>
      </c>
      <c r="B17" s="116"/>
      <c r="C17" s="117"/>
      <c r="D17" s="126"/>
      <c r="E17" s="118"/>
      <c r="F17" s="118"/>
      <c r="G17" s="118"/>
      <c r="H17" s="118"/>
      <c r="I17" s="118"/>
      <c r="J17" s="127"/>
      <c r="K17" s="79"/>
    </row>
    <row r="18" spans="1:12">
      <c r="A18" s="115" t="s">
        <v>184</v>
      </c>
      <c r="B18" s="116"/>
      <c r="C18" s="117"/>
      <c r="D18" s="118">
        <f>D13*E7</f>
        <v>289.17</v>
      </c>
      <c r="E18" s="118">
        <f>E13*F7</f>
        <v>344.11229999999995</v>
      </c>
      <c r="F18" s="115" t="s">
        <v>184</v>
      </c>
      <c r="G18" s="118">
        <f>G13*H7</f>
        <v>409.49363699999998</v>
      </c>
      <c r="H18" s="118">
        <f>H13*I7</f>
        <v>487.29742802999988</v>
      </c>
      <c r="I18" s="118">
        <f>I13*J7</f>
        <v>579.88393935569979</v>
      </c>
      <c r="J18" s="127"/>
      <c r="K18" s="79">
        <v>83.400885199999991</v>
      </c>
      <c r="L18">
        <v>35.67729887391075</v>
      </c>
    </row>
    <row r="19" spans="1:12">
      <c r="A19" s="115"/>
      <c r="B19" s="116"/>
      <c r="C19" s="117"/>
      <c r="D19" s="117"/>
      <c r="E19" s="117"/>
      <c r="F19" s="117"/>
      <c r="G19" s="117"/>
      <c r="H19" s="117"/>
      <c r="I19" s="117"/>
      <c r="J19" s="127"/>
      <c r="K19" s="79"/>
    </row>
    <row r="20" spans="1:12">
      <c r="A20" s="129"/>
      <c r="B20" s="130"/>
      <c r="C20" s="60"/>
      <c r="D20" s="60"/>
      <c r="E20" s="60"/>
      <c r="F20" s="60"/>
      <c r="G20" s="60"/>
      <c r="H20" s="60"/>
      <c r="I20" s="60"/>
      <c r="J20" s="131"/>
      <c r="K20" s="79"/>
    </row>
    <row r="21" spans="1:12" ht="15.75" thickBot="1">
      <c r="A21" s="61"/>
      <c r="B21" s="132"/>
      <c r="C21" s="133"/>
      <c r="D21" s="133"/>
      <c r="E21" s="133"/>
      <c r="F21" s="133"/>
      <c r="G21" s="133"/>
      <c r="H21" s="133"/>
      <c r="I21" s="133"/>
      <c r="J21" s="1"/>
      <c r="K21" s="79"/>
    </row>
    <row r="22" spans="1:12">
      <c r="A22" s="134"/>
      <c r="D22" s="135"/>
      <c r="E22" s="135"/>
      <c r="F22" s="135"/>
      <c r="G22" s="135"/>
      <c r="H22" s="135"/>
      <c r="I22" s="135"/>
      <c r="J22" s="1"/>
    </row>
    <row r="23" spans="1:12">
      <c r="A23" s="134"/>
      <c r="D23" s="79"/>
      <c r="E23" s="79"/>
      <c r="F23" s="79"/>
      <c r="G23" s="79"/>
      <c r="H23" s="79"/>
      <c r="I23" s="79"/>
      <c r="J23" s="1"/>
    </row>
    <row r="24" spans="1:12">
      <c r="A24" s="134" t="s">
        <v>185</v>
      </c>
      <c r="C24" s="136"/>
      <c r="D24" s="136">
        <f>D13-D14-D15+D16-D17+D18</f>
        <v>408.9852000000003</v>
      </c>
      <c r="E24" s="136">
        <f>E13-E14-E15+E16-E17+E18</f>
        <v>502.05758800000126</v>
      </c>
      <c r="F24" s="136"/>
      <c r="G24" s="136">
        <f>G13-G14-G15+G16-G17+G18</f>
        <v>623.9475417200016</v>
      </c>
      <c r="H24" s="136">
        <f>H13-H14-H15+H16-H17+H18</f>
        <v>784.59003596680179</v>
      </c>
      <c r="I24" s="136">
        <f>I13-I14-I15+I16-I17+I18</f>
        <v>997.42132588569382</v>
      </c>
      <c r="J24" s="1"/>
    </row>
    <row r="25" spans="1:12">
      <c r="A25" s="134" t="s">
        <v>186</v>
      </c>
      <c r="C25" s="135"/>
      <c r="D25" s="135">
        <f>D24/(1+$B$2)^1</f>
        <v>374.68039933764396</v>
      </c>
      <c r="E25" s="135">
        <f>E24/(1+$B$2)^2</f>
        <v>421.3667857334222</v>
      </c>
      <c r="F25" s="135"/>
      <c r="G25" s="135">
        <f>G24/(1+$B$2)^3</f>
        <v>479.74253319792439</v>
      </c>
      <c r="H25" s="135">
        <f>H24/(1+$B$2)^4</f>
        <v>552.65781604923643</v>
      </c>
      <c r="I25" s="135">
        <f>I24/(1+$B$2)^5</f>
        <v>643.64375479828016</v>
      </c>
      <c r="J25" s="60">
        <f>((I24*(1+B8))/(B2-B8))/(1+B2)^5</f>
        <v>11778.655107036551</v>
      </c>
    </row>
    <row r="26" spans="1:12">
      <c r="A26" s="134"/>
      <c r="J26" s="1"/>
    </row>
    <row r="27" spans="1:12" ht="15.75" thickBot="1">
      <c r="J27" s="1"/>
      <c r="K27" s="1"/>
    </row>
    <row r="28" spans="1:12">
      <c r="A28" s="137" t="s">
        <v>187</v>
      </c>
      <c r="B28" s="138">
        <f>SUM(D25:J25)</f>
        <v>14250.746396153059</v>
      </c>
      <c r="J28" s="1"/>
      <c r="K28" s="1"/>
    </row>
    <row r="29" spans="1:12">
      <c r="A29" s="143" t="s">
        <v>188</v>
      </c>
      <c r="B29" s="4">
        <v>548000000</v>
      </c>
      <c r="J29" s="1"/>
      <c r="K29" s="1"/>
    </row>
    <row r="30" spans="1:12" ht="15.75" thickBot="1">
      <c r="A30" s="144" t="s">
        <v>194</v>
      </c>
      <c r="B30" s="145">
        <f>(B28/B29)*1000000</f>
        <v>26.005011671812152</v>
      </c>
      <c r="H30" s="1"/>
      <c r="I30" s="1"/>
    </row>
    <row r="31" spans="1:12">
      <c r="A31" s="1"/>
      <c r="B31" s="1"/>
      <c r="C31" s="1"/>
      <c r="D31" s="1"/>
      <c r="E31" s="1"/>
      <c r="F31" s="1"/>
      <c r="G31" s="1"/>
      <c r="H31" s="1"/>
      <c r="I31" s="1"/>
      <c r="J31" s="1"/>
      <c r="K31" s="1"/>
    </row>
    <row r="32" spans="1:12">
      <c r="A32" s="1"/>
      <c r="B32" s="1"/>
      <c r="C32" s="1"/>
      <c r="D32" s="1"/>
      <c r="E32" s="1"/>
      <c r="F32" s="1"/>
      <c r="G32" s="1"/>
      <c r="H32" s="1"/>
      <c r="I32" s="1"/>
      <c r="J32" s="1"/>
      <c r="K32" s="1"/>
    </row>
    <row r="33" spans="1:11">
      <c r="A33" s="1"/>
      <c r="B33" s="1"/>
      <c r="C33" s="1"/>
      <c r="D33" s="1"/>
      <c r="E33" s="1"/>
      <c r="F33" s="1"/>
      <c r="G33" s="1"/>
      <c r="H33" s="1"/>
      <c r="I33" s="1"/>
      <c r="J33" s="1"/>
      <c r="K33" s="1"/>
    </row>
    <row r="34" spans="1:11">
      <c r="A34" s="1"/>
      <c r="B34" s="1"/>
      <c r="C34" s="1"/>
      <c r="D34" s="1"/>
      <c r="E34" s="1"/>
      <c r="F34" s="1"/>
      <c r="G34" s="1"/>
      <c r="H34" s="1"/>
      <c r="I34" s="1"/>
      <c r="J34" s="1"/>
      <c r="K34" s="1"/>
    </row>
    <row r="35" spans="1:11">
      <c r="A35" s="1"/>
      <c r="B35" s="1"/>
      <c r="C35" s="1"/>
      <c r="D35" s="1"/>
      <c r="E35" s="1"/>
      <c r="F35" s="1"/>
      <c r="G35" s="1"/>
      <c r="H35" s="1"/>
      <c r="I35" s="1"/>
      <c r="J35" s="1"/>
      <c r="K35" s="1"/>
    </row>
    <row r="36" spans="1:11">
      <c r="A36" s="1"/>
      <c r="B36" s="1"/>
      <c r="C36" s="1"/>
      <c r="D36" s="1"/>
      <c r="E36" s="1"/>
      <c r="F36" s="1"/>
      <c r="G36" s="1"/>
      <c r="H36" s="1"/>
      <c r="I36" s="1"/>
      <c r="J36" s="1"/>
      <c r="K36" s="1"/>
    </row>
    <row r="37" spans="1:11">
      <c r="A37" s="1"/>
      <c r="B37" s="1"/>
      <c r="C37" s="1"/>
      <c r="D37" s="1"/>
      <c r="E37" s="1"/>
      <c r="F37" s="1"/>
      <c r="G37" s="1"/>
      <c r="H37" s="1"/>
      <c r="I37" s="1"/>
      <c r="J37" s="1"/>
      <c r="K37" s="1"/>
    </row>
    <row r="38" spans="1:11">
      <c r="A38" s="1"/>
      <c r="B38" s="1"/>
      <c r="C38" s="1"/>
      <c r="D38" s="1"/>
      <c r="E38" s="1"/>
      <c r="F38" s="1"/>
      <c r="G38" s="1"/>
      <c r="H38" s="1"/>
      <c r="I38" s="1"/>
      <c r="J38" s="1"/>
      <c r="K38" s="1"/>
    </row>
    <row r="39" spans="1:11">
      <c r="A39" s="1"/>
      <c r="B39" s="1"/>
      <c r="C39" s="1"/>
      <c r="D39" s="1"/>
      <c r="E39" s="1"/>
      <c r="F39" s="1"/>
      <c r="G39" s="1"/>
      <c r="H39" s="1"/>
      <c r="I39" s="1"/>
      <c r="J39" s="1"/>
      <c r="K39" s="1"/>
    </row>
    <row r="40" spans="1:11">
      <c r="A40" s="1"/>
      <c r="B40" s="1"/>
      <c r="C40" s="1"/>
      <c r="D40" s="1"/>
      <c r="E40" s="1"/>
      <c r="F40" s="1"/>
      <c r="G40" s="1"/>
      <c r="H40" s="1"/>
      <c r="I40" s="1"/>
      <c r="J40" s="1"/>
      <c r="K40" s="1"/>
    </row>
    <row r="41" spans="1:11">
      <c r="A41" s="1"/>
      <c r="B41" s="1"/>
      <c r="C41" s="1"/>
      <c r="D41" s="1"/>
      <c r="E41" s="1"/>
      <c r="F41" s="1"/>
      <c r="G41" s="1"/>
      <c r="H41" s="1"/>
      <c r="I41" s="1"/>
      <c r="J41" s="1"/>
      <c r="K41" s="1"/>
    </row>
    <row r="42" spans="1:11">
      <c r="A42" s="1"/>
      <c r="B42" s="1"/>
      <c r="C42" s="1"/>
      <c r="D42" s="1"/>
      <c r="E42" s="1"/>
      <c r="F42" s="1"/>
      <c r="G42" s="1"/>
      <c r="H42" s="1"/>
      <c r="I42" s="1"/>
      <c r="J42" s="1"/>
      <c r="K42" s="1"/>
    </row>
    <row r="43" spans="1:11">
      <c r="A43" s="1"/>
      <c r="B43" s="1"/>
      <c r="C43" s="1"/>
      <c r="D43" s="1"/>
      <c r="E43" s="1"/>
      <c r="F43" s="1"/>
      <c r="G43" s="1"/>
      <c r="H43" s="1"/>
      <c r="I43" s="1"/>
      <c r="J43" s="1"/>
      <c r="K43" s="1"/>
    </row>
    <row r="44" spans="1:11">
      <c r="A44" s="1"/>
      <c r="B44" s="1"/>
      <c r="C44" s="1"/>
      <c r="D44" s="1"/>
      <c r="E44" s="1"/>
      <c r="F44" s="1"/>
      <c r="G44" s="1"/>
      <c r="H44" s="1"/>
      <c r="I44" s="1"/>
      <c r="J44" s="1"/>
      <c r="K44" s="1"/>
    </row>
    <row r="45" spans="1:11">
      <c r="A45" s="1"/>
      <c r="B45" s="1"/>
      <c r="C45" s="1"/>
      <c r="D45" s="1"/>
      <c r="E45" s="1"/>
      <c r="F45" s="1"/>
      <c r="G45" s="1"/>
      <c r="H45" s="1"/>
      <c r="I45" s="1"/>
      <c r="J45" s="1"/>
      <c r="K45" s="1"/>
    </row>
    <row r="46" spans="1:11">
      <c r="A46" s="1"/>
      <c r="B46" s="1"/>
      <c r="C46" s="1"/>
      <c r="D46" s="1"/>
      <c r="E46" s="1"/>
      <c r="F46" s="1"/>
      <c r="G46" s="1"/>
      <c r="H46" s="1"/>
      <c r="I46" s="1"/>
      <c r="J46" s="1"/>
      <c r="K46" s="1"/>
    </row>
    <row r="47" spans="1:11">
      <c r="A47" s="1"/>
      <c r="B47" s="1"/>
      <c r="C47" s="1"/>
      <c r="D47" s="1"/>
      <c r="E47" s="1"/>
      <c r="F47" s="1"/>
      <c r="G47" s="1"/>
      <c r="H47" s="1"/>
      <c r="I47" s="1"/>
      <c r="J47" s="1"/>
      <c r="K47" s="1"/>
    </row>
    <row r="48" spans="1:11">
      <c r="A48" s="1"/>
      <c r="B48" s="1"/>
      <c r="C48" s="1"/>
      <c r="D48" s="1"/>
      <c r="E48" s="1"/>
      <c r="F48" s="1"/>
      <c r="G48" s="1"/>
      <c r="H48" s="1"/>
      <c r="I48" s="1"/>
      <c r="J48" s="1"/>
      <c r="K48" s="1"/>
    </row>
    <row r="49" spans="1:1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c r="A63" s="1"/>
      <c r="B63" s="1"/>
      <c r="C63" s="1"/>
      <c r="D63" s="1"/>
      <c r="E63" s="1"/>
      <c r="F63" s="1"/>
      <c r="G63" s="1"/>
      <c r="H63" s="1"/>
      <c r="I63" s="1"/>
      <c r="J63" s="1"/>
      <c r="K63" s="1"/>
    </row>
    <row r="64" spans="1:11">
      <c r="A64" s="1"/>
      <c r="B64" s="1"/>
      <c r="C64" s="1"/>
      <c r="D64" s="1"/>
      <c r="E64" s="1"/>
      <c r="F64" s="1"/>
      <c r="G64" s="1"/>
      <c r="H64" s="1"/>
      <c r="I64" s="1"/>
      <c r="J64" s="1"/>
      <c r="K64" s="1"/>
    </row>
    <row r="65" spans="1:11">
      <c r="A65" s="1"/>
      <c r="B65" s="1"/>
      <c r="C65" s="1"/>
      <c r="D65" s="1"/>
      <c r="E65" s="1"/>
      <c r="F65" s="1"/>
      <c r="G65" s="1"/>
      <c r="H65" s="1"/>
      <c r="I65" s="1"/>
      <c r="J65" s="1"/>
      <c r="K65" s="1"/>
    </row>
    <row r="66" spans="1:11">
      <c r="A66" s="1"/>
      <c r="B66" s="1"/>
      <c r="C66" s="1"/>
      <c r="D66" s="1"/>
      <c r="E66" s="1"/>
      <c r="F66" s="1"/>
      <c r="G66" s="1"/>
      <c r="H66" s="1"/>
      <c r="I66" s="1"/>
      <c r="J66" s="1"/>
      <c r="K66" s="1"/>
    </row>
    <row r="67" spans="1:11">
      <c r="A67" s="1"/>
      <c r="B67" s="1"/>
      <c r="C67" s="1"/>
      <c r="D67" s="1"/>
      <c r="E67" s="1"/>
      <c r="F67" s="1"/>
      <c r="G67" s="1"/>
      <c r="H67" s="1"/>
      <c r="I67" s="1"/>
      <c r="J67" s="1"/>
      <c r="K67" s="1"/>
    </row>
    <row r="68" spans="1:11">
      <c r="A68" s="1"/>
      <c r="B68" s="1"/>
      <c r="C68" s="1"/>
      <c r="D68" s="1"/>
      <c r="E68" s="1"/>
      <c r="F68" s="1"/>
      <c r="G68" s="1"/>
      <c r="H68" s="1"/>
      <c r="I68" s="1"/>
      <c r="J68" s="1"/>
      <c r="K68" s="1"/>
    </row>
    <row r="69" spans="1:11">
      <c r="A69" s="1"/>
      <c r="B69" s="1"/>
      <c r="C69" s="1"/>
      <c r="D69" s="1"/>
      <c r="E69" s="1"/>
      <c r="F69" s="1"/>
      <c r="G69" s="1"/>
      <c r="H69" s="1"/>
      <c r="I69" s="1"/>
      <c r="J69" s="1"/>
      <c r="K69" s="1"/>
    </row>
    <row r="70" spans="1:11">
      <c r="A70" s="1"/>
      <c r="B70" s="1"/>
      <c r="C70" s="1"/>
      <c r="D70" s="1"/>
      <c r="E70" s="1"/>
      <c r="F70" s="1"/>
      <c r="G70" s="1"/>
      <c r="H70" s="1"/>
      <c r="I70" s="1"/>
      <c r="J70" s="1"/>
      <c r="K70" s="1"/>
    </row>
    <row r="71" spans="1:11">
      <c r="A71" s="1"/>
      <c r="B71" s="1"/>
      <c r="C71" s="1"/>
      <c r="D71" s="1"/>
      <c r="E71" s="1"/>
      <c r="F71" s="1"/>
      <c r="G71" s="1"/>
      <c r="H71" s="1"/>
      <c r="I71" s="1"/>
      <c r="J71" s="1"/>
      <c r="K71" s="1"/>
    </row>
    <row r="72" spans="1:11">
      <c r="A72" s="1"/>
      <c r="B72" s="1"/>
      <c r="C72" s="1"/>
      <c r="D72" s="1"/>
      <c r="E72" s="1"/>
      <c r="F72" s="1"/>
      <c r="G72" s="1"/>
      <c r="H72" s="1"/>
      <c r="I72" s="1"/>
      <c r="J72" s="1"/>
      <c r="K72" s="1"/>
    </row>
    <row r="73" spans="1:11">
      <c r="A73" s="1"/>
      <c r="B73" s="1"/>
      <c r="C73" s="1"/>
      <c r="D73" s="1"/>
      <c r="E73" s="1"/>
      <c r="F73" s="1"/>
      <c r="G73" s="1"/>
      <c r="H73" s="1"/>
      <c r="I73" s="1"/>
      <c r="J73" s="1"/>
      <c r="K73" s="1"/>
    </row>
    <row r="74" spans="1:11">
      <c r="A74" s="1"/>
      <c r="B74" s="1"/>
      <c r="C74" s="1"/>
      <c r="D74" s="1"/>
      <c r="E74" s="1"/>
      <c r="F74" s="1"/>
      <c r="G74" s="1"/>
      <c r="H74" s="1"/>
      <c r="I74" s="1"/>
      <c r="J74" s="1"/>
      <c r="K74" s="1"/>
    </row>
    <row r="75" spans="1:11">
      <c r="A75" s="1"/>
      <c r="B75" s="1"/>
      <c r="C75" s="1"/>
      <c r="D75" s="1"/>
      <c r="E75" s="1"/>
      <c r="F75" s="1"/>
      <c r="G75" s="1"/>
      <c r="H75" s="1"/>
      <c r="I75" s="1"/>
      <c r="J75" s="1"/>
      <c r="K75" s="1"/>
    </row>
    <row r="76" spans="1:11">
      <c r="A76" s="1"/>
      <c r="B76" s="1"/>
      <c r="C76" s="1"/>
      <c r="D76" s="1"/>
      <c r="E76" s="1"/>
      <c r="F76" s="1"/>
      <c r="G76" s="1"/>
      <c r="H76" s="1"/>
      <c r="I76" s="1"/>
      <c r="J76" s="1"/>
      <c r="K76" s="1"/>
    </row>
    <row r="77" spans="1:11">
      <c r="A77" s="1"/>
      <c r="B77" s="1"/>
      <c r="C77" s="1"/>
      <c r="D77" s="1"/>
      <c r="E77" s="1"/>
      <c r="F77" s="1"/>
      <c r="G77" s="1"/>
      <c r="H77" s="1"/>
      <c r="I77" s="1"/>
      <c r="J77" s="1"/>
      <c r="K77" s="1"/>
    </row>
    <row r="78" spans="1:11">
      <c r="A78" s="1"/>
      <c r="B78" s="1"/>
      <c r="C78" s="1"/>
      <c r="D78" s="1"/>
      <c r="E78" s="1"/>
      <c r="F78" s="1"/>
      <c r="G78" s="1"/>
      <c r="H78" s="1"/>
      <c r="I78" s="1"/>
      <c r="J78" s="1"/>
      <c r="K78" s="1"/>
    </row>
    <row r="79" spans="1:11">
      <c r="A79" s="1"/>
      <c r="B79" s="1"/>
      <c r="C79" s="1"/>
      <c r="D79" s="1"/>
      <c r="E79" s="1"/>
      <c r="F79" s="1"/>
      <c r="G79" s="1"/>
      <c r="H79" s="1"/>
      <c r="I79" s="1"/>
      <c r="J79" s="1"/>
      <c r="K79" s="1"/>
    </row>
    <row r="80" spans="1:11">
      <c r="A80" s="1"/>
      <c r="B80" s="1"/>
      <c r="C80" s="1"/>
      <c r="D80" s="1"/>
      <c r="E80" s="1"/>
      <c r="F80" s="1"/>
      <c r="G80" s="1"/>
      <c r="H80" s="1"/>
      <c r="I80" s="1"/>
      <c r="J80" s="1"/>
      <c r="K80" s="1"/>
    </row>
    <row r="81" spans="1:11">
      <c r="A81" s="1"/>
      <c r="B81" s="1"/>
      <c r="C81" s="1"/>
      <c r="D81" s="1"/>
      <c r="E81" s="1"/>
      <c r="F81" s="1"/>
      <c r="G81" s="1"/>
      <c r="H81" s="1"/>
      <c r="I81" s="1"/>
      <c r="J81" s="1"/>
      <c r="K81" s="1"/>
    </row>
    <row r="82" spans="1:11">
      <c r="A82" s="1"/>
      <c r="B82" s="1"/>
      <c r="C82" s="1"/>
      <c r="D82" s="1"/>
      <c r="E82" s="1"/>
      <c r="F82" s="1"/>
      <c r="G82" s="1"/>
      <c r="H82" s="1"/>
      <c r="I82" s="1"/>
      <c r="J82" s="1"/>
      <c r="K82" s="1"/>
    </row>
    <row r="83" spans="1:11">
      <c r="A83" s="1"/>
      <c r="B83" s="1"/>
      <c r="C83" s="1"/>
      <c r="D83" s="1"/>
      <c r="E83" s="1"/>
      <c r="F83" s="1"/>
      <c r="G83" s="1"/>
      <c r="H83" s="1"/>
      <c r="I83" s="1"/>
      <c r="J83" s="1"/>
      <c r="K83" s="1"/>
    </row>
  </sheetData>
  <mergeCells count="2">
    <mergeCell ref="C10:J10"/>
    <mergeCell ref="B11:I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H8:I10"/>
  <sheetViews>
    <sheetView workbookViewId="0">
      <selection activeCell="K14" sqref="K14"/>
    </sheetView>
  </sheetViews>
  <sheetFormatPr defaultRowHeight="15"/>
  <cols>
    <col min="9" max="9" width="11" bestFit="1" customWidth="1"/>
  </cols>
  <sheetData>
    <row r="8" spans="8:9">
      <c r="H8" t="s">
        <v>204</v>
      </c>
      <c r="I8" s="230">
        <v>19</v>
      </c>
    </row>
    <row r="9" spans="8:9">
      <c r="H9" t="s">
        <v>262</v>
      </c>
      <c r="I9" s="230">
        <v>1900000000</v>
      </c>
    </row>
    <row r="10" spans="8:9">
      <c r="I10" s="231">
        <f>I9/I8</f>
        <v>100000000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4:K39"/>
  <sheetViews>
    <sheetView topLeftCell="A13" workbookViewId="0">
      <selection activeCell="F23" sqref="F23"/>
    </sheetView>
  </sheetViews>
  <sheetFormatPr defaultRowHeight="15"/>
  <cols>
    <col min="1" max="1" width="9.140625" style="62"/>
    <col min="2" max="2" width="10.85546875" style="62" customWidth="1"/>
    <col min="3" max="3" width="9.140625" style="62"/>
    <col min="4" max="4" width="47.5703125" style="62" bestFit="1" customWidth="1"/>
    <col min="5" max="5" width="11.7109375" style="62" bestFit="1" customWidth="1"/>
    <col min="6" max="6" width="7.140625" style="62" bestFit="1" customWidth="1"/>
    <col min="7" max="7" width="9.85546875" style="62" bestFit="1" customWidth="1"/>
    <col min="8" max="8" width="10" style="62" bestFit="1" customWidth="1"/>
    <col min="9" max="10" width="10.5703125" style="62" bestFit="1" customWidth="1"/>
    <col min="11" max="11" width="11.28515625" style="62" bestFit="1" customWidth="1"/>
    <col min="12" max="13" width="10.5703125" style="62" bestFit="1" customWidth="1"/>
    <col min="14" max="16384" width="9.140625" style="62"/>
  </cols>
  <sheetData>
    <row r="4" spans="4:11">
      <c r="D4" s="67"/>
      <c r="E4" s="66">
        <v>1997</v>
      </c>
      <c r="F4" s="66">
        <v>1998</v>
      </c>
      <c r="G4" s="66">
        <v>1999</v>
      </c>
      <c r="H4" s="66">
        <v>2000</v>
      </c>
      <c r="I4" s="66">
        <v>2001</v>
      </c>
      <c r="J4" s="66">
        <v>2002</v>
      </c>
      <c r="K4" s="66">
        <v>2003</v>
      </c>
    </row>
    <row r="5" spans="4:11" ht="15" customHeight="1">
      <c r="D5" s="67"/>
      <c r="E5" s="66"/>
      <c r="F5" s="66"/>
      <c r="G5" s="64"/>
    </row>
    <row r="6" spans="4:11" ht="15.75" thickBot="1">
      <c r="D6" s="67"/>
      <c r="E6" s="77"/>
      <c r="F6" s="77"/>
      <c r="G6" s="65"/>
    </row>
    <row r="7" spans="4:11">
      <c r="D7" s="66" t="s">
        <v>95</v>
      </c>
      <c r="E7" s="67"/>
      <c r="F7" s="67"/>
      <c r="G7" s="67"/>
    </row>
    <row r="8" spans="4:11">
      <c r="D8" s="66" t="s">
        <v>96</v>
      </c>
      <c r="E8" s="68">
        <v>256</v>
      </c>
      <c r="F8" s="68">
        <v>101</v>
      </c>
      <c r="G8" s="67"/>
    </row>
    <row r="9" spans="4:11" ht="15" customHeight="1">
      <c r="D9" s="66" t="s">
        <v>97</v>
      </c>
      <c r="E9" s="69">
        <v>1599</v>
      </c>
      <c r="F9" s="69">
        <v>1949</v>
      </c>
      <c r="G9" s="67"/>
    </row>
    <row r="10" spans="4:11" ht="15" customHeight="1">
      <c r="D10" s="101" t="s">
        <v>166</v>
      </c>
      <c r="E10" s="100">
        <f>E8+E9</f>
        <v>1855</v>
      </c>
      <c r="F10" s="100">
        <f>F8+F9</f>
        <v>2050</v>
      </c>
      <c r="G10" s="67">
        <f>F10*1.13</f>
        <v>2316.5</v>
      </c>
      <c r="H10" s="67">
        <f>G10*1.13</f>
        <v>2617.6449999999995</v>
      </c>
      <c r="I10" s="67">
        <f>H10*1.13</f>
        <v>2957.9388499999991</v>
      </c>
      <c r="J10" s="67">
        <f>I10*1.13</f>
        <v>3342.4709004999986</v>
      </c>
      <c r="K10" s="67">
        <f>J10*1.13</f>
        <v>3776.9921175649979</v>
      </c>
    </row>
    <row r="11" spans="4:11">
      <c r="D11" s="66" t="s">
        <v>98</v>
      </c>
      <c r="E11" s="69">
        <v>2057</v>
      </c>
      <c r="F11" s="69">
        <v>2071</v>
      </c>
      <c r="G11" s="67"/>
    </row>
    <row r="12" spans="4:11" ht="15" customHeight="1">
      <c r="D12" s="66" t="s">
        <v>99</v>
      </c>
      <c r="E12" s="70">
        <v>740</v>
      </c>
      <c r="F12" s="70">
        <v>791</v>
      </c>
      <c r="G12" s="67"/>
    </row>
    <row r="13" spans="4:11" ht="15" customHeight="1">
      <c r="D13" s="66" t="s">
        <v>100</v>
      </c>
      <c r="E13" s="70">
        <v>800</v>
      </c>
      <c r="F13" s="69">
        <v>1111</v>
      </c>
      <c r="G13" s="67"/>
    </row>
    <row r="14" spans="4:11" ht="15" customHeight="1">
      <c r="D14" s="66" t="s">
        <v>101</v>
      </c>
      <c r="E14" s="69">
        <v>5769</v>
      </c>
      <c r="F14" s="69">
        <v>5941</v>
      </c>
      <c r="G14" s="67"/>
    </row>
    <row r="15" spans="4:11">
      <c r="D15" s="66" t="s">
        <v>102</v>
      </c>
      <c r="E15" s="70">
        <v>476</v>
      </c>
      <c r="F15" s="70">
        <v>666</v>
      </c>
      <c r="G15" s="67"/>
    </row>
    <row r="16" spans="4:11">
      <c r="D16" s="66"/>
      <c r="E16" s="71"/>
      <c r="F16" s="71"/>
      <c r="G16" s="67"/>
    </row>
    <row r="17" spans="4:11" ht="15" customHeight="1">
      <c r="D17" s="72" t="s">
        <v>103</v>
      </c>
      <c r="E17" s="84">
        <v>11697</v>
      </c>
      <c r="F17" s="68">
        <v>12630</v>
      </c>
      <c r="G17" s="67"/>
    </row>
    <row r="18" spans="4:11" ht="15" customHeight="1">
      <c r="D18" s="66" t="s">
        <v>104</v>
      </c>
      <c r="E18" s="75"/>
      <c r="F18" s="75"/>
      <c r="G18" s="67"/>
    </row>
    <row r="19" spans="4:11">
      <c r="D19" s="66" t="s">
        <v>105</v>
      </c>
      <c r="E19" s="68">
        <v>1460</v>
      </c>
      <c r="F19" s="68">
        <v>1613</v>
      </c>
      <c r="G19" s="67"/>
    </row>
    <row r="20" spans="4:11" ht="24" customHeight="1">
      <c r="D20" s="66" t="s">
        <v>106</v>
      </c>
      <c r="E20" s="69">
        <v>1114</v>
      </c>
      <c r="F20" s="69">
        <v>1153</v>
      </c>
      <c r="G20" s="67"/>
    </row>
    <row r="21" spans="4:11">
      <c r="D21" s="66" t="s">
        <v>107</v>
      </c>
      <c r="E21" s="70">
        <v>470</v>
      </c>
      <c r="F21" s="70">
        <v>513</v>
      </c>
      <c r="G21" s="67"/>
    </row>
    <row r="22" spans="4:11">
      <c r="D22" s="66" t="s">
        <v>108</v>
      </c>
      <c r="E22" s="70">
        <v>192</v>
      </c>
      <c r="F22" s="70">
        <v>238</v>
      </c>
      <c r="G22" s="67"/>
    </row>
    <row r="23" spans="4:11">
      <c r="D23" s="66" t="s">
        <v>109</v>
      </c>
      <c r="E23" s="69">
        <v>1065</v>
      </c>
      <c r="F23" s="70">
        <v>375</v>
      </c>
      <c r="G23" s="67"/>
    </row>
    <row r="24" spans="4:11">
      <c r="D24" s="66" t="s">
        <v>110</v>
      </c>
      <c r="E24" s="70">
        <v>802</v>
      </c>
      <c r="F24" s="70">
        <v>874</v>
      </c>
      <c r="G24" s="67"/>
    </row>
    <row r="25" spans="4:11">
      <c r="D25" s="66" t="s">
        <v>111</v>
      </c>
      <c r="E25" s="70">
        <v>246</v>
      </c>
      <c r="F25" s="70">
        <v>221</v>
      </c>
      <c r="G25" s="71"/>
    </row>
    <row r="26" spans="4:11" ht="15.75">
      <c r="D26" s="102" t="s">
        <v>167</v>
      </c>
      <c r="E26" s="68">
        <f>E19+E22+E24+E20+E21</f>
        <v>4038</v>
      </c>
      <c r="F26" s="68">
        <f>F19+F22+F24+F20+F21</f>
        <v>4391</v>
      </c>
      <c r="G26" s="103">
        <f>F26*1.11</f>
        <v>4874.01</v>
      </c>
      <c r="H26" s="103">
        <f>G26*1.11</f>
        <v>5410.151100000001</v>
      </c>
      <c r="I26" s="103">
        <f>H26*1.11</f>
        <v>6005.267721000002</v>
      </c>
      <c r="J26" s="103">
        <f>I26*1.11</f>
        <v>6665.8471703100031</v>
      </c>
      <c r="K26" s="103">
        <f>J26*1.11</f>
        <v>7399.0903590441039</v>
      </c>
    </row>
    <row r="27" spans="4:11" ht="15.75">
      <c r="D27" s="102" t="s">
        <v>170</v>
      </c>
      <c r="E27" s="68">
        <f t="shared" ref="E27:K27" si="0">E10-E26</f>
        <v>-2183</v>
      </c>
      <c r="F27" s="68">
        <f t="shared" si="0"/>
        <v>-2341</v>
      </c>
      <c r="G27" s="68">
        <f t="shared" si="0"/>
        <v>-2557.5100000000002</v>
      </c>
      <c r="H27" s="68">
        <f t="shared" si="0"/>
        <v>-2792.5061000000014</v>
      </c>
      <c r="I27" s="68">
        <f t="shared" si="0"/>
        <v>-3047.3288710000029</v>
      </c>
      <c r="J27" s="68">
        <f t="shared" si="0"/>
        <v>-3323.3762698100045</v>
      </c>
      <c r="K27" s="68">
        <f t="shared" si="0"/>
        <v>-3622.098241479106</v>
      </c>
    </row>
    <row r="28" spans="4:11" ht="15.75">
      <c r="D28" s="102" t="s">
        <v>169</v>
      </c>
      <c r="E28" s="68"/>
      <c r="F28" s="68">
        <f t="shared" ref="F28:K28" si="1">F27-E27</f>
        <v>-158</v>
      </c>
      <c r="G28" s="68">
        <f t="shared" si="1"/>
        <v>-216.51000000000022</v>
      </c>
      <c r="H28" s="68">
        <f t="shared" si="1"/>
        <v>-234.99610000000121</v>
      </c>
      <c r="I28" s="68">
        <f t="shared" si="1"/>
        <v>-254.82277100000147</v>
      </c>
      <c r="J28" s="68">
        <f t="shared" si="1"/>
        <v>-276.0473988100016</v>
      </c>
      <c r="K28" s="68">
        <f t="shared" si="1"/>
        <v>-298.72197166910155</v>
      </c>
    </row>
    <row r="29" spans="4:11">
      <c r="D29" s="67"/>
      <c r="E29" s="69">
        <v>5349</v>
      </c>
      <c r="F29" s="69">
        <v>4987</v>
      </c>
      <c r="G29" s="67"/>
    </row>
    <row r="30" spans="4:11">
      <c r="D30" s="66" t="s">
        <v>112</v>
      </c>
      <c r="E30" s="76">
        <v>2581</v>
      </c>
      <c r="F30" s="76">
        <v>3702</v>
      </c>
      <c r="G30" s="76"/>
    </row>
    <row r="31" spans="4:11">
      <c r="D31" s="72" t="s">
        <v>113</v>
      </c>
      <c r="E31" s="76">
        <v>7930</v>
      </c>
      <c r="F31" s="76">
        <v>8689</v>
      </c>
      <c r="G31" s="67"/>
    </row>
    <row r="32" spans="4:11">
      <c r="D32" s="66" t="s">
        <v>114</v>
      </c>
      <c r="E32" s="67"/>
      <c r="F32" s="67"/>
      <c r="G32" s="67"/>
    </row>
    <row r="33" spans="4:7">
      <c r="D33" s="66" t="s">
        <v>115</v>
      </c>
      <c r="E33" s="67"/>
      <c r="F33" s="67"/>
      <c r="G33" s="67"/>
    </row>
    <row r="34" spans="4:7">
      <c r="D34" s="66" t="s">
        <v>116</v>
      </c>
      <c r="E34" s="70">
        <v>1</v>
      </c>
      <c r="F34" s="70">
        <v>1</v>
      </c>
      <c r="G34" s="70"/>
    </row>
    <row r="35" spans="4:7">
      <c r="D35" s="66" t="s">
        <v>117</v>
      </c>
      <c r="E35" s="70"/>
      <c r="F35" s="70"/>
      <c r="G35" s="70"/>
    </row>
    <row r="36" spans="4:7">
      <c r="D36" s="66" t="s">
        <v>118</v>
      </c>
      <c r="E36" s="69">
        <v>3132</v>
      </c>
      <c r="F36" s="69">
        <v>3132</v>
      </c>
      <c r="G36" s="69"/>
    </row>
    <row r="37" spans="4:7">
      <c r="D37" s="66" t="s">
        <v>119</v>
      </c>
      <c r="E37" s="71">
        <v>634</v>
      </c>
      <c r="F37" s="71">
        <v>808</v>
      </c>
      <c r="G37" s="71"/>
    </row>
    <row r="38" spans="4:7">
      <c r="D38" s="72" t="s">
        <v>120</v>
      </c>
      <c r="E38" s="76">
        <v>3767</v>
      </c>
      <c r="F38" s="76">
        <v>3941</v>
      </c>
      <c r="G38" s="76"/>
    </row>
    <row r="39" spans="4:7">
      <c r="D39" s="72" t="s">
        <v>121</v>
      </c>
      <c r="E39" s="73">
        <v>11697</v>
      </c>
      <c r="F39" s="74">
        <v>12630</v>
      </c>
      <c r="G39" s="6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3:K32"/>
  <sheetViews>
    <sheetView topLeftCell="A16" workbookViewId="0">
      <selection activeCell="A25" sqref="A25:J27"/>
    </sheetView>
  </sheetViews>
  <sheetFormatPr defaultRowHeight="15"/>
  <cols>
    <col min="1" max="1" width="34.28515625" style="198" bestFit="1" customWidth="1"/>
    <col min="2" max="2" width="45.42578125" style="198" customWidth="1"/>
    <col min="3" max="6" width="9.140625" style="198"/>
    <col min="7" max="7" width="7.28515625" style="198" customWidth="1"/>
    <col min="8" max="8" width="8.5703125" style="198" customWidth="1"/>
    <col min="9" max="9" width="5.7109375" style="198" customWidth="1"/>
    <col min="10" max="16384" width="9.140625" style="198"/>
  </cols>
  <sheetData>
    <row r="3" spans="1:6" ht="15.75">
      <c r="A3" s="196" t="s">
        <v>0</v>
      </c>
      <c r="B3" s="196" t="s">
        <v>1</v>
      </c>
      <c r="C3" s="198">
        <v>1997</v>
      </c>
      <c r="D3" s="198">
        <v>1998</v>
      </c>
      <c r="E3" s="197"/>
    </row>
    <row r="4" spans="1:6" ht="15.75">
      <c r="A4" s="199" t="s">
        <v>2</v>
      </c>
      <c r="B4" s="108"/>
      <c r="C4" s="197"/>
      <c r="D4" s="197"/>
      <c r="E4" s="197"/>
    </row>
    <row r="5" spans="1:6" ht="15.75">
      <c r="A5" s="200" t="s">
        <v>3</v>
      </c>
      <c r="B5" s="201" t="s">
        <v>4</v>
      </c>
      <c r="C5" s="202">
        <f>('[1]Balance St'!E11-'[1]Balance St'!E27)/'[1]Balance St'!E18</f>
        <v>-0.18662905018380782</v>
      </c>
      <c r="D5" s="202">
        <f>('[1]Balance St'!F11-'[1]Balance St'!F27)/'[1]Balance St'!F18</f>
        <v>-0.18535233570863024</v>
      </c>
      <c r="E5" s="202"/>
      <c r="F5" s="202"/>
    </row>
    <row r="6" spans="1:6" ht="15.75">
      <c r="A6" s="199" t="s">
        <v>5</v>
      </c>
      <c r="B6" s="203"/>
      <c r="C6" s="202"/>
      <c r="D6" s="202"/>
      <c r="E6" s="197"/>
    </row>
    <row r="7" spans="1:6" ht="15.75">
      <c r="A7" s="5" t="s">
        <v>6</v>
      </c>
      <c r="B7" s="5" t="s">
        <v>7</v>
      </c>
      <c r="C7" s="202">
        <f>'[1]Income st'!E5/'[1]Balance St'!E18</f>
        <v>0.4998717619902539</v>
      </c>
      <c r="D7" s="202">
        <f>'[1]Income st'!F5/'[1]Balance St'!F18</f>
        <v>0.55605700712589079</v>
      </c>
      <c r="E7" s="197"/>
    </row>
    <row r="8" spans="1:6" ht="15.75">
      <c r="A8" s="5" t="s">
        <v>8</v>
      </c>
      <c r="B8" s="5" t="s">
        <v>9</v>
      </c>
      <c r="C8" s="213">
        <f>'[1]Balance St'!E18/'[1]Balance St'!E39</f>
        <v>3.1051234404035042</v>
      </c>
      <c r="D8" s="213">
        <f>'[1]Balance St'!F18/'[1]Balance St'!F39</f>
        <v>3.2047703628520678</v>
      </c>
      <c r="E8" s="197"/>
    </row>
    <row r="9" spans="1:6" ht="15.75">
      <c r="A9" s="5" t="s">
        <v>10</v>
      </c>
      <c r="B9" s="5" t="s">
        <v>11</v>
      </c>
      <c r="C9" s="213">
        <f>'[1]Income st'!E5/'[1]Balance St'!E39</f>
        <v>1.5521635253517387</v>
      </c>
      <c r="D9" s="213">
        <f>'[1]Income st'!F5/'[1]Balance St'!F39</f>
        <v>1.7820350164932759</v>
      </c>
      <c r="E9" s="197"/>
    </row>
    <row r="10" spans="1:6" ht="15.75">
      <c r="A10" s="199" t="s">
        <v>12</v>
      </c>
      <c r="B10" s="108"/>
      <c r="C10" s="202"/>
      <c r="D10" s="202"/>
      <c r="E10" s="197"/>
    </row>
    <row r="11" spans="1:6" ht="15.75">
      <c r="A11" s="5" t="s">
        <v>13</v>
      </c>
      <c r="B11" s="5" t="s">
        <v>14</v>
      </c>
      <c r="C11" s="202">
        <f>'[1]Balance St'!E32/'[1]Balance St'!E18</f>
        <v>0.67795161152432248</v>
      </c>
      <c r="D11" s="202">
        <f>'[1]Balance St'!F32/'[1]Balance St'!F18</f>
        <v>0.6879651623119557</v>
      </c>
      <c r="E11" s="197"/>
    </row>
    <row r="12" spans="1:6" ht="15.75">
      <c r="A12" s="204" t="s">
        <v>15</v>
      </c>
      <c r="B12" s="204" t="s">
        <v>16</v>
      </c>
      <c r="C12" s="214">
        <f>(+'[1]Balance St'!E24+'[1]Balance St'!E26)/'[1]Balance St'!E18</f>
        <v>0.11208002051808157</v>
      </c>
      <c r="D12" s="205">
        <f>'[1]EPS Valuation'!G35/'[1]Balance St'!F18</f>
        <v>4.7189231987331749E-2</v>
      </c>
      <c r="E12" s="197"/>
    </row>
    <row r="13" spans="1:6" ht="15.75">
      <c r="A13" s="204" t="s">
        <v>17</v>
      </c>
      <c r="B13" s="204" t="s">
        <v>18</v>
      </c>
      <c r="C13" s="213">
        <f>('[1]Balance St'!E24+'[1]Balance St'!E26)/'[1]Income st'!E13</f>
        <v>2.6219999999999999</v>
      </c>
      <c r="D13" s="213">
        <f>('[1]Balance St'!F24+'[1]Balance St'!F26)/'[1]Income st'!F13</f>
        <v>0.65783664459161151</v>
      </c>
      <c r="E13" s="197"/>
    </row>
    <row r="14" spans="1:6" ht="15.75">
      <c r="A14" s="199" t="s">
        <v>19</v>
      </c>
      <c r="B14" s="108"/>
      <c r="C14" s="202"/>
      <c r="D14" s="202"/>
      <c r="E14" s="197"/>
    </row>
    <row r="15" spans="1:6" ht="15.75">
      <c r="A15" s="204" t="s">
        <v>20</v>
      </c>
      <c r="B15" s="204" t="s">
        <v>21</v>
      </c>
      <c r="C15" s="215">
        <f>'[1]Income st'!E12/'[1]Income st'!E5</f>
        <v>5.4728920814092696E-2</v>
      </c>
      <c r="D15" s="215">
        <f>'[1]Income st'!F12/'[1]Income st'!F5</f>
        <v>9.4404100811618971E-2</v>
      </c>
      <c r="E15" s="206"/>
    </row>
    <row r="16" spans="1:6" ht="15.75">
      <c r="A16" s="204" t="s">
        <v>22</v>
      </c>
      <c r="B16" s="204" t="s">
        <v>23</v>
      </c>
      <c r="C16" s="216">
        <f>'[1]Income st'!E22/'[1]Income st'!E5</f>
        <v>5.1308363263211903E-3</v>
      </c>
      <c r="D16" s="216">
        <f>'[1]Income st'!F22/'[1]Income st'!F5</f>
        <v>2.5060515449238218E-2</v>
      </c>
      <c r="E16" s="197"/>
    </row>
    <row r="17" spans="1:11" ht="15.75">
      <c r="A17" s="204" t="s">
        <v>24</v>
      </c>
      <c r="B17" s="204" t="s">
        <v>25</v>
      </c>
      <c r="C17" s="213">
        <f>'[1]Income st'!E22/'[1]Income st'!E24</f>
        <v>5.4744525547445258E-2</v>
      </c>
      <c r="D17" s="213">
        <f>'[1]Income st'!F22/'[1]Income st'!F24</f>
        <v>0.32116788321167883</v>
      </c>
      <c r="E17" s="197"/>
    </row>
    <row r="18" spans="1:11" ht="15.75">
      <c r="A18" s="204" t="s">
        <v>26</v>
      </c>
      <c r="B18" s="204" t="s">
        <v>27</v>
      </c>
      <c r="C18" s="217">
        <f>'[1]Income st'!E22/'[1]Balance St'!E18</f>
        <v>2.5647601949217746E-3</v>
      </c>
      <c r="D18" s="217">
        <f>'[1]Income st'!F22/'[1]Balance St'!F18</f>
        <v>1.393507521773555E-2</v>
      </c>
      <c r="E18" s="197"/>
    </row>
    <row r="19" spans="1:11" ht="15.75">
      <c r="A19" s="204" t="s">
        <v>28</v>
      </c>
      <c r="B19" s="204" t="s">
        <v>29</v>
      </c>
      <c r="C19" s="218">
        <f>'[1]Income st'!E22/'[1]Balance St'!E39</f>
        <v>7.963897000265464E-3</v>
      </c>
      <c r="D19" s="218">
        <f>'[1]Income st'!F22/'[1]Balance St'!F39</f>
        <v>4.4658716061913219E-2</v>
      </c>
      <c r="E19" s="197"/>
    </row>
    <row r="20" spans="1:11" ht="15.75">
      <c r="A20" s="207"/>
      <c r="B20" s="207"/>
      <c r="C20" s="197"/>
      <c r="D20" s="197"/>
      <c r="E20" s="197"/>
    </row>
    <row r="21" spans="1:11" ht="15.75">
      <c r="A21" s="197"/>
      <c r="B21" s="208"/>
      <c r="C21" s="208"/>
      <c r="D21" s="208"/>
      <c r="E21" s="208"/>
    </row>
    <row r="22" spans="1:11" ht="26.25">
      <c r="A22" s="219" t="s">
        <v>30</v>
      </c>
      <c r="B22" s="220"/>
      <c r="C22" s="220"/>
      <c r="D22" s="220"/>
      <c r="E22" s="220"/>
      <c r="F22" s="221"/>
      <c r="G22" s="221"/>
      <c r="H22" s="221"/>
      <c r="I22" s="221"/>
      <c r="J22" s="221"/>
      <c r="K22" s="221"/>
    </row>
    <row r="23" spans="1:11">
      <c r="A23" s="209" t="s">
        <v>31</v>
      </c>
      <c r="B23" s="209" t="s">
        <v>32</v>
      </c>
      <c r="C23" s="209"/>
      <c r="D23" s="209"/>
      <c r="E23" s="209"/>
      <c r="F23" s="209"/>
      <c r="G23" s="221"/>
      <c r="H23" s="221"/>
      <c r="I23" s="221"/>
      <c r="J23" s="221"/>
      <c r="K23" s="221"/>
    </row>
    <row r="24" spans="1:11">
      <c r="A24" s="221"/>
      <c r="B24" s="221"/>
      <c r="C24" s="221"/>
      <c r="D24" s="221"/>
      <c r="E24" s="221"/>
      <c r="F24" s="221"/>
      <c r="G24" s="221"/>
      <c r="H24" s="221"/>
      <c r="I24" s="221"/>
      <c r="J24" s="221"/>
      <c r="K24" s="221"/>
    </row>
    <row r="25" spans="1:11">
      <c r="A25" s="210"/>
      <c r="B25" s="204" t="s">
        <v>33</v>
      </c>
      <c r="C25" s="204" t="s">
        <v>34</v>
      </c>
      <c r="D25" s="204" t="s">
        <v>35</v>
      </c>
      <c r="E25" s="204" t="s">
        <v>36</v>
      </c>
      <c r="F25" s="211" t="s">
        <v>37</v>
      </c>
      <c r="G25" s="204" t="s">
        <v>38</v>
      </c>
      <c r="H25" s="212" t="s">
        <v>6</v>
      </c>
      <c r="I25" s="204" t="s">
        <v>39</v>
      </c>
      <c r="J25" s="222" t="s">
        <v>31</v>
      </c>
      <c r="K25" s="221"/>
    </row>
    <row r="26" spans="1:11">
      <c r="A26" s="221">
        <v>1997</v>
      </c>
      <c r="B26" s="223">
        <f>'[1]Income st'!E22</f>
        <v>30</v>
      </c>
      <c r="C26" s="224">
        <f>'[1]Income st'!E5</f>
        <v>5847</v>
      </c>
      <c r="D26" s="221">
        <f>'[1]Income st'!E12</f>
        <v>320</v>
      </c>
      <c r="E26" s="223">
        <f>'[1]Balance St'!E18</f>
        <v>11697</v>
      </c>
      <c r="F26" s="224">
        <f>'[1]Balance St'!E39</f>
        <v>3767</v>
      </c>
      <c r="G26" s="225">
        <f>B26/C26</f>
        <v>5.1308363263211903E-3</v>
      </c>
      <c r="H26" s="225">
        <f>C26/E26</f>
        <v>0.4998717619902539</v>
      </c>
      <c r="I26" s="226">
        <f>E26/F26</f>
        <v>3.1051234404035042</v>
      </c>
      <c r="J26" s="227">
        <f>G26*H26*I26</f>
        <v>7.9638970002654623E-3</v>
      </c>
      <c r="K26" s="221"/>
    </row>
    <row r="27" spans="1:11">
      <c r="A27" s="221">
        <v>1998</v>
      </c>
      <c r="B27" s="223">
        <f>'[1]Income st'!F22</f>
        <v>176</v>
      </c>
      <c r="C27" s="224">
        <f>'[1]Income st'!F5</f>
        <v>7023</v>
      </c>
      <c r="D27" s="221">
        <f>'[1]Income st'!F12</f>
        <v>663</v>
      </c>
      <c r="E27" s="223">
        <f>'[1]Balance St'!F18</f>
        <v>12630</v>
      </c>
      <c r="F27" s="224">
        <f>'[1]Balance St'!F39</f>
        <v>3941</v>
      </c>
      <c r="G27" s="225">
        <f>B27/C27</f>
        <v>2.5060515449238218E-2</v>
      </c>
      <c r="H27" s="225">
        <f>C27/E27</f>
        <v>0.55605700712589079</v>
      </c>
      <c r="I27" s="226">
        <f>E27/F27</f>
        <v>3.2047703628520678</v>
      </c>
      <c r="J27" s="227">
        <f>G27*H27*I27</f>
        <v>4.4658716061913226E-2</v>
      </c>
      <c r="K27" s="221"/>
    </row>
    <row r="28" spans="1:11">
      <c r="A28" s="221"/>
      <c r="B28" s="221"/>
      <c r="C28" s="221"/>
      <c r="D28" s="221"/>
      <c r="E28" s="221"/>
      <c r="F28" s="221"/>
      <c r="G28" s="221"/>
      <c r="H28" s="221"/>
      <c r="I28" s="221"/>
      <c r="J28" s="221"/>
      <c r="K28" s="221"/>
    </row>
    <row r="29" spans="1:11">
      <c r="A29" s="221"/>
      <c r="B29" s="221"/>
      <c r="C29" s="221"/>
      <c r="D29" s="221"/>
      <c r="E29" s="221"/>
      <c r="F29" s="221"/>
      <c r="G29" s="221"/>
      <c r="H29" s="221"/>
      <c r="I29" s="221"/>
      <c r="J29" s="221"/>
      <c r="K29" s="221"/>
    </row>
    <row r="30" spans="1:11">
      <c r="A30" s="221"/>
      <c r="B30" s="221"/>
      <c r="C30" s="221"/>
      <c r="D30" s="221"/>
      <c r="E30" s="221"/>
      <c r="F30" s="221"/>
      <c r="G30" s="221"/>
      <c r="H30" s="221"/>
      <c r="I30" s="221"/>
      <c r="J30" s="221"/>
      <c r="K30" s="221"/>
    </row>
    <row r="31" spans="1:11">
      <c r="A31" s="221"/>
      <c r="B31" s="221"/>
      <c r="C31" s="221"/>
      <c r="D31" s="221"/>
      <c r="E31" s="221"/>
      <c r="F31" s="221"/>
      <c r="G31" s="221"/>
      <c r="H31" s="221"/>
      <c r="I31" s="221"/>
      <c r="J31" s="221"/>
      <c r="K31" s="221"/>
    </row>
    <row r="32" spans="1:11">
      <c r="A32" s="221"/>
      <c r="B32" s="221"/>
      <c r="C32" s="221"/>
      <c r="D32" s="221"/>
      <c r="E32" s="221"/>
      <c r="F32" s="221"/>
      <c r="G32" s="221"/>
      <c r="H32" s="221"/>
      <c r="I32" s="221"/>
      <c r="J32" s="221"/>
      <c r="K32" s="2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C2:F26"/>
  <sheetViews>
    <sheetView topLeftCell="A10" workbookViewId="0">
      <selection activeCell="E24" sqref="E24:F24"/>
    </sheetView>
  </sheetViews>
  <sheetFormatPr defaultRowHeight="15"/>
  <cols>
    <col min="1" max="1" width="9.140625" style="6"/>
    <col min="2" max="2" width="18.7109375" style="6" customWidth="1"/>
    <col min="3" max="3" width="36.140625" style="6" customWidth="1"/>
    <col min="4" max="4" width="20.7109375" style="6" customWidth="1"/>
    <col min="5" max="5" width="11.7109375" style="6" customWidth="1"/>
    <col min="6" max="6" width="11" style="6" customWidth="1"/>
    <col min="7" max="16384" width="9.140625" style="6"/>
  </cols>
  <sheetData>
    <row r="2" spans="3:6">
      <c r="C2" s="244" t="s">
        <v>40</v>
      </c>
      <c r="D2" s="244"/>
      <c r="E2" s="244"/>
      <c r="F2" s="244"/>
    </row>
    <row r="3" spans="3:6" ht="15.75" thickBot="1"/>
    <row r="4" spans="3:6" ht="18.75">
      <c r="C4" s="245" t="s">
        <v>41</v>
      </c>
      <c r="D4" s="246"/>
      <c r="E4" s="246"/>
      <c r="F4" s="246"/>
    </row>
    <row r="5" spans="3:6" ht="15.75">
      <c r="C5" s="7" t="s">
        <v>42</v>
      </c>
      <c r="D5">
        <v>1996</v>
      </c>
      <c r="E5">
        <v>1997</v>
      </c>
      <c r="F5">
        <v>1998</v>
      </c>
    </row>
    <row r="6" spans="3:6">
      <c r="C6" s="8" t="s">
        <v>161</v>
      </c>
      <c r="D6" s="9">
        <f>'Income st'!D4</f>
        <v>4548</v>
      </c>
      <c r="E6" s="9">
        <f>'Income st'!E4</f>
        <v>5847</v>
      </c>
      <c r="F6" s="9">
        <f>'Income st'!F4</f>
        <v>7023</v>
      </c>
    </row>
    <row r="7" spans="3:6">
      <c r="C7" s="8" t="s">
        <v>43</v>
      </c>
      <c r="D7" s="247">
        <f>STDEV(D6:F6)</f>
        <v>1238.0092891412407</v>
      </c>
      <c r="E7" s="248"/>
      <c r="F7" s="248"/>
    </row>
    <row r="8" spans="3:6">
      <c r="C8" s="8" t="s">
        <v>44</v>
      </c>
      <c r="D8" s="247">
        <f>AVERAGE(D6:F6)</f>
        <v>5806</v>
      </c>
      <c r="E8" s="248"/>
      <c r="F8" s="248"/>
    </row>
    <row r="9" spans="3:6">
      <c r="C9" s="8" t="s">
        <v>45</v>
      </c>
      <c r="D9" s="247">
        <f>D7/D8</f>
        <v>0.21322929540841212</v>
      </c>
      <c r="E9" s="248"/>
      <c r="F9" s="248"/>
    </row>
    <row r="10" spans="3:6">
      <c r="C10" s="10"/>
      <c r="D10" s="11"/>
      <c r="E10" s="11"/>
      <c r="F10" s="11"/>
    </row>
    <row r="11" spans="3:6" ht="18.75">
      <c r="C11" s="242" t="s">
        <v>46</v>
      </c>
      <c r="D11" s="243"/>
      <c r="E11" s="243"/>
      <c r="F11" s="243"/>
    </row>
    <row r="12" spans="3:6" ht="15.75">
      <c r="C12" s="12" t="s">
        <v>42</v>
      </c>
      <c r="D12">
        <v>1996</v>
      </c>
      <c r="E12">
        <v>1997</v>
      </c>
      <c r="F12">
        <v>1998</v>
      </c>
    </row>
    <row r="13" spans="3:6">
      <c r="C13" s="13" t="s">
        <v>35</v>
      </c>
      <c r="D13" s="14">
        <f>'Income st'!D11</f>
        <v>481</v>
      </c>
      <c r="E13" s="14">
        <f>'Income st'!E11</f>
        <v>320</v>
      </c>
      <c r="F13" s="14">
        <f>'Income st'!F11</f>
        <v>663</v>
      </c>
    </row>
    <row r="14" spans="3:6">
      <c r="C14" s="13" t="s">
        <v>47</v>
      </c>
      <c r="D14" s="240">
        <f>STDEV(D13:F13)</f>
        <v>171.60710940983768</v>
      </c>
      <c r="E14" s="241"/>
      <c r="F14" s="241"/>
    </row>
    <row r="15" spans="3:6">
      <c r="C15" s="13" t="s">
        <v>48</v>
      </c>
      <c r="D15" s="240">
        <f>AVERAGE(D13:F13)</f>
        <v>488</v>
      </c>
      <c r="E15" s="241"/>
      <c r="F15" s="241"/>
    </row>
    <row r="16" spans="3:6">
      <c r="C16" s="13" t="s">
        <v>49</v>
      </c>
      <c r="D16" s="240">
        <f>D14/D15</f>
        <v>0.35165391272507718</v>
      </c>
      <c r="E16" s="241"/>
      <c r="F16" s="241"/>
    </row>
    <row r="17" spans="3:6">
      <c r="C17" s="10"/>
      <c r="D17" s="15"/>
      <c r="E17" s="15"/>
      <c r="F17" s="15"/>
    </row>
    <row r="18" spans="3:6" ht="18.75">
      <c r="C18" s="242" t="s">
        <v>50</v>
      </c>
      <c r="D18" s="243"/>
      <c r="E18" s="243"/>
      <c r="F18" s="243"/>
    </row>
    <row r="19" spans="3:6">
      <c r="C19" s="16" t="s">
        <v>0</v>
      </c>
      <c r="D19">
        <v>1996</v>
      </c>
      <c r="E19">
        <v>1997</v>
      </c>
      <c r="F19">
        <v>1998</v>
      </c>
    </row>
    <row r="20" spans="3:6">
      <c r="C20" s="13" t="s">
        <v>35</v>
      </c>
      <c r="D20" s="14">
        <f>D13</f>
        <v>481</v>
      </c>
      <c r="E20" s="14">
        <f>E13</f>
        <v>320</v>
      </c>
      <c r="F20" s="14">
        <f>F13</f>
        <v>663</v>
      </c>
    </row>
    <row r="21" spans="3:6">
      <c r="C21" s="13" t="s">
        <v>51</v>
      </c>
      <c r="D21" s="17"/>
      <c r="E21" s="14">
        <f>E20-D20</f>
        <v>-161</v>
      </c>
      <c r="F21" s="14">
        <f>F20-E20</f>
        <v>343</v>
      </c>
    </row>
    <row r="22" spans="3:6">
      <c r="C22" s="13" t="s">
        <v>52</v>
      </c>
      <c r="D22" s="14">
        <f>D6</f>
        <v>4548</v>
      </c>
      <c r="E22" s="14">
        <f>E6</f>
        <v>5847</v>
      </c>
      <c r="F22" s="14">
        <f>F6</f>
        <v>7023</v>
      </c>
    </row>
    <row r="23" spans="3:6">
      <c r="C23" s="13" t="s">
        <v>53</v>
      </c>
      <c r="D23" s="14"/>
      <c r="E23" s="14">
        <f>E22-D22</f>
        <v>1299</v>
      </c>
      <c r="F23" s="14">
        <f>F22-E22</f>
        <v>1176</v>
      </c>
    </row>
    <row r="24" spans="3:6">
      <c r="C24" s="13" t="s">
        <v>54</v>
      </c>
      <c r="D24" s="17"/>
      <c r="E24" s="14">
        <f>(E21/D20)/(E23/D22)</f>
        <v>-1.1719041834515276</v>
      </c>
      <c r="F24" s="14">
        <f>(F21/E20)/(F23/E22)</f>
        <v>5.3292968749999998</v>
      </c>
    </row>
    <row r="25" spans="3:6">
      <c r="C25" s="10"/>
      <c r="D25" s="15"/>
      <c r="E25" s="15"/>
      <c r="F25" s="15"/>
    </row>
    <row r="26" spans="3:6">
      <c r="C26" s="10"/>
      <c r="D26" s="15"/>
      <c r="E26" s="15"/>
      <c r="F26" s="15"/>
    </row>
  </sheetData>
  <mergeCells count="10">
    <mergeCell ref="D14:F14"/>
    <mergeCell ref="D15:F15"/>
    <mergeCell ref="D16:F16"/>
    <mergeCell ref="C18:F18"/>
    <mergeCell ref="C2:F2"/>
    <mergeCell ref="C4:F4"/>
    <mergeCell ref="D7:F7"/>
    <mergeCell ref="D8:F8"/>
    <mergeCell ref="D9:F9"/>
    <mergeCell ref="C11:F1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G23"/>
  <sheetViews>
    <sheetView workbookViewId="0">
      <selection activeCell="D17" sqref="D17:F17"/>
    </sheetView>
  </sheetViews>
  <sheetFormatPr defaultRowHeight="15.75"/>
  <cols>
    <col min="1" max="2" width="9.140625" style="19"/>
    <col min="3" max="3" width="27.42578125" style="19" customWidth="1"/>
    <col min="4" max="4" width="13.85546875" style="19" customWidth="1"/>
    <col min="5" max="5" width="17" style="19" customWidth="1"/>
    <col min="6" max="6" width="15.140625" style="19" customWidth="1"/>
    <col min="7" max="16384" width="9.140625" style="19"/>
  </cols>
  <sheetData>
    <row r="1" spans="2:7" ht="22.5">
      <c r="B1" s="18"/>
      <c r="C1" s="249" t="s">
        <v>55</v>
      </c>
      <c r="D1" s="249"/>
      <c r="E1" s="249"/>
      <c r="F1" s="249"/>
    </row>
    <row r="2" spans="2:7">
      <c r="B2" s="20"/>
      <c r="C2" s="20"/>
      <c r="D2" s="20"/>
      <c r="E2" s="20"/>
      <c r="F2" s="20"/>
    </row>
    <row r="3" spans="2:7">
      <c r="B3" s="20"/>
      <c r="C3" s="250" t="s">
        <v>56</v>
      </c>
      <c r="D3" s="251"/>
      <c r="E3" s="251"/>
      <c r="F3" s="251"/>
    </row>
    <row r="4" spans="2:7">
      <c r="B4" s="20"/>
      <c r="C4" s="21" t="s">
        <v>0</v>
      </c>
      <c r="D4">
        <v>1996</v>
      </c>
      <c r="E4">
        <v>1997</v>
      </c>
      <c r="F4">
        <v>1998</v>
      </c>
      <c r="G4" s="19" t="s">
        <v>57</v>
      </c>
    </row>
    <row r="5" spans="2:7">
      <c r="B5" s="20"/>
      <c r="C5" s="22" t="s">
        <v>35</v>
      </c>
      <c r="D5" s="23">
        <f>'Income st'!D11</f>
        <v>481</v>
      </c>
      <c r="E5" s="23">
        <f>'Income st'!E11</f>
        <v>320</v>
      </c>
      <c r="F5" s="23">
        <f>'Income st'!F11</f>
        <v>663</v>
      </c>
    </row>
    <row r="6" spans="2:7">
      <c r="B6" s="20"/>
      <c r="C6" s="22" t="s">
        <v>58</v>
      </c>
      <c r="D6" s="24">
        <f>'Income st'!D14+'Income st'!D15</f>
        <v>-115</v>
      </c>
      <c r="E6" s="24">
        <f>'Income st'!E14+'Income st'!E15</f>
        <v>-191</v>
      </c>
      <c r="F6" s="24">
        <f>'Income st'!F14+'Income st'!F15</f>
        <v>-271</v>
      </c>
    </row>
    <row r="7" spans="2:7">
      <c r="B7" s="20"/>
      <c r="C7" s="22" t="s">
        <v>59</v>
      </c>
      <c r="D7" s="25">
        <f>D5/(D5-D6)</f>
        <v>0.80704697986577179</v>
      </c>
      <c r="E7" s="25">
        <f>E5/(E5-E6)</f>
        <v>0.6262230919765166</v>
      </c>
      <c r="F7" s="25">
        <f>F5/(F5-F6)</f>
        <v>0.70985010706638119</v>
      </c>
      <c r="G7" s="26">
        <f>AVERAGE(D7:F7)</f>
        <v>0.7143733929695566</v>
      </c>
    </row>
    <row r="8" spans="2:7">
      <c r="B8" s="20"/>
      <c r="C8" s="20"/>
      <c r="D8" s="20"/>
      <c r="E8" s="20"/>
      <c r="F8" s="20"/>
    </row>
    <row r="9" spans="2:7">
      <c r="B9" s="20"/>
      <c r="C9" s="20"/>
      <c r="D9" s="20"/>
      <c r="E9" s="20"/>
      <c r="F9" s="20"/>
    </row>
    <row r="10" spans="2:7">
      <c r="B10" s="20"/>
      <c r="C10" s="20"/>
      <c r="D10" s="27">
        <f>D4</f>
        <v>1996</v>
      </c>
      <c r="E10" s="27">
        <f>E4</f>
        <v>1997</v>
      </c>
      <c r="F10" s="27">
        <f>F4</f>
        <v>1998</v>
      </c>
    </row>
    <row r="11" spans="2:7">
      <c r="B11" s="20"/>
      <c r="C11" s="20" t="s">
        <v>60</v>
      </c>
      <c r="D11" s="20">
        <f>D7</f>
        <v>0.80704697986577179</v>
      </c>
      <c r="E11" s="20">
        <f>E7</f>
        <v>0.6262230919765166</v>
      </c>
      <c r="F11" s="28">
        <f>F7</f>
        <v>0.70985010706638119</v>
      </c>
    </row>
    <row r="12" spans="2:7">
      <c r="B12" s="20"/>
      <c r="C12" s="20"/>
      <c r="D12" s="20"/>
      <c r="E12" s="20"/>
      <c r="F12" s="20"/>
    </row>
    <row r="13" spans="2:7">
      <c r="B13" s="20"/>
      <c r="C13" s="252" t="s">
        <v>61</v>
      </c>
      <c r="D13" s="253"/>
      <c r="E13" s="253"/>
      <c r="F13" s="253"/>
    </row>
    <row r="14" spans="2:7">
      <c r="B14" s="20"/>
      <c r="C14" s="21" t="s">
        <v>0</v>
      </c>
      <c r="D14">
        <v>1996</v>
      </c>
      <c r="E14">
        <v>1997</v>
      </c>
      <c r="F14">
        <v>1998</v>
      </c>
    </row>
    <row r="15" spans="2:7">
      <c r="B15" s="20"/>
      <c r="C15" s="29" t="s">
        <v>35</v>
      </c>
      <c r="D15" s="23">
        <f>'Income st'!D11</f>
        <v>481</v>
      </c>
      <c r="E15" s="23">
        <f>'Income st'!E11</f>
        <v>320</v>
      </c>
      <c r="F15" s="23">
        <f>'Income st'!F11</f>
        <v>663</v>
      </c>
    </row>
    <row r="16" spans="2:7">
      <c r="B16" s="20"/>
      <c r="C16" s="29" t="s">
        <v>58</v>
      </c>
      <c r="D16" s="30">
        <f>D6</f>
        <v>-115</v>
      </c>
      <c r="E16" s="30">
        <f>E6</f>
        <v>-191</v>
      </c>
      <c r="F16" s="30">
        <f>F6</f>
        <v>-271</v>
      </c>
    </row>
    <row r="17" spans="2:6">
      <c r="B17" s="20"/>
      <c r="C17" s="29" t="s">
        <v>62</v>
      </c>
      <c r="D17" s="31">
        <f>D15/D16</f>
        <v>-4.1826086956521742</v>
      </c>
      <c r="E17" s="31">
        <f>E15/E16</f>
        <v>-1.6753926701570681</v>
      </c>
      <c r="F17" s="31">
        <f>F15/F16</f>
        <v>-2.4464944649446494</v>
      </c>
    </row>
    <row r="18" spans="2:6">
      <c r="B18" s="20"/>
      <c r="C18" s="20"/>
      <c r="D18" s="20"/>
      <c r="E18" s="20"/>
      <c r="F18" s="20"/>
    </row>
    <row r="19" spans="2:6">
      <c r="B19" s="20"/>
      <c r="C19" s="20"/>
      <c r="D19" s="20"/>
      <c r="E19" s="20"/>
      <c r="F19" s="20"/>
    </row>
    <row r="20" spans="2:6">
      <c r="B20" s="20"/>
      <c r="C20" s="20"/>
      <c r="D20" s="20"/>
      <c r="E20" s="20"/>
      <c r="F20" s="20"/>
    </row>
    <row r="21" spans="2:6">
      <c r="B21" s="20"/>
      <c r="C21" s="20"/>
      <c r="D21" s="20"/>
      <c r="E21" s="20"/>
      <c r="F21" s="20"/>
    </row>
    <row r="22" spans="2:6">
      <c r="B22" s="20"/>
      <c r="C22" s="20"/>
      <c r="D22" s="27">
        <f>D14</f>
        <v>1996</v>
      </c>
      <c r="E22" s="27">
        <f>E14</f>
        <v>1997</v>
      </c>
      <c r="F22" s="27">
        <f>F14</f>
        <v>1998</v>
      </c>
    </row>
    <row r="23" spans="2:6">
      <c r="B23" s="20"/>
      <c r="C23" s="20" t="s">
        <v>61</v>
      </c>
      <c r="D23" s="20">
        <f>D17</f>
        <v>-4.1826086956521742</v>
      </c>
      <c r="E23" s="20">
        <f>E17</f>
        <v>-1.6753926701570681</v>
      </c>
      <c r="F23" s="20">
        <f>F17</f>
        <v>-2.4464944649446494</v>
      </c>
    </row>
  </sheetData>
  <mergeCells count="3">
    <mergeCell ref="C1:F1"/>
    <mergeCell ref="C3:F3"/>
    <mergeCell ref="C13: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O45"/>
  <sheetViews>
    <sheetView topLeftCell="A20" workbookViewId="0">
      <selection activeCell="D35" sqref="D35"/>
    </sheetView>
  </sheetViews>
  <sheetFormatPr defaultRowHeight="15.75"/>
  <cols>
    <col min="1" max="1" width="9.140625" style="3"/>
    <col min="2" max="2" width="15" style="3" customWidth="1"/>
    <col min="3" max="3" width="29" style="3" customWidth="1"/>
    <col min="4" max="4" width="12.5703125" style="3" customWidth="1"/>
    <col min="5" max="5" width="13.7109375" style="3" customWidth="1"/>
    <col min="6" max="6" width="18.7109375" style="3" customWidth="1"/>
    <col min="7" max="16384" width="9.140625" style="3"/>
  </cols>
  <sheetData>
    <row r="3" spans="2:6">
      <c r="B3" s="32"/>
      <c r="C3" s="33" t="s">
        <v>0</v>
      </c>
      <c r="D3">
        <v>1998</v>
      </c>
      <c r="E3"/>
      <c r="F3"/>
    </row>
    <row r="4" spans="2:6">
      <c r="B4" s="34"/>
      <c r="C4" s="34" t="s">
        <v>63</v>
      </c>
      <c r="D4" s="35">
        <f>'Balance St'!F10-'Balance St'!F26</f>
        <v>-2341</v>
      </c>
      <c r="E4" s="35"/>
      <c r="F4" s="35"/>
    </row>
    <row r="5" spans="2:6">
      <c r="B5" s="34"/>
      <c r="C5" s="34" t="s">
        <v>36</v>
      </c>
      <c r="D5" s="36">
        <f>'Balance St'!F17</f>
        <v>12630</v>
      </c>
      <c r="E5" s="36"/>
      <c r="F5" s="36"/>
    </row>
    <row r="6" spans="2:6">
      <c r="B6" s="37" t="s">
        <v>64</v>
      </c>
      <c r="C6" s="37" t="s">
        <v>65</v>
      </c>
      <c r="D6" s="38">
        <f>D4/D5</f>
        <v>-0.18535233570863024</v>
      </c>
      <c r="E6" s="38"/>
      <c r="F6" s="38"/>
    </row>
    <row r="7" spans="2:6">
      <c r="B7" s="34"/>
      <c r="C7" s="34" t="s">
        <v>66</v>
      </c>
      <c r="D7" s="35">
        <v>0.71699999999999997</v>
      </c>
      <c r="E7" s="35"/>
      <c r="F7" s="35"/>
    </row>
    <row r="8" spans="2:6">
      <c r="B8" s="34"/>
      <c r="C8" s="34" t="s">
        <v>67</v>
      </c>
      <c r="D8" s="39">
        <f>D6*D7</f>
        <v>-0.13289762470308789</v>
      </c>
      <c r="E8" s="90"/>
      <c r="F8" s="90"/>
    </row>
    <row r="9" spans="2:6">
      <c r="B9" s="34"/>
      <c r="C9" s="34"/>
      <c r="D9" s="35"/>
      <c r="E9" s="35"/>
      <c r="F9" s="36"/>
    </row>
    <row r="10" spans="2:6">
      <c r="B10" s="34"/>
      <c r="C10" s="34" t="s">
        <v>68</v>
      </c>
      <c r="D10" s="40">
        <f>'Balance St'!F37</f>
        <v>808</v>
      </c>
      <c r="E10" s="40"/>
      <c r="F10" s="40"/>
    </row>
    <row r="11" spans="2:6">
      <c r="B11" s="37" t="s">
        <v>69</v>
      </c>
      <c r="C11" s="37" t="s">
        <v>70</v>
      </c>
      <c r="D11" s="35">
        <f>D10/D5</f>
        <v>6.3974663499604123E-2</v>
      </c>
      <c r="E11" s="35"/>
      <c r="F11" s="35"/>
    </row>
    <row r="12" spans="2:6">
      <c r="B12" s="34"/>
      <c r="C12" s="34" t="s">
        <v>66</v>
      </c>
      <c r="D12" s="35">
        <v>0.84699999999999998</v>
      </c>
      <c r="E12" s="35"/>
      <c r="F12" s="35"/>
    </row>
    <row r="13" spans="2:6">
      <c r="B13" s="34"/>
      <c r="C13" s="34" t="s">
        <v>67</v>
      </c>
      <c r="D13" s="41">
        <f>D11*D12</f>
        <v>5.4186539984164693E-2</v>
      </c>
      <c r="E13" s="91"/>
      <c r="F13" s="91"/>
    </row>
    <row r="14" spans="2:6">
      <c r="B14" s="34"/>
      <c r="C14" s="34"/>
      <c r="D14" s="42"/>
      <c r="E14" s="42"/>
      <c r="F14" s="42"/>
    </row>
    <row r="15" spans="2:6">
      <c r="B15" s="34"/>
      <c r="C15" s="34" t="s">
        <v>35</v>
      </c>
      <c r="D15" s="42">
        <f>'Income st'!F11</f>
        <v>663</v>
      </c>
      <c r="E15" s="42"/>
      <c r="F15" s="42"/>
    </row>
    <row r="16" spans="2:6">
      <c r="B16" s="37" t="s">
        <v>71</v>
      </c>
      <c r="C16" s="37" t="s">
        <v>72</v>
      </c>
      <c r="D16" s="42">
        <f>D15/D5</f>
        <v>5.2494061757719715E-2</v>
      </c>
      <c r="E16" s="42"/>
      <c r="F16" s="42"/>
    </row>
    <row r="17" spans="2:15">
      <c r="B17" s="34"/>
      <c r="C17" s="34" t="s">
        <v>66</v>
      </c>
      <c r="D17" s="35">
        <v>3.1</v>
      </c>
      <c r="E17" s="35"/>
      <c r="F17" s="35"/>
    </row>
    <row r="18" spans="2:15">
      <c r="B18" s="34"/>
      <c r="C18" s="34" t="s">
        <v>67</v>
      </c>
      <c r="D18" s="43">
        <f>D16*D17</f>
        <v>0.16273159144893112</v>
      </c>
      <c r="E18" s="92"/>
      <c r="F18" s="92"/>
    </row>
    <row r="19" spans="2:15">
      <c r="B19" s="34"/>
      <c r="C19" s="34"/>
      <c r="D19" s="35"/>
      <c r="E19" s="35"/>
      <c r="F19" s="36"/>
    </row>
    <row r="20" spans="2:15">
      <c r="D20" s="42"/>
      <c r="E20" s="264"/>
      <c r="F20" s="265"/>
      <c r="G20" s="266"/>
      <c r="H20" s="266"/>
      <c r="I20" s="266"/>
      <c r="J20" s="266"/>
      <c r="K20" s="266"/>
      <c r="L20" s="266"/>
      <c r="M20" s="266"/>
      <c r="N20" s="266"/>
      <c r="O20" s="266"/>
    </row>
    <row r="21" spans="2:15">
      <c r="D21" s="42"/>
      <c r="E21" s="264"/>
      <c r="F21" s="265"/>
      <c r="G21" s="266"/>
      <c r="H21" s="266"/>
      <c r="I21" s="266"/>
      <c r="J21" s="266"/>
      <c r="K21" s="266"/>
      <c r="L21" s="266"/>
      <c r="M21" s="266"/>
      <c r="N21" s="266"/>
      <c r="O21" s="266"/>
    </row>
    <row r="22" spans="2:15">
      <c r="D22" s="42"/>
      <c r="E22" s="264"/>
      <c r="F22" s="264"/>
      <c r="G22" s="266"/>
      <c r="H22" s="266"/>
      <c r="I22" s="266"/>
      <c r="J22" s="266"/>
      <c r="K22" s="266"/>
      <c r="L22" s="266"/>
      <c r="M22" s="266"/>
      <c r="N22" s="266"/>
      <c r="O22" s="266"/>
    </row>
    <row r="23" spans="2:15">
      <c r="C23" s="34" t="s">
        <v>73</v>
      </c>
      <c r="D23" s="36">
        <f>'Balance St'!F38</f>
        <v>3941</v>
      </c>
      <c r="E23" s="265"/>
      <c r="F23" s="265"/>
      <c r="G23" s="266"/>
      <c r="H23" s="266"/>
      <c r="I23" s="266"/>
      <c r="J23" s="266"/>
      <c r="K23" s="266"/>
      <c r="L23" s="266"/>
      <c r="M23" s="266"/>
      <c r="N23" s="266"/>
      <c r="O23" s="266"/>
    </row>
    <row r="24" spans="2:15">
      <c r="C24" s="34" t="s">
        <v>74</v>
      </c>
      <c r="D24" s="36">
        <f>'Balance St'!F23</f>
        <v>375</v>
      </c>
      <c r="E24" s="265"/>
      <c r="F24" s="265"/>
      <c r="G24" s="266"/>
      <c r="H24" s="266"/>
      <c r="I24" s="266"/>
      <c r="J24" s="266"/>
      <c r="K24" s="266"/>
      <c r="L24" s="266"/>
      <c r="M24" s="266"/>
      <c r="N24" s="266"/>
      <c r="O24" s="266"/>
    </row>
    <row r="25" spans="2:15">
      <c r="B25" s="34"/>
      <c r="C25" s="37" t="s">
        <v>75</v>
      </c>
      <c r="D25" s="35">
        <f>D23/D24</f>
        <v>10.509333333333334</v>
      </c>
      <c r="E25" s="35"/>
      <c r="F25" s="35"/>
      <c r="G25" s="266"/>
      <c r="H25" s="266"/>
      <c r="I25" s="266"/>
      <c r="J25" s="266"/>
      <c r="K25" s="266"/>
      <c r="L25" s="266"/>
      <c r="M25" s="266"/>
      <c r="N25" s="266"/>
      <c r="O25" s="266"/>
    </row>
    <row r="26" spans="2:15">
      <c r="B26" s="34"/>
      <c r="C26" s="34" t="s">
        <v>66</v>
      </c>
      <c r="D26" s="35">
        <v>0.42</v>
      </c>
      <c r="E26" s="35"/>
      <c r="F26" s="35"/>
      <c r="G26" s="266"/>
      <c r="H26" s="266"/>
      <c r="I26" s="266"/>
      <c r="J26" s="266"/>
      <c r="K26" s="266"/>
      <c r="L26" s="266"/>
      <c r="M26" s="266"/>
      <c r="N26" s="266"/>
      <c r="O26" s="266"/>
    </row>
    <row r="27" spans="2:15">
      <c r="B27" s="37" t="s">
        <v>76</v>
      </c>
      <c r="C27" s="34" t="s">
        <v>67</v>
      </c>
      <c r="D27" s="44">
        <f>D25*D26</f>
        <v>4.4139200000000001</v>
      </c>
      <c r="E27" s="93"/>
      <c r="F27" s="93"/>
      <c r="G27" s="93"/>
      <c r="H27" s="93"/>
      <c r="I27" s="93"/>
      <c r="J27" s="93"/>
      <c r="K27" s="93"/>
      <c r="L27" s="93"/>
      <c r="M27" s="93"/>
      <c r="N27" s="93"/>
      <c r="O27" s="266"/>
    </row>
    <row r="28" spans="2:15">
      <c r="B28" s="34"/>
      <c r="C28" s="34"/>
      <c r="D28" s="35"/>
      <c r="E28" s="35"/>
      <c r="F28" s="267"/>
      <c r="G28" s="266"/>
      <c r="H28" s="266"/>
      <c r="I28" s="266"/>
      <c r="J28" s="266"/>
      <c r="K28" s="266"/>
      <c r="L28" s="266"/>
      <c r="M28" s="266"/>
      <c r="N28" s="266"/>
      <c r="O28" s="266"/>
    </row>
    <row r="29" spans="2:15">
      <c r="B29" s="34"/>
      <c r="C29" s="34" t="s">
        <v>77</v>
      </c>
      <c r="D29" s="40">
        <f>'Income st'!F4</f>
        <v>7023</v>
      </c>
      <c r="E29" s="40"/>
      <c r="F29" s="40"/>
      <c r="G29" s="266"/>
      <c r="H29" s="266"/>
      <c r="I29" s="266"/>
      <c r="J29" s="266"/>
      <c r="K29" s="266"/>
      <c r="L29" s="266"/>
      <c r="M29" s="266"/>
      <c r="N29" s="266"/>
      <c r="O29" s="266"/>
    </row>
    <row r="30" spans="2:15">
      <c r="B30" s="34"/>
      <c r="C30" s="37" t="s">
        <v>78</v>
      </c>
      <c r="D30" s="35">
        <f>D29/D5</f>
        <v>0.55605700712589079</v>
      </c>
      <c r="E30" s="35"/>
      <c r="F30" s="35"/>
      <c r="G30" s="266"/>
      <c r="H30" s="266"/>
      <c r="I30" s="266"/>
      <c r="J30" s="266"/>
      <c r="K30" s="266"/>
      <c r="L30" s="266"/>
      <c r="M30" s="266"/>
      <c r="N30" s="266"/>
      <c r="O30" s="266"/>
    </row>
    <row r="31" spans="2:15">
      <c r="B31" s="34"/>
      <c r="C31" s="34" t="s">
        <v>66</v>
      </c>
      <c r="D31" s="35">
        <v>0.998</v>
      </c>
      <c r="E31" s="35"/>
      <c r="F31" s="35"/>
      <c r="G31" s="266"/>
      <c r="H31" s="266"/>
      <c r="I31" s="266"/>
      <c r="J31" s="266"/>
      <c r="K31" s="266"/>
      <c r="L31" s="266"/>
      <c r="M31" s="266"/>
      <c r="N31" s="266"/>
      <c r="O31" s="266"/>
    </row>
    <row r="32" spans="2:15">
      <c r="B32" s="37" t="s">
        <v>79</v>
      </c>
      <c r="C32" s="34" t="s">
        <v>67</v>
      </c>
      <c r="D32" s="45">
        <f>D30*D31</f>
        <v>0.55494489311163897</v>
      </c>
      <c r="E32" s="94"/>
      <c r="F32" s="94"/>
      <c r="G32" s="266"/>
      <c r="H32" s="266"/>
      <c r="I32" s="266"/>
      <c r="J32" s="266"/>
      <c r="K32" s="266"/>
      <c r="L32" s="266"/>
      <c r="M32" s="266"/>
      <c r="N32" s="266"/>
      <c r="O32" s="266"/>
    </row>
    <row r="33" spans="2:15">
      <c r="B33" s="34"/>
      <c r="C33" s="46"/>
      <c r="D33" s="46"/>
      <c r="E33" s="268"/>
      <c r="F33" s="266"/>
      <c r="G33" s="266"/>
      <c r="H33" s="266"/>
      <c r="I33" s="266"/>
      <c r="J33" s="266"/>
      <c r="K33" s="266"/>
      <c r="L33" s="266"/>
      <c r="M33" s="266"/>
      <c r="N33" s="266"/>
      <c r="O33" s="266"/>
    </row>
    <row r="34" spans="2:15">
      <c r="B34" s="34"/>
      <c r="D34">
        <v>1998</v>
      </c>
      <c r="E34" s="1"/>
      <c r="F34" s="1"/>
      <c r="G34" s="266"/>
      <c r="H34" s="266"/>
      <c r="I34" s="266"/>
      <c r="J34" s="266"/>
      <c r="K34" s="266"/>
      <c r="L34" s="266"/>
      <c r="M34" s="266"/>
      <c r="N34" s="266"/>
      <c r="O34" s="266"/>
    </row>
    <row r="35" spans="2:15">
      <c r="B35" s="34"/>
      <c r="C35" s="48" t="s">
        <v>80</v>
      </c>
      <c r="D35" s="46">
        <f>D8+D13+D18+D27+D32</f>
        <v>5.0528853998416468</v>
      </c>
      <c r="E35" s="46"/>
      <c r="F35" s="46"/>
      <c r="G35" s="266"/>
      <c r="H35" s="266"/>
      <c r="I35" s="266"/>
      <c r="J35" s="266"/>
      <c r="K35" s="266"/>
      <c r="L35" s="266"/>
      <c r="M35" s="266"/>
      <c r="N35" s="266"/>
      <c r="O35" s="266"/>
    </row>
    <row r="36" spans="2:15">
      <c r="B36" s="47"/>
      <c r="D36" s="49" t="s">
        <v>81</v>
      </c>
      <c r="E36" s="269"/>
      <c r="F36" s="269"/>
      <c r="G36" s="266"/>
      <c r="H36" s="266"/>
      <c r="I36" s="266"/>
      <c r="J36" s="266"/>
      <c r="K36" s="266"/>
      <c r="L36" s="266"/>
      <c r="M36" s="266"/>
      <c r="N36" s="266"/>
      <c r="O36" s="266"/>
    </row>
    <row r="37" spans="2:15">
      <c r="C37" s="51"/>
      <c r="D37" s="51"/>
      <c r="E37" s="268"/>
      <c r="F37" s="266"/>
      <c r="G37" s="266"/>
      <c r="H37" s="266"/>
      <c r="I37" s="266"/>
      <c r="J37" s="266"/>
      <c r="K37" s="266"/>
      <c r="L37" s="266"/>
      <c r="M37" s="266"/>
      <c r="N37" s="266"/>
      <c r="O37" s="266"/>
    </row>
    <row r="38" spans="2:15">
      <c r="B38" s="48"/>
      <c r="C38" s="47"/>
      <c r="D38" s="52"/>
      <c r="E38" s="268"/>
      <c r="F38" s="266"/>
      <c r="G38" s="266"/>
      <c r="H38" s="266"/>
      <c r="I38" s="266"/>
      <c r="J38" s="266"/>
      <c r="K38" s="266"/>
      <c r="L38" s="266"/>
      <c r="M38" s="266"/>
      <c r="N38" s="266"/>
      <c r="O38" s="266"/>
    </row>
    <row r="39" spans="2:15">
      <c r="B39" s="20"/>
      <c r="C39" s="47"/>
      <c r="D39" s="52"/>
      <c r="E39" s="268"/>
      <c r="F39" s="266"/>
      <c r="G39" s="266"/>
      <c r="H39" s="266"/>
      <c r="I39" s="266"/>
      <c r="J39" s="266"/>
      <c r="K39" s="266"/>
      <c r="L39" s="266"/>
      <c r="M39" s="266"/>
      <c r="N39" s="266"/>
      <c r="O39" s="266"/>
    </row>
    <row r="40" spans="2:15">
      <c r="B40" s="34" t="s">
        <v>83</v>
      </c>
      <c r="C40" s="51"/>
      <c r="D40" s="52"/>
      <c r="E40" s="268"/>
      <c r="F40" s="266"/>
      <c r="G40" s="266"/>
      <c r="H40" s="266"/>
      <c r="I40" s="266"/>
      <c r="J40" s="266"/>
      <c r="K40" s="266"/>
      <c r="L40" s="266"/>
      <c r="M40" s="266"/>
      <c r="N40" s="266"/>
      <c r="O40" s="266"/>
    </row>
    <row r="41" spans="2:15">
      <c r="B41" s="53" t="s">
        <v>84</v>
      </c>
      <c r="C41" s="49" t="s">
        <v>81</v>
      </c>
      <c r="D41" s="52"/>
      <c r="E41" s="47"/>
      <c r="F41" s="47"/>
    </row>
    <row r="42" spans="2:15">
      <c r="B42" s="32"/>
      <c r="C42" s="51"/>
      <c r="D42" s="52"/>
      <c r="E42" s="47"/>
      <c r="F42" s="47"/>
    </row>
    <row r="43" spans="2:15">
      <c r="B43" s="54" t="s">
        <v>85</v>
      </c>
      <c r="C43" s="50" t="s">
        <v>82</v>
      </c>
      <c r="D43" s="47"/>
      <c r="E43" s="47"/>
    </row>
    <row r="44" spans="2:15">
      <c r="B44" s="34"/>
      <c r="C44" s="55"/>
    </row>
    <row r="45" spans="2:15">
      <c r="B45" s="56" t="s">
        <v>86</v>
      </c>
      <c r="C45" s="57" t="s">
        <v>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C7:K20"/>
  <sheetViews>
    <sheetView topLeftCell="C4" workbookViewId="0">
      <selection activeCell="G7" sqref="G7:H20"/>
    </sheetView>
  </sheetViews>
  <sheetFormatPr defaultRowHeight="15"/>
  <cols>
    <col min="1" max="1" width="24.140625" style="62" customWidth="1"/>
    <col min="2" max="2" width="15.140625" style="62" customWidth="1"/>
    <col min="3" max="3" width="22.7109375" style="62" bestFit="1" customWidth="1"/>
    <col min="4" max="4" width="25.140625" style="62" bestFit="1" customWidth="1"/>
    <col min="5" max="5" width="15.140625" style="62" customWidth="1"/>
    <col min="6" max="6" width="9.140625" style="62"/>
    <col min="7" max="7" width="27.140625" style="62" customWidth="1"/>
    <col min="8" max="8" width="15.85546875" style="62" customWidth="1"/>
    <col min="9" max="9" width="9.140625" style="62"/>
    <col min="10" max="10" width="24.7109375" style="62" bestFit="1" customWidth="1"/>
    <col min="11" max="11" width="12.7109375" style="62" customWidth="1"/>
    <col min="12" max="16384" width="9.140625" style="62"/>
  </cols>
  <sheetData>
    <row r="7" spans="3:11" ht="18" customHeight="1">
      <c r="C7" s="146" t="s">
        <v>94</v>
      </c>
      <c r="D7" s="146" t="s">
        <v>266</v>
      </c>
      <c r="G7" s="146" t="s">
        <v>94</v>
      </c>
      <c r="H7" s="146" t="s">
        <v>265</v>
      </c>
      <c r="J7" s="146" t="s">
        <v>94</v>
      </c>
      <c r="K7" s="146" t="s">
        <v>264</v>
      </c>
    </row>
    <row r="8" spans="3:11" ht="31.5" customHeight="1">
      <c r="C8" s="147" t="s">
        <v>88</v>
      </c>
      <c r="D8" s="154">
        <v>4.7E-2</v>
      </c>
      <c r="G8" s="147" t="s">
        <v>88</v>
      </c>
      <c r="H8" s="154">
        <v>4.7E-2</v>
      </c>
      <c r="J8" s="147" t="s">
        <v>88</v>
      </c>
      <c r="K8" s="154">
        <v>4.7E-2</v>
      </c>
    </row>
    <row r="9" spans="3:11" ht="15.75">
      <c r="C9" s="147" t="s">
        <v>89</v>
      </c>
      <c r="D9" s="154">
        <v>7.4999999999999997E-2</v>
      </c>
      <c r="G9" s="147" t="s">
        <v>89</v>
      </c>
      <c r="H9" s="154">
        <v>8.5000000000000006E-2</v>
      </c>
      <c r="J9" s="147" t="s">
        <v>89</v>
      </c>
      <c r="K9" s="154">
        <v>7.0000000000000007E-2</v>
      </c>
    </row>
    <row r="10" spans="3:11" ht="15.75">
      <c r="C10" s="147" t="s">
        <v>90</v>
      </c>
      <c r="D10" s="148">
        <v>1.35</v>
      </c>
      <c r="G10" s="147" t="s">
        <v>90</v>
      </c>
      <c r="H10" s="148">
        <v>1.35</v>
      </c>
      <c r="J10" s="147" t="s">
        <v>90</v>
      </c>
      <c r="K10" s="148">
        <v>1.35</v>
      </c>
    </row>
    <row r="11" spans="3:11">
      <c r="C11" s="149" t="s">
        <v>189</v>
      </c>
      <c r="D11" s="150">
        <f>D8+D10*(D9-D8)</f>
        <v>8.48E-2</v>
      </c>
      <c r="G11" s="149" t="s">
        <v>189</v>
      </c>
      <c r="H11" s="150">
        <f>H8+H10*(H9-H8)</f>
        <v>9.8300000000000012E-2</v>
      </c>
      <c r="J11" s="149" t="s">
        <v>189</v>
      </c>
      <c r="K11" s="150">
        <f>K8+K10*(K9-K8)</f>
        <v>7.8050000000000008E-2</v>
      </c>
    </row>
    <row r="12" spans="3:11">
      <c r="C12" s="149" t="s">
        <v>91</v>
      </c>
      <c r="D12" s="154">
        <v>4.2500000000000003E-2</v>
      </c>
      <c r="G12" s="149" t="s">
        <v>91</v>
      </c>
      <c r="H12" s="154">
        <v>4.7500000000000001E-2</v>
      </c>
      <c r="J12" s="149" t="s">
        <v>91</v>
      </c>
      <c r="K12" s="154">
        <v>4.0500000000000001E-2</v>
      </c>
    </row>
    <row r="13" spans="3:11">
      <c r="C13" s="149" t="s">
        <v>190</v>
      </c>
      <c r="D13" s="148">
        <f>D12*(1-0.35)</f>
        <v>2.7625000000000004E-2</v>
      </c>
      <c r="G13" s="149" t="s">
        <v>190</v>
      </c>
      <c r="H13" s="148">
        <f>H12*(1-0.35)</f>
        <v>3.0875000000000003E-2</v>
      </c>
      <c r="J13" s="149" t="s">
        <v>190</v>
      </c>
      <c r="K13" s="148">
        <f>K12*(1-0.35)</f>
        <v>2.6325000000000001E-2</v>
      </c>
    </row>
    <row r="14" spans="3:11">
      <c r="C14" s="149" t="s">
        <v>191</v>
      </c>
      <c r="D14" s="150">
        <f>D16/D18</f>
        <v>8.688600556070436E-2</v>
      </c>
      <c r="G14" s="149" t="s">
        <v>191</v>
      </c>
      <c r="H14" s="150">
        <v>0.1</v>
      </c>
      <c r="J14" s="149" t="s">
        <v>191</v>
      </c>
      <c r="K14" s="150">
        <v>0.1</v>
      </c>
    </row>
    <row r="15" spans="3:11">
      <c r="C15" s="149" t="s">
        <v>93</v>
      </c>
      <c r="D15" s="150">
        <f>D17/D18</f>
        <v>0.91311399443929564</v>
      </c>
      <c r="G15" s="149" t="s">
        <v>93</v>
      </c>
      <c r="H15" s="150">
        <v>0.9</v>
      </c>
      <c r="J15" s="149" t="s">
        <v>93</v>
      </c>
      <c r="K15" s="150">
        <v>0.9</v>
      </c>
    </row>
    <row r="16" spans="3:11">
      <c r="C16" s="149" t="s">
        <v>74</v>
      </c>
      <c r="D16" s="151">
        <f>'Balance St'!F23</f>
        <v>375</v>
      </c>
      <c r="G16" s="149" t="s">
        <v>74</v>
      </c>
      <c r="H16" s="151">
        <v>550</v>
      </c>
      <c r="J16" s="149" t="s">
        <v>74</v>
      </c>
      <c r="K16" s="151">
        <v>550</v>
      </c>
    </row>
    <row r="17" spans="3:11">
      <c r="C17" s="149" t="s">
        <v>37</v>
      </c>
      <c r="D17" s="152">
        <f>'Balance St'!F38</f>
        <v>3941</v>
      </c>
      <c r="G17" s="149" t="s">
        <v>37</v>
      </c>
      <c r="H17" s="152">
        <v>4000</v>
      </c>
      <c r="J17" s="149" t="s">
        <v>37</v>
      </c>
      <c r="K17" s="152">
        <v>4000</v>
      </c>
    </row>
    <row r="18" spans="3:11">
      <c r="C18" s="149" t="s">
        <v>192</v>
      </c>
      <c r="D18" s="151">
        <f>D17+D16</f>
        <v>4316</v>
      </c>
      <c r="G18" s="149" t="s">
        <v>192</v>
      </c>
      <c r="H18" s="151">
        <f>H17+H16</f>
        <v>4550</v>
      </c>
      <c r="J18" s="149" t="s">
        <v>192</v>
      </c>
      <c r="K18" s="151">
        <f>K17+K16</f>
        <v>4550</v>
      </c>
    </row>
    <row r="19" spans="3:11">
      <c r="C19" s="149" t="s">
        <v>193</v>
      </c>
      <c r="D19" s="155">
        <v>0.35</v>
      </c>
      <c r="G19" s="149" t="s">
        <v>193</v>
      </c>
      <c r="H19" s="155">
        <v>0.35</v>
      </c>
      <c r="J19" s="149" t="s">
        <v>193</v>
      </c>
      <c r="K19" s="155">
        <v>0.35</v>
      </c>
    </row>
    <row r="20" spans="3:11">
      <c r="C20" s="153" t="s">
        <v>94</v>
      </c>
      <c r="D20" s="156">
        <f>D11*D15+(D13*D14)</f>
        <v>7.9832292632066718E-2</v>
      </c>
      <c r="G20" s="153" t="s">
        <v>94</v>
      </c>
      <c r="H20" s="156">
        <f>H11*H15+(H13*H14)</f>
        <v>9.1557500000000014E-2</v>
      </c>
      <c r="J20" s="153" t="s">
        <v>94</v>
      </c>
      <c r="K20" s="156">
        <f>K11*K15+(K13*K14)</f>
        <v>7.2877500000000012E-2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C2:U43"/>
  <sheetViews>
    <sheetView topLeftCell="C13" workbookViewId="0">
      <selection activeCell="M23" sqref="M23:T30"/>
    </sheetView>
  </sheetViews>
  <sheetFormatPr defaultRowHeight="15"/>
  <cols>
    <col min="6" max="6" width="23.140625" bestFit="1" customWidth="1"/>
    <col min="8" max="8" width="10" bestFit="1" customWidth="1"/>
    <col min="14" max="14" width="7.42578125" customWidth="1"/>
    <col min="15" max="15" width="12" bestFit="1" customWidth="1"/>
  </cols>
  <sheetData>
    <row r="2" spans="3:21" ht="15.75" thickBot="1"/>
    <row r="3" spans="3:21">
      <c r="C3" s="159"/>
      <c r="D3" s="160"/>
      <c r="E3" s="160"/>
      <c r="F3" s="160"/>
      <c r="G3" s="160"/>
      <c r="H3" s="160"/>
      <c r="I3" s="160"/>
      <c r="J3" s="160"/>
      <c r="K3" s="160"/>
      <c r="L3" s="160"/>
      <c r="M3" s="160"/>
      <c r="N3" s="160"/>
      <c r="O3" s="160"/>
      <c r="P3" s="160"/>
      <c r="Q3" s="160"/>
      <c r="R3" s="160"/>
      <c r="S3" s="160"/>
      <c r="T3" s="160"/>
      <c r="U3" s="161"/>
    </row>
    <row r="4" spans="3:21">
      <c r="C4" s="58"/>
      <c r="D4" s="1"/>
      <c r="E4" s="1"/>
      <c r="F4" s="1"/>
      <c r="G4" s="1"/>
      <c r="H4" s="1"/>
      <c r="I4" s="1"/>
      <c r="J4" s="1"/>
      <c r="K4" s="1"/>
      <c r="L4" s="1"/>
      <c r="M4" s="1"/>
      <c r="N4" s="1"/>
      <c r="O4" s="1"/>
      <c r="P4" s="1"/>
      <c r="Q4" s="1"/>
      <c r="R4" s="1"/>
      <c r="S4" s="1"/>
      <c r="T4" s="1"/>
      <c r="U4" s="2"/>
    </row>
    <row r="5" spans="3:21" ht="15.75" thickBot="1">
      <c r="C5" s="58"/>
      <c r="D5" s="1"/>
      <c r="E5" s="1"/>
      <c r="F5" s="1"/>
      <c r="G5" s="1"/>
      <c r="H5" s="1"/>
      <c r="I5" s="1"/>
      <c r="J5" s="1"/>
      <c r="K5" s="1"/>
      <c r="L5" s="1"/>
      <c r="M5" s="1"/>
      <c r="N5" s="1"/>
      <c r="O5" s="1"/>
      <c r="P5" s="1"/>
      <c r="Q5" s="1"/>
      <c r="R5" s="1"/>
      <c r="S5" s="1"/>
      <c r="T5" s="1"/>
      <c r="U5" s="2"/>
    </row>
    <row r="6" spans="3:21" ht="19.5" thickBot="1">
      <c r="C6" s="58"/>
      <c r="D6" s="1"/>
      <c r="E6" s="173" t="s">
        <v>209</v>
      </c>
      <c r="F6" s="174"/>
      <c r="G6" s="174"/>
      <c r="H6" s="160"/>
      <c r="I6" s="160"/>
      <c r="J6" s="160"/>
      <c r="K6" s="161"/>
      <c r="L6" s="1"/>
      <c r="M6" s="254" t="s">
        <v>207</v>
      </c>
      <c r="N6" s="255"/>
      <c r="O6" s="161"/>
      <c r="P6" s="1"/>
      <c r="R6" s="273"/>
      <c r="S6" s="173" t="s">
        <v>208</v>
      </c>
      <c r="T6" s="172">
        <f>('Balance St'!E17-'Balance St'!E31)/'Income st'!D23</f>
        <v>6.8740875912408761</v>
      </c>
      <c r="U6" s="2"/>
    </row>
    <row r="7" spans="3:21">
      <c r="C7" s="58"/>
      <c r="D7" s="1"/>
      <c r="E7" s="58"/>
      <c r="F7" s="159" t="s">
        <v>0</v>
      </c>
      <c r="G7" s="160">
        <v>1996</v>
      </c>
      <c r="H7" s="160">
        <v>1997</v>
      </c>
      <c r="I7" s="160">
        <v>1998</v>
      </c>
      <c r="J7" s="160"/>
      <c r="K7" s="161"/>
      <c r="L7" s="1"/>
      <c r="M7" s="58"/>
      <c r="N7" s="1" t="s">
        <v>198</v>
      </c>
      <c r="O7" s="166">
        <f>AVERAGE('Income st'!G22:K22)</f>
        <v>0.86319743978102215</v>
      </c>
      <c r="P7" s="1"/>
      <c r="Q7" s="58"/>
      <c r="R7" s="1"/>
      <c r="S7" s="1"/>
      <c r="T7" s="2"/>
      <c r="U7" s="2"/>
    </row>
    <row r="8" spans="3:21" ht="15.75" thickBot="1">
      <c r="C8" s="58"/>
      <c r="D8" s="1"/>
      <c r="E8" s="58"/>
      <c r="F8" s="58" t="s">
        <v>195</v>
      </c>
      <c r="G8" s="131">
        <f>'Income st'!D21</f>
        <v>411</v>
      </c>
      <c r="H8" s="131">
        <f>'Income st'!E21</f>
        <v>30</v>
      </c>
      <c r="I8" s="131">
        <f>'Income st'!F21</f>
        <v>176</v>
      </c>
      <c r="J8" s="1"/>
      <c r="K8" s="2"/>
      <c r="L8" s="1"/>
      <c r="M8" s="58"/>
      <c r="N8" s="1" t="s">
        <v>205</v>
      </c>
      <c r="O8" s="2">
        <f>H18</f>
        <v>75.821745529131022</v>
      </c>
      <c r="P8" s="1"/>
      <c r="Q8" s="61"/>
      <c r="R8" s="164"/>
      <c r="S8" s="164"/>
      <c r="T8" s="165"/>
      <c r="U8" s="2"/>
    </row>
    <row r="9" spans="3:21" ht="15.75" thickBot="1">
      <c r="C9" s="58"/>
      <c r="D9" s="1"/>
      <c r="E9" s="58"/>
      <c r="F9" s="58" t="s">
        <v>196</v>
      </c>
      <c r="G9" s="1">
        <v>548</v>
      </c>
      <c r="H9" s="1">
        <v>548</v>
      </c>
      <c r="I9" s="1">
        <v>548</v>
      </c>
      <c r="J9" s="1"/>
      <c r="K9" s="2"/>
      <c r="L9" s="1"/>
      <c r="M9" s="258" t="s">
        <v>206</v>
      </c>
      <c r="N9" s="259"/>
      <c r="O9" s="171">
        <f>O8*O7</f>
        <v>65.449136620474064</v>
      </c>
      <c r="P9" s="1"/>
      <c r="Q9" s="1"/>
      <c r="R9" s="1"/>
      <c r="S9" s="1"/>
      <c r="T9" s="1"/>
      <c r="U9" s="2"/>
    </row>
    <row r="10" spans="3:21">
      <c r="C10" s="58"/>
      <c r="D10" s="1"/>
      <c r="E10" s="58"/>
      <c r="F10" s="58" t="s">
        <v>197</v>
      </c>
      <c r="G10" s="162">
        <v>0.33329999999999999</v>
      </c>
      <c r="H10" s="162">
        <v>0.33329999999999999</v>
      </c>
      <c r="I10" s="162">
        <v>0.33329999999999999</v>
      </c>
      <c r="J10" s="1"/>
      <c r="K10" s="2"/>
      <c r="L10" s="1"/>
      <c r="M10" s="1"/>
      <c r="N10" s="1"/>
      <c r="O10" s="1"/>
      <c r="P10" s="1"/>
      <c r="Q10" s="1"/>
      <c r="R10" s="1"/>
      <c r="S10" s="1"/>
      <c r="T10" s="1"/>
      <c r="U10" s="2"/>
    </row>
    <row r="11" spans="3:21">
      <c r="C11" s="58"/>
      <c r="D11" s="1"/>
      <c r="E11" s="58"/>
      <c r="F11" s="58"/>
      <c r="G11" s="163">
        <f>G10*G8</f>
        <v>136.9863</v>
      </c>
      <c r="H11" s="163">
        <f>H10*H8</f>
        <v>9.9989999999999988</v>
      </c>
      <c r="I11" s="163">
        <f>I10*I8</f>
        <v>58.660799999999995</v>
      </c>
      <c r="J11" s="1"/>
      <c r="K11" s="2"/>
      <c r="L11" s="1"/>
      <c r="M11" s="1"/>
      <c r="N11" s="1"/>
      <c r="O11" s="1"/>
      <c r="P11" s="1"/>
      <c r="Q11" s="1"/>
      <c r="R11" s="1"/>
      <c r="S11" s="1"/>
      <c r="T11" s="1"/>
      <c r="U11" s="2"/>
    </row>
    <row r="12" spans="3:21">
      <c r="C12" s="58"/>
      <c r="D12" s="1"/>
      <c r="E12" s="58"/>
      <c r="F12" s="58" t="s">
        <v>67</v>
      </c>
      <c r="G12" s="163">
        <f>SUM(G11:I11)</f>
        <v>205.64609999999999</v>
      </c>
      <c r="H12" s="1"/>
      <c r="I12" s="1"/>
      <c r="J12" s="1"/>
      <c r="K12" s="2"/>
      <c r="L12" s="1"/>
      <c r="M12" s="1"/>
      <c r="N12" s="1"/>
      <c r="O12" s="1"/>
      <c r="P12" s="1"/>
      <c r="Q12" s="1"/>
      <c r="R12" s="1"/>
      <c r="S12" s="1"/>
      <c r="T12" s="1"/>
      <c r="U12" s="2"/>
    </row>
    <row r="13" spans="3:21">
      <c r="C13" s="58"/>
      <c r="D13" s="1"/>
      <c r="E13" s="58"/>
      <c r="F13" s="58" t="s">
        <v>198</v>
      </c>
      <c r="G13" s="163">
        <f>G12/G9</f>
        <v>0.37526660583941607</v>
      </c>
      <c r="H13" s="1"/>
      <c r="I13" s="1"/>
      <c r="J13" s="1"/>
      <c r="K13" s="2"/>
      <c r="L13" s="1"/>
      <c r="M13" s="1"/>
      <c r="N13" s="1"/>
      <c r="O13" s="1"/>
      <c r="P13" s="1"/>
      <c r="Q13" s="1"/>
      <c r="R13" s="1"/>
      <c r="S13" s="1"/>
      <c r="T13" s="1"/>
      <c r="U13" s="2"/>
    </row>
    <row r="14" spans="3:21">
      <c r="C14" s="58"/>
      <c r="D14" s="1"/>
      <c r="E14" s="58"/>
      <c r="F14" s="58"/>
      <c r="G14" s="1"/>
      <c r="H14" s="1" t="s">
        <v>200</v>
      </c>
      <c r="I14" s="1" t="s">
        <v>201</v>
      </c>
      <c r="J14" s="1" t="s">
        <v>202</v>
      </c>
      <c r="K14" s="2" t="s">
        <v>203</v>
      </c>
      <c r="L14" s="1"/>
      <c r="M14" s="1"/>
      <c r="N14" s="1"/>
      <c r="O14" s="1"/>
      <c r="P14" s="1"/>
      <c r="Q14" s="1"/>
      <c r="R14" s="1"/>
      <c r="S14" s="1"/>
      <c r="T14" s="1"/>
      <c r="U14" s="2"/>
    </row>
    <row r="15" spans="3:21">
      <c r="C15" s="58"/>
      <c r="D15" s="1"/>
      <c r="E15" s="58"/>
      <c r="F15" s="58" t="s">
        <v>199</v>
      </c>
      <c r="G15" s="1"/>
      <c r="H15" s="1">
        <f>(0.892+0.674)/2</f>
        <v>0.78300000000000003</v>
      </c>
      <c r="I15" s="1">
        <f>(0.214+0.519)/2</f>
        <v>0.36649999999999999</v>
      </c>
      <c r="J15" s="1">
        <f>(0.577+0.388)/2</f>
        <v>0.48249999999999998</v>
      </c>
      <c r="K15" s="2">
        <f>(0.267+0.253)/2</f>
        <v>0.26</v>
      </c>
      <c r="L15" s="1"/>
      <c r="M15" s="1"/>
      <c r="N15" s="1"/>
      <c r="O15" s="1"/>
      <c r="P15" s="1"/>
      <c r="Q15" s="1"/>
      <c r="R15" s="1"/>
      <c r="S15" s="1"/>
      <c r="T15" s="1"/>
      <c r="U15" s="2"/>
    </row>
    <row r="16" spans="3:21">
      <c r="C16" s="58"/>
      <c r="D16" s="1"/>
      <c r="E16" s="58"/>
      <c r="F16" s="58" t="s">
        <v>204</v>
      </c>
      <c r="G16" s="1"/>
      <c r="H16" s="1">
        <v>31.06</v>
      </c>
      <c r="I16" s="1">
        <v>29.4</v>
      </c>
      <c r="J16" s="1">
        <v>66.5</v>
      </c>
      <c r="K16" s="2">
        <v>11.85</v>
      </c>
      <c r="L16" s="1"/>
      <c r="M16" s="1"/>
      <c r="N16" s="1"/>
      <c r="O16" s="1"/>
      <c r="P16" s="1"/>
      <c r="Q16" s="1"/>
      <c r="R16" s="1"/>
      <c r="S16" s="1"/>
      <c r="T16" s="1"/>
      <c r="U16" s="2"/>
    </row>
    <row r="17" spans="3:21">
      <c r="C17" s="58"/>
      <c r="D17" s="1"/>
      <c r="E17" s="58"/>
      <c r="F17" s="58" t="s">
        <v>205</v>
      </c>
      <c r="G17" s="1"/>
      <c r="H17" s="1">
        <f>H16/H15</f>
        <v>39.667943805874835</v>
      </c>
      <c r="I17" s="1">
        <f>I16/I15</f>
        <v>80.218281036834924</v>
      </c>
      <c r="J17" s="1">
        <f>J16/J15</f>
        <v>137.8238341968912</v>
      </c>
      <c r="K17" s="2">
        <f>K16/K15</f>
        <v>45.576923076923073</v>
      </c>
      <c r="L17" s="1"/>
      <c r="M17" s="1"/>
      <c r="N17" s="1"/>
      <c r="O17" s="1"/>
      <c r="P17" s="1"/>
      <c r="Q17" s="1"/>
      <c r="R17" s="1"/>
      <c r="S17" s="1"/>
      <c r="T17" s="1"/>
      <c r="U17" s="2"/>
    </row>
    <row r="18" spans="3:21">
      <c r="C18" s="58"/>
      <c r="D18" s="1"/>
      <c r="E18" s="58" t="s">
        <v>136</v>
      </c>
      <c r="F18" s="58" t="s">
        <v>57</v>
      </c>
      <c r="G18" s="1"/>
      <c r="H18" s="1">
        <f>AVERAGE(H17:K17)</f>
        <v>75.821745529131022</v>
      </c>
      <c r="I18" s="1"/>
      <c r="J18" s="1"/>
      <c r="K18" s="2"/>
      <c r="L18" s="1"/>
      <c r="M18" s="1"/>
      <c r="N18" s="1"/>
      <c r="O18" s="1"/>
      <c r="P18" s="1"/>
      <c r="Q18" s="1"/>
      <c r="R18" s="1"/>
      <c r="S18" s="1"/>
      <c r="T18" s="1"/>
      <c r="U18" s="2"/>
    </row>
    <row r="19" spans="3:21" ht="19.5" thickBot="1">
      <c r="C19" s="58"/>
      <c r="D19" s="1"/>
      <c r="E19" s="61"/>
      <c r="F19" s="270" t="s">
        <v>206</v>
      </c>
      <c r="G19" s="271"/>
      <c r="H19" s="272">
        <f>H18*G13</f>
        <v>28.453369093536917</v>
      </c>
      <c r="I19" s="164"/>
      <c r="J19" s="164"/>
      <c r="K19" s="165"/>
      <c r="L19" s="1"/>
      <c r="M19" s="1"/>
      <c r="N19" s="1"/>
      <c r="O19" s="1"/>
      <c r="P19" s="1"/>
      <c r="Q19" s="1"/>
      <c r="R19" s="1"/>
      <c r="S19" s="1"/>
      <c r="T19" s="1"/>
      <c r="U19" s="2"/>
    </row>
    <row r="20" spans="3:21">
      <c r="C20" s="58"/>
      <c r="D20" s="1"/>
      <c r="E20" s="1"/>
      <c r="F20" s="1"/>
      <c r="G20" s="1"/>
      <c r="H20" s="1"/>
      <c r="I20" s="1"/>
      <c r="J20" s="1"/>
      <c r="K20" s="1"/>
      <c r="L20" s="1"/>
      <c r="M20" s="1"/>
      <c r="N20" s="1"/>
      <c r="O20" s="1"/>
      <c r="P20" s="1"/>
      <c r="Q20" s="1"/>
      <c r="R20" s="1"/>
      <c r="S20" s="1"/>
      <c r="T20" s="1"/>
      <c r="U20" s="2"/>
    </row>
    <row r="21" spans="3:21">
      <c r="C21" s="58"/>
      <c r="D21" s="1"/>
      <c r="E21" s="1"/>
      <c r="F21" s="1"/>
      <c r="G21" s="1"/>
      <c r="H21" s="1"/>
      <c r="I21" s="1"/>
      <c r="J21" s="1"/>
      <c r="K21" s="1"/>
      <c r="L21" s="1"/>
      <c r="M21" s="1"/>
      <c r="N21" s="1"/>
      <c r="O21" s="1"/>
      <c r="P21" s="1"/>
      <c r="Q21" s="1"/>
      <c r="R21" s="1"/>
      <c r="S21" s="1"/>
      <c r="T21" s="1"/>
      <c r="U21" s="2"/>
    </row>
    <row r="22" spans="3:21" ht="15.75" thickBot="1">
      <c r="C22" s="58"/>
      <c r="D22" s="1"/>
      <c r="E22" s="1"/>
      <c r="F22" s="1"/>
      <c r="G22" s="1"/>
      <c r="H22" s="1"/>
      <c r="I22" s="1"/>
      <c r="J22" s="1"/>
      <c r="K22" s="1"/>
      <c r="L22" s="1"/>
      <c r="M22" s="1"/>
      <c r="N22" s="1"/>
      <c r="O22" s="1"/>
      <c r="P22" s="1"/>
      <c r="Q22" s="1"/>
      <c r="R22" s="1"/>
      <c r="S22" s="1"/>
      <c r="T22" s="1"/>
      <c r="U22" s="2"/>
    </row>
    <row r="23" spans="3:21" ht="19.5" thickBot="1">
      <c r="C23" s="58"/>
      <c r="D23" s="254" t="s">
        <v>210</v>
      </c>
      <c r="E23" s="255"/>
      <c r="F23" s="255"/>
      <c r="G23" s="255"/>
      <c r="H23" s="160"/>
      <c r="I23" s="160"/>
      <c r="J23" s="160"/>
      <c r="K23" s="161"/>
      <c r="L23" s="1"/>
      <c r="M23" s="254" t="s">
        <v>228</v>
      </c>
      <c r="N23" s="255"/>
      <c r="O23" s="255"/>
      <c r="P23" s="160"/>
      <c r="Q23" s="160"/>
      <c r="R23" s="160"/>
      <c r="S23" s="160"/>
      <c r="T23" s="161"/>
      <c r="U23" s="2"/>
    </row>
    <row r="24" spans="3:21" ht="18.75">
      <c r="C24" s="58"/>
      <c r="D24" s="167"/>
      <c r="E24" s="179"/>
      <c r="F24" s="180"/>
      <c r="G24" s="175" t="s">
        <v>212</v>
      </c>
      <c r="H24" s="176" t="s">
        <v>200</v>
      </c>
      <c r="I24" s="176" t="s">
        <v>213</v>
      </c>
      <c r="J24" s="175" t="s">
        <v>214</v>
      </c>
      <c r="K24" s="177" t="s">
        <v>215</v>
      </c>
      <c r="L24" s="1"/>
      <c r="M24" s="58"/>
      <c r="N24" s="1"/>
      <c r="O24" s="159"/>
      <c r="P24" s="175" t="s">
        <v>212</v>
      </c>
      <c r="Q24" s="176" t="s">
        <v>200</v>
      </c>
      <c r="R24" s="176" t="s">
        <v>213</v>
      </c>
      <c r="S24" s="175" t="s">
        <v>214</v>
      </c>
      <c r="T24" s="177" t="s">
        <v>215</v>
      </c>
      <c r="U24" s="2"/>
    </row>
    <row r="25" spans="3:21">
      <c r="C25" s="58"/>
      <c r="D25" s="58"/>
      <c r="E25" s="256" t="s">
        <v>211</v>
      </c>
      <c r="F25" s="257"/>
      <c r="G25" s="1">
        <f>43.1*1175</f>
        <v>50642.5</v>
      </c>
      <c r="H25" s="1">
        <f>H16*2071</f>
        <v>64325.259999999995</v>
      </c>
      <c r="I25" s="1">
        <f>I16*695</f>
        <v>20433</v>
      </c>
      <c r="J25" s="1">
        <f>J16*350</f>
        <v>23275</v>
      </c>
      <c r="K25" s="2">
        <f>K16*3754</f>
        <v>44484.9</v>
      </c>
      <c r="L25" s="1"/>
      <c r="M25" s="58"/>
      <c r="N25" s="1"/>
      <c r="O25" s="58" t="s">
        <v>204</v>
      </c>
      <c r="P25" s="1">
        <v>43.1</v>
      </c>
      <c r="Q25" s="1">
        <f>H16</f>
        <v>31.06</v>
      </c>
      <c r="R25" s="1">
        <f>I16</f>
        <v>29.4</v>
      </c>
      <c r="S25" s="1">
        <f>J16</f>
        <v>66.5</v>
      </c>
      <c r="T25" s="2">
        <f>K16</f>
        <v>11.85</v>
      </c>
      <c r="U25" s="2"/>
    </row>
    <row r="26" spans="3:21">
      <c r="C26" s="58"/>
      <c r="D26" s="58"/>
      <c r="E26" s="58"/>
      <c r="F26" s="1" t="s">
        <v>216</v>
      </c>
      <c r="G26" s="1">
        <v>2835</v>
      </c>
      <c r="H26" s="1"/>
      <c r="I26" s="1">
        <v>600</v>
      </c>
      <c r="J26" s="1"/>
      <c r="K26" s="2">
        <v>2220</v>
      </c>
      <c r="L26" s="1"/>
      <c r="M26" s="58"/>
      <c r="N26" s="1"/>
      <c r="O26" s="58" t="s">
        <v>162</v>
      </c>
      <c r="P26" s="1">
        <v>1496</v>
      </c>
      <c r="Q26" s="1">
        <v>3779</v>
      </c>
      <c r="R26" s="1">
        <v>751.6</v>
      </c>
      <c r="S26" s="1">
        <v>5067.5</v>
      </c>
      <c r="T26" s="2">
        <v>3061</v>
      </c>
      <c r="U26" s="2"/>
    </row>
    <row r="27" spans="3:21">
      <c r="C27" s="58"/>
      <c r="D27" s="58"/>
      <c r="E27" s="58"/>
      <c r="F27" s="1" t="s">
        <v>217</v>
      </c>
      <c r="G27" s="1">
        <v>10944</v>
      </c>
      <c r="H27" s="1">
        <v>11685</v>
      </c>
      <c r="I27" s="1">
        <v>4190.6000000000004</v>
      </c>
      <c r="J27" s="1">
        <v>3878</v>
      </c>
      <c r="K27" s="2">
        <v>14524</v>
      </c>
      <c r="L27" s="1"/>
      <c r="M27" s="58"/>
      <c r="N27" s="1"/>
      <c r="O27" s="58" t="s">
        <v>229</v>
      </c>
      <c r="P27" s="1">
        <f>P25/P26</f>
        <v>2.8810160427807489E-2</v>
      </c>
      <c r="Q27" s="1">
        <f>Q25/Q26</f>
        <v>8.2191055834876948E-3</v>
      </c>
      <c r="R27" s="1">
        <f>R25/R26</f>
        <v>3.9116551357104838E-2</v>
      </c>
      <c r="S27" s="1">
        <f>S25/S26</f>
        <v>1.3122841637888506E-2</v>
      </c>
      <c r="T27" s="2">
        <f>T25/T26</f>
        <v>3.8712838941522376E-3</v>
      </c>
      <c r="U27" s="2"/>
    </row>
    <row r="28" spans="3:21">
      <c r="C28" s="58"/>
      <c r="D28" s="58"/>
      <c r="E28" s="58"/>
      <c r="F28" s="1" t="s">
        <v>218</v>
      </c>
      <c r="G28" s="1">
        <v>442</v>
      </c>
      <c r="H28" s="1">
        <v>127</v>
      </c>
      <c r="I28" s="1">
        <v>767.3</v>
      </c>
      <c r="J28" s="1">
        <v>1722.1</v>
      </c>
      <c r="K28" s="2">
        <v>4314</v>
      </c>
      <c r="L28" s="1"/>
      <c r="M28" s="58"/>
      <c r="N28" s="1"/>
      <c r="O28" s="58" t="s">
        <v>57</v>
      </c>
      <c r="P28" s="1">
        <f>AVERAGE(P27:T27)</f>
        <v>1.8627988580088153E-2</v>
      </c>
      <c r="Q28" s="1"/>
      <c r="R28" s="1"/>
      <c r="S28" s="1"/>
      <c r="T28" s="2"/>
      <c r="U28" s="2"/>
    </row>
    <row r="29" spans="3:21" ht="18.75">
      <c r="C29" s="58"/>
      <c r="D29" s="58"/>
      <c r="E29" s="58"/>
      <c r="F29" s="168" t="s">
        <v>219</v>
      </c>
      <c r="G29" s="1">
        <f>G25+G26+G27-G28</f>
        <v>63979.5</v>
      </c>
      <c r="H29" s="1">
        <f>H25+H26+H27-H28</f>
        <v>75883.259999999995</v>
      </c>
      <c r="I29" s="1">
        <f>I25+I26+I27-I28</f>
        <v>24456.3</v>
      </c>
      <c r="J29" s="1">
        <f>J25+J26+J27-J28</f>
        <v>25430.9</v>
      </c>
      <c r="K29" s="2">
        <f>K25+K26+K27-K28</f>
        <v>56914.9</v>
      </c>
      <c r="L29" s="1"/>
      <c r="M29" s="58"/>
      <c r="N29" s="1"/>
      <c r="O29" s="58" t="s">
        <v>221</v>
      </c>
      <c r="P29" s="1">
        <f>G33</f>
        <v>906</v>
      </c>
      <c r="Q29" s="1"/>
      <c r="R29" s="1"/>
      <c r="S29" s="1"/>
      <c r="T29" s="2"/>
      <c r="U29" s="2"/>
    </row>
    <row r="30" spans="3:21" ht="15.75" thickBot="1">
      <c r="C30" s="58"/>
      <c r="D30" s="58"/>
      <c r="E30" s="58"/>
      <c r="F30" s="1" t="s">
        <v>162</v>
      </c>
      <c r="G30" s="1">
        <v>1496</v>
      </c>
      <c r="H30" s="1">
        <v>3779</v>
      </c>
      <c r="I30" s="1">
        <v>751.6</v>
      </c>
      <c r="J30" s="1">
        <v>5067.5</v>
      </c>
      <c r="K30" s="2">
        <v>3061</v>
      </c>
      <c r="L30" s="1"/>
      <c r="M30" s="61"/>
      <c r="N30" s="164"/>
      <c r="O30" s="178" t="s">
        <v>230</v>
      </c>
      <c r="P30" s="170">
        <f>P28*P29</f>
        <v>16.876957653559867</v>
      </c>
      <c r="Q30" s="164"/>
      <c r="R30" s="164"/>
      <c r="S30" s="164"/>
      <c r="T30" s="165"/>
      <c r="U30" s="2"/>
    </row>
    <row r="31" spans="3:21">
      <c r="C31" s="58"/>
      <c r="D31" s="58"/>
      <c r="E31" s="58"/>
      <c r="F31" s="1" t="s">
        <v>220</v>
      </c>
      <c r="G31" s="1">
        <f>G29/G30</f>
        <v>42.767045454545453</v>
      </c>
      <c r="H31" s="1">
        <f>H29/H30</f>
        <v>20.080248743053716</v>
      </c>
      <c r="I31" s="1">
        <f>I29/I30</f>
        <v>32.538983501862688</v>
      </c>
      <c r="J31" s="1">
        <f>J29/J30</f>
        <v>5.0184311790823877</v>
      </c>
      <c r="K31" s="2">
        <f>K29/K30</f>
        <v>18.593564194707611</v>
      </c>
      <c r="L31" s="1"/>
      <c r="M31" s="1"/>
      <c r="N31" s="1"/>
      <c r="O31" s="1"/>
      <c r="P31" s="1"/>
      <c r="Q31" s="1"/>
      <c r="R31" s="1"/>
      <c r="S31" s="1"/>
      <c r="T31" s="1"/>
      <c r="U31" s="2"/>
    </row>
    <row r="32" spans="3:21">
      <c r="C32" s="58"/>
      <c r="D32" s="58"/>
      <c r="E32" s="58"/>
      <c r="F32" s="1" t="s">
        <v>57</v>
      </c>
      <c r="G32" s="1">
        <f>AVERAGE(G31:K31)</f>
        <v>23.799654614650372</v>
      </c>
      <c r="H32" s="1"/>
      <c r="I32" s="1"/>
      <c r="J32" s="1"/>
      <c r="K32" s="2"/>
      <c r="L32" s="1"/>
      <c r="M32" s="1"/>
      <c r="N32" s="1"/>
      <c r="O32" s="1"/>
      <c r="P32" s="1"/>
      <c r="Q32" s="1"/>
      <c r="R32" s="1"/>
      <c r="S32" s="1"/>
      <c r="T32" s="1"/>
      <c r="U32" s="2"/>
    </row>
    <row r="33" spans="3:21">
      <c r="C33" s="58"/>
      <c r="D33" s="58"/>
      <c r="E33" s="58"/>
      <c r="F33" s="1" t="s">
        <v>221</v>
      </c>
      <c r="G33" s="1">
        <f>'Income st'!F12</f>
        <v>906</v>
      </c>
      <c r="H33" s="1"/>
      <c r="I33" s="1"/>
      <c r="J33" s="1"/>
      <c r="K33" s="2"/>
      <c r="L33" s="1"/>
      <c r="M33" s="1"/>
      <c r="N33" s="1"/>
      <c r="O33" s="1"/>
      <c r="P33" s="1"/>
      <c r="Q33" s="1"/>
      <c r="R33" s="1"/>
      <c r="S33" s="1"/>
      <c r="T33" s="1"/>
      <c r="U33" s="2"/>
    </row>
    <row r="34" spans="3:21">
      <c r="C34" s="58"/>
      <c r="D34" s="58"/>
      <c r="E34" s="58"/>
      <c r="F34" s="169" t="s">
        <v>222</v>
      </c>
      <c r="G34" s="169">
        <f>G33*G32</f>
        <v>21562.487080873238</v>
      </c>
      <c r="H34" s="1"/>
      <c r="I34" s="1"/>
      <c r="J34" s="1"/>
      <c r="K34" s="2"/>
      <c r="L34" s="1"/>
      <c r="M34" s="1"/>
      <c r="N34" s="1"/>
      <c r="O34" s="1"/>
      <c r="P34" s="1"/>
      <c r="Q34" s="1"/>
      <c r="R34" s="1"/>
      <c r="S34" s="1"/>
      <c r="T34" s="1"/>
      <c r="U34" s="2"/>
    </row>
    <row r="35" spans="3:21">
      <c r="C35" s="58"/>
      <c r="D35" s="58"/>
      <c r="E35" s="58"/>
      <c r="F35" s="1" t="s">
        <v>223</v>
      </c>
      <c r="G35" s="1">
        <v>375</v>
      </c>
      <c r="H35" s="1"/>
      <c r="I35" s="1"/>
      <c r="J35" s="1"/>
      <c r="K35" s="2"/>
      <c r="L35" s="1"/>
      <c r="M35" s="1"/>
      <c r="N35" s="1"/>
      <c r="O35" s="1"/>
      <c r="P35" s="1"/>
      <c r="Q35" s="1"/>
      <c r="R35" s="1"/>
      <c r="S35" s="1"/>
      <c r="T35" s="1"/>
      <c r="U35" s="2"/>
    </row>
    <row r="36" spans="3:21">
      <c r="C36" s="58"/>
      <c r="D36" s="58"/>
      <c r="E36" s="58"/>
      <c r="F36" s="1" t="s">
        <v>224</v>
      </c>
      <c r="G36" s="1"/>
      <c r="H36" s="1"/>
      <c r="I36" s="1"/>
      <c r="J36" s="1"/>
      <c r="K36" s="2"/>
      <c r="L36" s="1"/>
      <c r="M36" s="1"/>
      <c r="N36" s="1"/>
      <c r="O36" s="1"/>
      <c r="P36" s="1"/>
      <c r="Q36" s="1"/>
      <c r="R36" s="1"/>
      <c r="S36" s="1"/>
      <c r="T36" s="1"/>
      <c r="U36" s="2"/>
    </row>
    <row r="37" spans="3:21">
      <c r="C37" s="58"/>
      <c r="D37" s="58"/>
      <c r="E37" s="58"/>
      <c r="F37" s="1" t="s">
        <v>225</v>
      </c>
      <c r="G37" s="1">
        <v>101</v>
      </c>
      <c r="H37" s="1"/>
      <c r="I37" s="1"/>
      <c r="J37" s="1"/>
      <c r="K37" s="2"/>
      <c r="L37" s="1"/>
      <c r="M37" s="1"/>
      <c r="N37" s="1"/>
      <c r="O37" s="1"/>
      <c r="P37" s="1"/>
      <c r="Q37" s="1"/>
      <c r="R37" s="1"/>
      <c r="S37" s="1"/>
      <c r="T37" s="1"/>
      <c r="U37" s="2"/>
    </row>
    <row r="38" spans="3:21">
      <c r="C38" s="58"/>
      <c r="D38" s="58"/>
      <c r="E38" s="58"/>
      <c r="F38" s="1" t="s">
        <v>226</v>
      </c>
      <c r="G38" s="1">
        <f>G34-G35-G36+G37</f>
        <v>21288.487080873238</v>
      </c>
      <c r="H38" s="1"/>
      <c r="I38" s="1"/>
      <c r="J38" s="1"/>
      <c r="K38" s="2"/>
      <c r="L38" s="1"/>
      <c r="M38" s="1"/>
      <c r="N38" s="1"/>
      <c r="O38" s="1"/>
      <c r="P38" s="1"/>
      <c r="Q38" s="1"/>
      <c r="R38" s="1"/>
      <c r="S38" s="1"/>
      <c r="T38" s="1"/>
      <c r="U38" s="2"/>
    </row>
    <row r="39" spans="3:21" ht="15.75" thickBot="1">
      <c r="C39" s="58"/>
      <c r="D39" s="61"/>
      <c r="E39" s="61"/>
      <c r="F39" s="170" t="s">
        <v>227</v>
      </c>
      <c r="G39" s="170">
        <f>G38/548</f>
        <v>38.84760416217744</v>
      </c>
      <c r="H39" s="164"/>
      <c r="I39" s="164"/>
      <c r="J39" s="164"/>
      <c r="K39" s="165"/>
      <c r="L39" s="1"/>
      <c r="M39" s="1"/>
      <c r="N39" s="1"/>
      <c r="O39" s="1"/>
      <c r="P39" s="1"/>
      <c r="Q39" s="1"/>
      <c r="R39" s="1"/>
      <c r="S39" s="1"/>
      <c r="T39" s="1"/>
      <c r="U39" s="2"/>
    </row>
    <row r="40" spans="3:21">
      <c r="C40" s="58"/>
      <c r="D40" s="1"/>
      <c r="E40" s="1"/>
      <c r="F40" s="1"/>
      <c r="G40" s="1"/>
      <c r="H40" s="1"/>
      <c r="I40" s="1"/>
      <c r="J40" s="1"/>
      <c r="K40" s="1"/>
      <c r="L40" s="1"/>
      <c r="M40" s="1"/>
      <c r="N40" s="1"/>
      <c r="O40" s="1"/>
      <c r="P40" s="1"/>
      <c r="Q40" s="1"/>
      <c r="R40" s="1"/>
      <c r="S40" s="1"/>
      <c r="T40" s="1"/>
      <c r="U40" s="2"/>
    </row>
    <row r="41" spans="3:21">
      <c r="C41" s="58"/>
      <c r="D41" s="1"/>
      <c r="E41" s="1"/>
      <c r="F41" s="1"/>
      <c r="G41" s="1"/>
      <c r="H41" s="1"/>
      <c r="I41" s="1"/>
      <c r="J41" s="1"/>
      <c r="K41" s="1"/>
      <c r="L41" s="1"/>
      <c r="M41" s="1"/>
      <c r="N41" s="1"/>
      <c r="O41" s="1"/>
      <c r="P41" s="1"/>
      <c r="Q41" s="1"/>
      <c r="R41" s="1"/>
      <c r="S41" s="1"/>
      <c r="T41" s="1"/>
      <c r="U41" s="2"/>
    </row>
    <row r="42" spans="3:21">
      <c r="C42" s="58"/>
      <c r="D42" s="1"/>
      <c r="E42" s="1"/>
      <c r="F42" s="1"/>
      <c r="G42" s="1"/>
      <c r="H42" s="1"/>
      <c r="I42" s="1"/>
      <c r="J42" s="1"/>
      <c r="K42" s="1"/>
      <c r="L42" s="1"/>
      <c r="M42" s="1"/>
      <c r="N42" s="1"/>
      <c r="O42" s="1"/>
      <c r="P42" s="1"/>
      <c r="Q42" s="1"/>
      <c r="R42" s="1"/>
      <c r="S42" s="1"/>
      <c r="T42" s="1"/>
      <c r="U42" s="2"/>
    </row>
    <row r="43" spans="3:21" ht="21.75" thickBot="1">
      <c r="C43" s="61"/>
      <c r="D43" s="164"/>
      <c r="E43" s="164"/>
      <c r="F43" s="181" t="s">
        <v>231</v>
      </c>
      <c r="G43" s="182">
        <f>(G39+P30+H19+O9+T6)/5</f>
        <v>31.300231024197831</v>
      </c>
      <c r="H43" s="164"/>
      <c r="I43" s="164"/>
      <c r="J43" s="164"/>
      <c r="K43" s="164"/>
      <c r="L43" s="164"/>
      <c r="M43" s="164"/>
      <c r="N43" s="164"/>
      <c r="O43" s="164"/>
      <c r="P43" s="164"/>
      <c r="Q43" s="164"/>
      <c r="R43" s="164"/>
      <c r="S43" s="164"/>
      <c r="T43" s="164"/>
      <c r="U43" s="165"/>
    </row>
  </sheetData>
  <mergeCells count="6">
    <mergeCell ref="D23:G23"/>
    <mergeCell ref="E25:F25"/>
    <mergeCell ref="M23:O23"/>
    <mergeCell ref="F19:G19"/>
    <mergeCell ref="M6:N6"/>
    <mergeCell ref="M9:N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B1:I16"/>
  <sheetViews>
    <sheetView tabSelected="1" workbookViewId="0">
      <selection activeCell="H3" sqref="H3"/>
    </sheetView>
  </sheetViews>
  <sheetFormatPr defaultRowHeight="15"/>
  <cols>
    <col min="3" max="3" width="38.28515625" bestFit="1" customWidth="1"/>
    <col min="4" max="4" width="11.42578125" bestFit="1" customWidth="1"/>
    <col min="5" max="5" width="34.140625" bestFit="1" customWidth="1"/>
    <col min="6" max="6" width="20.42578125" bestFit="1" customWidth="1"/>
    <col min="8" max="8" width="31.140625" bestFit="1" customWidth="1"/>
  </cols>
  <sheetData>
    <row r="1" spans="2:9" ht="15.75" thickBot="1"/>
    <row r="2" spans="2:9" ht="19.5" thickBot="1">
      <c r="C2" s="254" t="s">
        <v>232</v>
      </c>
      <c r="D2" s="255"/>
      <c r="E2" s="255"/>
      <c r="F2" s="161"/>
      <c r="H2" s="192"/>
      <c r="I2" s="198"/>
    </row>
    <row r="3" spans="2:9" ht="15.75">
      <c r="C3" s="159"/>
      <c r="D3" s="185" t="s">
        <v>234</v>
      </c>
      <c r="E3" s="185" t="s">
        <v>235</v>
      </c>
      <c r="F3" s="186" t="s">
        <v>236</v>
      </c>
      <c r="G3" s="1"/>
    </row>
    <row r="4" spans="2:9" ht="18.75">
      <c r="C4" s="187" t="s">
        <v>212</v>
      </c>
      <c r="D4" s="1">
        <v>0.01</v>
      </c>
      <c r="E4" s="1">
        <v>43.1</v>
      </c>
      <c r="F4" s="2">
        <f>E4/D4</f>
        <v>4310</v>
      </c>
    </row>
    <row r="5" spans="2:9">
      <c r="C5" s="188" t="s">
        <v>200</v>
      </c>
      <c r="D5" s="1">
        <v>0.01</v>
      </c>
      <c r="E5" s="1">
        <v>31.06</v>
      </c>
      <c r="F5" s="2">
        <f t="shared" ref="F5:F8" si="0">E5/D5</f>
        <v>3106</v>
      </c>
    </row>
    <row r="6" spans="2:9">
      <c r="C6" s="188" t="s">
        <v>213</v>
      </c>
      <c r="D6" s="1">
        <v>0.01</v>
      </c>
      <c r="E6" s="1">
        <v>29.4</v>
      </c>
      <c r="F6" s="2">
        <f t="shared" si="0"/>
        <v>2940</v>
      </c>
    </row>
    <row r="7" spans="2:9" ht="18.75">
      <c r="C7" s="187" t="s">
        <v>214</v>
      </c>
      <c r="D7" s="1">
        <v>0.01</v>
      </c>
      <c r="E7" s="1">
        <v>66.5</v>
      </c>
      <c r="F7" s="2">
        <f t="shared" si="0"/>
        <v>6650</v>
      </c>
    </row>
    <row r="8" spans="2:9" ht="18.75">
      <c r="C8" s="187" t="s">
        <v>215</v>
      </c>
      <c r="D8" s="1">
        <v>0.01</v>
      </c>
      <c r="E8" s="1">
        <v>11.85</v>
      </c>
      <c r="F8" s="2">
        <f t="shared" si="0"/>
        <v>1185</v>
      </c>
    </row>
    <row r="9" spans="2:9" ht="15.75">
      <c r="C9" s="189" t="s">
        <v>233</v>
      </c>
      <c r="D9" s="1"/>
      <c r="E9" s="1"/>
      <c r="F9" s="2">
        <f>AVERAGE(F4:F8)</f>
        <v>3638.2</v>
      </c>
    </row>
    <row r="10" spans="2:9" ht="15.75">
      <c r="C10" s="190" t="s">
        <v>238</v>
      </c>
      <c r="D10" s="183">
        <v>0.01</v>
      </c>
      <c r="E10" s="1"/>
      <c r="F10" s="2"/>
    </row>
    <row r="11" spans="2:9" ht="15.75">
      <c r="B11" s="1"/>
      <c r="C11" s="191" t="s">
        <v>237</v>
      </c>
      <c r="D11" s="184"/>
      <c r="E11" s="1"/>
      <c r="F11" s="193">
        <f>F9*D10</f>
        <v>36.381999999999998</v>
      </c>
    </row>
    <row r="12" spans="2:9" ht="15.75" thickBot="1">
      <c r="C12" s="61"/>
      <c r="D12" s="164"/>
      <c r="E12" s="164"/>
      <c r="F12" s="165"/>
    </row>
    <row r="15" spans="2:9" ht="15.75" thickBot="1"/>
    <row r="16" spans="2:9" ht="21.75" thickBot="1">
      <c r="C16" s="194" t="s">
        <v>231</v>
      </c>
      <c r="D16" s="195">
        <f>('EPS Valuation'!H19+'EPS Valuation'!O9+'EPS Valuation'!T6+'EPS Valuation'!P30+'EPS Valuation'!G39+Bookbuilding!F11+'Base Valuation'!B30+'Better Valuation'!B30+'Worse valuation '!B30)/9</f>
        <v>32.438141079975793</v>
      </c>
    </row>
  </sheetData>
  <mergeCells count="1">
    <mergeCell ref="C2:E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Income st</vt:lpstr>
      <vt:lpstr>Balance St</vt:lpstr>
      <vt:lpstr>Ratios</vt:lpstr>
      <vt:lpstr>Business risk</vt:lpstr>
      <vt:lpstr>Financial risk</vt:lpstr>
      <vt:lpstr>Z-Score Model</vt:lpstr>
      <vt:lpstr>WACC</vt:lpstr>
      <vt:lpstr>EPS Valuation</vt:lpstr>
      <vt:lpstr>Bookbuilding</vt:lpstr>
      <vt:lpstr>Base Valuation</vt:lpstr>
      <vt:lpstr>Simulation</vt:lpstr>
      <vt:lpstr>Better Valuation</vt:lpstr>
      <vt:lpstr>Worse valuation </vt:lpstr>
      <vt:lpstr>No. of share simulation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2017-03-19T13:33:03Z</dcterms:modified>
</cp:coreProperties>
</file>