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2.xml" ContentType="application/vnd.openxmlformats-officedocument.spreadsheetml.externalLink+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240" yWindow="105" windowWidth="14805" windowHeight="8010" tabRatio="881" activeTab="2"/>
  </bookViews>
  <sheets>
    <sheet name="IS" sheetId="1" r:id="rId1"/>
    <sheet name="BS" sheetId="9" r:id="rId2"/>
    <sheet name="Ratios" sheetId="4" r:id="rId3"/>
    <sheet name="Business risk" sheetId="5" r:id="rId4"/>
    <sheet name="Financial risk" sheetId="6" r:id="rId5"/>
    <sheet name="Z-Score Model" sheetId="7" r:id="rId6"/>
    <sheet name="WACC" sheetId="8" r:id="rId7"/>
    <sheet name="EPS Valuation" sheetId="11" r:id="rId8"/>
    <sheet name="Bookbuilding" sheetId="12" r:id="rId9"/>
    <sheet name="CB_DATA_" sheetId="14" state="veryHidden" r:id="rId10"/>
    <sheet name="Base Valuation" sheetId="10" r:id="rId11"/>
    <sheet name="Simulation" sheetId="15" r:id="rId12"/>
    <sheet name="No. of share simulation" sheetId="16" r:id="rId13"/>
  </sheets>
  <externalReferences>
    <externalReference r:id="rId14"/>
    <externalReference r:id="rId15"/>
  </externalReferences>
  <definedNames>
    <definedName name="CB_292e1637e12942b6aa4da3b2199f8b7e" localSheetId="9" hidden="1">#N/A</definedName>
    <definedName name="CB_2ca8d2c1351d422684c243af20bed6fd" localSheetId="12" hidden="1">'No. of share simulation'!$I$8</definedName>
    <definedName name="CB_654e4a0d7c004fc38e77f13a3d90770d" localSheetId="9" hidden="1">#N/A</definedName>
    <definedName name="CB_7d4ea44d61214694a520f7e9bb763c98" localSheetId="9" hidden="1">#N/A</definedName>
    <definedName name="CB_8ebb6b32b0cb487fa880c18dcf6d2c14" localSheetId="9" hidden="1">#N/A</definedName>
    <definedName name="CB_922126d9a34d4770875e0cb37668e41c" localSheetId="12" hidden="1">'No. of share simulation'!$I$9</definedName>
    <definedName name="CB_Block_00000000000000000000000000000000" localSheetId="9" hidden="1">"'7.0.0.0"</definedName>
    <definedName name="CB_Block_00000000000000000000000000000000" localSheetId="12" hidden="1">"'7.0.0.0"</definedName>
    <definedName name="CB_Block_00000000000000000000000000000000" localSheetId="11" hidden="1">"'7.0.0.0"</definedName>
    <definedName name="CB_Block_00000000000000000000000000000001" localSheetId="9" hidden="1">"'636256641978478150"</definedName>
    <definedName name="CB_Block_00000000000000000000000000000001" localSheetId="12" hidden="1">"'636256641978790151"</definedName>
    <definedName name="CB_Block_00000000000000000000000000000001" localSheetId="11" hidden="1">"'636256621453400090"</definedName>
    <definedName name="CB_Block_00000000000000000000000000000003" localSheetId="9" hidden="1">"'11.1.4512.0"</definedName>
    <definedName name="CB_Block_00000000000000000000000000000003" localSheetId="12" hidden="1">"'11.1.4512.0"</definedName>
    <definedName name="CB_Block_00000000000000000000000000000003" localSheetId="11" hidden="1">"'11.1.4512.0"</definedName>
    <definedName name="CB_BlockExt_00000000000000000000000000000003" localSheetId="9" hidden="1">"'11.1.2.4.600"</definedName>
    <definedName name="CB_BlockExt_00000000000000000000000000000003" localSheetId="12" hidden="1">"'11.1.2.4.600"</definedName>
    <definedName name="CB_BlockExt_00000000000000000000000000000003" localSheetId="11" hidden="1">"'11.1.2.4.600"</definedName>
    <definedName name="CB_d46e746c518f4aa7954413fa72bf792d" localSheetId="12" hidden="1">'No. of share simulation'!$I$10</definedName>
    <definedName name="CBWorkbookPriority" localSheetId="9" hidden="1">-758680221412591</definedName>
    <definedName name="CBx_3a83cbd347fa4476bdcc0b25b679317f" localSheetId="9" hidden="1">"'Sheet1'!$A$1"</definedName>
    <definedName name="CBx_3ab49b80206c44969e84cf041637f5af" localSheetId="9" hidden="1">"'CB_DATA_'!$A$1"</definedName>
    <definedName name="CBx_3e2a095539434ea5a5b4e89363932cdd" localSheetId="9" hidden="1">"'Simulation'!$A$1"</definedName>
    <definedName name="CBx_c8908cfbfe98483ea4d0ad95596bad2e" localSheetId="9" hidden="1">"'No. of share simulation'!$A$1"</definedName>
    <definedName name="CBx_Sheet_Guid" localSheetId="9" hidden="1">"'3ab49b80-206c-4496-9e84-cf041637f5af"</definedName>
    <definedName name="CBx_Sheet_Guid" localSheetId="12" hidden="1">"'c8908cfb-fe98-483e-a4d0-ad95596bad2e"</definedName>
    <definedName name="CBx_Sheet_Guid" localSheetId="11" hidden="1">"'3e2a0955-3943-4ea5-a5b4-e89363932cdd"</definedName>
    <definedName name="CBx_SheetRef" localSheetId="9" hidden="1">CB_DATA_!$A$14</definedName>
    <definedName name="CBx_SheetRef" localSheetId="12" hidden="1">CB_DATA_!$D$14</definedName>
    <definedName name="CBx_SheetRef" localSheetId="11" hidden="1">CB_DATA_!$C$14</definedName>
    <definedName name="CBx_StorageType" localSheetId="9" hidden="1">2</definedName>
    <definedName name="CBx_StorageType" localSheetId="12" hidden="1">2</definedName>
    <definedName name="CBx_StorageType" localSheetId="11" hidden="1">2</definedName>
  </definedNames>
  <calcPr calcId="124519" concurrentCalc="0"/>
</workbook>
</file>

<file path=xl/calcChain.xml><?xml version="1.0" encoding="utf-8"?>
<calcChain xmlns="http://schemas.openxmlformats.org/spreadsheetml/2006/main">
  <c r="B8" i="4"/>
  <c r="C8"/>
  <c r="G8"/>
  <c r="E8"/>
  <c r="H8"/>
  <c r="F8"/>
  <c r="I8"/>
  <c r="J8"/>
  <c r="B7"/>
  <c r="C7"/>
  <c r="G7"/>
  <c r="E7"/>
  <c r="H7"/>
  <c r="F7"/>
  <c r="I7"/>
  <c r="J7"/>
  <c r="D8"/>
  <c r="D7"/>
  <c r="L5" i="16"/>
  <c r="I24" i="7"/>
  <c r="J24"/>
  <c r="H24"/>
  <c r="D23" i="6"/>
  <c r="G20" i="15"/>
  <c r="G16"/>
  <c r="H20"/>
  <c r="I20"/>
  <c r="J20"/>
  <c r="K20"/>
  <c r="L20"/>
  <c r="C20"/>
  <c r="D20"/>
  <c r="E20"/>
  <c r="B20"/>
  <c r="H17"/>
  <c r="I17"/>
  <c r="J17"/>
  <c r="K17"/>
  <c r="L17"/>
  <c r="C17"/>
  <c r="D17"/>
  <c r="E17"/>
  <c r="B17"/>
  <c r="K16"/>
  <c r="L16"/>
  <c r="H16"/>
  <c r="I16"/>
  <c r="J16"/>
  <c r="E16"/>
  <c r="C16"/>
  <c r="D16"/>
  <c r="B16"/>
  <c r="F1"/>
  <c r="B19"/>
  <c r="F5"/>
  <c r="B26"/>
  <c r="B27"/>
  <c r="G1"/>
  <c r="C19"/>
  <c r="G5"/>
  <c r="C26"/>
  <c r="C27"/>
  <c r="H1"/>
  <c r="D19"/>
  <c r="H5"/>
  <c r="D26"/>
  <c r="D27"/>
  <c r="I1"/>
  <c r="E19"/>
  <c r="I5"/>
  <c r="E26"/>
  <c r="E27"/>
  <c r="J5"/>
  <c r="G26"/>
  <c r="G27"/>
  <c r="H19"/>
  <c r="K5"/>
  <c r="H26"/>
  <c r="H27"/>
  <c r="I19"/>
  <c r="L5"/>
  <c r="I26"/>
  <c r="I27"/>
  <c r="M5"/>
  <c r="J26"/>
  <c r="J27"/>
  <c r="N5"/>
  <c r="K26"/>
  <c r="K27"/>
  <c r="O5"/>
  <c r="L26"/>
  <c r="L27"/>
  <c r="M27"/>
  <c r="B30"/>
  <c r="B32"/>
  <c r="L1"/>
  <c r="K1"/>
  <c r="J1"/>
  <c r="L6" i="16"/>
  <c r="L8"/>
  <c r="F35" i="7"/>
  <c r="F32"/>
  <c r="F30"/>
  <c r="F29"/>
  <c r="F27"/>
  <c r="F25"/>
  <c r="F24"/>
  <c r="F23"/>
  <c r="F18"/>
  <c r="F16"/>
  <c r="J18" i="1"/>
  <c r="F15" i="7"/>
  <c r="F13"/>
  <c r="F11"/>
  <c r="J30" i="1"/>
  <c r="F10" i="7"/>
  <c r="F8"/>
  <c r="F6"/>
  <c r="F5"/>
  <c r="H29" i="9"/>
  <c r="I16"/>
  <c r="I15"/>
  <c r="H15"/>
  <c r="I14"/>
  <c r="H14"/>
  <c r="I13"/>
  <c r="F4" i="7"/>
  <c r="E24"/>
  <c r="E25"/>
  <c r="E27"/>
  <c r="H16" i="9"/>
  <c r="E5" i="7"/>
  <c r="E6"/>
  <c r="E8"/>
  <c r="E11"/>
  <c r="E13"/>
  <c r="E16"/>
  <c r="E18"/>
  <c r="E30"/>
  <c r="E32"/>
  <c r="E35"/>
  <c r="E29"/>
  <c r="E23"/>
  <c r="E15"/>
  <c r="I18" i="1"/>
  <c r="E10" i="7"/>
  <c r="I30" i="1"/>
  <c r="H13" i="9"/>
  <c r="G26"/>
  <c r="D4" i="7"/>
  <c r="E4"/>
  <c r="D24"/>
  <c r="D23"/>
  <c r="D5"/>
  <c r="D14" i="12"/>
  <c r="T6" i="11"/>
  <c r="G37" i="9"/>
  <c r="D16" i="8"/>
  <c r="D18"/>
  <c r="D15"/>
  <c r="D14"/>
  <c r="D20"/>
  <c r="B2" i="10"/>
  <c r="B25"/>
  <c r="C25"/>
  <c r="D25"/>
  <c r="E25"/>
  <c r="G25"/>
  <c r="H25"/>
  <c r="I25"/>
  <c r="J25"/>
  <c r="K25"/>
  <c r="L25"/>
  <c r="M25"/>
  <c r="B28"/>
  <c r="B30"/>
  <c r="F9" i="12"/>
  <c r="O7" i="11"/>
  <c r="T22" i="1"/>
  <c r="J23"/>
  <c r="K23"/>
  <c r="L23"/>
  <c r="M23"/>
  <c r="N23"/>
  <c r="O23"/>
  <c r="P23"/>
  <c r="Q23"/>
  <c r="R23"/>
  <c r="I23"/>
  <c r="I24"/>
  <c r="I10" i="16"/>
  <c r="I8" i="1"/>
  <c r="I33"/>
  <c r="B14" i="10"/>
  <c r="F5"/>
  <c r="B18"/>
  <c r="I22" i="1"/>
  <c r="B13" i="10"/>
  <c r="H12" i="9"/>
  <c r="H25"/>
  <c r="H26"/>
  <c r="H27"/>
  <c r="B15" i="10"/>
  <c r="B24"/>
  <c r="D17" i="8"/>
  <c r="J8" i="1"/>
  <c r="J33"/>
  <c r="C14" i="10"/>
  <c r="G5"/>
  <c r="C18"/>
  <c r="J22" i="1"/>
  <c r="C13" i="10"/>
  <c r="I12" i="9"/>
  <c r="I25"/>
  <c r="I26"/>
  <c r="I27"/>
  <c r="C15" i="10"/>
  <c r="C24"/>
  <c r="K8" i="1"/>
  <c r="K33"/>
  <c r="D14" i="10"/>
  <c r="H5"/>
  <c r="D18"/>
  <c r="K22" i="1"/>
  <c r="D13" i="10"/>
  <c r="J12" i="9"/>
  <c r="J25"/>
  <c r="J26"/>
  <c r="J27"/>
  <c r="D15" i="10"/>
  <c r="D24"/>
  <c r="L8" i="1"/>
  <c r="L33"/>
  <c r="E14" i="10"/>
  <c r="I5"/>
  <c r="E18"/>
  <c r="L22" i="1"/>
  <c r="E13" i="10"/>
  <c r="K12" i="9"/>
  <c r="K25"/>
  <c r="K26"/>
  <c r="K27"/>
  <c r="E15" i="10"/>
  <c r="E24"/>
  <c r="M8" i="1"/>
  <c r="M33"/>
  <c r="G14" i="10"/>
  <c r="J5"/>
  <c r="G18"/>
  <c r="M22" i="1"/>
  <c r="G13" i="10"/>
  <c r="L12" i="9"/>
  <c r="L25"/>
  <c r="L26"/>
  <c r="L27"/>
  <c r="G15" i="10"/>
  <c r="G24"/>
  <c r="N8" i="1"/>
  <c r="N33"/>
  <c r="H14" i="10"/>
  <c r="K5"/>
  <c r="H18"/>
  <c r="N22" i="1"/>
  <c r="H13" i="10"/>
  <c r="M12" i="9"/>
  <c r="M25"/>
  <c r="M26"/>
  <c r="M27"/>
  <c r="H15" i="10"/>
  <c r="H24"/>
  <c r="O8" i="1"/>
  <c r="O33"/>
  <c r="I14" i="10"/>
  <c r="L5"/>
  <c r="I18"/>
  <c r="O22" i="1"/>
  <c r="I13" i="10"/>
  <c r="N12" i="9"/>
  <c r="N25"/>
  <c r="N26"/>
  <c r="N27"/>
  <c r="I15" i="10"/>
  <c r="I24"/>
  <c r="P8" i="1"/>
  <c r="P33"/>
  <c r="J14" i="10"/>
  <c r="M5"/>
  <c r="J18"/>
  <c r="P22" i="1"/>
  <c r="J13" i="10"/>
  <c r="O12" i="9"/>
  <c r="O25"/>
  <c r="O26"/>
  <c r="O27"/>
  <c r="J15" i="10"/>
  <c r="J24"/>
  <c r="Q8" i="1"/>
  <c r="Q33"/>
  <c r="K14" i="10"/>
  <c r="N5"/>
  <c r="K18"/>
  <c r="Q22" i="1"/>
  <c r="K13" i="10"/>
  <c r="P12" i="9"/>
  <c r="P25"/>
  <c r="P26"/>
  <c r="P27"/>
  <c r="K15" i="10"/>
  <c r="K24"/>
  <c r="R8" i="1"/>
  <c r="R33"/>
  <c r="L14" i="10"/>
  <c r="O5"/>
  <c r="L18"/>
  <c r="R22" i="1"/>
  <c r="L13" i="10"/>
  <c r="Q12" i="9"/>
  <c r="Q25"/>
  <c r="Q26"/>
  <c r="Q27"/>
  <c r="L15" i="10"/>
  <c r="L24"/>
  <c r="D13" i="8"/>
  <c r="D11"/>
  <c r="H17" i="10"/>
  <c r="I17"/>
  <c r="G17"/>
  <c r="C17"/>
  <c r="D17"/>
  <c r="E17"/>
  <c r="B17"/>
  <c r="L1"/>
  <c r="G1"/>
  <c r="H1"/>
  <c r="I1"/>
  <c r="J1"/>
  <c r="K1"/>
  <c r="F1"/>
  <c r="F26" i="9"/>
  <c r="E13" i="1"/>
  <c r="F22"/>
  <c r="D10" i="7"/>
  <c r="D11"/>
  <c r="D13"/>
  <c r="D13" i="5"/>
  <c r="D15" i="7"/>
  <c r="D16"/>
  <c r="D18"/>
  <c r="D29"/>
  <c r="D30"/>
  <c r="D32"/>
  <c r="D6"/>
  <c r="D8"/>
  <c r="D25"/>
  <c r="D27"/>
  <c r="D35"/>
  <c r="F4" i="12"/>
  <c r="F5"/>
  <c r="F6"/>
  <c r="F7"/>
  <c r="P28" i="11"/>
  <c r="P29"/>
  <c r="F23" i="1"/>
  <c r="Q29" i="11"/>
  <c r="P30"/>
  <c r="G9" l="1"/>
  <c r="H9"/>
  <c r="H18"/>
  <c r="G10"/>
  <c r="G8"/>
  <c r="G11"/>
  <c r="H10"/>
  <c r="H8"/>
  <c r="H11"/>
  <c r="G12"/>
  <c r="G13"/>
  <c r="E6" i="6"/>
  <c r="D6"/>
  <c r="E13" i="5"/>
  <c r="E15" i="6"/>
  <c r="D15"/>
  <c r="E5"/>
  <c r="E7"/>
  <c r="E14"/>
  <c r="D14"/>
  <c r="D5"/>
  <c r="E6" i="5"/>
  <c r="D6"/>
  <c r="H19" i="11"/>
  <c r="O8"/>
  <c r="O9"/>
  <c r="D16" i="6"/>
  <c r="D17" l="1"/>
  <c r="D7" i="5"/>
  <c r="D8"/>
  <c r="D9"/>
  <c r="D11" i="14"/>
  <c r="C11"/>
  <c r="A11"/>
  <c r="E16" i="6"/>
  <c r="E17"/>
  <c r="E23"/>
  <c r="D20" i="5"/>
  <c r="F22" i="6"/>
  <c r="E22"/>
  <c r="D22"/>
  <c r="F23"/>
  <c r="E10"/>
  <c r="D10"/>
  <c r="D7"/>
  <c r="D11"/>
  <c r="E20" i="5"/>
  <c r="E22"/>
  <c r="E11" i="6"/>
  <c r="G7"/>
  <c r="E21" i="5"/>
  <c r="D14"/>
  <c r="D22"/>
  <c r="E23"/>
  <c r="D15"/>
  <c r="D16"/>
  <c r="E24"/>
</calcChain>
</file>

<file path=xl/sharedStrings.xml><?xml version="1.0" encoding="utf-8"?>
<sst xmlns="http://schemas.openxmlformats.org/spreadsheetml/2006/main" count="276" uniqueCount="194">
  <si>
    <t>Year</t>
  </si>
  <si>
    <t>Total Asset Turnover</t>
  </si>
  <si>
    <t>Du Pont Analysis</t>
  </si>
  <si>
    <t>ROE</t>
  </si>
  <si>
    <t>(EBIT/Total Revenues) * (Total Revenues/ Total Assets)* (Total Assets/ Total Equity)*EBT/EBIT*EAT/EBT</t>
  </si>
  <si>
    <t>Net Income</t>
  </si>
  <si>
    <t>Total Revenues</t>
  </si>
  <si>
    <t>EBIT</t>
  </si>
  <si>
    <t>Total Assets</t>
  </si>
  <si>
    <t>Total Equity</t>
  </si>
  <si>
    <t>Opreating Profit Margin</t>
  </si>
  <si>
    <t>Financial Leverage</t>
  </si>
  <si>
    <t>Business Risk</t>
  </si>
  <si>
    <t>Sales Variability</t>
  </si>
  <si>
    <t>Particulars</t>
  </si>
  <si>
    <t xml:space="preserve">Standerd deviation of Revenue </t>
  </si>
  <si>
    <t>Mean Revenue</t>
  </si>
  <si>
    <t>Revenue Variability (CV)</t>
  </si>
  <si>
    <t>Variability in EBIT</t>
  </si>
  <si>
    <t>Standerd deviation of EBIT</t>
  </si>
  <si>
    <t>Mean EBIT</t>
  </si>
  <si>
    <t>Variability in EBIT (CV)</t>
  </si>
  <si>
    <t>Degree Of Operating Leverage</t>
  </si>
  <si>
    <t>Change of EBIT</t>
  </si>
  <si>
    <t>Revenue</t>
  </si>
  <si>
    <t>Change of Revenue</t>
  </si>
  <si>
    <t>Operating leverage</t>
  </si>
  <si>
    <t>Financial Risk</t>
  </si>
  <si>
    <t>Degree Of Financial Leverage</t>
  </si>
  <si>
    <t>Average</t>
  </si>
  <si>
    <t xml:space="preserve">Interest </t>
  </si>
  <si>
    <t>DFL</t>
  </si>
  <si>
    <t>Degree of Financial leverage</t>
  </si>
  <si>
    <t>Interest coverage ratio</t>
  </si>
  <si>
    <t>Interest coverage ratio (TIE)</t>
  </si>
  <si>
    <t>Working Capital</t>
  </si>
  <si>
    <t>X1</t>
  </si>
  <si>
    <t>Working Capital/Total Assets</t>
  </si>
  <si>
    <t>Weight</t>
  </si>
  <si>
    <t>Total</t>
  </si>
  <si>
    <t>Retained Earnings</t>
  </si>
  <si>
    <t>X2</t>
  </si>
  <si>
    <t>Retained Earnings/Total Assets</t>
  </si>
  <si>
    <t>X3</t>
  </si>
  <si>
    <t>EBIT/Total Assets</t>
  </si>
  <si>
    <t xml:space="preserve"> Equity</t>
  </si>
  <si>
    <t>Total Debt</t>
  </si>
  <si>
    <t xml:space="preserve"> Equity/Total Debt</t>
  </si>
  <si>
    <t>X4</t>
  </si>
  <si>
    <t>Sales</t>
  </si>
  <si>
    <t>Sales/Total Assets</t>
  </si>
  <si>
    <t>X5</t>
  </si>
  <si>
    <t>Altman Z SCORE</t>
  </si>
  <si>
    <t>Safe Zone</t>
  </si>
  <si>
    <t>Gray Zone</t>
  </si>
  <si>
    <t>Risk Distribution</t>
  </si>
  <si>
    <t>Z &gt; 2.90</t>
  </si>
  <si>
    <t>1.23 &lt; Z &lt; 2.90</t>
  </si>
  <si>
    <t>Z &lt; 1.23</t>
  </si>
  <si>
    <t>Distress Zone</t>
  </si>
  <si>
    <t>Risk Free Rate</t>
  </si>
  <si>
    <t>Market Return</t>
  </si>
  <si>
    <t>Beta</t>
  </si>
  <si>
    <t>Cost of Debt</t>
  </si>
  <si>
    <t>Tax Rate</t>
  </si>
  <si>
    <t>Weight of Equity</t>
  </si>
  <si>
    <t>WACC</t>
  </si>
  <si>
    <t>Accounts payable and accrued liabilities</t>
  </si>
  <si>
    <t>Deferred income taxes</t>
  </si>
  <si>
    <t>Depreciation and amortization</t>
  </si>
  <si>
    <t>Net income</t>
  </si>
  <si>
    <t xml:space="preserve"> </t>
  </si>
  <si>
    <t>Revenue (in millions of Dollar)</t>
  </si>
  <si>
    <t>Assumptions</t>
  </si>
  <si>
    <t>Cost of capital</t>
  </si>
  <si>
    <t>Depreciation (%of sales)</t>
  </si>
  <si>
    <t>CAPEX(% of sales)</t>
  </si>
  <si>
    <t>Sales growth</t>
  </si>
  <si>
    <t>Terminal growth rate</t>
  </si>
  <si>
    <t>Estimated year</t>
  </si>
  <si>
    <t>TV</t>
  </si>
  <si>
    <t>Net capital expenditure</t>
  </si>
  <si>
    <t>Change in NWC</t>
  </si>
  <si>
    <t>New debt</t>
  </si>
  <si>
    <t>Debt repayment</t>
  </si>
  <si>
    <t>Depreciation</t>
  </si>
  <si>
    <t>FCFE</t>
  </si>
  <si>
    <t>PV of CF</t>
  </si>
  <si>
    <t>Equity Value</t>
  </si>
  <si>
    <t xml:space="preserve">No. of shares </t>
  </si>
  <si>
    <t>Cost of Equity</t>
  </si>
  <si>
    <t>After Tax cost of debt</t>
  </si>
  <si>
    <t>Weight ot Debt</t>
  </si>
  <si>
    <t>Total Value(Debt+ Equity)</t>
  </si>
  <si>
    <t>Income Tax</t>
  </si>
  <si>
    <t>value per share</t>
  </si>
  <si>
    <t>Net profit after tax</t>
  </si>
  <si>
    <t>No. of share</t>
  </si>
  <si>
    <t>weight</t>
  </si>
  <si>
    <t>EPS</t>
  </si>
  <si>
    <t>Price</t>
  </si>
  <si>
    <t>P/E</t>
  </si>
  <si>
    <t>Projected</t>
  </si>
  <si>
    <t xml:space="preserve">NAV </t>
  </si>
  <si>
    <t>Earning based value per share</t>
  </si>
  <si>
    <t>Price to EBITDA</t>
  </si>
  <si>
    <t>Price/EBITDA</t>
  </si>
  <si>
    <t>Face Value Multiplier</t>
  </si>
  <si>
    <t xml:space="preserve">Average Face Value Multiplier </t>
  </si>
  <si>
    <t xml:space="preserve">Face Value </t>
  </si>
  <si>
    <t xml:space="preserve">Average closing price of last 6 moths </t>
  </si>
  <si>
    <t xml:space="preserve">Face Value Multiplier </t>
  </si>
  <si>
    <t xml:space="preserve">Price Based on Face Value Multiplier </t>
  </si>
  <si>
    <t xml:space="preserve">Face value of Fox </t>
  </si>
  <si>
    <t>Crystal Ball Data</t>
  </si>
  <si>
    <t>Workbook Variables</t>
  </si>
  <si>
    <t>Last Var Column</t>
  </si>
  <si>
    <t xml:space="preserve">    Name:</t>
  </si>
  <si>
    <t xml:space="preserve">    Value:</t>
  </si>
  <si>
    <t>Worksheet Data</t>
  </si>
  <si>
    <t>Last Data Column Used</t>
  </si>
  <si>
    <t>Sheet Ref</t>
  </si>
  <si>
    <t>Sheet Guid</t>
  </si>
  <si>
    <t>Deleted sheet count</t>
  </si>
  <si>
    <t>Last row used</t>
  </si>
  <si>
    <t>Data blocks</t>
  </si>
  <si>
    <t>3ab49b80-206c-4496-9e84-cf041637f5af</t>
  </si>
  <si>
    <t>CB_Block_0</t>
  </si>
  <si>
    <t>㜸〱敤㕣㕢㙣ㅣ㔷ㄹ摥㌳摥㔹敦慣敤搸㡤搳㑢㑡㘹つ㙤㈹慤㠳ㅢ愷つ愵㠵㄰㝣㘹㉥挵㠹摤搸㐹㐱㠰㌶攳摤㌳昱㌴㍢㌳敥捣慣ㄳ㤷㑡慤愰摣挴愵㔲戹㠸㐲戹愸㐲㐸昰挰攵愵ㄴ攸ぢㄲㄲ〸戵〲㈱㤰㐰攲愱㈰〴て㈰㠸挴ぢて㐸昰㝤㘷㘶㜶㘷㜷扤㘳㜷摢㠲㡢㝣搲晤㝤收摣收㥣昳㕦捦晦㥦㘹㑥攴㜲戹㝦㈳昱㉦㔳㥥㤹㙢ㄶ搷㠳㔰㍡ㄳ㌳㕥慤㈶㉢愱敤戹挱挴㤴敦㥢敢㜳㜶㄰昶愱㐱愱㙣愳㍥搰换㠱晤愰㉣㤶搷愴ㅦ愰㤱㥥换ㄵ㡢㠶㠶㝡づ挲摦㐸昲㘰戰搷㘰ㅥ㘰㘹㘶㝡㝥昹㝥㡣扡ㄸ㝡扥摣㌷㜶㈶敡㝢㘸㜲㜲㘲㜲攲昶㠳㤳〷㈶昶敦ㅢ㥢愹搷挲扡㉦て戹戲ㅥ晡㘶㙤摦搸㐲㝤戹㘶㔷摥㈹搷㤷扣昳搲㍤㈴㤷昷摦戶㙣摥晥㤶挹摢てㅥ戴敥扣昳㉤㠳㜸㜵敥攴捣昴㠲㉦慤攰㘵ㅡ㔳攷㤴㙦㥦㤵ㄵ㥢㙢㤳搲户摤㜳ㄳ㌳搳昸㉦㌵㝦㍣摤㌱戱戸㈲㘵挸㔷㑢㕦扡ㄵㄹㄸ攸㌸攰㑣〵㐱摤㔹攵收ㄹ捥ㄱ㉣戵㘲〶愱敥捣挸㕡捤㜰㤲㔱㡢捥㍣昶慥㘶慥て㍡㡢搲つ散搰㕥戳挳昵㠲戳㠴㠱慡㐳捥改㐰㥥㌲摤㜳昲愴改㐸摤㌹㕡户慢昹㈸攵晡㙥㑡㠶㐸㑦㑣㉤㝦㘲㉡㜰㘶㔶㑣㕦捤㈸攰挶㘴戴㍤攲㔷㕡摢㕥摦㝤㕣㑥㕤扤㠱㘳摥搸扤ㅤ㙡捥㤸㝥愳攵㜸昷㤶昱攲㕢㘷㜰㙢昷昶愹㍤㙡敤㜳㜳昷㍥㙡㉢㕢㕢㡢㠱㤸扥搵㡥㘲㌱㐶㠱愰㥦愰㐸㐰〴ㅡ㈵㠲〱㠲㐱〰㤱晦〷戸㈴摤㤱㔵㕡搹搴捡换㕡戹愲㤵慢㕡㔹㙡㘵㑢㉢㥦搳捡㉢㕡搹搶捡昷㙢攵昳㘸㤳愴㘲㝦扦ㄶ愷㝦摣昵换㙦晥晣攱改ㄳ㡦晥晤㠶昷て㍦昵㥢攷〷㜷愱搱扤昱愴㘶㝤昳〲㐸慤㐹挵攰〸晥摢㥣㉢挰ㄴ搶㐱敢づ㙢㜲戲㝡㜰扦㜹㥢愹㜳㔹ㄹ挸㙦㈱㤴ㄱ戴ㅤ戴敥戳摤慡㜷㐱攱敥㥡㘹㌳㤰捤㡤ㅢ㡦敢愶扤扡㕢つ㕥戳㜱攵㘲㘸㠶昲敡昶扡收㈰ㅤ摤ㄶ挱㔶㌲㔰敦扢戶扤摢ㄹ戳㔶㤷㔳ㄷ敤愸晡戵㙤搵捥㠲敦㉤㜷慦㍤攲换〷ㅡ戵ㅤ㌳㥡㠲㔰㕢㔳㘳㜷慣㌲慡㡡收㌵㌶戳攲〵搲㔵搳ㅢ㜷ㄶ散捡㜹改㉦㑡㡡㐴㔹㔵㑢扤㥣㔵㌱搷㡦捦扢㔸㈸戸戵晡晡㜴愹㜵昷挵㄰捣㉣慢㤸敦慡昴挳昵㈵㜳戹㈶慦㘸㘹ㄲ扤ㄳㄵ㝢㕢㡡㡦㜸㤵㝡㌰攳戹愱敦搵㕡㙢愶慡㙢㈶㈴㑤昵㠴㔷㤵昹㝣㑥〹〵〸摣扥㍥㈱㜲户㜴攷〵㠵㠸ㄴ㡡挹挸㔷戵㤲摤挴㈹慣づ慢愸㐹搲愴㜶挳㈶㠳㜱扥㑡挶㘴㜰㘰㙡㑤搴ㅦ㝣改ㅢ㌷ㄹ戶㠱戹㔷戶戱愶㡤挶慢扦㝢㑤扡攱㌱搳慤搶愴㥦愹晤〴㘷㘴っ〳攸㤷㈰㄰扡敥ㅥ㔵㥤戸㈸搶昵ぢ㜶㌵㕣㈹慣㐸晢摣㑡㠸㌲㘸挸㘲㤱㕢摢㤱㡣换㔰㘴散㈶ㄸ〵㈸㤵㜲㠵㍤㙣㔴㈸㈱攵㜴㑡愷っ㕥㙥ㄱ攴散搷挲换㠳搶ㄱ扢ㄶ捡㐸㈸て㕢挰㐸愴搵ㄴ晡㠶㐸愲扥㔹㠹ㄴ挶ㅥ㙢〶㔴㙡摡㙥戸摥攴摢づ㉥㠹㠸㘸㐷ㄶ㙣㍢㔹㐰㔱搰㉡て㌲㜸つ㐴搳㈶つ戲ㅢ愷㠸㠸㙣㤰愱搹㌱㜲㉢㤱戱㝤㠶㡣㐰晢㌴ㄱ戲昵晥敥㌲㠲挴摥㐹愴散搴㤵ㅦ㜷愴搹㐶戶㝣㈴捤㉥挷挶ㄹ㔷㄰㕣㐹㜰ㄵ挱㕥〰昱㈷㐸㌸㑡㌹攴㕢㤳昱ㅡ㍣ㅢ搷㄰扣ㄶ〰昲挹愰捣㠹㐵ㄵ㙤愸慤搸㤱㙣㌷〴㍢㔹ㄹ挵㤱㈸愲㘵摣戰㌳㠷ㅣ㠵攸搸敡摣ㅥ扡㌶慦㜴散ㅢ扡搳㘶㝡㌹愴挸㡣愶改戵㙥搲㌴扤ㄱ㙣摡愳摥扡づ㕤㡤㌱㠲搷〱㤴㡣搷ㄳ㐲戹搰攰摤㥡㐵㑦㤳昲㔵㘱ㄶ㐵挶㔰㡦ち㍥㈶㘴ㅥ〱㌲㠴㕣挷昱㘵挷㠶愶㌹㌸㙥扤敡㙤攸㝤摤昹㍢㐶㝡㥢摥摣搱㍢昴ㄷ扤㐸㉢晡㝡戰㤷昸㕤㔷ㅤ㜳㈳慡㡤㌷㄰摣〴搰愶㘳㜸晡㝥戱㥥〲㘵ㄶ㍢㈹捣敤愶搷㐵㔹戹㑢敢慢㔲㘹愰㐱㙢挹昴捦挹㄰ㅥ㡣攳戳戰㠵㍤摦㤷㌵ㅣ㙡慢慡㠰攷㤷㉢㕢ぢ㠳㈳扥攷戰㝣挷㐶づ㕥ㄵ㡡㈱㥦搷晡㜲㙤㌶㜲㠶慤㤹昲㌹愵㈸㠷㍡昸戶敥㐲㈲搵愹㤵扣搸㉦晢㝣戹㈳㐹㝡㤰㈴㌷㘳㕢㡤㕢〰㈰㈵挴慦扢㑡㤴㝤㙣昶㈶搵慣搵㘲愵㠷㉦攳㜴搲收㐳散㤰㈳〳㤱挳㜶ㅡ晥㠳㘰挸㔹戴㥤㠶戰ㄸ㜰ㄶ愴㕦㠱㙦挱慥挹㔲攴㤶愵愸搹㤱ㄵ慦ㄲ㔹搱搷搷㜱㥥捥昰慦㈹㍡㘹㤳ㄲ㤹摣㥥㔹㤹㜱ㄶ㙦ㄲㄵ摤㤰ㄴ㉡ㄹ慥愱㠶〴㈲攵戱敤㡥㠸改㐱挴摣㡡㡤㌳昶ㄳ㑣ㄲㅣ〰搰㥦㠷愴搹敡挶㌳ㅣ搶扦㐶㤷㜶戹㥣㉢ㄲつ捡㐵昸㕣㔷㘱㜵㤰慦㜹㌳挱ㅤ〰㙤收てㅤ㤰ㄹ㠴愸㔰㥥㈲㐴ㄵ挶戰捥搸昲〲㘹㘰㤷㠵挰搲㑣㍤〸㍤㠷㤱愵㈱㙢搶㍢改㠵戳㜶戰㡡㐸搴愸ㄵ㘷敥㕢㤱㉥愸换㠷敤搳㔶收慤慥捡慡㘱㉤㝡㜵㠸戶攳戳摢攱㘰㡥敤㠰㉤愹捥收㥡㐰敡敤㝣㡣㈱〴㜶㕡昹㕢改㡤摤㤲昷㥢㠷扥攱收㡥㉥搹㘱㑤づ㔸ㄱ搳㌱㕦戴戰㡢㠸ㅣ㔴晢慤愵ㄵ㕦捡搹㈱敢愸㙦㔷㙢戶㉢㠹っ搸㤸っ搶捤挹㜳㠸ㄲ㉣㜸㡣〱㝡敥㤰戵攴㥢㙥戰㙡㌲愰戸扥扢攵㐹㠵㐵㜴㙢摡㜶〳扣㐶㘱㤱昹㘱㙢㜱挵扢㠰㠸㙤摤㜱㡦㥡慢挱戶挰ち㠹㍥㑡ち㌵㐲ㄳ㥡㈶㡡㕡戱㔷晣昰㐰㥥换㤱昷昲〴ち㔷㌹㥤㍥昳っ敤㑤扢㍥㡥搱搰㑥攷㥣〶ㄱ㍤㙡ㄴ昶㘵㑡㘱㜲慡㜱㈷晢摣〵㜰捦搱搳挷㥢㤱戹㤷ㄴ戳搶改攵捦㤰昱㡡㉣ㅡ㠱㄰晡攸㜶㐵愴挲㌲㔲づ㌸㄰ㄸ攷㔳㍢昹㤵㉣搵㠶搴户慢㤹㍤㠲㐸搲愰㌵㘷㉥换ㅡ攲搱㡥ㄹ敥㡡ㅥ㘸挶㍡㘶㉤㠸敢㘶㍣挷㌱㐹㕡㈴换挵㡡㐹ち㥥慡㠷摥〹摢㌵㉣〰㐵㝦㜱㤱㜹ㄱ㐵收㐵㔵㌴㘸㥤㘲㘸㔰攵㌹㤶㜷捥昴敤㜰挵戱㉢㐵㍥㌰㝣户㉤㘸ㄲ㑣㑥挹㥢愴㐴㘶㡣戵㔹昳愷㘱戲〵ㄳ㐰昷〴攴㈸户㡥攸〷攵㙡愲㠰㝦愲㐷挷ㄲ〴㡣昲㤴ㅡ㙦挳㘸扡扡ㅤ〱㤱愳搲愵攴づ挶愵㠷㔱ㄲ〹㈱㘲㍤㠳㐴攰ㄵ㑣〹㜹扡戸ぢ搶㘹搷づ㠱㍤㘲散㠸ㅤ捥〶㐰㌹〰戲敡㜸㝢戵挲㙡慡搳㜸㐳㉢㕣搷㔹搵愲㈶慥敤慣㑦敢㡤ㅢ㌶愸㡥㌴㑡㑡㤱㙣搶㐸㘹㤶つ收戸㥤㔴㡤㔰㡡㍢搱㌶㈲换㙤摡摣㜷㑡㤱㤷愰㤸ㄴ捤攴㡣户㉢㐲㐱愰㌷搶㔱昴搹㘷㤳㐷㉡㘲㐳ㅢ愰㐴㍤ㄵ㤵つ挵㈱挱攳戸㜶㔲㤵愵昸〹晣扤㉢捥捥搷挳㤶ㅡ昳攲㘸㕣㌳㔵慢捤扢戰ㄲ㉡愶㕦摤㈶㉣㡤戵㐵ㅡ㐶㜱㘷慦摡㍦摡摥ㄴ㈳挶㙣挸戰㐸㠶ㅦㄸ㙣〸收㑡㐵㔴㘹㥤つ㜱慢ㅢ挵㐵㍥㥤㤰愶慢㌰戰ㄸ㔶㘷攵㥡㌲挳㥡㤶晣愸敡搰㌸㉤㉡㌹㙡㔸㔳换〱㔴㝡㐸㌹ㅥ攷ㄴ㠳ㅢ搶㈹扡愵㜰㠹〱㘲㌷捥㉤㔴㐲㠴㜶ㅢ〳昰㘴戰㝤戰㠳ㅤ㠹㐲㈷戴捥㈸㐱ぢㄹ㠴摢扡〸昲㑥㡦ㄸ㠵㈰戵㔴晡摢㘱昱㠵㈷㤸扥㜱㌸㤷㘴㘲㈶㘲戸㉢挳㝡〰㜲搳㤱㐹㜲搱㘸ㄲ㌰㡦㈴㥢ㄲ㕡㠳㐹ㄹ㑤㡣㈱㥡㝣㝥㠸㕢㍣㡣㘵つ㤳㙤㙡戸攷ㄶ摡搰愶戵昵㕤搶㜱户㔲慢㔷愵㔲挵㠹慣㔶ㅡ㜹㕢攰㑢㕤〱㡣戸㈹㘳㕦攲㑤㌹㡥愳ㄴ㤷㑣㈴昵㙥㜷ㅢ㠷搱㕤〹㌹㡣ㄱ愹㍥〶㈰㌳摣㜲㉡㈰搶㜱㑦㠱昶攱敥收〵〶㜵㜹づ㈲慤愳㠸戲㙣づ昷昱ㅡ㔱㘴挵㙤愹㘶㜳摥㥣㐷㥢㍤㔵㜴捣㡥㡡戶〵㡥戰捥㐸攰ㄵち㌰㐶㝡攴づづ㤲扢ㄴ㐷㜷㉦㍤慣ㅥ㜳㤷㠰ち㠵〱挱ㄸ㉦㑦㐱㌹散㉡ㄸ㠹〶户搶戴扡〵愳扦戴扣㡤㈹〰挱㌰㌰つ㕡戴㡣っ㥣ㄹ攴㌷㌷㜰慥㐳慢㡣〸㘹㍡㤸捡ㄸ攵㈸ㅣ昶㐰ㅡ戸㠹〷改㈵て㑡㈸摣愳㉥㠶㈵㜷ㄳ挷ㅤㅣ㠱㍣晦㡡戶挲〵㌳挴昵ㄷ㜷㙦㕢昱㔴戵㑡㜳ㄷ晥戹㙤㠱㔵㕣摤㠸捣搱㍤㙤㤷戲搴㥡㘸摦㕤摦㔶ㄱ㕦ㄶ㍣㌰㍢㜱捣っ㉢㉢㡢攱㝡㜴㜱慢㔷㤲搰㥦㠵㍦㘲挳户搳㘶捥扢扣㠸扡挶扤㉦㥤㜷扤ぢ慥㥡㤷ㅥ昰搶ㅦ㈸〴㔷㈸晢㌹挹㔲敥摦昸愷㤲㤶搳㝦㠸ㄱ户㌲㙤づ搰㜴㤰㜰ㅣ㤵㈲㘹㌰㠶㝣〶㥤挰㜶㙦摣ㅡ㈰㥤散㘹愳ㄳ㈵〸㜶〸挵㍤昷戲ㄱ㡡昸〱搰㑡㘲㠹㡥攴搸昳慦㠳昵挵昷㔱㐲㠴攳㌹ㄶ㈳晡敢㤰换㐰㥤ㄲ攴昱ㄵて㕥〸昹晦挱㔲挲捤ㅢ戲搳㝦㠱㤹挵㌳敤㈸扡㤶㈸晡㕥〷㡡〴慦㠱㈸晥扤〷㤹㈴改っ捦扥愸㐰㌸搷戴㜳〰㝤挵㉦晣晥てて愰㜳㌱㜱㈸ㅢつ愱戶ㅢ昱摣㌰ㄱ晡㍡㑣〴〶敦㤵㠹㜰〲ㄹ挱㈸㝥㘴㈲挴㍥㤰㜹ㄴ㙣㙥㈲㌰戶㤷㘱〸愶㐲慤㈹户〶㑦㘰㔷㌸昴㡦ㅤ挳挵㕢ㄹ㈰㥥て愵ㄵ捣挰㈳㜵㘵㘷昱㠲改㥢捥㕥㔵㝥搴㤷㔰㘶晥ㄲ㙥㜲慢㉥散㜱昵㠶㌵慡搳〶扥㡡挴换扥攳㑦搹摡晤㜵㘰㉡㑡㤱晢㕥ㄴ㐵攱㈵㜸㑡〴捦つ戹昷敦昹搶搱摦㍦昸攸㘱摥㔶㡢㘹㔵扦〵昹㕥㐲昶戴㈷㄰搴㑤㕤ㄴ戹㥣ㅦ收㥣挰㈷㑡昶㙡㑤㑥㥢扥戲㠲〲挳㐹戲ㄱ攱愵〸㌳㈲扥敤㘰㘲攲摥㐳㘴㘲㑥戴戹㍢搵㠷㑤捡㐵㌸㤱㥡戸昲改㈵㘱㐳搱㔵㤱昵㘸㙤敡摦㠱㉡㝡㤱ㄳ㘹戵ㄲ㜹敡㘴ㄲ攲摢敤扡敥㈰㜵㕤㜴㤰㘱搸㍦㤱㔲㠸㍦㤰㐲搲〷ㄹ㕥〸㔰㔲敡ㄴ㌲晡慤〰ㄹ㤱戵昶㄰㉦晤〱㍢㐲㐰㌶㉥晤昵昸ㄱぢ㜶ㄱ㔸㑣㝣昱扤㥥㘸㘹㡢㈶慡㠹愱㕡㘵搳㉣㈲愳づ㉦㉣㤸㑣㑡㤷㤰㐹㤲㝥〰戹㉤扢愳昸㤲㈱㈷ち扣㐵㡣慤㍢昴戵㤵㥣扢摤㍡㙥㝥㐰捦ㄴ㤴挲㜰㜷戳ㄸ〷㔲ㄵ愳㡢㥡㤶愲㈲挲攱㈸摢攸㌴㄰㔷㐱㘷戹㝢㜱㉡㐵昰㡦㕦ち戱㝥扣㌹昴攵敤㌵搴㜱㙥㍦ㄶ挸ㅦ散慦㙢㌳ㄸㅢ㙦㈵挷㐰挲㙥愹㔵㌱扡ㅥ㝥ㅡ㕤戸攸㥣㌰㥡㔹昵㉣づ攲㑦挲㔹㝤㕡㠷晥㘷昴㕡㜱搶ㄹ昶㘶ㄸ扢㐵晦扦ぢ〵㥢敡㝦挱搸㥢㐲攴扢攳っㅦ㜴挶㑦㌶つ搹㜰㐷攰搹㐶昰㐶ㅤ㡣つ㤵㘵挸㍢捡㉤攲攳搵愸㕡㐹㜰昸扤昲敤㔷㈳ㅡ㝤㘹摢づ㜴ㄵ㠰㡣つ改㕦㠷〸敡摡扦㔵㙥㈵愷摢挲㝢搰㜱捦〹扢攲㝢㠱㘷㠵㘳㡢〸晡㡥昱摢㌳ぢ㌶捦㤴昸㕡扢㔰扢ㅥ㍢㌱昸㍥昴㌹㌹て㠱㝤㔲㠶㉦㔷㉣㤲㤱㠵慤㐵㌲昸ㅤ搲㐸㉡扣㐴敤㄰㕣㘶摤㕢㌷㙢昸㜴㜵ㅥ扥捥㤰㐵摢㐲搹㐵ㅥ攷昶ㅢㅡ摣㍡摣搱㝡㈷晣㐱戲㌶㠱攰㤸㕡挲㝢摥挷㝤㙤摦㠳搶戶昱摡〲戶散捤攷㔶搲㥦〲㑥户昶㤶㔶㤲攱㍢昹㐵㜲挹㈸ㄳ攲搲晥㘱晣摤扡㠳㤶愳㡤㠲捥攳て扡改〸ㅢ慦挱㝤戶㠵攸昷㔹㜴ㄵ㔳〴昸ㄹ㘶㥣攱㠳愰㤷㡦慣㈸扥㡣㘵㤱〱㤰捦ㄵ㉡〰摤愹晡挹㡤愸㝡攴ㅥ昶㐴ㄲ㍣㘳㤰ㅣ㑢攲㡢㘸挸敤㡡㤶つ㤶攰戲㠵㍡㑢㈰㙦㈴㍤㤰捦〹㥥㈵搴㐴㍥㡦づ㡤㠹搸㈸敤㍥㤱捦㙤㌴ㄱ㐱㉢㐰㉤㌴㍤晥㐸愲㐵㡣ㅡ慡つ㠷挰㈵昰〰㐶ㄲ㘵㌲㑣昹㐸愱㔳㠸㘲っ摦㈷㡡㤰㝥ㄱ晦㝤攱昰昳捦㌱晤昵戰㔰ㄲㄱ㔵慤慢愰㐴㔴慢㜸㉣扤ちㅦ愵摤㔷昱挹㡤㔶㌱㐲㘱挹㤹ㄸ㈱挰㔰㥦㈸攳㡦㕡㔵ㅤㄹ㙥㈸㝦攲㉣〱㝥㉤戳ㄸ㌱㔱愲晡㕥㐰〶㝤戹昳慡搵㐵㘴㤲扥㍡㌷㈲攳㉢ㅦ㘵㈸昱㐶㈴㥤㍡㠵挸㉢㕢㠸搴㘳搱㠹摤戱摢㐲㐸㘰㐹晣㙣戶慢㙣㉦昴ㄸ敡ㄷㅦ㐹㄰㜳散㔸昲〹㤵ㄶ〷㥦㐰ㄸ㤱㘹㑡㐲攲㐶㡡て㈷㡤扦晢㜴搳㜷㡡ち㈴㔰㑦搴㤸〴愷ㅡ㝦㈸㘹㝣〰㥦㘷愹㌶㌹㕥㈵㘰㝡㈱㘹㑣挲㔴㡤ㅦ㑤ㅡ晦攵挰摥㐶攳㠴づ愳㤱㜵ㄲ㐹㠶搱慢㡥〱愹㑦戵㠷搱㕣户愸㐸〷慣愸㤸㈲㔴挵㤰㙢㑡㤵づ攲㔶㠸㡦㡦愵攷㜰挹〹㜷㐱㈰㙤愳晦㘷挲㜱㕣㝥㥡㌵㐳ㄳ摦㐲慦㈱敡散ㅢ敡㠹㥤ぢ搶扣㡦㠲㝥敢㜸㠰挳㔵㜵㕢㤱〸散㠲㝣戴扦㥢㜸攷㌳㙣挸收㝥㈴搱㌲㡤㤷㐹㝡搳㈲㉡挲㤲ㄷㅦ㐸㌰㥢㝢愴㐹㌳挶挳㐰づ挴㈴㈰㌳挶㈳㠰㔱㐴㘶てぢ㐶挸晦㡡戹㍦挰㡡てㄲ㍣ち㔰ㄲ㘴㜶搲㐱攱㐳〰挳挹晦戱㘲㙣㑤㌹㑥㌴昱㘰昲戲㌴ㄹㄹㅦ㘱㠷㡦〲昴挱㡦㉢㘲㈲㉣ㄹㅦ㐳㐹晡愵ㄴㅣ敡愵ㅦ㘷挵㈷〸㍥〹㔰搲㌹搹㉤敦ㅡ搷搴愳ち晢ㄴ扡㡡㐷〸昰㌳ㅥ㡢㌳㝣搰戹て㙦敤㙥㌴昳㑣㥣㝣攱㡦㤸㘷换愷晣㜷攳搳晣㜵㉥扡て晦㘷ㄲ㕤㔹昸㜹敤慥摥挶㈲ㄳ搰㌸㔷扦㔵㙣昶㑢ㄸ㠷敢㙡㠶㔲㌸㈲㤵㑡㔱㉢〸攲㥢ぢㄶㅥ摥挰户ㅣ㔲ㄵ㐲㤰〶㔴㠵ㅢ㔷ㅣ㐶㠱昱㘹㌶㈵㡥㠹㈷攳㌳㝣㈲㙡搵㈶㝥㌶捥昰㐱㄰慦慡晢晤㜱昷攴㠵挴戵慡戰摢㕥㐸晣慢㡡㤵昴ぢ㥦攰㘰ち㔹挸戴㙡㈵㈲㑤搱搰ㄷ㤱ㄹ敡ㅢ收摣敥挳㑦扢㈸㉡㘷慢㘷捦晥㜳㌸㍦㜶㜵晥㕤敦ㄸ㝣攲㠵㥦晤攱昱㕦扤昷搰㥦晦昵攴㤳扦晡攳攳捦晤敢搹攵㐳㍦㜹敡愹ㅦ摦昳㤵攷晥戰摢晡慡昶昴㍦攷扥晡搰攴昹㠷ㅥ戰㑥摦㜲昴愱㜷摦㝦敦攴挲㘵攳㝤㝤晤晤㌷㡤晥昴慡㌷㡥㍣昲挰㌳攲㐷扦扤搲ㄵ㙡戹㜸㐱敢㌴戸㙣㌵㡤㉦㈱㠳㘹㜰挶慦攸㌴戸㕣戵㔱换昱㐶㑤愳愰〸攷〶㈷愰㉡捣搶㡡㠱晦〰搰戲戴㡦</t>
  </si>
  <si>
    <t>Decisioneering:7.0.0.0</t>
  </si>
  <si>
    <t>CB_Block_7.0.0.0:1</t>
  </si>
  <si>
    <t>3e2a0955-3943-4ea5-a5b4-e89363932cdd</t>
  </si>
  <si>
    <t>c8908cfb-fe98-483e-a4d0-ad95596bad2e</t>
  </si>
  <si>
    <t>Amount</t>
  </si>
  <si>
    <t>Base</t>
  </si>
  <si>
    <t>Assets</t>
  </si>
  <si>
    <t>Current Assets:</t>
  </si>
  <si>
    <t>Accounts receivable</t>
  </si>
  <si>
    <t>Inventories</t>
  </si>
  <si>
    <t>Prepaid expenses</t>
  </si>
  <si>
    <t>Assets held for resale</t>
  </si>
  <si>
    <t>Fixed assets</t>
  </si>
  <si>
    <r>
      <t>Other assets (note 1)</t>
    </r>
    <r>
      <rPr>
        <vertAlign val="superscript"/>
        <sz val="12.5"/>
        <color theme="1"/>
        <rFont val="Arial"/>
        <family val="2"/>
      </rPr>
      <t>2</t>
    </r>
  </si>
  <si>
    <t>Goodwill, net of amortization (note 2)</t>
  </si>
  <si>
    <t>Liabilities and Shareholders' Equity</t>
  </si>
  <si>
    <t>Current Liabilities:</t>
  </si>
  <si>
    <t>Bank indebtedness - secured</t>
  </si>
  <si>
    <t>Income and other taxes payable</t>
  </si>
  <si>
    <t>Current portion of long-term debt</t>
  </si>
  <si>
    <t>Long-term debt (note 3)</t>
  </si>
  <si>
    <t>Shareholders' equity:</t>
  </si>
  <si>
    <t>Capital stock (note 4)</t>
  </si>
  <si>
    <t>Retained earnings (deficit)</t>
  </si>
  <si>
    <t>Year ended March 31</t>
  </si>
  <si>
    <t>Net sales</t>
  </si>
  <si>
    <t>Cost of goods sold</t>
  </si>
  <si>
    <t>Operating Expenses:</t>
  </si>
  <si>
    <t>Selling and administration</t>
  </si>
  <si>
    <t>Interest</t>
  </si>
  <si>
    <t>Gain on sale of assets held for resale</t>
  </si>
  <si>
    <t>-</t>
  </si>
  <si>
    <t>Income (loss) before income taxes</t>
  </si>
  <si>
    <t>and minority interest</t>
  </si>
  <si>
    <t>Income taxes</t>
  </si>
  <si>
    <t>Minority interest</t>
  </si>
  <si>
    <t>Net income (loss)</t>
  </si>
  <si>
    <t>Income (loss) per common share</t>
  </si>
  <si>
    <t>Deficit, beginning of period</t>
  </si>
  <si>
    <r>
      <t>Preferred share dividends (note 4)</t>
    </r>
    <r>
      <rPr>
        <vertAlign val="superscript"/>
        <sz val="12.5"/>
        <color theme="1"/>
        <rFont val="Arial"/>
        <family val="2"/>
      </rPr>
      <t>2</t>
    </r>
  </si>
  <si>
    <t>Retained earnings (deficit), end of period</t>
  </si>
  <si>
    <t>Comparable P/E</t>
  </si>
  <si>
    <t>Canandaigua</t>
  </si>
  <si>
    <t>Mondavi</t>
  </si>
  <si>
    <t>Magnotta</t>
  </si>
  <si>
    <t>Andres</t>
  </si>
  <si>
    <t>Price Of Vincor</t>
  </si>
  <si>
    <t xml:space="preserve">Flotation cost </t>
  </si>
  <si>
    <t>Vincor EBITDA</t>
  </si>
  <si>
    <t>Vincor Price</t>
  </si>
  <si>
    <t>CAPEX</t>
  </si>
  <si>
    <t>NWC</t>
  </si>
  <si>
    <t>CNWC</t>
  </si>
  <si>
    <t>Price/Sales</t>
  </si>
  <si>
    <t>Price/book value</t>
  </si>
  <si>
    <t>Price / Total assets</t>
  </si>
  <si>
    <t>Total liability</t>
  </si>
  <si>
    <t>Expansion</t>
  </si>
  <si>
    <t>Net Income GROWTH</t>
  </si>
  <si>
    <t>Vincor Average Price</t>
  </si>
  <si>
    <t>㜸〱捤㔹㝤㜰㔴㔷ㄵ摦晢昶㈳晢㌶〹慣㤰㐲㐱㕡ㄶ愴㘳㈱改㑡〸攱慢搲㤲摤㈵ㅦ〵㤲㐰ㄶ戰捥戴换摢摤扢挹㈳晢摥㡢敦扤㑤戲㔸㠵ㄱ愸搶㔶㐴晢㈱戶戴ㅤ〵㥣㕡〷愴ㄶ㍢㡥戵捣㜴晣挳㡦㜶慣㌳晥㘳㥤昱㡦㡥㝦㔸愷㜵搴㜱ㄴ㐷㐷敢昹摤昷㌶晢㤱㑤㠰㠸㌳㍣㜸㘷敦㍤攷摥㜳捦㍤敦㝣摤ㅢて昳㜸㍣ㅦ搰㠳㕦㍣㍥㌴㤶つㄵ㉤㥢㙢搱戸㤱捦昳㡣慤ㅡ扡ㄵ敤㌲㑤愵戸㔳戵㙣㉦つ〸愴㔴愲㕢晥㤴愵ㅥ攲挱搴㌸㌷㉤ㅡ攴昷㜸㠲㐱㔹〲ㄷ昷つ㤷㍡㌲㘶挹㐰换㌴捡㈳〷〸㌴㌵㄰㐸挶㘳〳改㠳戴挸㤰㙤㤸扣㉤戲捦㘱戵戵扤㍤摡ㅥ㕤摦搹扥㉥扡戶㉤ㄲ㉦攴敤㠲挹户敡扣㘰㥢㑡扥㉤㌲㔸㐸攷搵捣づ㕥㑣ㅡ愳㕣摦捡搳㙢㍢搲捡晡㑤敤敢㍢㍢㜳㥢㌷㙦㙡ちㄲ攷挱㜸慣㤷攷挷㠸摦㡤攲㉡ㄳ搷晥㜸㙣搰攴戹ㅢ挵搳て扤戴㈷㜸㐶㠵〲㌹㌷㔵㝤㌸ㅡ㡦搱晦ち慤㔰㙦㘳㜴㘰㘸㠸敢㤶㙡慢攳慡㕤ㄴ㍡搴〶㌲改㝤㑡扥挰〳㥡㄰㈹愸敤㔳捣㝥㐵攳捤摡㕥㡢敦㔱昴㘱㡥㥥㕦敢㈹愸㔹ㅦ㝤㔸敦敡㝡ぢ戹㑡㡡づ挴㘳昱ㄱ挵戴〵㑢㈸昰㘳昵㐶㡢㤵愲ㄵ愲㠸㌹〲ぢ昵戰㐶搷㜴戰㈶扥慦ㅣ〲㘸㈴㄰㘸㈲戰戰㘲㘶㐴㑣㡤㜴㌰摦㕦挹〰㉢㈷㘲戸㤴㔲愴㔴㕡㑡㘵愴㔴㔶㑡㜱㈹㤵㤳㔲挳㔲㙡㐴㑡愹㔲敡愰㤴ㅡ愵㌱愵㈷搸搰㈰戹㑦昳㝤晤摣昳搰㡦〷㑥㑣晣㘵换搶㤳ㄳ捤っ㌶㈷㡣㙦ㅥ㌵攴昹〴〲㘱〲㜵〴㔹捦搸㥦㐸㄰〸戳㜱㔱㜴昵敡㜷㕥㠹扤戸敢捣昷㤶㍣晦攸㘷ㄹㄴ㉥戸㉣〰㤷㠵攰搲㔲㥦㑢㍢㘳敦戹㕣搶㡤扥㝡攲㡤㡢㠷㝢㕦㌸昲晡㤷摥搲摡㕡ㄸ慣㕥㜰㔹〴㉥㡢挱攵搶晡㕣搶㌱昶㝢㤷换慥戳晤㥦㔹愱㍣搱㝤㉥㜲攵て慦㡥㝦晣㔴搳㔲㥡搲㑦㕦㉢摡捦敤ㅢ㘴摡㝥㝣愵㙢户づ㝣㐹扦收ㄸ㔷㠲㕢ㄹㄹ㤶搷愷㘷昹㘴㠰㕡㘴㤱㑤㕡摣搰㙤㍥㘹㈷ㄴ㕢㘹搰〶ㄵ㤳敢戶㑣㠳㕡挵㉣愷㠵㤹捤〲㔷㥡ㅤ㜲㝢挴㈱㉣㥡ㄵ㕣ㅡ〵挲攱挴㈸㐸㜹㝤づっ〶敡㐵慢㕥挵ㅡ戱㤵㜴㥥慦慡㌱㘲攸㡤晣㘶慦慤收慤㈸戱散㌱㡤挲ㄸ㌴㝡挳昸㄰㉦ㄹちち㉣㈳㈰㘲㉢㝥㘹㠱㙤昲㙤昴ㄳㄲ㐴ㄹ㐴晡挰ㅦ㠰㔲愶㌵慤愰づ㠹㤸㌰㌴㐵搵㙦搰挷㙤㕡㐹㑣㜷扢㝥㤹㌰㤵〹㡡㌱㘵搶ㄴ㘰昱敦敡㐱㤶㘲㙣慥㌳户㌱搷摥㥥敤㕣慢㜴㈸㝥㜸改昵挶〸㌸㑤㤳戶㕦搵戳挶㠴〸ㅡぢ㌴㡡〸㈲㄰㈴㡢㘳㕣愰㥡㜲㐹挵ㅣ收ㄴ㠸捣扥㐴㑢㉥㙥㤸㈶捦㉢㌶捦ち〴㔲搰攲㙡愴搵㙤ㅡㅡ昰换㘲㡡挵换〱愹㌵攷㉣ㄴ㌳ち㝡搶晡㜰㝤攲㤰㑤慣㤷搶搲捡㑣愶㑤ㅢ愲㈰捤㉤㈱改敤戵搳㠴昱㜷㑤慡づ昹戶ㅡ㌲㠵㘹㈳㍤㌳戵摢攴㥦㥡愲㑥㤳愸㡢昲昰㌸〷㝤摡㉥ㅤ㤲㈳ㄷ〵㔵挳攲扡㄰慦㔵ㅢ㔴㌳愳摣ㅣ攲挸攲㍣㉢戶㝡ぢ㐸㥣晣㌱挳慤搶〱愸㥥昲㐴㜶㘵㈵㌶户㝤搲收攴捤㔹㤲㤷昲愷㕤㑣挲㤳ㄶ㔵つ㜱搶㈴挲㤲㉡㜴户㤱㈹㔸昰㕡搳挸㔷㔳扡戲攳ち慤㤹摤㘵㘴戹捦㈷㜹愹㐶昰攱昱㔰㕥昲㤲㉢慦慤㜱㔴㤱〴挱摢慡捣㌶ㄵ㤶㠳㜴搳㜱㑤㤳慡捤ぢ昳敡㠵㡣愹〲㠷摤㕡敤㉢搱㍤愴㍤搲㔲㥥挳㤱愴摡㠸㔲㈱㘸搹㙡戰㐸摤㜸敡散愸㐲㘷戰㕢㡣扥㜳收慤〸戶㔳㤶昱晦ㅤ㉣㐹ぢ摤摤㙦ㅦ愷㤸摤慢攸搹㍣㌷㘷搷ㄷ㈴㤲㍦〲戰ち攰づ〲㈱㡦晦㌷ㄴ摤㘶搴㈴戲㌲㥢㘴㐵晦㠴㥡戵㐷〲㈳㕣ㅤㅥ戱〹㐷〵㘴㌰〸㌵㘷摤昷攷ㄴ敡摦㐵㑤㉡㝦ㄴ攰㑥〲愱㔰挸㈳攲㘷㈰㈴慦ㄱ㝤て㐳㜲ㄷ㤵〶㜲晢昴攰㝡ㄷ挸昲㉣㌴㠶挲〰〱㑤㙥〷㔸〷搰㐱㈰攴㘱㙦搲㍥戰㤷㤷㐹㡡敦㄰慡㉣㔱㈷㐶㙤挰愸ち㠹㌶㠹扥㠷愱㔰㄰ㄲ㈱攴㑤㤷攸㙥㤰攵㔹㘸っ㐵㠶㤰攸㕥㌰搸〶搰㐵㠰㈴扡散㑡昴㌶㜵㝦㐴㔲㤵㈵㡡㘳㔴〲愳㉡㈴敡ㄶ㝤て㐳搱㈱㈴㐲捤㌱㕤愲㍥㤰攵㔹㘸っ〵㡢㤰㘸ㄷㄸ昴〳っ㘰㤲㠷㕤㜴㈵㙡愵敥㝢昴㤶㈵摡㡤㔱㝢㌰慡㐲愲愴攸㝢㝣挸㠷昵㑣㙢㉡㝢愳㠲っ敤㌴㤴㙣户㤲愱昳㐱㠳㝢㍡〸挶つ㙤㡣㙡ち㌳㡣㤱㜱㡡㈸ㄴ愹挶搵㉣㌷㠳㐰っ搱愱挴㐷㠷〳㉢㈰攲戱㐵挵㠲搷攳昷㌷〶敢慤搵㔷攲戵捡戵晢捡㐳㑦摦㌴晥敦敦摥㜴㉦づ㌵愱㤰㈸攴昶㔲㔳摥㐷挰て晢扦敥ㄸ〶慢㕢愴つ㡤ㄸㄳ扤攴〰摣㜲㡡㙦㉢㙥慡昶攲改㘸㉡㝥ㄴ㙤㠹挰昷㤸㥣搲㤶㤹愴攸㉤昶㠸ㄹ㑢敢㔲挴愴愵㈲㠴㔴〴捦搶摣㍥㤵㑦㈰攵㉥㥦㑥愲搳㐳扣㘰搹㠶愸搵㙥㥦㑥㑦ㄸ晤㠶㥤㔰慤戱扣㔲㕣㔵㠷散㔰昶㡦㜰㥤㌲㡥㐹㠹攷㙡㠳㡣戱㌱㥥慤㈳攳㤰㔱㌰㌳扣㉦㜱㌳攴㉣晡㔲捥挳㐴扡㘲㐱ㄶ㤰ㄸ㍤㜳ぢ㤷㙣〹㤸㝤扡攵㐲捦㍢㠷㡥摤ㅢ愰㈴挸挸㐱挸㐵晣〸愱㜳㑤㙢捤㔵挵搴㉤㌸〶敥愲愳戳㍡㤶攷㌱挵㈴挳㌶㑣㑢搶㑡㑤挷昰㉡づ㘴㡥户摣っ捡愶摡挰愹ち愲㌳㘷挵ち挱㠵つ挲㤸㤱㠹㔸㑢㑤晡ㄶ晢㐶㑥㤹攳户昲㝦㥢愲摢㜵ち㠲㡣搵㌰㡥愳㔰㉡攵〹㐲㉣㍣捣晦〲戱慡㉢ㅦㄲ愲㑦挷㜱㕤捣ち㡤敡挶㠴㉥㈴昷㕢愸㔰挱㔰㙥㘸挰㌶㄰挳挵搳㔹㌲ㅢ㡦ㅦ㌹户戵㥥慥㥣㤳挴搴㝤㐲㕦㤶㤲扡㝢㠱搰㠴ぢ㠴愴挹挵㉤㐱㔰㜴㐸㠵捤摡㝥挳ㅣ㑤ㅢ挶㈸捥㜷昳㐴捦ㅡ攱摣挶㠹扥㔱㜳慥㈵搰㈶摢昷㝡慢㑥敤慥摥㐱㕣㐱昲㌸㌹晡㤳搴昲㜶㥢ㄹ搱㘳㘷㘹晦㌸㘰晦敢戱㤳㍦㍤昵㥦㝢㝡捦晥昲晣㤳昷㡦㥥㡦戲㌳㉥攱㥢㕦㝤晡捡㠵㑢慦昵㍣昲昷ぢ愷㉦昲㘷㔴㍦搲晥㌵㤵㕣挸敥昳㜳㔳戱㉢愹摡㜹摥㤸㜳㑣〳敤㘰㡥愲ㄱ㤵挳搹㠶㕣㜲㠴㜶㥤㘸捥昵㤸㙡㌶慦敡ㅣ愶㐳〷つ摣㝥散攴挳㔴晡づㅡ戸㘹㌱昴收㕣搲㔴㜴ぢ戹㐶捦ㄴㄷ㔴昵㠴户昸㜳㌱㔵户㘸ㄹㄱ㉦搱㥥㥦㐳㌸愷㉦㔷搰昴ㅥ㘵捣扡ㄹ摣㠹散愴昴㌸挱㑢㘲㤲挴㠲㔲㜰㡥ㅥ攱〹㍣㐸晣㤶㔷㜸攰㤶㐸扦ㄱ㡤ㄸ戹㠸㐵㑡攴㔶挴㌲昲㔴挱搱㈲㠸㜳ㄲ捡㈹ㄴ〰ㄴ摥㔰挰㕤㝢㘱っ戹㥢挴敤㤶㝢㘲昱搶㑢攱㔳㤵扢㈸㐴㔳㌴㠷慤〱愰㔷㍥攰㌶搰㘱㈸〳㔱㜳搴㈴㜱㠵㔰㜲ㅡ〳㔰晣㈱㤱捦ㄸ㥥ㄹ戶㠲㄰捤㥥㈵㠳㐵㘰愰戶㠷戱搳搴㠲㙦搷昱㑤㠶㍡ㄲ晥改昸㐳㡥㕡㘵㝦㌸㐵㜳攰て㝢攵㌵昷挴㌷㥦敢㍦㜷改摤挷㌳㡦户晤㤶㝤捤㈵散㍣昴敢敦敦ぢ㥤搹昱昲〳つ㉦㕤昹挹㉦㈲っ㐵㈷㝣挲ㄳ㌸㐸㘰㔹搵㌷㄰㈶ㄹ愱㈳㥢昳ㄹ敡㝤〰㠶㝡ㄵㅦ㐱ㅥ㈵挰㔰慤ち㍤攵摤㠶搰ㄳ㡡搳㍡㝡搲〸㉤敢ㄸ㠸㤲㜴㜶㍤㙤愳ㄱ㐲㑦㕦愱㡤㤴昵㜴㤲㝡㌳改愹㡢愶㤴昵㘴㔲慦慣愷挷㕣㜵晣敡㡤愳㕢晥搹㌳㥥㜸敤捤挶㍢㕥㈹戶ㅦ㘶㡦扡㠴昷挷㕥晦摤攷晦昸戳扥换攷ち攷㤷扤扤挱捦攲㌴摦搱搳㌸戵㔶㔶改愹扦愰愵㐹㐹㔷㌷㔷㤶愰戹㐲㕢ㄳ搴㘰愸愴㠵戶㈶摤㠶搰ㄶち攷㍡摡㉡ㄲ㕡㍥㠴㠱㈸㤷㘷搷ㄶ㙡㘹愱慤攳㔵摡㍡㌶㡢戶㔰㜹㑦㘹㑢㠶戶㥣〸㝢挴㔵挸戴〸㝢搸㈵摣㜵戶敤昸㤲㙦攵㘳㤷扦㜱敥攸㐳㝦敥晢〷㐳㠹敥㘸敡㜳搴㥡㡢㔷戳㍤㌴㔱愸改㈸㌵ㄸ捡㝢愱愶㘳㙥〳㥤㌰㑡㘵㠹摥挰㜱〲昳攲戱㔴挵㈱㌸昰㌰攱㍥㐴㌸㈷扤㤴戲㔴ㄸ㤵㌵收㠸ぢ㘴昹ぢ搴㘲挲扤㠱㝡㠴㐰改〹ㅦ愰㤶㡦㕥昹㡢〴㥡扤㘱㠵㝥挴㐴㉣㈶㠳㝢㌸㕤㐲愱攸㤶㑦㄰㘰挲〵搰晢㌲㠱搲ㄳ㠶㉢〸㕥㈷愹㐱扣㘰昶㌵扣攰〴〲㠵㐳㥡晣〴〱㈶っ〴扤㈷〹㤴㥥㌰っ㐵昰㝡㡡ㅡ挴ぢ㐶㔱挳ぢ㈶㈲㔰㌸㕥挹㑦ㄳ㘰㐲㡢攸㔵昱㠲㌶〵慦搳搴㘸昶㌲愸〳ㄶ㄰㜸ㄶ晤慥㝣㍥㔲捡摣㔶攰㌹愰慡㙥昴〳捦ㄳ慡㈵㑥ㄷ㘴㤱捥㠸戸昵㡣㙣攸㠸㑥收慤㐹㜶挰戵㡣㈳捦㕣摡㤲㡦㍣㤵㜸敥搸㕢扥㐵ㅢ晦昶㕤㤶㜲〹戵㤷敡攱㤲敥晤㔰昷摤昵敡㡥㘹昷ㅣ慤戵㤷㑡摢改㤲愸㠸㡤㝢改愸收ㄷ愱换㈷㙤㤹ㅢ慦㔲敤㠷〴攰㝦㤰愴晥ㅦ昸挰㔸慢㑢户攵㠴㤱捦㄰㘰戰ㅡ攱㜴㔰戹っ㈵换㔰㉢扢㝦㈶つ㝥挲㈵搴晥㐱㈱㕣戲㌸〶㈳㠳ㄶ搹㝥ㅡち搱挵㙡㉦〲〳扢慡户摡㥥㤹㔶摢敤ㄲ㙡晦昰㄰㉥搹ㄱ㠳ㄹ㡡搵〶㉢㔷㝢〹慢挱昲敡慤戶㘳愶搵敥㜳〹戵㝦愰㘰戰㑦戱㐸㕦攵㈲㍦㈰慣ㅦ㕡慣慤㝦㜱㕣敦㠶㈱搴㕣〶㌵㌶慥㈴㘴昲敢㍦摣昶敦㡥〷扡ㄸ㔴㠲改㔳〸㐸㕤㠵挰ち㤵㠸挶晦〲扤㤸㜹㌲</t>
  </si>
  <si>
    <t>㜸〱敤㕣㕢㙣ㅣ㔷ㄹ摥㌳摥㔹敦慣敤搸㡤搳㑢㑡㘹つ愵㉤搴挱㡤搳㠶㔲㈰〴㕦敡㈴挵㠹摤搸㐹㐱㠰㌶攳摤㌳昱㌴㍢㌳敥捣慣ㄳ㤷㑡慤愰㔰㄰ㄴ㔰戹㠸㐲戹愸㐲㤵㜸攱㈲㈴敥㉦㐸㐸摣㡡挴〳㈰㈱昱㔰㄰㠲〷㄰㡡挴ぢて㐸昰㝤㘷㘶㜶㘷㜷扤㘳㜷摢㠲㡢㝣搲晤㝤收摣收㥣昳㕦捦晦㥦㘹㑥攴㜲戹㝦㈳昱㉦㔳㥥㤹敢㤶㌶㠲㔰㍡ㄳ㌳㕥慤㈶㉢愱敤戹挱挴㤴敦㥢ㅢ昳㜶㄰昶愱㐱愱㙣愳㍥搰换㠱晤愰㉣㤶搷愵ㅦ愰㤱㥥换ㄵ㡢㠶㠶㝡づ挲摦㐸昲㘰戰搷㘰ㅥ㘰㜹㘶㝡㘱攵㝥㡣扡ㄴ㝡扥㍣㌰㜶㌶敡㝢㘴㜲㜲㘲㜲攲㡥挳㤳㠷㈶づㅥㄸ㥢愹搷挲扡㉦㡦戸戲ㅥ晡㘶敤挰搸㘲㝤愵㘶㔷摥㉥㌷㤶扤ぢ搲㍤㈲㔷づ摥扥㘲摥昱挶挹㍢づㅦ戶敥扡敢㡤㠳㜸㜵敥搴捣昴愲㉦慤攰㐵ㅡ㔳攷㤴敦㤸㤵ㄵ㥢㙢㤳搲户摤昳ㄳ㌳搳昸㉦㌵㝦㍣摤㌹戱戴㉡㘵挸㔷㑢㕦扡ㄵㄹㄸ攸㌸攰㑣〵㐱摤㔹攳收ㄹ捥ㅣ㤶㕡㌱㠳㔰㜷㘶㘴慤㘶㌸挹愸㐵㘷〱㝢㔷㌳㌷〶㥤㈵改〶㜶㘸慦摢攱㐶挱㔹挶㐰搵㈱攷㑣㈰㑦㥢敥㜹㜹捡㜴愴敥ㅣ慢摢搵㝣㤴㜲㝤户㈴㐳愴㈷愶㤶㍦㌱ㄵ㌸㌳慢愶慦㘶ㄴ㜰㘳㌲摡捥昹㤵搶戶㌷㜶ㅦ㤷㔳㔷㙦攰㤸㌷㜵㙦㠷㥡戳愶摦㘸㌹摥扤㘵扣昸搶ㄹ摣搶扤㝤㙡㡦㕡晢扣慥㝢ㅦ戵㤵慤慤挵㐰㑣摦㙡㐷戱ㄸ愳㐰搰㑦㔰㈴㈰〲㡤ㄲ挱〰挱㈰㠰挸晦〳㕣㤲敥挸㉡慤㙣㙡攵ㄵ慤㕣搱捡㔵慤㉣戵戲愵㤵捦㙢攵㔵慤㙣㙢攵晢戵昲〵戴㐹㔲戱扦㕦㡢搳挱㙦攴㝦昶㡢㠷扦㌵昷挴㙦㍦昹〹晦㠳ㄷ㌷〶昷愰搱扤昱愴㘶㝤昳㈲㐸慤㐹挵攰〸晥摢㥡㉢挰ㄴ搶㘱敢㑥㙢㜲戲㝡昸愰㜹扢愹㜳㔹ㄹ挸㙦㈱㤴ㄱ戴ㅤ戴敥戳摤慡㜷㔱攱敥扡㘹㌳㤰捤㡤ㅢ㡦敢愶扤扡㕢つ㕥戱㜹攵㔲㘸㠶昲摡昶扡收㈰ㅤ摤㤶挰㔶㌲㔰敦扢扥扤摢㔹戳㔶㤷㔳㤷散愸晡㤵㙤搵捥愲敦慤㜴慦㥤昳攵〳㡤摡㡥ㄹ㑤㐱愸慤慢戱㍢㔶ㄹ㔵㐵昳ㅡ㥢㔹昵〲改慡改㡤㍢㡢㜶攵㠲昴㤷㈴㐵愲慣慡愵㕥挹慡㤸敢挷ㄷ㕣㉣ㄴ摣㕡㝤㜵扡搴扡晢㔲〸㘶㤶㔵捣㜷㑤晡攱挶戲戹㔲㤳㔷戵㌴㠹摥㠹㡡晤㉤挵㜳㕥愵ㅥ捣㜸㙥攸㝢戵搶㥡愹敡扡〹㐹㔳㍤改㔵㘵㍥㥦㔳㐲〱〲户慦㑦㠸摣慤摤㜹㐱㈱㈲㠵㘲㌲昲㌵慤㘴㌷㜱ㅡ慢挳㉡㙡㤲㌴愹扤㘶㡢挱㌸㕦㈵㘳㌲㌸㌰戵㈶敡て扥昴戵㕢っ摢挰摣㑢摢㔸搳㐶攳搵摦扤㉥摤昰戸改㔶㙢搲捦搴㝥㠲㌳㌲㠶〱昴换㄰〸㕤㜷㡦慡㑥㕣ㄲㅢ晡㐵扢ㅡ慥ㄶ㔶愵㝤㝥㌵㐴ㄹ㌴㘴戱挸慤敤㐸挶ㄵ㈸㌲昶ㄲ㡣〲㤴㑡戹挲㍥㌶㉡㤴㤰㜲㍡愵㔳〶㉦户〸㜲昶㙢攱攵㐱㙢捥慥㠵㌲ㄲ捡挳ㄶ㌰ㄲ㘹㌵㠵扥㈱㤲愸㙦㔶㈲㠵戱捦㥡〱㤵㥡戶ㅢ㙥㌴昹戶㠳㑢㈲㈲摡㤵〵㍢㑥ㄶ㔰ㄴ戴捡㠳っ㕥〳搱戴㐹㠳散挶㈹㈲㈲ㅢ㘴㘸㜶㡣摣㑡㘴㙣㥦㈱㈳搰㍥㑤㠴㙣㝤戰扢㡣㈰戱㜷ㄲ㈹㍢㜵攵挷㕤㘹戶㤹㉤ㅦ㐹戳㉢戱㜱挶㔵〴㔷ㄳ㕣㐳戰ㅦ㐰晣ㄹㄲ㡥㔲づ昹搶㘴扣〲捦挶㜵〴慦〴㠰㝣㌲㈸㜳㘲㔱㐵ㅢ㙡㍢㜶㈴摢つ挱㑥㔶㐶㜱㈴㡡㘸ㄹ㌷散捣㈱㐷㈱㍡戶㍡㜷㠶慥捤㉢ㅤ㝢㜳㜷摡㑣㉦㠷ㄴ㤹搱㌴扤搶㉤㥡愶㌷㠲㑤㝢搴㕢㌷愰慢㌱㐶昰㉡㠰㤲昱㙡㐲㈸ㄷㅡ扣摢戳攸㘹㔲扥㉣捣愲挸ㄸ敡㔱挱挷㠴捣㈳㐰㠶㤰敢㌸扥散摡搰㌴〷挷慤㤷扤つ㝤愰㍢㝦挷㐸㙦搳㥢扢㝡㠷晥愲攷㘹㐵摦〸昶ㄲ扦敦慡㘳㙥㐲戵㜱㌳挱㉤〰㙤㍡㠶愷敦攷敢㈹㔰㘶戱㤳挲摣㕥㝡㕤㤴㤵扢扣戱㈶㤵〶ㅡ戴㤶㑤晦扣っ攱挱㌸㌱ぢ㕢搸昳㝤㔹挳愱戶慡ち㜸㝥戹扡戵㌰㤸昳㍤㠷攵扢㌶㜲昰戲㔰っ昹扣搶㤷㙢戳㤱㌳㙣捤㤴捦㈹㐵㌹搴挱户㜷ㄷㄲ愹㑥慤攴挵㝥搹攷换㕤㐹搲㠳㈴㜹ㅤ戶搵戸ㄵ〰㔲㐲晣愶慢㐴㌹挰㘶慦㔷捤㕡㉤㔶㝡昸㌲㑥㈷㙤㍥挴づ㌹㌲㄰㌹㙣愷攱㍦〸㠶㥣㈵摢㘹〸㡢〱㘷㔱晡ㄵ昸ㄶ散㥡㉣㐵㙥㔹㡡㥡㕤㔹昱㌲㤱ㄵ㝤㝤ㅤ攷改っ晦㥡愲㤳㌶㈹㤱挹敤㤹㤵ㄹ㘷昱㈶㔱搱つ㐹愱㤲攱ㅡ㙡㐸㈰㔲ㅥ摢敥㡡㤸ㅥ㐴捣㙤搸㌸攳㈰挱㈴挱㈱〰晤㤷㤰㌴摢摤㜸㠶挳晡搷改搲㉥㤷㜳㐵愲㐱戹〸㥦敤㉡慣づ昳㌵㙦㈰戸ㄳ愰捤晣愱〳㌲㠳㄰ㄵ捡㔳㠴愸挲ㄸ搶㔹㕢㕥㈴つ散戱㄰㔸㥡愹〷愱攷㌰戲㌴㘴捤㝡愷扣㜰搶づ搶㄰㠹ㅡ戵攲捣㝤慢搲〵㜵昹戰㝤摡捡扣戵㌵㔹㌵慣㈵慦づ搱㜶㘲㜶㈷ㅣ捣戱ㅤ戰㈵搵搹㕣ㄳ㐸扤㥤㡦㌱㠴挰㑥㉢㝦㉢扤戱摢昲㝥昳搰㌷摣摣搱㘵㍢慣挹〱㉢㘲㍡收㡢ㄶ㜶ㄱ㤱㠳㙡扦戵扣敡㑢㌹㍢㘴ㅤ昳敤㙡捤㜶㈵㤱〱ㅢ㤳挱扡㜹㜹ㅥ㔱㠲㐵㡦㌱㐰捦ㅤ戲㤶㝤搳つ搶㑣〶ㄴ㌷昶戶㍣愹戰㠸㙥㑤摢㙥㠰搷㈸㉣㌲㍦㙣㉤慤㝡ㄷㄱ戱慤㍢敥㌱㜳㉤搸ㄱ㔸㈱搱㐷㐹愱㐶㘸㐲搳㐴㔱㉢昶㡡ㅦㅥ挸㜳㌹昲㕥㥥㐰攱㉡愷搳㘷㥥愱扤㘹搷挷㌱ㅡ摡改㥣搳㈰愲㐷㡤挲扥㑣㈹㑣㑥㌵敥㘲㥦㌷〱摣㜳散捣㠹㘶㘴敥〵挵慣㜵㝡昹㌳㘴扣㈲㡢㐶㈰㠴㍥扡㍤ㄱ愹戰㡣㤴〳づ〴挶昹搴㑥㝥㈵㑢戵㈱昵敤㘹㘶攷㄰㐹ㅡ戴收捤ㄵ㔹㐳㍣摡㌱挳㍤搱〳捤㔸挷慣〵㜱摤㡣攷㌸㈶㐹㡢㘴戹㔴㌱㐹挱㔳昵搰㍢㘹扢㠶〵愰攸㉦㉥㌲㉦愱挸扣愴㡡〶慤搳っつ慡㍣挷昲捥㥢扥ㅤ慥㍡㜶愵挸〷㠶敦㜶〴㑤㠲挹㈹㜹㤳㤴挸㡣戱㌶㙢晥っ㑣戶㘰〲攸㥥㠰ㅣ攵搶ㄱ晤愰㕣㑤ㄴ昰㑦昴攸㔸㠲㠰㔱㥥㔲攳㉤ㄸ㑤㔷户㈳㈰㜲㔴扡㥣摣挱戸晣㌰㑡㈲㈱㐴慣㘷㤰〸扣㠲㈹㈱㑦ㄷ㜷挱㍡攳摡㈱戰㐷㡣捤搹攱㙣〰㤴〳㈰慢㡥户搷㉡慣愶㍡㡤㌷戴挲つ㥤㔵㉤㙡攲晡捥晡戴摥㜸捤㈶搵㤱㐶㐹㈹㤲慤ㅡ㈹捤戲挹ㅣ㜷㤲慡ㄱ㑡㜱㈷摡㐶㘴戹㑤㥢晢㑥㈹昲〲ㄴ㤳愲㤹㥣昱㔶㐵㈸〸昴挶㍡㡡㍥晢㙣昲㐸㐵㙣㘸〳㤴愸愷愲戲愱㌸㈴㜸〲搷㑥慡戲ㄴ㍦㠱扦昷挴搹㠵㝡搸㔲㘳㕥ㅡ㡤㙢愶㙡戵〵ㄷ㔶㐲挵昴慢㍢㠴愵戱戶㐸挳㈸敥散㔵晢㐷摢㥢㘲挴㤸つㄹㄶ挹昰〳㠳つ挱㕣愹㠸㉡慤戳㈱㙥㜵愳戸挸愷㤳搲㜴ㄵ〶㤶挲敡慣㕣㔷㘶㔸搳㤲ㅦ㔵ㅤㅡ愷㐵㈵㐷つ㙢㙡㈵㠰㑡て㈹挷攳㥣㘲㜰挳㍡㑤户ㄴ㉥㌱㐰散挶戹挵㑡㠸搰㙥㘳〰㥥っ㜶づ㜶戰㈳㔱攸㠴搶ㄹ㈵㘸㈱㠳㜰㕢ㄷ㐱摥改ㄱ愳㄰愴㤶㑡㝦㍦㉡㍥昷㈴搳㔷㡦收㤲㑣捣㐴っ㜷㘵㔸て㐰㙥㍡㌲㐹㉥ㅡ㑤〲收㤱㘴㔳㐲㙢㌰㈹愳㠹㌱㐴㤳捦て㜱㡢㠷戱慣㘱戲㑤つ昷摣㐲ㅢ摡戴戶戱挷㍡攱㔶㙡昵慡㔴慡㌸㤱搵㑡㈳敦〸㝣愹㉢㠰ㄱ㌷㘵散㑢扣㈹㈷㜰㤴攲㤲㠹愴摥敤㙥攳㈸扡㉢㈱㠷㌱㈲搵挷〰㘴㠶㕢㑥〵挴㍡敥㈹搰㍥摣摢扣挰愰㉥捦㐱愴㜵ㄴ㔱㤶捤攳㍥㕥㈳㡡慣戸㉤搵㙣摥㥢昷㘸戳愷㡡㡥摢㔱搱㡥挰ㄱ搶ㄹ〹扣㐲〱挶㐸㡦摣挱㐱㜲㤷攳攸敥攵㠷搵㘳敥㌲㔰愱㌰㈰ㄸ攳攵㈹㈸㠷㕤〵㈳搱攰搶㥡㔶户㘰昴㤷㤶户㌱〵㈰ㄸ〶愶㐱㡢㤶㤱㠱㌳㠳晣搶〶捥つ㘸㤵ㄱ㈱㑤〷㔳ㄹ愳ㅣ㠵挳ㅥ㐸〳㌷昱㈰扤散㐱〹㠵晢搴挵戰攴㙥攲戸㠳㈳㤰攷㕦搵㔶戸㘸㠶戸晥攲敥㙦㉢㥥慡㔶㘹敥挲㍦户㈳戰㡡慢ㅢ㤱㌹扡慦敤㔲㤶㕡ㄳ敤扢ㅢ摢㉡攲换㠲㠷㘶㈷㡥㥢㘱㘵㜵㈹摣㠸㉥㙥昵㑡ㄲ晡て攱㡦搸昴敤戴㤹昳㉥㉦愲慥㜳敦㑢ㄷ㕣敦愲慢收愵〷扣昵〷ち挱ㄵ捡㝥㑥戲㤴晢㌷晥愹愴攵昴ㅦ㘰挴敤㑣㥢〳㌴ㅤ㈴ㅣ㐷愵㐸ㅡ㡣㈱㥦㐱㈷戰摤ㅢ户〶㐸㈷晢摡攸㐴〹㠲㕤㐲㜱捦扦㘸㠴㈲扥て戴㤲㔸愲㈳㌹昶晣ㄹ戰扥昸ㅥ㑡㠸㜰㍣挷㘲㐴㝦ㄵ㜲ㄹ愸㔳㠲㍣扥攲挱ぢ㈱晦㍦㔸㑡戸㜹㔳㜶晡㉦㌰戳昸㙥㍢㡡慥㈷㡡扥搳㠱㈲挱㙢㈰㡡㝦敦㐱㈶㐹㍡挳戳捦㉢㄰捥㌵敤ㅥ㐰㕦昲ぢ扦晦挳〳攸㝣㑣ㅣ捡㐶㐳愸敤㈶㍣㌷㑣㠴扥づㄳ㠱挱㝢㘵㈲㥣㐴㐶㌰㡡ㅦ㤹〸戱て㘴〱〵㕢㥢〸㡣敤㘵ㄸ㠲愹㔰㙢捡慤挱ㄳ搸㔵づ晤㘳挷㜱昱㔶〶㠸攷㐳㘹〵㌳昰㐸㕤摤㔹扣㘸晡愶戳㕦㤵ㅦ昳㈵㤴㤹扦㡣㥢摣慡ぢ㝢㕣扢㘹㡤敡戴㠹慦㈲昱戲敦晡㔳戶㜷㝦ㅤ㤸㡡㔲攴扥ㄷ㐵㔱㜸〱㥥ㄲ挱㜳㐳敥扤晢扥㜶散てて㍥㝡㤴户搵㘲㕡搵㙦㐵扥㤷㤰㍤敤〹〴㜵㔳ㄷ㐵慥攴㠷㌹㈷昱㠹㤲扤㔶㤳搳愶慦慣愰挰㜰㤲㙣㐴㜸㈹挲㡣㠸㙦㈷㤸㤸戸昷㄰㤹㤸ㄳ㙤敥㑥昵㘱㤳㜲ㄱ㑥愴㈶慥㝣㝡㐹搸㔰㜴㔵㘴㍤㕡㥢晡㌷愰㡡㥥攷㐴㕡慤㐴㥥㍡㤹㠴昸㝡扢慥㍢㑣㕤ㄷㅤ㘴ㄸ昶㑦愴ㄴ攲て愴㤰昴㐱㠶ㄷ〲㤴㤴㍡㡤㡣㝥ㅢ㐰㐶㘴慤㍤挴㑢㝦挰慥㄰㤰㡤㑢㝦㍤㝥挴㠲㕤〴ㄶㄳ㕦㝣慦㈷㕡摡愲㠹㙡㘲愸㔶搹㌴㑢挸愸挳ぢぢ㈶㤳搲㘵㘴㤲愴ㅦ㐲㙥摢敥㈸扥㘴挸㠹〲㙦ㄱ㘳敢づ㝤㙤㈵攷㙥户㡥㥢ㅦ搰㌳〵愵㌰摣扤㉣挶㠱㔴挵攸愲愶愵愸㠸㜰㌸捡㌶㍡つ挴㔵搰㔹敥㝥㥣㑡ㄱ晣攳㤷㐲慣ㅦ㙦づ㝤㘵㝢つ㜵㥣摢㡦〵昲〷晢敢晡っ挶挶㕢挹㌱㤰戰摢㙡㔵㡣慥㠷㥦㐱ㄷ㉥㍡㈷㡣㘶㔶㍤㡢挳昸㤳㜰㔶㥦搶愱晦ㄹ扤㔶㥣㜵㤶扤ㄹ挶㙥搱晦敦㐰挱㤶晡㕦㌰昶愶㄰昹捥㌸挳〷㥤昱㤳㉤㐳㌶摣ㄱ㜸戶ㄱ扣㔱〷㘳㐳㘵ㄹ昲㡥㜲㑢昸㜸㌵慡㔶ㄲㅣ㝥慦㝣晢搵㠸㐶㕦摡戶〳㕤〵㈰㘳㐳晡㌳㄰㐱㕤晢户捡慤攴㜴㕢㜸ㄷ㍡敥㍢㘹㔷㝣㉦昰慣㜰㙣〹㐱摦㌱㝥㝢㘶挱收㤹ㄲ㕦㘹ㄷ㙡㌷㘲㈷〶摦㠳㍥愷ㄶ㈰戰㑦挹昰挵㡡㐵㌲戲戰扤㐸〶扦㐳ㅡ㐹㠵㤷愸ㅤ㠲㉢慣㝢敢㘶つ㥦慥㉥挰搷ㄹ戲㘸㐷㈸扢挸攳摣㝥㐳㠳㕢㠷㍢㕡㙦㠷㍦㐸搶㈶㄰ㅣ㔳㑢㜸搷㝢戸慦敤㝢搰摡㌶㕥㕢挰㤶扤昹摣㑡晡搳挰改昶摥搲㑡㌲㝣㈷扦㐸㉥ㄹ㘵㐲㕣摡㍦㡡扦摢㜷搰㜲戴㔱搰㜹晣㐱㌷ㅤ㘱攳㌵戸捦戶ㄱ晤㍥㠷慥㘲㡡〰㍦挳㡣㌳㝣㄰昴昲㤱ㄵ挵ㄷ戱㉣㌲〰昲戹㐲〵愰㍢㔵㍦戵ㄹ㔵㡦摣挳㥥㐸㠲㘷っ㤲㘳㐹㝣ㅥつ戹㕤搱戲挱ㄲ㕣戶㔰㘷〹攴㡤愴〷昲㌹挱戳㠴㥡挸㘷搱愱㌱ㄱㅢ愵摤㈷昲㤹捤㈶㈲㘸〵愸㠵愶挷ㅦ㐹戴㠸㔱㐳戵攱㄰戸〴ㅥ挰㐸愲㑣㠶㈹ㅦ㈹㜴ち㔱㡣攱㝢㐴ㄱ搲慦攲扦捦ㅤ晤攵戳㑣㝦㍢㉡㤴㐴㐴㔵敢㉡㈸ㄱ搵㉡㍥㥥㕥㠵㡦搲敥慢㜸㝣戳㔵㡣㔰㔸㜲㈶㐶〸㌰搴㈷捡昸愳㔶㔵㐷㠶ㅢ捡㥦㌸㐷㠰㕦换㉣㐶㑣㤴愸扥ㄷ㤱㐱㕦敥扣㙡㜵〹㤹愴慦捥㡤挸昸捡㐷ㄹ㑡扣ㄱ㐹愷㑥㈱昲捡ㄶ㈲昵㔸㜴㘲㜷散㡥㄰ㄲ㔸ㄲ㍦㥢敤㉡摢ぢ㍤㠶晡挵㘳〹㘲㡥ㅦ㑦㍥愱搲攲攰ㄳ〸㈳㌲㑤㐹㐸摣㐸昱挱愴昱㌷扦摤昴㥤愲〲〹搴ㄳ㌵㈶挱愹挶ㅦ㐸ㅡㅦ挲攷㔹慡㑤㡥㔷〹㤸㥥㑢ㅡ㤳㌰㔵攳㐷㤳挶㝦㍤戴扦搱㌸愱挳㘸㘴㥤㐴㤲㘱昴慡㘳㐰敡㔳敤㘱㌴搷㉤㉡搲〱㉢㉡愶〸㔵㌱攴㥡㔲愵㠳戸ㄵ攲攳㘳改㜹㕣㜲挲㕤㄰㐸摢攸晦㤹㜰〲㤷㥦㘶捤搰挴户搰敢㠸㍡晢㠶㝡㘲攷㠲戵攰愳愰摦㍡ㄱ攰㜰㔵摤㔱㈴〲扢㈰ㅦ敤敦ㄶ摥昹っㅢ戲戹ㅦ㐹戴㑣攳㘵㤲摥戴㠸㡡戰攴挵晢ㄲ捣收ㅥ㘹搲㡣昱㌰㤰〳㌱〹挸㡣昱〸㘰ㄴ㤱搹挷㠲ㄱ昲扦㘲敥昷戱攲晤〴㡦〲㤴〴㤹㥤㜴㔰昸〰挰㜰昲㝦慣ㄸ㕢㔷㡥ㄳ㑤㍣㤸扣㉣㑤㐶挶㘳散昰㈱㠰㍥昸㜱㐵㑣㠴㈵攳挳㈸㐹扦㤴㠲㐳扤昴㈳慣昸㈸挱攳〰㈵㥤㤳摤昶慥㜱㑤㍤慡戰㡦愱慢㜸㠴〰㍦攳攳㜱㠶て㍡昷攱捤摤㡤㘶㥥㠹㤳㉦晣ㄱ昳㙣昹㤴晦㙥㝣㥡扦挱㐵昷攱晦㑣愲㉢ぢ㍦慦扤愹户戱挸〴㌴捥搵㙦つ㥢晤〲挶攱扡㥡愱ㄴ㡥㐸愵㔲搴ち㠲昸收㠲㠵㠷㌷昰㉤㐷㔴㠵㄰愴〱㔵攱挶ㄵ㐷㔱㘰㝣㤲㑤㠹㘳攲挹昸ㄴ㥦㠸㕡戵㠹㥦㡥㌳㝣㄰挴慢敡㝥㝦摣㍤㜹㈱㜱慤㉡散戶ㄷㄲ晦慡㘲㌵晤挲㈷㌹㤸㐲ㄶ㌲慤㕡㠹㐸㔳㌴昴㜹㘴㠶晡㠶㌹户晢昰搳㉥㠹捡戹敡戹㜳晦ㅣ捥㡦㕤㥢㝦挷摢〶㥦㝣敥攷㝦㝣攲搷敦㍥昲㤷㝦㍤昵搴慦晦昴挴戳晦晡攱捡㤱㥦㍣晤昴㡦敦昹搲戳㝦摣㙢㝤㔹晢昶㍦攷扦晣搰攴㠵㠷ㅥ戰捥摣㝡散愱㜷摥㝦敦攴攲ㄵ攳㝤㝤晤晤户㡣晥昴㥡搷㡥㍣昲挰㜷挵㡦㝥㜷戵㉢搴㜲昱㠲搶㘹㜰搹㙡ㅡ㕦㐰〶搳攰㡣㕦搲㘹㜰戹㙡愳㔶攲㡤㥡㐶㐱ㄱ捥つ㑥㐰㔵㤸慤ㄵ〳晦〱慦㡣戴〴</t>
  </si>
  <si>
    <t>㜸〱敤㕢㝢㜰㕣搵㜹摦戳摡㝢戵㘷昵㕡㉣㠷ㄸ㐲戰っ〶ㄳ散慡ㄶ挲㠰㑢㔴㕢㕡搹戲㠸㙣换㤲㙣㐲㕢㈲慥㜶捦戵㉥摥摤㉢敥扤㉢㑢つㄹ㑣㐲㤳㍥搲㤲搲搲〹㈹㈹㈴㘵ち㘹㠷㘱摡㑥㌳㥤㑣搲㑥㍡㑣捡㜴㥣㑥㈶㘵摡愶㝦㌱挴搳戴㑤ㅦ㘴晡㤸㤴㘷㝦扦㜳敦搵㍥㈵搹挲㤹敡㡦ㅣ戳㥦捥敢㥥挷㜷捥昹扥摦昷㥤㐳㐲㈴ㄲ㠹㜷㄰昸㤷㈱挵挸㌵搳换㝥愰㑡晤㌹户㔸㔴昹挰㜱换㝥晦戰攷㔹换ㄳ㡥ㅦ戴愱㠲㌹敢愰摣㌷㘶㝤攷攷㔵㝡㜶㔱㜹㍥㉡ㄹ㠹㐴㍡㉤㤳㈸㘷ㅤ晥戲㜱㐲㌲㈵㔳㈴愸㤵攸㌴㐱㘶㜲㈳挷攷敥㐷晢搳㠱敢愹㍤㝤愷挲㔶㠶〶〶晡〷晡㙦摤㌷㜰㑢晦摥㍤㝤戹㑡㌱愸㜸㙡愸慣㉡㠱㘷ㄵ昷昴㑤㔶收㡡㑥晥㐳㙡㜹挶㍤愳捡㐳㙡㙥敦攰㥣㜵敢ㅤ〳户敥摢㘷敦摦㝦㐷㘷㍢㕡㍥㤶ㅢ㤹昴㤴敤㕦慥㌶搳㙣昳㜸㙥愴晦㤸ち㉥㔷㥢ㄲ㙤愲挹㔱户㘴㌹攵换搴愸㐱㉥敦ㅢ㔵㜹㠷换愱㤴攷㤴㑦昷㘳搸㜵㡣㐶敡昶晥㘱摦慦㤴ㄶ戸戲㌹㔵㉣㑥㈹㥢㔳㤴愵㔱㍦㤸戴扣㤲摦㔹㈲晦㤴愷捡㜹攵㜷㤷づ㉤攵㔵㌱慡攸愷㑢愷㉣敦㤸㔵㔲㈹㐶㝡㑡攱ㅡ㡥ㄷ㔴㌹㜰㠲攵慥搲㐹㕦㑤㔹攵搳㡡㔵㡣搲㔸挵㈹㠸㔴ち晦㈵摡㜶戵ㅡ㤹㕥㈸㡣愷㤴㥢户扣㐰愷戸㠴〳慤敡搶㙣ㄷ㍤㡢扡㜱㜱㑢昵㌵㝣挵㌵㥢㜶㑡ㅦ㔲㕥㔹ㄵ搹〹愷戹扢愱㤲㘶㔰戸づ㉢㥣㡡愷挳㔵ㄲㅤ搱㜱攰㕣搸㡢㤹〱搹㜱戲散搸慥㔷摡㜳搴㈹て摤戲晦昶扤っ㝢㡥㕡㑢㐳㠳户つ敡㠴散㐰㌵搹挹て扡㐸㠶㑢㙥愵ㅣ挸㙥收昶㠰㠸搴㙢㌸㜸戵㡤昳㠳攴慣㤵㥣㥤㑢捥收㤳戳㠵攴慣㑡捥摡挹搹搳挹搹昹攴慣㤳㥣扤㍦㌹㝢〶㜵攲㤰㙥㙦㑦㐶攱㍢㌷敥㜸散攸敦㉥㡣㝤敡㈳㥤㝦扣㌸㝦攱ㅡ㠳㘷㙤戰搵㑣ㅢ㤹㜸ㄸ㠷㉦㙦昹㐱戴扥㘴晥攵㕤晥昵㔷晦戰㤷晦搱慦㍥㍡戹㉣慢㉦慦〰㠷攴ㄶ㄰戳ㄷ㘴换㌱户扦捦戵晢㝣㙣㕦攵昷昹㙥戱㈰户戲挶㝢㐰㠴昸ㄷ㉣㌱㤷戹ㄸ㤴㕦㝥昴挴戳㜷㍤㍥摡晢扡昷攷换㍦㈱㈸〶㜹㕣捤昷㠲㙣㍢㠶㥤〴改㜶㔴㔹攵愱挱㍤搳㐱㘱㔴㉤づ敤敤ㅦ㤴摢㔰㉡慦㘲扤慢㐱㡣㐹捦挹㉢昹㍥㘶㕥〳㈲挴㜷愳昶扦晥敤攷昶扣㝦摦㡤㈳㡦晣㐵敥㠵扥㍦晢摢户㍡慦㐵昱㠹㘸攳㡥㝡搶㔹㠸㠲慡㤴㠱㘸攵扦昵挵㉢愴慢扤捦扥摤ㅥㄸ㈸散摢㙢つ㕡〶户攸挵㥥攳㉣敡㜶摡㜷㍢攵㠲㝢㔶ㅦ散㙢㐶㉣㕦㔵㔷㝡㜷㔴㌶㠲㜳㔱昰摦搷扡㜰㍡戰〲㜵㜵㘳㔹戵㤱愶捦愶㈱昶㤴慦晢扢戶昱戳㔳㔶戱愲㠶㤷㥣戰昸晤つ挵㄰㝡敥摣敡愵㠷㍤昵挰㑡㘹搳㠸㠶愱㈷ㄷ㜵摢㑤戳っ㡢挲㜱昵攵收㕤㕦㤵昵昰㜶㤷㈶㥤晣ㄹ攵㑤㉢㙡㔹㔵搰㔳㝤て㡢㈲挹扢晢㜸ㄹㄳ㠵㉣㉤㕣㔷㥢㙢ㅦ㕡ち㔴戹愰ちㄸ敦㠲昲㠲攵ㄹ㙢慥愸慥慣慢ㄲ昶㠹㠲慢敡戲て扢昹㡡㥦㜳换㠱攷ㄶ敢㑢㠶ぢ㡢ㄶ愴㝤攱愸㕢㔰㄰搶㈹㠶㠴㐸戴戵〹㤱戸戹㤵ㅣ㘱扢㝥扦㕥㠸㥡㈵愶昸搸㔶扦敤晡愷㌰㍢捣愲愸戸㈷㤳㍢搷㘹㑣户换㘶㍥戰㝡挵㥡㌹ㄱ㤲戰昶㑤慢搷搶㘳㕣㔹戹ㅦ㙤攵㘴戲㌷㥡晤愱㐵㘸挴㈳㔶戹㔰㔴摥㥡㠰㑡㜰㐴㜲㍢㠸昱ち㑥昳慡摣愳㐴ㄷ㑢㘲搹㌸敢ㄴ㠲㜹㜳㕥㌹愷攷〳攴〱㜴愵搳㘴㙤㔳㤰㍢㤰㈵慦㈳戹ㅥ㈴㤳㐹㤸㍢㔹挹捣挸ㅢ挲戴㐱昵㜴改扡㤶戰㑥㙡摤づ㈰收ㅢ㈵攸㄰扦慤慤搵㉣㡦㔸晥㝣挰敤戹㘶㈱戵慡扣㤱㘴ㄷ㠸㐱ㄵ戹慥㉡愷ち㑤ㄱ戱㜴㤵㐶㤵㙤〱㈷敡搳㉤㉣愳ㄴ㐲㡦㔱攵攷㈵㌱捡㌸捥捡㤲㠹ㄸづ㝦㘷㠹扢㕦㉤〵愳㔶㘰戵㤷㠰㜶戰㑡ㄲ㤵㜶敢慦挲ㄸ扦散搲㜹昱搷㤹㈸㠵ㄶ戲㍡㕡搳㑡㠷捥〸㕢挲挱挱㜹㐹戴㐵㜴敤㐹㘰散搴㐸㘶攳㐶慦㐷㉤〰㔳㠵㌱㔵㥥㔹㕥㔰㍥慢愷捤㌵㔹搹㜸扣搸搸昱晣摣挹挰㈹晡晤ㄸ改㤸攷㔶ㄶ㉥㙢㍢ㄸ㤳扣〹㈴づ挶摦㘱ㄷ㕦晣㥣㘸㜰戴㉦㜲㙤㘶㘷戱㤵㤱㘲㡥㈴㘴㤲摣慤㘸散ㅤ晣搱㐱敥挱㥦捣㕡㘵〶户挵愵㈰㍣㙤㡥㤴挰愱ㄹ㑦㘹捣㥡搶〹㜰扢慢㜴户敢㥤㤹㜳摤㌳摣㑦摤㍡攵捦㉢ㄵ㄰〷㜶㐴戸㔷攳㕢㈱摡摡敡㜰㕣つ㘰㈴㠲㌴昷㠲㜴つㄷ㡢㝤㜱㡢扥㌹㠰慣㌶㈰㔲昳ㄶ㐴戶收愰ㄸ晢昶昵改挵改扢㙤戰㝦愹攸㉦㠹㙦㘲收挴づ㙦㝣晡㌳㉦㝤昶敤㥦㍥昲捣户㥥㝦晣㥥㌳捦昷㡢昳㔱㐱ㄳ攸㈳㌴㔹㐳㍢搷攱㉣㠲㤴㍡敤摣㘹ㅦ㜶㡡㠱昲戴〰敥戱昱㈷戴㈳㜴扡㡢㑡挷戳昲㈱㐲摦㙡攷愰㜷㘰戸〴换㔵㑤摣愴昷㐲戵昰㘳敤扥改戴扢搶敤㜵ㅡ㝥つ敤㠹㑤搳愰摦搷慥㕣戳㠹愸搸㕡㥥㐵扤愵晡搱㜲晤㈶㘳晤㐶挱愱慤戳㤵晡戵㥢㤰戵昷慥慥昵戹搹㥢㌷㈹㍦㕡㔵挳晥ㄸ㥦戴㜲昸㠴昸㘴ㅦㄸ㈷㙦㈳戹㥤攴づ㤲晤㈰攲ㅢ㄰㐶挴㉤ㅦ㠵搸晥㘵㘴扣〸㜰昰㕤㉤挲敦㘴㥤て㤲っ㠱〰㝤㘸㜹づ昰㜱〰㐹昳㈰㐸㑦㙣㝣昶㠵㕢㉣㤳㄰㌴慣〸㑡攴㌰挹〸㔳㌹㤰㘳㐷㔴ㄱ㔸昷㜲戹㜴っ㑡扦戵戵㌳昶て挷㜲㘵㘹㝡戹㥣㥦昷摣㌲㕣㕤〴つ挳㜹昸㐴㝣㘱㤹愵〹㌷㔷〹捣搲ㄱ〷㝦㍡㑢㔳㙡㐱㔹㐱㡥㌶㝥㔷㘹〲〶戵挶ㅢ攳㠵愵晦㑦㍣㤲㈰㘸㠴㤹㔸㠵㈴愲昱昴㠶挸㈰㘲㙦晦愸ぢ晦㥡搲捥㍥戲摤㌴㠱㉤㌷㈱攰㐸挸㔱㡣敥愹ㅦ晣晥㥤㌷㝣晥㠵㜷愲扦て㘱ㄷ敡㈰㘹㤸㌷㠳㠷㌱攴㘶搶㉡ㄳ戴搹〹㈰㈴ㄵ戶㌹〱搲㠶㙤㈰愹愲挵ㅦ愱改㤶摡昸て愳㠲㈶ㄳ㥦戶扢昶〱㑤昲晢ㄷ㔰㡤攷〴昱晡㈰愷㤰㤶搳㈴㌳㈰㌵攷攴㔴㤸ㄴ戴晦昵㤹戸㥢㤵㍥っ㈲攸〲搰㥥愴㝢㄰㠹㠳昸㍤戴㑦昴愵㡦ㅦㅤ〶捤㑣戸ㄷ戹ㄹ戹㐶㤹愰㘳㘱㠵〹㤲㌸㈵㘴挰㤳㘸戸㈵〳㝥㍢㉡㘸昴㐱ㄸ戴㘹㉥挱㜶搴扣戲㑦㌹敡㉣挱㙥户つ㑦㘲慥攲〷慥㐶收㕤昶愸㝢捣つ㐶ㅤ㝦愱㘸㉤昷摡㔱攴敥㜹㔵㠶摤散挱㝣㙥挸㜳ㄷㄶ㔴㐱摡搳㙥挵换慢昱搱捤㘰㔷㠳ㅤ㔸㍡㙤㔲㈷〵挲挶㑣㐵ㅣ㘷㠱㕤㠲㤰㌰㜶愰挱㐶挴㕦愳㌱慢攰㡣扥㤸㥥㉡㐷㘷㥣愰愸㍡㙣㕤慥攳㘹ㅢ㕣㠴㌳愲搰㙥捦捣〳〹㡦㜶搹㘳㥥㔳㈸㍡㘵挵挵〰攰愳㝢㜶㐲㥤㠶攳㘱搲昵ㅤ扡㡥扢散ㄹ捦㉡晢ぢ戴愱昲换㕢敡㔲㕡昸ㄹ昶㠸㔳昶搱㡤㕥㐵挶㝢散改㜹昷㉣敥ㄵ㉡愵昲㤸戵攰㙦㡡㔵攱㘹〹㠳㕥ㅡ㤱ㄴ挹愴㐸㈷搳ㅢ㕤ㅦ搳㐶㙢㕢㈳晦㜰ㅦ㌶㙡攰㌹㜳ㄵ㜲㑣昷㐲㘹㤲㈲搱㡢㤸㌰㘸㥦慦㠱㝡㠸㝤㈲㝦㄰㝤ㅤㅣ㙣㥤㝦戶愵搹扤㜲㕢㐳扣㈳㑦昳㥢㜹㤰扢挶㑥㡥㔷扤㠰敦敡愲挵愰㐷愱㔱㤷㌴㙥扤ㄵ愷ぢ〵㙢㜷戸㠷㤸挷㉤㠵愳㠹慤挰㔴攳扥捣搸扡づ户㘸㜷㌵㝡ㄸ㜶㝢愷㍤㘱捤愹㈲㔰㐳挹ち扡挳〴ㄱ㈰㝣愷㝥㔴㤶㜳㑢㈵㡢㝢㡥晢㜵㍡㙦ㄵ㔵摡ㅥ慥〴㉥摣昴搲〶搱ㅢ㌳捡戲㤶㤰㘵㉤改慣㑥㝢㡡㙥㐸ㅤ㘷㕢敥㘹换㜳㠲昹㤲㤳㑦㌳㐱㔷攱愶搸慣㄰㈰㕡愷㠳愱っ戱㌰㘹挴㌲愱㔶挷㜲昷〳㔹㤱㜵㕣㝥㙣改愴㌰昱㑦㙣搰㑢〵搱愳㌵㡡扣ㅦ慤ㄹ昴〲㔱ㄶ改昰㕡㝣㠵昸摡㐳挸搱搲㐹搰挹挴㘲挹㑢ぢ㐶昸㑢搱捦戳愶ぢ㠳㝢㌶㌳攱㕡㠵挳戰㌷㕤慦㍤扡ㄸ㑣㘳㘹㈹㙢扣㉣㥤㑡㌹昸㈹攱晦㕣㜴ち捡㑢㌳㘳ㅡ昸㉣㐵㜷㤴ㄹ慥㈱㜹㤳㌰㡣㡥㜴慢扥挶攳戶㜶㐶愶㝡敤㔵攷㜸㔳晢晦㝡攲づ㘲㔶㑣慢つ㔴ㄶ㐹㑡㈰㘲ㄷ〸攷搳㔰㠱〷㕤扡㈰〶ㅤ㈳㡤㙢㔳敦摦㠱ㄷ㠸㍥㠲㤴扥㔲愳攷㈹つ㉦㡤㜶㔹ㄹ㝡㈲ㅤ㌵慥㈶㌳昴㌲愵攳㝢㍡㜳㥡户づ㠵㑣㈸㘰㠹㑥戹ㅣ挹㘴ち㑢㙤㌶㍡〲㥡扡㐵㘳愵㘹愵㝤㔰㠲㝥ㄷ㜳〱愴㥢㠷〵敤捦㐶搷㔵㍢㤱〷晤扥〲㕢㌲ㄹ改㈱㉢㤱ㄱ㝢㐰攳戹㥢捣挹㘸㘱攳㈳㉡改㤷㌴㘸㌲慣㈱㈱㠰慣㙡っ㑢㠲ㄹ搳㠶搰っ㜰㜸㌹㠶挳㑥㠰㘱㜴摡㈰㠸㙡ぢ昰㙡㝤愸㙢㍥摡扤㠲ㄶ戶㌷ㄷ搵挱㠷㙢㥢换㙢昱挴捥ㄶ挵㈱搲愸〱ㄸ敢㔵搲㠸愳挵ㄸ㌷ㄳ〴ㄱ愱㐵㄰愱㄰㜱挳敡昶㜳つ摦戹慥敦〲戰㤸ㄵ㝣㡦㑤戱㐸㉡昰て㝢攸㉣愲〴㌰戴㈸搷摥㈳㌵晥〴〲挴っ㐱㑣㤸搷ㄵ㌹慣挶换㍥愴㐰㈶㑡㐱挶㜷㐷搱攳㤵愰慥挴㕡敡㡤㑡攰㡢㍢㕥㠶㘶捥㕢㕥㘱㤳㠸㜵捣㉤㠴ㅦ㕡㐲㙦㄰ㅡ愲ㄱ㠶ㅡ㘱っ戰扦㠴ㅣ昲㥡㠶晢愵戸㘳㘸〴㜴㤱摤㉢㕥㥡㌴㔳扣愴搴慢㄰㕥㔳㙡㥣㍥愹〰戲昱〰愰愸㝡昵〷㉢㐹㉤挲愴㍤㍣㠷㡢搱㑡㐰㝤ㅥ挵昴㐹㤷昶㤴㉡㕡扣㌸㠳晡㡤㘲㤳昹〰捥挷㤵〶㜸㈹戶㜹㔶〸ㅣ㐹㐵慢㈴昴㍡㤹㙢㙣摥晡㐹昰㄰㙤㜰㔵㈱搳㙤ㅤ晥晤㠰昸摣ㄳっ㕦㍡㤰㠸㈳㤱㈵㐰㠷捣ㅡ㈸ㄲ挲戶搶㜷挶㤳搴ㅢ扢㜴㐳ㄱ愷愵㔷㘷㥣㐷愸搹㐵㥢挰ぢ㜰㜳捣户〱㍤㍣㍡㐵攸攲挰〱慡㉡㉥㜷摢攳攵㝣戱㔲㔰ㅡ㤲挵㐲㕢㈳戳㑤戱㕥晡㈵㔳戸㔶㙢昰㈵㘲捡㌸㥥㌳挵㌷㠹ㅢ㌷捣攴㌲搸慡〱ㄲ摡挸挸㡦㈲挵㜳㐷㌷搹㈵㍢㉡昹挶㘴㑢搵捤慥㥦搴㐰戴㌵㘵㔱愶搱摢戴攲敢搴㈷慥愶摡㠴㍢攱搲戰慢挹㍡攲㠴㔹㥢㘲㥤㌰捦㔰昰㤹㈶㠰改〶㑦〸摡昸㉦戳㌰捣戶㈰晤ㅥ晡摡攸愳搹㜳ㅦ戹㜰㈰戴㤳ㄳ㠲㥥挸ㅤ㉣搲摥ㅦ㡤㐳㘹㠰㈵慢㔶㤸愰㥦㤲㤶㤸晣ㄸ㠸愰挳㤲〶づ㤴㔵〸㜸ㅦ㐲㝣㝤挰㑢㤰㠸挳㥡㤰攷愲〸ㄳ㠲挳㡡㠱ㄲ愲搸ㄳㅡ㐵㍥㡣愸晣㌸㠸ㄸ〱㘹㔱攱ㄳ慣昰〸㠸㐱㘷㔷愳愰㔹搵㙦挷挶㡤ㄲ挱㘰扡㐴㔰㡣㘳㙡攲搶ㄳ㝥㐹㠸㈰戳㈳㥤㘳戳扦〰昲捤昳攷㌹捦㠴ㄸ〳㠹晢攷㝤㔸㠴攴㍥㠹愸晣ㄴ㉢搰㠱戵ㅤ扦ㅡ搷㠳㤸㐲㜲〷昳捣㕦〴改つ㕦戰慣㙢敤ち晡戹㌴㥦㝦〹ㄱ㐱㠷搷昵昸愱攱㤰捦扦㠲昸晡㝣愶㘳㡣慣㤵㥦㡥㈲㑣〸㝡挷攲㘹㈰ㅡ昳昹㔷ㄱ㤵扦〶㈲攸㌹㙢㔱攱㔱㔶昸っ㉢搰㤹㐶挴㙥晥㍡㐸㔷㡣㠴挳㐷㌷㉤㠰昰㙦愰ㄶ㠰㌰㕤㙡㜱戳㈶㜳㐲㈰晣㥢㠸捡挷㐱挴㘹ㄲ愶㝥㉢㡡攸㈵愲つ搵㘸ㅡ㌴㤹㙤㈹㔴〲戲㠱〱㌷ㅤ㉣ㄷ㘱㌴㌳㑡㔳㈱㡣㜱㝤挳㘲ㄸ㌰慥〷㤹㤷㙡扣摤㔸昹㤶户ㅢㅤ㕢ㅢ摥㘶攸捦㔸㌲㡦㥦攱〰攸慦晡㍤㘷㔰扤愸㡤ㅦㅣ㤸㥦㐵昶搶愳㑥摥㜳㝤搷づ晡愶攱ㄱ敡攳㕢ㄷㅢ㐲㙦搸㌸㡤ㄶ㕢昶挹㠹愵捡㝣㈳戸挸扢摦捣㤹戲㝢戶慣㐷㘳昸㝣昲愳昹搵摥捥㙥㈸ち㜵戸ㅥ㕣捣搲㤶攴挷昲㜳㈰㕤㙤㔹ㅡ㘳っ㔹ㅡ㘴っ搹搰捤㠲〸㉤㌰〶㠳ㄶ换挵㥡㐳㙣㕢捣㠹扣㈸〸㤵㙡㙦㙦㠲挸㑤㘶搴捡捤㍣㥣攵散㑣㘱捡㡤戸扡昵㐷昵ㅣ攵挷㝡搶㑦㈲㈲㍦て㤲挹搲㤸攲㠰捣摦〱改捥㡤捣搶㜸㠳捣愷㤰搷㠹㍣㉤昱愷昰ㅡ挷㝣ㅡ㌹㔷㈰愷晥㑤愶昹〵㘴㙦㐱㌶慥㥢攳ぢ㘸㙥愱㉣慤㌴捤㑡挲〱晤㔲㔱㍥挳ㄸ挵愲㐱戴摥㌸㡤ㅡ晦㑥㠳㜹㤰慤戱搹㌴㐳慥戰㑦㔴慣㈲㕥㠴ㅥ〷㙥〸㤸戵ㄹ戴㑤㉡㐴㙦敢敥〵㍤㠵㥦扤㤷㑢搲挸㠳晡愵㡣收愶㕦㘶㙣㑣㜷㘵㡣㥦㔹㜷挳挴扤㌴㙦ㄸ㑡㤲㡣㝣㤶ㄴ㤷㘷戴慡昴ㄶ㝡づ㤱㌸〸攲晦愶㕣㠳㔸攵攲㠱ㄱ扦敦慤㍡㐹攸づ摢㕤〴㐶扣〸敦攳㤷搸㍤戱㔰搳ㄸ挴挷攲摣㍦㠸㈲㥣㡥愰慥愵㜰ㄴ㌳㘰っ㐵ㄲ攲〹昳㜹㤰㔵攵㡣㤸㐲㌵捡㥡㝡㔹㜱づ摦攸つ晥〲㈲㤰ㄵて攳て㐳㤶㙡㤷㈱晢㠹昰㙦㈲晢㐸ㄴ改愱㘶㘴㉢㤴攴㤷㌵㘴㍦㠹收㌸㐱挹挳㉣㜹㝡攵搳㈰㔹慡㔸㥤捦攷ㅢ晡㘵愹晣ㄳ挴㠴搶㤰捣晡㌲㔳昸㘹敥㔰㐳㙡敥㡣搷㜰㐷㔲ち㔳攰㡡戱㤶㡣愰㥥搴㡣昸ち㈲㘰〴㜵㈲㐳㤶㝡㤱㈱㑢㈵挸㤰愵㈲㘴㄰搴㙥ㄴ㥣攲㄰㥡愴㔰搳㘳晣㉡㜲攴搷㐰㌲㔹㉡㌸摤㘸晤㝣攴ㄷ㤰㥦愵攲搳㠵摢㄰搱㉦㔸攵㡢㡣㔱戶㘴愹〷㜵攱㌷㄰改㙡㌳㈸捡敦㕣摤ㄵ㔱㈳昴㜶〳戰搷扤㝤㍣㠴户㡣换㐹㝣摦〶摦㕦攸㌱㑢㈵㝦㙡㘳㙤昱搴户愳㈹晥㡣晤㤸昱扢㘸㠷敢㔵搵㤶㙣㜱㍢㝥昲㈵㤰ㅥち㜸攲慣㠶㉤昶摡〱攴㌱ㅣ搴㌴㤱㡥晥㘶て昶㔰ㅢ攸㉦敥ㄵ㍢ㅥㅢ㌶㕥㜹愸昱敡㤳㕦扣㍥昵攰㌰晦敥㍡晥昰戰㜸〶㤱ㅥ晣昴㔵㘶捤㉤摥慤㤸㔶换㕢扣挱愸愰昱㔱㤱㜸ㄶ慤㜰㌶昲慦㐱戸〷昸换挶ㄲ㐶攸攳捤攲㤵ㅣㄶ昳㐰敢ㄵ晥ㄶ㈲㕤㙤㠲〷㤰慢㉣㝥ㄲ摤㤰戵㥡ㅢ摦㘶づ昷㝡㜵愴ㄳ㐸㠵昷㡤㌷慦㌶搲て㐴〵㡤ㄷ慥㔹㥥ㄳ摤改摦㈳㠲㑥戹搹㜵愷扢㙡㍢晤〷攴昶㜰ㅢ㕦摡ㄲ㜰捦慦扢〴㜸㥥㜷㜰㔰㠷扦㌹㈰㕥㘴㐷昸㌵㉥挱㜵慢㑤㙣㐷㔴搰㜴㤱捡㘳戲摥㐵㙡捤扢㘷㜶㙡搸㔴昱ㅤ㜶㤸捤㥤慤ㅤ㘴㐵つ戱㍡㜱敤攱攱攵昱〴慥昷㜰搹㠱晦㐵㈲㐲っ戸昶愳攱㄰㍢搶愵㑥昱㘳搳㍥敥挱搳摥㙥㡦晢㜰〱ㄵ搲㜸㌹ㄹ攰慤㔸㜹㌳㈸㜵㠰摥ㄴ㈵〰㜶㈶㕦㉢㈷㕢攲㑤〲挹㐶ㄳ慡〶捥㔴昹ㄱ扢〱㤲扣㉤搹㤸㑡㌷㕦㐱㘷㉢ㄷ㠰㠵㥡ぢ挰㤴搸㡥㌵づㄵ搵戹挴㍢愸㠶㤰㑣挸㔷昱㐷ㅦ㔲㝤搲㐰㌲昲〲戳㜶挶㈴㘱㔰㜲㌴捥㡣昰晦㌰愷摥昰㈶戸愳㠳搳㡤㐳㤶〷㔷㥦㡢㝦㐴㐴㝥㡦攴㥦㐰㌲㠲㠷㤳㝢换晣㘷㤰敡㘳ㅣ㡤挸晤愴戸㌲ㅥ敢昷㙦戹慡㍡搶敦愳慥攴㌱ㄵ㥡改ㅣ敢扦㌱慢㍡㔶挱㜳捤昱捥㍣昱㤵㠳㙦つ摥㍢㉣㜸㈰㜵㐷晦㠱㐸㙣㉢搶㌳㈶ㅢ㜷㤶愸㘵捣て㔰扦㠱㌱晦挹慣㥡捥㜸㥥搹㔹ㅣっ㌲昳愲㤷㥡㤲㙤㠳挰收扦昱愹戸㐰㠲㥦晣㥦㈸挲㠴㈰愳戵攴㤱㤸ㄵ挵摤〷㤱㤱㑥㥡㠲捣搷〵改愸㘰㐸ㄷ〸挱〵搱〵敤㔱〱㤵㠱㝣ㅤ㐴㤰攱㝡㠳扣挱ㄴ㜹慤㍢㝣㌳㡡攸づ挹㈷㕤攷㉤收㤲㐵扡捥摢戵㜵昴㜸㤱戱㈲愹ㄱ㑦㘴㌹敥ㄴ㜳昹㐵㔷㕢て扢愴㈵㥤㕣ㄲ昹晢ち昷摤昷挳㥥㔴摦搵愹てㅦ散㝣攲㤵扦㝡昵戱㤷㝦㙥攸㝢㙦㍥昹攴换ㄷㅥ㍢晦收㔷攷㠶晥昲㡢㕦㝣昱慥愷捥扦扡挵㝥㍡昹攵ㅦ㑥㍣晤攰挰㤹〷ㅦ戰㑦摥㍣昶攰㍤昷㥦ㄸ㤸扣㘲㜷㕢㕢㝢晢慥摥㤷戶摤㤴㍤昷挰㥦㡡慦㝦攷扤㘵愱㘷挱づ㥦〳㠹㐳㤶戳搱挳㐸敡㘱〸㍤て攴搵搷攲㝣㜴㉤㝡昷㈰攱㌹㘶捤戵㌷摥づ昹㍣㠲ち㘹㘴戳ㄵ㕤昰㝡㐳〱㍦搴〵晦㕢㕦搰昱㝦挷〱慦㔸</t>
  </si>
  <si>
    <t>No. of shares</t>
  </si>
  <si>
    <t>Net proceed</t>
  </si>
</sst>
</file>

<file path=xl/styles.xml><?xml version="1.0" encoding="utf-8"?>
<styleSheet xmlns="http://schemas.openxmlformats.org/spreadsheetml/2006/main">
  <numFmts count="9">
    <numFmt numFmtId="6" formatCode="&quot;$&quot;#,##0_);[Red]\(&quot;$&quot;#,##0\)"/>
    <numFmt numFmtId="8" formatCode="&quot;$&quot;#,##0.00_);[Red]\(&quot;$&quot;#,##0.00\)"/>
    <numFmt numFmtId="43" formatCode="_(* #,##0.00_);_(* \(#,##0.00\);_(* &quot;-&quot;??_);_(@_)"/>
    <numFmt numFmtId="164" formatCode="_(* #,##0_);_(* \(#,##0\);_(* &quot;-&quot;??_);_(@_)"/>
    <numFmt numFmtId="165" formatCode="0.00_);[Red]\(0.00\)"/>
    <numFmt numFmtId="166" formatCode="0.0000"/>
    <numFmt numFmtId="167" formatCode="0.00000"/>
    <numFmt numFmtId="169" formatCode="#,##0.000"/>
    <numFmt numFmtId="170" formatCode="0.00000000"/>
  </numFmts>
  <fonts count="46">
    <font>
      <sz val="11"/>
      <color theme="1"/>
      <name val="Calibri"/>
      <family val="2"/>
      <scheme val="minor"/>
    </font>
    <font>
      <sz val="11"/>
      <color theme="1"/>
      <name val="Calibri"/>
      <family val="2"/>
      <scheme val="minor"/>
    </font>
    <font>
      <b/>
      <sz val="11"/>
      <color rgb="FF3F3F3F"/>
      <name val="Calibri"/>
      <family val="2"/>
      <scheme val="minor"/>
    </font>
    <font>
      <b/>
      <sz val="11"/>
      <color theme="1"/>
      <name val="Calibri"/>
      <family val="2"/>
      <scheme val="minor"/>
    </font>
    <font>
      <sz val="11"/>
      <color theme="0"/>
      <name val="Calibri"/>
      <family val="2"/>
      <scheme val="minor"/>
    </font>
    <font>
      <b/>
      <sz val="11"/>
      <name val="Times New Roman"/>
      <family val="1"/>
    </font>
    <font>
      <sz val="12"/>
      <color theme="1"/>
      <name val="Times New Roman"/>
      <family val="1"/>
    </font>
    <font>
      <b/>
      <sz val="12"/>
      <name val="Times New Roman"/>
      <family val="1"/>
    </font>
    <font>
      <sz val="12"/>
      <name val="Times New Roman"/>
      <family val="1"/>
    </font>
    <font>
      <b/>
      <sz val="10"/>
      <name val="Arial"/>
      <family val="2"/>
    </font>
    <font>
      <sz val="10"/>
      <name val="Arial"/>
      <family val="2"/>
    </font>
    <font>
      <sz val="12"/>
      <color theme="1"/>
      <name val="Calibri"/>
      <family val="2"/>
      <scheme val="minor"/>
    </font>
    <font>
      <sz val="12"/>
      <color rgb="FFFF0000"/>
      <name val="Calibri"/>
      <family val="2"/>
      <scheme val="minor"/>
    </font>
    <font>
      <sz val="11"/>
      <color theme="1"/>
      <name val="Times New Roman"/>
      <family val="1"/>
    </font>
    <font>
      <b/>
      <sz val="14"/>
      <color rgb="FF00B050"/>
      <name val="Times New Roman"/>
      <family val="1"/>
    </font>
    <font>
      <sz val="12"/>
      <color theme="0"/>
      <name val="Calibri"/>
      <family val="2"/>
      <scheme val="minor"/>
    </font>
    <font>
      <b/>
      <sz val="11"/>
      <color theme="1"/>
      <name val="Times New Roman"/>
      <family val="1"/>
    </font>
    <font>
      <b/>
      <sz val="12"/>
      <color theme="3"/>
      <name val="Times New Roman"/>
      <family val="1"/>
    </font>
    <font>
      <b/>
      <sz val="18"/>
      <color theme="3"/>
      <name val="Times New Roman"/>
      <family val="1"/>
    </font>
    <font>
      <b/>
      <sz val="12"/>
      <color theme="8" tint="-0.249977111117893"/>
      <name val="Times New Roman"/>
      <family val="1"/>
    </font>
    <font>
      <b/>
      <sz val="12"/>
      <color theme="0"/>
      <name val="Times New Roman"/>
      <family val="1"/>
    </font>
    <font>
      <b/>
      <sz val="12"/>
      <color rgb="FF000000"/>
      <name val="Times New Roman"/>
      <family val="1"/>
    </font>
    <font>
      <b/>
      <sz val="12"/>
      <color theme="1"/>
      <name val="Times New Roman"/>
      <family val="1"/>
    </font>
    <font>
      <b/>
      <sz val="12"/>
      <color theme="4" tint="-0.249977111117893"/>
      <name val="Times New Roman"/>
      <family val="1"/>
    </font>
    <font>
      <b/>
      <i/>
      <sz val="12"/>
      <color theme="1"/>
      <name val="Times New Roman"/>
      <family val="1"/>
    </font>
    <font>
      <sz val="9.5"/>
      <color theme="1"/>
      <name val="Times New Roman"/>
      <family val="1"/>
    </font>
    <font>
      <u/>
      <sz val="9.5"/>
      <color theme="1"/>
      <name val="Times New Roman"/>
      <family val="1"/>
    </font>
    <font>
      <sz val="9"/>
      <color theme="1"/>
      <name val="Arial"/>
      <family val="2"/>
    </font>
    <font>
      <sz val="9"/>
      <color theme="1"/>
      <name val="Times New Roman"/>
      <family val="1"/>
    </font>
    <font>
      <sz val="11"/>
      <name val="Calibri"/>
      <family val="2"/>
      <scheme val="minor"/>
    </font>
    <font>
      <b/>
      <sz val="14"/>
      <color theme="1"/>
      <name val="Calibri"/>
      <family val="2"/>
      <scheme val="minor"/>
    </font>
    <font>
      <sz val="14"/>
      <color theme="1"/>
      <name val="Calibri"/>
      <family val="2"/>
      <scheme val="minor"/>
    </font>
    <font>
      <sz val="16"/>
      <color theme="1"/>
      <name val="Calibri"/>
      <family val="2"/>
      <scheme val="minor"/>
    </font>
    <font>
      <b/>
      <sz val="16"/>
      <color rgb="FF00B0F0"/>
      <name val="Calibri"/>
      <family val="2"/>
      <scheme val="minor"/>
    </font>
    <font>
      <sz val="12"/>
      <name val="Calibri"/>
      <family val="2"/>
      <scheme val="minor"/>
    </font>
    <font>
      <sz val="20"/>
      <name val="Calibri"/>
      <family val="2"/>
      <scheme val="minor"/>
    </font>
    <font>
      <sz val="10"/>
      <color theme="1"/>
      <name val="Times New Roman"/>
      <family val="1"/>
    </font>
    <font>
      <b/>
      <sz val="9.5"/>
      <color theme="1"/>
      <name val="Arial"/>
      <family val="2"/>
    </font>
    <font>
      <sz val="1"/>
      <color theme="1"/>
      <name val="Times New Roman"/>
      <family val="1"/>
    </font>
    <font>
      <sz val="9.5"/>
      <color theme="1"/>
      <name val="Arial"/>
      <family val="2"/>
    </font>
    <font>
      <sz val="8"/>
      <color theme="1"/>
      <name val="Times New Roman"/>
      <family val="1"/>
    </font>
    <font>
      <vertAlign val="superscript"/>
      <sz val="12.5"/>
      <color theme="1"/>
      <name val="Arial"/>
      <family val="2"/>
    </font>
    <font>
      <sz val="10.5"/>
      <color theme="1"/>
      <name val="Times New Roman"/>
      <family val="1"/>
    </font>
    <font>
      <sz val="8.5"/>
      <color theme="1"/>
      <name val="Times New Roman"/>
      <family val="1"/>
    </font>
    <font>
      <sz val="14"/>
      <color theme="1"/>
      <name val="Times New Roman"/>
      <family val="1"/>
    </font>
    <font>
      <b/>
      <sz val="14"/>
      <color theme="1"/>
      <name val="Times New Roman"/>
      <family val="1"/>
    </font>
  </fonts>
  <fills count="23">
    <fill>
      <patternFill patternType="none"/>
    </fill>
    <fill>
      <patternFill patternType="gray125"/>
    </fill>
    <fill>
      <patternFill patternType="solid">
        <fgColor rgb="FFFFFFCC"/>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7" tint="0.59999389629810485"/>
        <bgColor indexed="65"/>
      </patternFill>
    </fill>
    <fill>
      <patternFill patternType="solid">
        <fgColor theme="8"/>
      </patternFill>
    </fill>
    <fill>
      <patternFill patternType="solid">
        <fgColor theme="9"/>
      </patternFill>
    </fill>
    <fill>
      <patternFill patternType="solid">
        <fgColor theme="9" tint="0.39997558519241921"/>
        <bgColor indexed="65"/>
      </patternFill>
    </fill>
    <fill>
      <patternFill patternType="solid">
        <fgColor theme="0"/>
        <bgColor indexed="64"/>
      </patternFill>
    </fill>
    <fill>
      <patternFill patternType="solid">
        <fgColor theme="8" tint="-0.499984740745262"/>
        <bgColor indexed="64"/>
      </patternFill>
    </fill>
    <fill>
      <patternFill patternType="solid">
        <fgColor theme="0" tint="-0.149998474074526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rgb="FF92D050"/>
        <bgColor indexed="64"/>
      </patternFill>
    </fill>
    <fill>
      <patternFill patternType="solid">
        <fgColor theme="0" tint="-0.249977111117893"/>
        <bgColor indexed="64"/>
      </patternFill>
    </fill>
    <fill>
      <patternFill patternType="solid">
        <fgColor rgb="FFFF0000"/>
        <bgColor indexed="64"/>
      </patternFill>
    </fill>
    <fill>
      <patternFill patternType="solid">
        <fgColor rgb="FFFFFF00"/>
        <bgColor indexed="64"/>
      </patternFill>
    </fill>
    <fill>
      <patternFill patternType="solid">
        <fgColor theme="9"/>
        <bgColor indexed="64"/>
      </patternFill>
    </fill>
    <fill>
      <patternFill patternType="solid">
        <fgColor rgb="FF00FF00"/>
        <bgColor indexed="64"/>
      </patternFill>
    </fill>
    <fill>
      <patternFill patternType="solid">
        <fgColor rgb="FF00FFFF"/>
        <bgColor indexed="64"/>
      </patternFill>
    </fill>
  </fills>
  <borders count="28">
    <border>
      <left/>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style="medium">
        <color auto="1"/>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rgb="FF7F7F7F"/>
      </right>
      <top style="thin">
        <color rgb="FF7F7F7F"/>
      </top>
      <bottom style="thin">
        <color rgb="FF7F7F7F"/>
      </bottom>
      <diagonal/>
    </border>
    <border>
      <left style="medium">
        <color indexed="64"/>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bottom/>
      <diagonal/>
    </border>
    <border>
      <left style="medium">
        <color indexed="64"/>
      </left>
      <right/>
      <top style="thin">
        <color indexed="64"/>
      </top>
      <bottom style="thin">
        <color indexed="64"/>
      </bottom>
      <diagonal/>
    </border>
    <border>
      <left style="medium">
        <color indexed="64"/>
      </left>
      <right style="thin">
        <color rgb="FF7F7F7F"/>
      </right>
      <top/>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style="medium">
        <color indexed="64"/>
      </left>
      <right style="medium">
        <color indexed="64"/>
      </right>
      <top style="medium">
        <color indexed="64"/>
      </top>
      <bottom/>
      <diagonal/>
    </border>
    <border>
      <left/>
      <right/>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medium">
        <color indexed="64"/>
      </top>
      <bottom style="thin">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s>
  <cellStyleXfs count="15">
    <xf numFmtId="0" fontId="0" fillId="0" borderId="0"/>
    <xf numFmtId="43" fontId="1" fillId="0" borderId="0" applyFont="0" applyFill="0" applyBorder="0" applyAlignment="0" applyProtection="0"/>
    <xf numFmtId="9" fontId="1" fillId="0" borderId="0" applyFont="0" applyFill="0" applyBorder="0" applyAlignment="0" applyProtection="0"/>
    <xf numFmtId="0" fontId="1" fillId="2" borderId="3" applyNumberFormat="0" applyFont="0" applyAlignment="0" applyProtection="0"/>
    <xf numFmtId="0" fontId="4" fillId="3"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1" fillId="7"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1" fillId="0" borderId="0"/>
    <xf numFmtId="43" fontId="10" fillId="0" borderId="0" applyFont="0" applyFill="0" applyBorder="0" applyAlignment="0" applyProtection="0"/>
    <xf numFmtId="0" fontId="10" fillId="0" borderId="0"/>
  </cellStyleXfs>
  <cellXfs count="311">
    <xf numFmtId="0" fontId="0" fillId="0" borderId="0" xfId="0"/>
    <xf numFmtId="0" fontId="0" fillId="0" borderId="0" xfId="0" applyBorder="1"/>
    <xf numFmtId="0" fontId="0" fillId="0" borderId="4" xfId="0" applyBorder="1"/>
    <xf numFmtId="0" fontId="11" fillId="0" borderId="0" xfId="0" applyFont="1"/>
    <xf numFmtId="0" fontId="13" fillId="0" borderId="0" xfId="0" applyFont="1"/>
    <xf numFmtId="0" fontId="15" fillId="4" borderId="9" xfId="5" applyFont="1" applyBorder="1"/>
    <xf numFmtId="0" fontId="16" fillId="11" borderId="10" xfId="3" applyFont="1" applyFill="1" applyBorder="1"/>
    <xf numFmtId="2" fontId="16" fillId="11" borderId="5" xfId="3" applyNumberFormat="1" applyFont="1" applyFill="1" applyBorder="1"/>
    <xf numFmtId="0" fontId="13" fillId="0" borderId="12" xfId="0" applyFont="1" applyBorder="1"/>
    <xf numFmtId="0" fontId="16" fillId="0" borderId="0" xfId="0" applyFont="1" applyBorder="1"/>
    <xf numFmtId="0" fontId="15" fillId="8" borderId="10" xfId="9" applyFont="1" applyBorder="1"/>
    <xf numFmtId="0" fontId="5" fillId="11" borderId="10" xfId="3" applyFont="1" applyFill="1" applyBorder="1"/>
    <xf numFmtId="2" fontId="5" fillId="11" borderId="5" xfId="3" applyNumberFormat="1" applyFont="1" applyFill="1" applyBorder="1"/>
    <xf numFmtId="0" fontId="13" fillId="0" borderId="0" xfId="0" applyFont="1" applyBorder="1"/>
    <xf numFmtId="0" fontId="4" fillId="5" borderId="14" xfId="6" applyBorder="1"/>
    <xf numFmtId="0" fontId="5" fillId="11" borderId="5" xfId="3" applyFont="1" applyFill="1" applyBorder="1"/>
    <xf numFmtId="0" fontId="17" fillId="0" borderId="0" xfId="12" applyFont="1"/>
    <xf numFmtId="0" fontId="6" fillId="0" borderId="0" xfId="0" applyFont="1"/>
    <xf numFmtId="0" fontId="6" fillId="0" borderId="0" xfId="12" applyFont="1"/>
    <xf numFmtId="0" fontId="20" fillId="12" borderId="5" xfId="12" applyFont="1" applyFill="1" applyBorder="1"/>
    <xf numFmtId="0" fontId="21" fillId="13" borderId="6" xfId="12" applyFont="1" applyFill="1" applyBorder="1" applyAlignment="1">
      <alignment horizontal="left" vertical="top"/>
    </xf>
    <xf numFmtId="2" fontId="7" fillId="11" borderId="5" xfId="3" applyNumberFormat="1" applyFont="1" applyFill="1" applyBorder="1"/>
    <xf numFmtId="165" fontId="22" fillId="11" borderId="5" xfId="12" applyNumberFormat="1" applyFont="1" applyFill="1" applyBorder="1"/>
    <xf numFmtId="0" fontId="6" fillId="11" borderId="5" xfId="12" applyFont="1" applyFill="1" applyBorder="1"/>
    <xf numFmtId="0" fontId="4" fillId="8" borderId="15" xfId="9" applyBorder="1"/>
    <xf numFmtId="0" fontId="23" fillId="14" borderId="5" xfId="12" applyFont="1" applyFill="1" applyBorder="1"/>
    <xf numFmtId="0" fontId="6" fillId="11" borderId="0" xfId="12" applyFont="1" applyFill="1"/>
    <xf numFmtId="0" fontId="21" fillId="13" borderId="5" xfId="12" applyFont="1" applyFill="1" applyBorder="1" applyAlignment="1">
      <alignment horizontal="left" vertical="top"/>
    </xf>
    <xf numFmtId="165" fontId="22" fillId="0" borderId="0" xfId="12" applyNumberFormat="1" applyFont="1"/>
    <xf numFmtId="0" fontId="6" fillId="0" borderId="5" xfId="12" applyFont="1" applyBorder="1"/>
    <xf numFmtId="0" fontId="6" fillId="0" borderId="0" xfId="12" applyFont="1" applyBorder="1"/>
    <xf numFmtId="0" fontId="22" fillId="15" borderId="0" xfId="12" applyFont="1" applyFill="1" applyBorder="1"/>
    <xf numFmtId="0" fontId="6" fillId="0" borderId="0" xfId="12" applyFont="1" applyFill="1" applyBorder="1"/>
    <xf numFmtId="2" fontId="13" fillId="0" borderId="0" xfId="12" applyNumberFormat="1" applyFont="1" applyFill="1" applyBorder="1" applyAlignment="1">
      <alignment horizontal="center"/>
    </xf>
    <xf numFmtId="2" fontId="13" fillId="0" borderId="0" xfId="12" applyNumberFormat="1" applyFont="1" applyAlignment="1">
      <alignment horizontal="center"/>
    </xf>
    <xf numFmtId="0" fontId="22" fillId="0" borderId="0" xfId="12" applyFont="1" applyFill="1" applyBorder="1"/>
    <xf numFmtId="166" fontId="4" fillId="8" borderId="0" xfId="9" applyNumberFormat="1" applyBorder="1" applyAlignment="1">
      <alignment horizontal="center"/>
    </xf>
    <xf numFmtId="2" fontId="13" fillId="0" borderId="0" xfId="12" applyNumberFormat="1" applyFont="1" applyFill="1" applyBorder="1" applyAlignment="1" applyProtection="1">
      <alignment horizontal="center"/>
    </xf>
    <xf numFmtId="166" fontId="4" fillId="6" borderId="0" xfId="7" applyNumberFormat="1" applyBorder="1" applyAlignment="1">
      <alignment horizontal="center"/>
    </xf>
    <xf numFmtId="0" fontId="1" fillId="0" borderId="0" xfId="0" applyFont="1" applyAlignment="1">
      <alignment horizontal="center"/>
    </xf>
    <xf numFmtId="166" fontId="4" fillId="9" borderId="0" xfId="10" applyNumberFormat="1" applyBorder="1" applyAlignment="1">
      <alignment horizontal="center"/>
    </xf>
    <xf numFmtId="166" fontId="4" fillId="4" borderId="0" xfId="5" applyNumberFormat="1" applyBorder="1" applyAlignment="1">
      <alignment horizontal="center"/>
    </xf>
    <xf numFmtId="166" fontId="4" fillId="5" borderId="0" xfId="6" applyNumberFormat="1" applyBorder="1" applyAlignment="1">
      <alignment horizontal="center"/>
    </xf>
    <xf numFmtId="2" fontId="6" fillId="0" borderId="0" xfId="12" applyNumberFormat="1" applyFont="1" applyFill="1" applyBorder="1" applyAlignment="1">
      <alignment horizontal="center"/>
    </xf>
    <xf numFmtId="2" fontId="6" fillId="0" borderId="0" xfId="12" applyNumberFormat="1" applyFont="1"/>
    <xf numFmtId="0" fontId="24" fillId="0" borderId="0" xfId="12" applyFont="1" applyFill="1" applyBorder="1"/>
    <xf numFmtId="2" fontId="6" fillId="16" borderId="0" xfId="12" applyNumberFormat="1" applyFont="1" applyFill="1" applyBorder="1" applyAlignment="1">
      <alignment horizontal="center"/>
    </xf>
    <xf numFmtId="0" fontId="11" fillId="17" borderId="0" xfId="0" applyFont="1" applyFill="1" applyAlignment="1">
      <alignment horizontal="center"/>
    </xf>
    <xf numFmtId="2" fontId="22" fillId="0" borderId="0" xfId="12" applyNumberFormat="1" applyFont="1" applyFill="1" applyBorder="1" applyAlignment="1">
      <alignment horizontal="center"/>
    </xf>
    <xf numFmtId="2" fontId="6" fillId="0" borderId="0" xfId="12" applyNumberFormat="1" applyFont="1" applyBorder="1" applyAlignment="1">
      <alignment horizontal="center"/>
    </xf>
    <xf numFmtId="0" fontId="24" fillId="16" borderId="0" xfId="12" applyFont="1" applyFill="1" applyBorder="1"/>
    <xf numFmtId="0" fontId="22" fillId="17" borderId="0" xfId="12" applyFont="1" applyFill="1" applyBorder="1"/>
    <xf numFmtId="0" fontId="11" fillId="0" borderId="0" xfId="0" applyFont="1" applyAlignment="1">
      <alignment horizontal="center"/>
    </xf>
    <xf numFmtId="0" fontId="22" fillId="18" borderId="0" xfId="12" applyFont="1" applyFill="1" applyBorder="1"/>
    <xf numFmtId="0" fontId="11" fillId="18" borderId="0" xfId="0" applyFont="1" applyFill="1" applyAlignment="1">
      <alignment horizontal="center"/>
    </xf>
    <xf numFmtId="0" fontId="0" fillId="0" borderId="12" xfId="0" applyBorder="1"/>
    <xf numFmtId="2" fontId="0" fillId="0" borderId="0" xfId="0" applyNumberFormat="1" applyBorder="1"/>
    <xf numFmtId="0" fontId="0" fillId="0" borderId="18" xfId="0" applyBorder="1"/>
    <xf numFmtId="0" fontId="0" fillId="0" borderId="0" xfId="0" applyAlignment="1"/>
    <xf numFmtId="0" fontId="25" fillId="0" borderId="0" xfId="0" applyFont="1" applyAlignment="1">
      <alignment vertical="top"/>
    </xf>
    <xf numFmtId="0" fontId="13" fillId="0" borderId="0" xfId="0" applyFont="1" applyAlignment="1">
      <alignment vertical="top"/>
    </xf>
    <xf numFmtId="3" fontId="25" fillId="0" borderId="0" xfId="0" applyNumberFormat="1" applyFont="1" applyAlignment="1">
      <alignment horizontal="right" vertical="top"/>
    </xf>
    <xf numFmtId="0" fontId="25" fillId="0" borderId="0" xfId="0" applyFont="1" applyAlignment="1">
      <alignment horizontal="right" vertical="top"/>
    </xf>
    <xf numFmtId="0" fontId="26" fillId="0" borderId="0" xfId="0" applyFont="1" applyAlignment="1">
      <alignment horizontal="right" vertical="top"/>
    </xf>
    <xf numFmtId="0" fontId="25" fillId="0" borderId="0" xfId="0" applyFont="1" applyAlignment="1">
      <alignment horizontal="left" vertical="top"/>
    </xf>
    <xf numFmtId="6" fontId="26" fillId="0" borderId="0" xfId="0" applyNumberFormat="1" applyFont="1" applyAlignment="1">
      <alignment horizontal="left" vertical="top"/>
    </xf>
    <xf numFmtId="6" fontId="26" fillId="0" borderId="0" xfId="0" applyNumberFormat="1" applyFont="1" applyAlignment="1">
      <alignment horizontal="right" vertical="top"/>
    </xf>
    <xf numFmtId="3" fontId="26" fillId="0" borderId="0" xfId="0" applyNumberFormat="1" applyFont="1" applyAlignment="1">
      <alignment horizontal="right" vertical="top"/>
    </xf>
    <xf numFmtId="8" fontId="0" fillId="0" borderId="0" xfId="0" applyNumberFormat="1"/>
    <xf numFmtId="0" fontId="25" fillId="0" borderId="0" xfId="0" applyFont="1" applyAlignment="1"/>
    <xf numFmtId="0" fontId="28" fillId="0" borderId="0" xfId="0" applyFont="1" applyAlignment="1"/>
    <xf numFmtId="0" fontId="13" fillId="0" borderId="0" xfId="0" applyFont="1" applyAlignment="1"/>
    <xf numFmtId="166" fontId="4" fillId="11" borderId="0" xfId="5" applyNumberFormat="1" applyFill="1" applyBorder="1" applyAlignment="1">
      <alignment horizontal="center"/>
    </xf>
    <xf numFmtId="0" fontId="0" fillId="0" borderId="0" xfId="0" applyNumberFormat="1" applyAlignment="1"/>
    <xf numFmtId="10" fontId="0" fillId="0" borderId="0" xfId="2" applyNumberFormat="1" applyFont="1" applyFill="1"/>
    <xf numFmtId="9" fontId="0" fillId="0" borderId="0" xfId="0" applyNumberFormat="1"/>
    <xf numFmtId="10" fontId="0" fillId="0" borderId="0" xfId="0" applyNumberFormat="1" applyFill="1"/>
    <xf numFmtId="0" fontId="1" fillId="0" borderId="0" xfId="8" applyFill="1" applyBorder="1"/>
    <xf numFmtId="0" fontId="0" fillId="0" borderId="0" xfId="0" applyFill="1" applyBorder="1"/>
    <xf numFmtId="0" fontId="1" fillId="16" borderId="16" xfId="8" applyFill="1" applyBorder="1"/>
    <xf numFmtId="0" fontId="3" fillId="16" borderId="21" xfId="0" applyFont="1" applyFill="1" applyBorder="1" applyAlignment="1">
      <alignment horizontal="center"/>
    </xf>
    <xf numFmtId="0" fontId="1" fillId="16" borderId="18" xfId="8" applyFill="1" applyBorder="1"/>
    <xf numFmtId="0" fontId="27" fillId="0" borderId="0" xfId="0" applyFont="1" applyAlignment="1">
      <alignment wrapText="1"/>
    </xf>
    <xf numFmtId="0" fontId="27" fillId="0" borderId="12" xfId="0" applyFont="1" applyBorder="1" applyAlignment="1">
      <alignment wrapText="1"/>
    </xf>
    <xf numFmtId="8" fontId="27" fillId="0" borderId="0" xfId="0" applyNumberFormat="1" applyFont="1" applyBorder="1" applyAlignment="1">
      <alignment horizontal="right" wrapText="1"/>
    </xf>
    <xf numFmtId="0" fontId="27" fillId="0" borderId="0" xfId="0" applyNumberFormat="1" applyFont="1" applyBorder="1" applyAlignment="1">
      <alignment horizontal="right"/>
    </xf>
    <xf numFmtId="0" fontId="27" fillId="0" borderId="0" xfId="0" applyNumberFormat="1" applyFont="1" applyFill="1" applyBorder="1" applyAlignment="1">
      <alignment horizontal="right"/>
    </xf>
    <xf numFmtId="0" fontId="27" fillId="0" borderId="0" xfId="0" applyFont="1" applyBorder="1" applyAlignment="1">
      <alignment horizontal="right" wrapText="1"/>
    </xf>
    <xf numFmtId="0" fontId="27" fillId="0" borderId="0" xfId="0" applyFont="1" applyBorder="1" applyAlignment="1">
      <alignment horizontal="right"/>
    </xf>
    <xf numFmtId="0" fontId="27" fillId="0" borderId="0" xfId="0" applyFont="1" applyFill="1" applyBorder="1" applyAlignment="1">
      <alignment horizontal="right"/>
    </xf>
    <xf numFmtId="1" fontId="3" fillId="0" borderId="0" xfId="0" applyNumberFormat="1" applyFont="1" applyBorder="1"/>
    <xf numFmtId="1" fontId="0" fillId="0" borderId="0" xfId="0" applyNumberFormat="1" applyBorder="1"/>
    <xf numFmtId="164" fontId="10" fillId="0" borderId="12" xfId="13" applyNumberFormat="1" applyFont="1" applyFill="1" applyBorder="1"/>
    <xf numFmtId="2" fontId="0" fillId="0" borderId="12" xfId="0" applyNumberFormat="1" applyBorder="1"/>
    <xf numFmtId="6" fontId="0" fillId="0" borderId="0" xfId="0" applyNumberFormat="1" applyBorder="1"/>
    <xf numFmtId="2" fontId="0" fillId="0" borderId="18" xfId="0" applyNumberFormat="1" applyBorder="1"/>
    <xf numFmtId="2" fontId="0" fillId="0" borderId="22" xfId="0" applyNumberFormat="1" applyBorder="1"/>
    <xf numFmtId="0" fontId="27" fillId="0" borderId="0" xfId="0" applyFont="1" applyFill="1" applyBorder="1" applyAlignment="1">
      <alignment wrapText="1"/>
    </xf>
    <xf numFmtId="2" fontId="0" fillId="0" borderId="0" xfId="0" applyNumberFormat="1"/>
    <xf numFmtId="2" fontId="0" fillId="0" borderId="0" xfId="0" applyNumberFormat="1" applyFill="1"/>
    <xf numFmtId="0" fontId="9" fillId="11" borderId="23" xfId="3" applyNumberFormat="1" applyFont="1" applyFill="1" applyBorder="1" applyAlignment="1" applyProtection="1">
      <alignment horizontal="left" vertical="top"/>
    </xf>
    <xf numFmtId="43" fontId="10" fillId="11" borderId="24" xfId="1" applyNumberFormat="1" applyFont="1" applyFill="1" applyBorder="1" applyAlignment="1"/>
    <xf numFmtId="0" fontId="9" fillId="11" borderId="5" xfId="3" applyNumberFormat="1" applyFont="1" applyFill="1" applyBorder="1" applyAlignment="1" applyProtection="1">
      <alignment horizontal="left" vertical="top"/>
    </xf>
    <xf numFmtId="0" fontId="9" fillId="11" borderId="18" xfId="3" applyNumberFormat="1" applyFont="1" applyFill="1" applyBorder="1" applyAlignment="1" applyProtection="1">
      <alignment horizontal="left" vertical="top"/>
    </xf>
    <xf numFmtId="0" fontId="4" fillId="6" borderId="1" xfId="7" applyBorder="1" applyAlignment="1"/>
    <xf numFmtId="0" fontId="8" fillId="0" borderId="5" xfId="14" applyFont="1" applyBorder="1"/>
    <xf numFmtId="0" fontId="29" fillId="0" borderId="5" xfId="0" applyFont="1" applyBorder="1"/>
    <xf numFmtId="0" fontId="10" fillId="0" borderId="5" xfId="0" applyFont="1" applyBorder="1" applyAlignment="1"/>
    <xf numFmtId="2" fontId="29" fillId="0" borderId="5" xfId="0" applyNumberFormat="1" applyFont="1" applyBorder="1"/>
    <xf numFmtId="3" fontId="29" fillId="0" borderId="5" xfId="0" applyNumberFormat="1" applyFont="1" applyBorder="1"/>
    <xf numFmtId="3" fontId="29" fillId="0" borderId="0" xfId="0" applyNumberFormat="1" applyFont="1" applyBorder="1"/>
    <xf numFmtId="0" fontId="9" fillId="11" borderId="5" xfId="0" applyFont="1" applyFill="1" applyBorder="1" applyAlignment="1"/>
    <xf numFmtId="10" fontId="29" fillId="0" borderId="5" xfId="0" applyNumberFormat="1" applyFont="1" applyBorder="1"/>
    <xf numFmtId="9" fontId="29" fillId="0" borderId="5" xfId="0" applyNumberFormat="1" applyFont="1" applyBorder="1"/>
    <xf numFmtId="167" fontId="2" fillId="11" borderId="2" xfId="1" applyNumberFormat="1" applyFont="1" applyFill="1" applyBorder="1"/>
    <xf numFmtId="6" fontId="27" fillId="0" borderId="0" xfId="0" applyNumberFormat="1" applyFont="1" applyBorder="1" applyAlignment="1">
      <alignment horizontal="right"/>
    </xf>
    <xf numFmtId="6" fontId="27" fillId="0" borderId="0" xfId="0" applyNumberFormat="1" applyFont="1" applyFill="1" applyBorder="1" applyAlignment="1">
      <alignment horizontal="right"/>
    </xf>
    <xf numFmtId="0" fontId="0" fillId="0" borderId="16" xfId="0" applyBorder="1"/>
    <xf numFmtId="0" fontId="0" fillId="0" borderId="20" xfId="0" applyBorder="1"/>
    <xf numFmtId="0" fontId="0" fillId="0" borderId="17" xfId="0" applyBorder="1"/>
    <xf numFmtId="9" fontId="0" fillId="0" borderId="0" xfId="2" applyFont="1" applyBorder="1"/>
    <xf numFmtId="8" fontId="0" fillId="0" borderId="0" xfId="0" applyNumberFormat="1" applyBorder="1"/>
    <xf numFmtId="0" fontId="0" fillId="0" borderId="22" xfId="0" applyBorder="1"/>
    <xf numFmtId="0" fontId="0" fillId="0" borderId="19" xfId="0" applyBorder="1"/>
    <xf numFmtId="8" fontId="0" fillId="0" borderId="4" xfId="0" applyNumberFormat="1" applyBorder="1"/>
    <xf numFmtId="0" fontId="30" fillId="0" borderId="0" xfId="0" applyFont="1" applyBorder="1"/>
    <xf numFmtId="0" fontId="3" fillId="0" borderId="0" xfId="0" applyFont="1" applyBorder="1"/>
    <xf numFmtId="8" fontId="0" fillId="19" borderId="19" xfId="0" applyNumberFormat="1" applyFill="1" applyBorder="1"/>
    <xf numFmtId="0" fontId="30" fillId="0" borderId="16" xfId="0" applyFont="1" applyBorder="1" applyAlignment="1"/>
    <xf numFmtId="0" fontId="30" fillId="0" borderId="20" xfId="0" applyFont="1" applyBorder="1" applyAlignment="1"/>
    <xf numFmtId="0" fontId="31" fillId="0" borderId="17" xfId="0" applyFont="1" applyBorder="1" applyAlignment="1">
      <alignment horizontal="center"/>
    </xf>
    <xf numFmtId="0" fontId="0" fillId="19" borderId="18" xfId="0" applyFill="1" applyBorder="1"/>
    <xf numFmtId="0" fontId="22" fillId="0" borderId="0" xfId="0" applyFont="1" applyBorder="1" applyAlignment="1">
      <alignment horizontal="center" vertical="top"/>
    </xf>
    <xf numFmtId="0" fontId="6" fillId="0" borderId="20" xfId="0" applyFont="1" applyBorder="1" applyAlignment="1">
      <alignment horizontal="center" vertical="top"/>
    </xf>
    <xf numFmtId="0" fontId="6" fillId="0" borderId="17" xfId="0" applyFont="1" applyBorder="1" applyAlignment="1">
      <alignment horizontal="center" vertical="top"/>
    </xf>
    <xf numFmtId="0" fontId="31" fillId="0" borderId="12" xfId="0" applyFont="1" applyBorder="1" applyAlignment="1"/>
    <xf numFmtId="0" fontId="6" fillId="0" borderId="12" xfId="0" applyFont="1" applyBorder="1"/>
    <xf numFmtId="0" fontId="6" fillId="0" borderId="12" xfId="0" applyFont="1" applyBorder="1" applyAlignment="1">
      <alignment horizontal="left" vertical="top"/>
    </xf>
    <xf numFmtId="0" fontId="22" fillId="0" borderId="12" xfId="0" applyFont="1" applyBorder="1" applyAlignment="1">
      <alignment horizontal="left" vertical="top"/>
    </xf>
    <xf numFmtId="0" fontId="30" fillId="0" borderId="0" xfId="0" applyFont="1"/>
    <xf numFmtId="0" fontId="0" fillId="19" borderId="4" xfId="0" applyFill="1" applyBorder="1"/>
    <xf numFmtId="0" fontId="32" fillId="19" borderId="26" xfId="0" applyFont="1" applyFill="1" applyBorder="1"/>
    <xf numFmtId="0" fontId="33" fillId="11" borderId="25" xfId="0" applyFont="1" applyFill="1" applyBorder="1"/>
    <xf numFmtId="0" fontId="11" fillId="0" borderId="0" xfId="0" applyFont="1" applyFill="1"/>
    <xf numFmtId="0" fontId="0" fillId="0" borderId="0" xfId="0" applyFill="1"/>
    <xf numFmtId="0" fontId="10" fillId="0" borderId="5" xfId="0" applyFont="1" applyFill="1" applyBorder="1"/>
    <xf numFmtId="0" fontId="12" fillId="0" borderId="0" xfId="0" applyFont="1" applyFill="1"/>
    <xf numFmtId="2" fontId="11" fillId="0" borderId="0" xfId="0" applyNumberFormat="1" applyFont="1" applyFill="1"/>
    <xf numFmtId="0" fontId="9" fillId="0" borderId="0" xfId="0" applyFont="1" applyFill="1"/>
    <xf numFmtId="0" fontId="9" fillId="0" borderId="5" xfId="0" applyFont="1" applyFill="1" applyBorder="1"/>
    <xf numFmtId="0" fontId="10" fillId="0" borderId="6" xfId="0" applyFont="1" applyFill="1" applyBorder="1"/>
    <xf numFmtId="0" fontId="10" fillId="0" borderId="5" xfId="0" applyFont="1" applyFill="1" applyBorder="1" applyAlignment="1">
      <alignment horizontal="center"/>
    </xf>
    <xf numFmtId="0" fontId="35" fillId="20" borderId="0" xfId="4" applyFont="1" applyFill="1"/>
    <xf numFmtId="2" fontId="34" fillId="0" borderId="0" xfId="0" applyNumberFormat="1" applyFont="1" applyFill="1"/>
    <xf numFmtId="0" fontId="29" fillId="0" borderId="0" xfId="0" applyFont="1" applyFill="1"/>
    <xf numFmtId="0" fontId="9" fillId="20" borderId="5" xfId="0" applyFont="1" applyFill="1" applyBorder="1" applyAlignment="1">
      <alignment horizontal="center"/>
    </xf>
    <xf numFmtId="6" fontId="29" fillId="0" borderId="0" xfId="0" applyNumberFormat="1" applyFont="1" applyFill="1"/>
    <xf numFmtId="3" fontId="29" fillId="0" borderId="0" xfId="0" applyNumberFormat="1" applyFont="1" applyFill="1"/>
    <xf numFmtId="10" fontId="29" fillId="0" borderId="5" xfId="2" applyNumberFormat="1" applyFont="1" applyFill="1" applyBorder="1"/>
    <xf numFmtId="2" fontId="29" fillId="0" borderId="5" xfId="2" applyNumberFormat="1" applyFont="1" applyFill="1" applyBorder="1"/>
    <xf numFmtId="10" fontId="29" fillId="20" borderId="5" xfId="10" applyNumberFormat="1" applyFont="1" applyFill="1" applyBorder="1"/>
    <xf numFmtId="0" fontId="3" fillId="0" borderId="0" xfId="0" applyFont="1"/>
    <xf numFmtId="0" fontId="0" fillId="0" borderId="0" xfId="0" quotePrefix="1"/>
    <xf numFmtId="0" fontId="0" fillId="21" borderId="0" xfId="0" applyFill="1"/>
    <xf numFmtId="0" fontId="11" fillId="0" borderId="0" xfId="0" applyFont="1" applyBorder="1"/>
    <xf numFmtId="8" fontId="30" fillId="19" borderId="22" xfId="0" applyNumberFormat="1" applyFont="1" applyFill="1" applyBorder="1"/>
    <xf numFmtId="0" fontId="0" fillId="0" borderId="20" xfId="0" applyBorder="1" applyAlignment="1"/>
    <xf numFmtId="0" fontId="36" fillId="0" borderId="0" xfId="0" applyFont="1" applyAlignment="1"/>
    <xf numFmtId="0" fontId="13" fillId="0" borderId="20" xfId="0" applyFont="1" applyBorder="1" applyAlignment="1"/>
    <xf numFmtId="0" fontId="40" fillId="0" borderId="0" xfId="0" applyFont="1" applyAlignment="1"/>
    <xf numFmtId="0" fontId="39" fillId="0" borderId="0" xfId="0" applyFont="1" applyAlignment="1"/>
    <xf numFmtId="0" fontId="39" fillId="0" borderId="0" xfId="0" applyFont="1" applyAlignment="1">
      <alignment horizontal="left"/>
    </xf>
    <xf numFmtId="3" fontId="39" fillId="0" borderId="0" xfId="0" applyNumberFormat="1" applyFont="1" applyAlignment="1">
      <alignment horizontal="right"/>
    </xf>
    <xf numFmtId="0" fontId="39" fillId="0" borderId="0" xfId="0" applyFont="1" applyAlignment="1">
      <alignment horizontal="right"/>
    </xf>
    <xf numFmtId="3" fontId="39" fillId="0" borderId="20" xfId="0" applyNumberFormat="1" applyFont="1" applyBorder="1" applyAlignment="1">
      <alignment horizontal="right"/>
    </xf>
    <xf numFmtId="0" fontId="6" fillId="0" borderId="0" xfId="0" applyFont="1" applyAlignment="1"/>
    <xf numFmtId="3" fontId="39" fillId="0" borderId="27" xfId="0" applyNumberFormat="1" applyFont="1" applyBorder="1" applyAlignment="1">
      <alignment horizontal="right"/>
    </xf>
    <xf numFmtId="0" fontId="38" fillId="0" borderId="22" xfId="0" applyFont="1" applyBorder="1" applyAlignment="1"/>
    <xf numFmtId="0" fontId="38" fillId="0" borderId="0" xfId="0" applyFont="1" applyAlignment="1"/>
    <xf numFmtId="3" fontId="39" fillId="0" borderId="22" xfId="0" applyNumberFormat="1" applyFont="1" applyBorder="1" applyAlignment="1">
      <alignment horizontal="right"/>
    </xf>
    <xf numFmtId="0" fontId="36" fillId="0" borderId="22" xfId="0" applyFont="1" applyBorder="1" applyAlignment="1"/>
    <xf numFmtId="0" fontId="42" fillId="0" borderId="0" xfId="0" applyFont="1" applyAlignment="1"/>
    <xf numFmtId="0" fontId="43" fillId="0" borderId="0" xfId="0" applyFont="1" applyAlignment="1"/>
    <xf numFmtId="0" fontId="39" fillId="0" borderId="22" xfId="0" applyFont="1" applyBorder="1" applyAlignment="1">
      <alignment horizontal="right"/>
    </xf>
    <xf numFmtId="8" fontId="39" fillId="0" borderId="22" xfId="0" applyNumberFormat="1" applyFont="1" applyBorder="1" applyAlignment="1">
      <alignment horizontal="right"/>
    </xf>
    <xf numFmtId="3" fontId="1" fillId="0" borderId="0" xfId="0" applyNumberFormat="1" applyFont="1" applyAlignment="1">
      <alignment horizontal="center"/>
    </xf>
    <xf numFmtId="3" fontId="39" fillId="0" borderId="0" xfId="0" applyNumberFormat="1" applyFont="1" applyAlignment="1">
      <alignment horizontal="right"/>
    </xf>
    <xf numFmtId="0" fontId="39" fillId="0" borderId="0" xfId="0" applyFont="1" applyAlignment="1"/>
    <xf numFmtId="0" fontId="39" fillId="0" borderId="0" xfId="0" applyFont="1" applyAlignment="1">
      <alignment horizontal="right"/>
    </xf>
    <xf numFmtId="0" fontId="38" fillId="0" borderId="0" xfId="0" applyFont="1" applyAlignment="1"/>
    <xf numFmtId="0" fontId="25" fillId="0" borderId="0" xfId="0" applyFont="1" applyAlignment="1"/>
    <xf numFmtId="0" fontId="28" fillId="0" borderId="0" xfId="0" applyFont="1" applyAlignment="1"/>
    <xf numFmtId="3" fontId="0" fillId="0" borderId="0" xfId="0" applyNumberFormat="1" applyBorder="1"/>
    <xf numFmtId="8" fontId="0" fillId="19" borderId="22" xfId="0" applyNumberFormat="1" applyFill="1" applyBorder="1"/>
    <xf numFmtId="0" fontId="30" fillId="0" borderId="0" xfId="0" applyFont="1" applyBorder="1" applyAlignment="1">
      <alignment horizontal="center"/>
    </xf>
    <xf numFmtId="0" fontId="31" fillId="0" borderId="0" xfId="0" applyFont="1" applyBorder="1" applyAlignment="1">
      <alignment horizontal="center"/>
    </xf>
    <xf numFmtId="0" fontId="0" fillId="0" borderId="0" xfId="0" applyFont="1" applyBorder="1"/>
    <xf numFmtId="0" fontId="36" fillId="0" borderId="0" xfId="0" applyFont="1" applyBorder="1" applyAlignment="1"/>
    <xf numFmtId="0" fontId="37" fillId="0" borderId="0" xfId="0" applyFont="1" applyBorder="1" applyAlignment="1">
      <alignment horizontal="right"/>
    </xf>
    <xf numFmtId="0" fontId="40" fillId="0" borderId="0" xfId="0" applyFont="1" applyBorder="1" applyAlignment="1"/>
    <xf numFmtId="3" fontId="39" fillId="0" borderId="0" xfId="0" applyNumberFormat="1" applyFont="1" applyBorder="1" applyAlignment="1">
      <alignment horizontal="right"/>
    </xf>
    <xf numFmtId="0" fontId="39" fillId="0" borderId="0" xfId="0" applyFont="1" applyBorder="1" applyAlignment="1">
      <alignment horizontal="right"/>
    </xf>
    <xf numFmtId="0" fontId="28" fillId="0" borderId="0" xfId="0" applyFont="1" applyBorder="1" applyAlignment="1"/>
    <xf numFmtId="0" fontId="38" fillId="0" borderId="0" xfId="0" applyFont="1" applyBorder="1" applyAlignment="1"/>
    <xf numFmtId="0" fontId="13" fillId="0" borderId="0" xfId="0" applyFont="1" applyBorder="1" applyAlignment="1"/>
    <xf numFmtId="0" fontId="37" fillId="0" borderId="0" xfId="0" applyFont="1" applyAlignment="1"/>
    <xf numFmtId="0" fontId="43" fillId="0" borderId="0" xfId="0" applyFont="1" applyBorder="1" applyAlignment="1"/>
    <xf numFmtId="8" fontId="39" fillId="0" borderId="0" xfId="0" applyNumberFormat="1" applyFont="1" applyBorder="1" applyAlignment="1">
      <alignment horizontal="right"/>
    </xf>
    <xf numFmtId="0" fontId="37" fillId="0" borderId="0" xfId="0" applyFont="1" applyBorder="1" applyAlignment="1">
      <alignment horizontal="center"/>
    </xf>
    <xf numFmtId="0" fontId="37" fillId="0" borderId="27" xfId="0" applyFont="1" applyBorder="1" applyAlignment="1"/>
    <xf numFmtId="9" fontId="39" fillId="0" borderId="0" xfId="0" applyNumberFormat="1" applyFont="1" applyBorder="1" applyAlignment="1">
      <alignment horizontal="right"/>
    </xf>
    <xf numFmtId="3" fontId="39" fillId="0" borderId="0" xfId="0" applyNumberFormat="1" applyFont="1" applyAlignment="1"/>
    <xf numFmtId="0" fontId="38" fillId="0" borderId="20" xfId="0" applyFont="1" applyBorder="1" applyAlignment="1"/>
    <xf numFmtId="9" fontId="39" fillId="0" borderId="0" xfId="2" applyFont="1" applyBorder="1" applyAlignment="1">
      <alignment horizontal="right"/>
    </xf>
    <xf numFmtId="4" fontId="39" fillId="0" borderId="0" xfId="0" applyNumberFormat="1" applyFont="1" applyBorder="1" applyAlignment="1">
      <alignment horizontal="right"/>
    </xf>
    <xf numFmtId="169" fontId="39" fillId="0" borderId="0" xfId="0" applyNumberFormat="1" applyFont="1" applyBorder="1" applyAlignment="1">
      <alignment horizontal="right"/>
    </xf>
    <xf numFmtId="9" fontId="13" fillId="0" borderId="0" xfId="0" applyNumberFormat="1" applyFont="1" applyAlignment="1">
      <alignment vertical="top"/>
    </xf>
    <xf numFmtId="0" fontId="45" fillId="0" borderId="0" xfId="0" applyFont="1" applyAlignment="1"/>
    <xf numFmtId="3" fontId="0" fillId="0" borderId="0" xfId="0" applyNumberFormat="1" applyAlignment="1"/>
    <xf numFmtId="0" fontId="0" fillId="0" borderId="0" xfId="2" applyNumberFormat="1" applyFont="1" applyFill="1"/>
    <xf numFmtId="0" fontId="0" fillId="0" borderId="0" xfId="0" applyFill="1" applyBorder="1" applyAlignment="1"/>
    <xf numFmtId="0" fontId="4" fillId="0" borderId="0" xfId="7" applyFill="1" applyBorder="1" applyAlignment="1"/>
    <xf numFmtId="0" fontId="8" fillId="0" borderId="0" xfId="14" applyFont="1" applyFill="1" applyBorder="1"/>
    <xf numFmtId="10" fontId="29" fillId="0" borderId="0" xfId="0" applyNumberFormat="1" applyFont="1" applyFill="1" applyBorder="1"/>
    <xf numFmtId="0" fontId="29" fillId="0" borderId="0" xfId="0" applyFont="1" applyFill="1" applyBorder="1"/>
    <xf numFmtId="0" fontId="10" fillId="0" borderId="0" xfId="0" applyFont="1" applyFill="1" applyBorder="1" applyAlignment="1"/>
    <xf numFmtId="2" fontId="29" fillId="0" borderId="0" xfId="0" applyNumberFormat="1" applyFont="1" applyFill="1" applyBorder="1"/>
    <xf numFmtId="3" fontId="29" fillId="0" borderId="0" xfId="0" applyNumberFormat="1" applyFont="1" applyFill="1" applyBorder="1"/>
    <xf numFmtId="9" fontId="29" fillId="0" borderId="0" xfId="0" applyNumberFormat="1" applyFont="1" applyFill="1" applyBorder="1"/>
    <xf numFmtId="0" fontId="9" fillId="0" borderId="0" xfId="0" applyFont="1" applyFill="1" applyBorder="1" applyAlignment="1"/>
    <xf numFmtId="167" fontId="2" fillId="0" borderId="0" xfId="1" applyNumberFormat="1" applyFont="1" applyFill="1" applyBorder="1"/>
    <xf numFmtId="3" fontId="27" fillId="0" borderId="12" xfId="0" applyNumberFormat="1" applyFont="1" applyBorder="1" applyAlignment="1">
      <alignment wrapText="1"/>
    </xf>
    <xf numFmtId="0" fontId="0" fillId="0" borderId="5" xfId="0" applyNumberFormat="1" applyBorder="1"/>
    <xf numFmtId="8" fontId="0" fillId="0" borderId="0" xfId="0" applyNumberFormat="1" applyAlignment="1"/>
    <xf numFmtId="8" fontId="6" fillId="0" borderId="0" xfId="0" applyNumberFormat="1" applyFont="1" applyAlignment="1"/>
    <xf numFmtId="0" fontId="44" fillId="0" borderId="0" xfId="0" applyFont="1" applyAlignment="1">
      <alignment horizontal="center" vertical="center"/>
    </xf>
    <xf numFmtId="0" fontId="44" fillId="0" borderId="0" xfId="0" applyFont="1" applyBorder="1" applyAlignment="1">
      <alignment horizontal="center" vertical="center"/>
    </xf>
    <xf numFmtId="0" fontId="44" fillId="0" borderId="22" xfId="0" applyFont="1" applyBorder="1" applyAlignment="1">
      <alignment horizontal="center" vertical="center"/>
    </xf>
    <xf numFmtId="0" fontId="44" fillId="0" borderId="20" xfId="0" applyFont="1" applyBorder="1" applyAlignment="1">
      <alignment horizontal="center" vertical="center"/>
    </xf>
    <xf numFmtId="8" fontId="44" fillId="0" borderId="22" xfId="0" applyNumberFormat="1" applyFont="1" applyBorder="1" applyAlignment="1">
      <alignment horizontal="center" vertical="center"/>
    </xf>
    <xf numFmtId="169" fontId="0" fillId="19" borderId="17" xfId="0" applyNumberFormat="1" applyFill="1" applyBorder="1"/>
    <xf numFmtId="0" fontId="0" fillId="0" borderId="12" xfId="0" applyBorder="1" applyAlignment="1"/>
    <xf numFmtId="0" fontId="6" fillId="0" borderId="0" xfId="0" applyFont="1" applyBorder="1" applyAlignment="1">
      <alignment horizontal="right" vertical="top"/>
    </xf>
    <xf numFmtId="170" fontId="13" fillId="0" borderId="0" xfId="12" applyNumberFormat="1" applyFont="1" applyFill="1" applyBorder="1" applyAlignment="1">
      <alignment horizontal="center"/>
    </xf>
    <xf numFmtId="0" fontId="0" fillId="0" borderId="0" xfId="0" applyAlignment="1">
      <alignment horizontal="right"/>
    </xf>
    <xf numFmtId="2" fontId="13" fillId="0" borderId="0" xfId="12" applyNumberFormat="1" applyFont="1" applyFill="1" applyBorder="1" applyAlignment="1">
      <alignment horizontal="right"/>
    </xf>
    <xf numFmtId="2" fontId="13" fillId="0" borderId="0" xfId="12" applyNumberFormat="1" applyFont="1" applyAlignment="1">
      <alignment horizontal="right"/>
    </xf>
    <xf numFmtId="2" fontId="13" fillId="0" borderId="0" xfId="12" applyNumberFormat="1" applyFont="1" applyFill="1" applyBorder="1" applyAlignment="1" applyProtection="1">
      <alignment horizontal="right"/>
    </xf>
    <xf numFmtId="0" fontId="1" fillId="0" borderId="0" xfId="0" applyFont="1" applyAlignment="1">
      <alignment horizontal="right"/>
    </xf>
    <xf numFmtId="0" fontId="1" fillId="0" borderId="0" xfId="0" applyFont="1" applyBorder="1" applyAlignment="1">
      <alignment horizontal="right"/>
    </xf>
    <xf numFmtId="2" fontId="13" fillId="0" borderId="0" xfId="12" applyNumberFormat="1" applyFont="1" applyBorder="1" applyAlignment="1">
      <alignment horizontal="right"/>
    </xf>
    <xf numFmtId="2" fontId="6" fillId="0" borderId="0" xfId="12" applyNumberFormat="1" applyFont="1" applyBorder="1" applyAlignment="1">
      <alignment horizontal="right"/>
    </xf>
    <xf numFmtId="0" fontId="0" fillId="0" borderId="0" xfId="0" applyBorder="1" applyAlignment="1">
      <alignment horizontal="right"/>
    </xf>
    <xf numFmtId="2" fontId="6" fillId="0" borderId="0" xfId="12" applyNumberFormat="1" applyFont="1" applyAlignment="1">
      <alignment horizontal="right"/>
    </xf>
    <xf numFmtId="0" fontId="11" fillId="0" borderId="0" xfId="0" applyFont="1" applyAlignment="1">
      <alignment horizontal="right"/>
    </xf>
    <xf numFmtId="3" fontId="1" fillId="0" borderId="0" xfId="0" applyNumberFormat="1" applyFont="1" applyAlignment="1">
      <alignment horizontal="right"/>
    </xf>
    <xf numFmtId="170" fontId="13" fillId="0" borderId="0" xfId="12" applyNumberFormat="1" applyFont="1" applyFill="1" applyBorder="1" applyAlignment="1">
      <alignment horizontal="right"/>
    </xf>
    <xf numFmtId="166" fontId="4" fillId="8" borderId="0" xfId="9" applyNumberFormat="1" applyBorder="1" applyAlignment="1">
      <alignment horizontal="right"/>
    </xf>
    <xf numFmtId="0" fontId="0" fillId="0" borderId="0" xfId="0" applyFont="1" applyBorder="1" applyAlignment="1">
      <alignment horizontal="right"/>
    </xf>
    <xf numFmtId="0" fontId="11" fillId="0" borderId="0" xfId="0" applyFont="1" applyBorder="1" applyAlignment="1">
      <alignment horizontal="right"/>
    </xf>
    <xf numFmtId="8" fontId="27" fillId="0" borderId="0" xfId="0" applyNumberFormat="1" applyFont="1" applyFill="1" applyBorder="1" applyAlignment="1">
      <alignment horizontal="right"/>
    </xf>
    <xf numFmtId="8" fontId="27" fillId="0" borderId="12" xfId="0" applyNumberFormat="1" applyFont="1" applyBorder="1" applyAlignment="1">
      <alignment wrapText="1"/>
    </xf>
    <xf numFmtId="43" fontId="10" fillId="11" borderId="24" xfId="1" applyNumberFormat="1" applyFont="1" applyFill="1" applyBorder="1" applyAlignment="1">
      <alignment vertical="top"/>
    </xf>
    <xf numFmtId="0" fontId="0" fillId="0" borderId="5" xfId="0" applyNumberFormat="1" applyBorder="1" applyAlignment="1">
      <alignment vertical="top"/>
    </xf>
    <xf numFmtId="43" fontId="0" fillId="0" borderId="5" xfId="0" applyNumberFormat="1" applyFill="1" applyBorder="1" applyAlignment="1">
      <alignment vertical="top"/>
    </xf>
    <xf numFmtId="0" fontId="9" fillId="11" borderId="23" xfId="3" applyNumberFormat="1" applyFont="1" applyFill="1" applyBorder="1" applyAlignment="1" applyProtection="1">
      <alignment vertical="top"/>
    </xf>
    <xf numFmtId="0" fontId="9" fillId="11" borderId="5" xfId="3" applyNumberFormat="1" applyFont="1" applyFill="1" applyBorder="1" applyAlignment="1" applyProtection="1">
      <alignment vertical="top"/>
    </xf>
    <xf numFmtId="0" fontId="9" fillId="11" borderId="18" xfId="3" applyNumberFormat="1" applyFont="1" applyFill="1" applyBorder="1" applyAlignment="1" applyProtection="1">
      <alignment vertical="top"/>
    </xf>
    <xf numFmtId="0" fontId="32" fillId="0" borderId="22" xfId="0" applyFont="1" applyFill="1" applyBorder="1"/>
    <xf numFmtId="0" fontId="33" fillId="0" borderId="22" xfId="0" applyFont="1" applyFill="1" applyBorder="1"/>
    <xf numFmtId="0" fontId="0" fillId="22" borderId="0" xfId="0" applyFill="1"/>
    <xf numFmtId="8" fontId="0" fillId="0" borderId="0" xfId="0" applyNumberFormat="1" applyFill="1"/>
    <xf numFmtId="43" fontId="0" fillId="0" borderId="5" xfId="0" applyNumberFormat="1" applyFill="1" applyBorder="1"/>
    <xf numFmtId="3" fontId="39" fillId="0" borderId="0" xfId="0" applyNumberFormat="1" applyFont="1" applyAlignment="1">
      <alignment horizontal="right"/>
    </xf>
    <xf numFmtId="0" fontId="37" fillId="0" borderId="0" xfId="0" applyFont="1" applyAlignment="1">
      <alignment horizontal="center"/>
    </xf>
    <xf numFmtId="16" fontId="37" fillId="0" borderId="0" xfId="0" applyNumberFormat="1" applyFont="1" applyBorder="1" applyAlignment="1">
      <alignment horizontal="center"/>
    </xf>
    <xf numFmtId="0" fontId="37" fillId="0" borderId="22" xfId="0" applyFont="1" applyBorder="1" applyAlignment="1">
      <alignment horizontal="left"/>
    </xf>
    <xf numFmtId="0" fontId="39" fillId="0" borderId="0" xfId="0" applyFont="1" applyAlignment="1"/>
    <xf numFmtId="0" fontId="39" fillId="0" borderId="0" xfId="0" applyFont="1" applyAlignment="1">
      <alignment horizontal="right"/>
    </xf>
    <xf numFmtId="0" fontId="38" fillId="0" borderId="0" xfId="0" applyFont="1" applyAlignment="1"/>
    <xf numFmtId="16" fontId="37" fillId="0" borderId="0" xfId="0" applyNumberFormat="1" applyFont="1" applyAlignment="1">
      <alignment horizontal="left"/>
    </xf>
    <xf numFmtId="0" fontId="25" fillId="0" borderId="0" xfId="0" applyFont="1" applyAlignment="1"/>
    <xf numFmtId="0" fontId="28" fillId="0" borderId="0" xfId="0" applyFont="1" applyAlignment="1"/>
    <xf numFmtId="2" fontId="5" fillId="11" borderId="6" xfId="3" applyNumberFormat="1" applyFont="1" applyFill="1" applyBorder="1" applyAlignment="1">
      <alignment horizontal="center"/>
    </xf>
    <xf numFmtId="2" fontId="5" fillId="11" borderId="11" xfId="3" applyNumberFormat="1" applyFont="1" applyFill="1" applyBorder="1" applyAlignment="1">
      <alignment horizontal="center"/>
    </xf>
    <xf numFmtId="0" fontId="14" fillId="0" borderId="13" xfId="0" applyFont="1" applyBorder="1" applyAlignment="1">
      <alignment horizontal="center"/>
    </xf>
    <xf numFmtId="0" fontId="14" fillId="0" borderId="11" xfId="0" applyFont="1" applyBorder="1" applyAlignment="1">
      <alignment horizontal="center"/>
    </xf>
    <xf numFmtId="0" fontId="4" fillId="10" borderId="0" xfId="11" applyAlignment="1">
      <alignment horizontal="center"/>
    </xf>
    <xf numFmtId="0" fontId="14" fillId="0" borderId="7" xfId="0" applyFont="1" applyBorder="1" applyAlignment="1">
      <alignment horizontal="center"/>
    </xf>
    <xf numFmtId="0" fontId="14" fillId="0" borderId="8" xfId="0" applyFont="1" applyBorder="1" applyAlignment="1">
      <alignment horizontal="center"/>
    </xf>
    <xf numFmtId="2" fontId="16" fillId="11" borderId="6" xfId="3" applyNumberFormat="1" applyFont="1" applyFill="1" applyBorder="1" applyAlignment="1">
      <alignment horizontal="center"/>
    </xf>
    <xf numFmtId="2" fontId="16" fillId="11" borderId="11" xfId="3" applyNumberFormat="1" applyFont="1" applyFill="1" applyBorder="1" applyAlignment="1">
      <alignment horizontal="center"/>
    </xf>
    <xf numFmtId="0" fontId="18" fillId="0" borderId="0" xfId="12" applyFont="1" applyAlignment="1">
      <alignment horizontal="center"/>
    </xf>
    <xf numFmtId="0" fontId="19" fillId="0" borderId="6" xfId="12" applyFont="1" applyBorder="1" applyAlignment="1">
      <alignment horizontal="center"/>
    </xf>
    <xf numFmtId="0" fontId="19" fillId="0" borderId="11" xfId="12" applyFont="1" applyBorder="1" applyAlignment="1">
      <alignment horizontal="center"/>
    </xf>
    <xf numFmtId="0" fontId="23" fillId="0" borderId="6" xfId="12" applyFont="1" applyBorder="1" applyAlignment="1">
      <alignment horizontal="center"/>
    </xf>
    <xf numFmtId="0" fontId="23" fillId="0" borderId="11" xfId="12" applyFont="1" applyBorder="1" applyAlignment="1">
      <alignment horizontal="center"/>
    </xf>
    <xf numFmtId="0" fontId="30" fillId="0" borderId="0" xfId="0" applyFont="1" applyBorder="1" applyAlignment="1">
      <alignment horizontal="center"/>
    </xf>
    <xf numFmtId="0" fontId="0" fillId="0" borderId="0" xfId="0" applyBorder="1" applyAlignment="1">
      <alignment horizontal="center"/>
    </xf>
    <xf numFmtId="0" fontId="30" fillId="0" borderId="16" xfId="0" applyFont="1" applyBorder="1" applyAlignment="1">
      <alignment horizontal="center"/>
    </xf>
    <xf numFmtId="0" fontId="30" fillId="0" borderId="20" xfId="0" applyFont="1" applyBorder="1" applyAlignment="1">
      <alignment horizontal="center"/>
    </xf>
    <xf numFmtId="0" fontId="30" fillId="19" borderId="18" xfId="0" applyFont="1" applyFill="1" applyBorder="1" applyAlignment="1">
      <alignment horizontal="center"/>
    </xf>
    <xf numFmtId="0" fontId="30" fillId="19" borderId="22" xfId="0" applyFont="1" applyFill="1" applyBorder="1" applyAlignment="1">
      <alignment horizontal="center"/>
    </xf>
    <xf numFmtId="0" fontId="0" fillId="19" borderId="18" xfId="0" applyFill="1" applyBorder="1" applyAlignment="1">
      <alignment horizontal="center"/>
    </xf>
    <xf numFmtId="0" fontId="0" fillId="19" borderId="22" xfId="0" applyFill="1" applyBorder="1" applyAlignment="1">
      <alignment horizontal="center"/>
    </xf>
    <xf numFmtId="0" fontId="1" fillId="0" borderId="0" xfId="8" applyFill="1" applyBorder="1" applyAlignment="1">
      <alignment horizontal="center"/>
    </xf>
    <xf numFmtId="0" fontId="29" fillId="16" borderId="16" xfId="8" applyFont="1" applyFill="1" applyBorder="1" applyAlignment="1">
      <alignment horizontal="center"/>
    </xf>
    <xf numFmtId="0" fontId="29" fillId="16" borderId="20" xfId="8" applyFont="1" applyFill="1" applyBorder="1" applyAlignment="1">
      <alignment horizontal="center"/>
    </xf>
    <xf numFmtId="0" fontId="29" fillId="16" borderId="17" xfId="8" applyFont="1" applyFill="1" applyBorder="1" applyAlignment="1">
      <alignment horizontal="center"/>
    </xf>
    <xf numFmtId="0" fontId="3" fillId="0" borderId="0" xfId="0" applyFont="1" applyAlignment="1">
      <alignment horizontal="center"/>
    </xf>
    <xf numFmtId="2" fontId="29" fillId="0" borderId="0" xfId="0" applyNumberFormat="1" applyFont="1" applyFill="1"/>
  </cellXfs>
  <cellStyles count="15">
    <cellStyle name="40% - Accent4" xfId="8" builtinId="43"/>
    <cellStyle name="60% - Accent6" xfId="11" builtinId="52"/>
    <cellStyle name="Accent1" xfId="4" builtinId="29"/>
    <cellStyle name="Accent2" xfId="5" builtinId="33"/>
    <cellStyle name="Accent3" xfId="6" builtinId="37"/>
    <cellStyle name="Accent4" xfId="7" builtinId="41"/>
    <cellStyle name="Accent5" xfId="9" builtinId="45"/>
    <cellStyle name="Accent6" xfId="10" builtinId="49"/>
    <cellStyle name="Comma" xfId="1" builtinId="3"/>
    <cellStyle name="Comma 3" xfId="13"/>
    <cellStyle name="Normal" xfId="0" builtinId="0"/>
    <cellStyle name="Normal 2" xfId="14"/>
    <cellStyle name="Normal 3" xfId="12"/>
    <cellStyle name="Note" xfId="3" builtinId="10"/>
    <cellStyle name="Percent" xfId="2" builtinId="5"/>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2.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user\Desktop\Case%204%20Group%2074%20(Autosaved).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2nd%20Semester\F-506\17th%20Batch%20Case%20Analysis\Case%2006%20Group%2033\Case-06-Group-33.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Income st"/>
      <sheetName val="Balance St"/>
      <sheetName val="Ratios"/>
      <sheetName val="Business risk"/>
      <sheetName val="Financial risk"/>
      <sheetName val="Z-Score Model"/>
      <sheetName val="WACC"/>
      <sheetName val="Usual Valuation"/>
      <sheetName val="EPS Valuation"/>
      <sheetName val="Bookbuilding"/>
      <sheetName val="Ratio"/>
    </sheetNames>
    <sheetDataSet>
      <sheetData sheetId="0">
        <row r="5">
          <cell r="E5">
            <v>5847</v>
          </cell>
        </row>
      </sheetData>
      <sheetData sheetId="1">
        <row r="11">
          <cell r="E11">
            <v>1855</v>
          </cell>
        </row>
      </sheetData>
      <sheetData sheetId="2"/>
      <sheetData sheetId="3"/>
      <sheetData sheetId="4"/>
      <sheetData sheetId="5"/>
      <sheetData sheetId="6"/>
      <sheetData sheetId="7"/>
      <sheetData sheetId="8">
        <row r="35">
          <cell r="G35">
            <v>596</v>
          </cell>
        </row>
      </sheetData>
      <sheetData sheetId="9"/>
      <sheetData sheetId="10"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IS-BS"/>
      <sheetName val="Multiples"/>
      <sheetName val="Recent IPO"/>
      <sheetName val="Ratio"/>
      <sheetName val="Biz Risk"/>
      <sheetName val="Fin'l Risk"/>
      <sheetName val="Z score"/>
      <sheetName val="Calculations"/>
      <sheetName val="WACC"/>
      <sheetName val="CB_DATA_"/>
      <sheetName val="Base Case Valuation"/>
      <sheetName val="Alternative 1(IPO)"/>
      <sheetName val="Alternative 2(Bond)"/>
      <sheetName val="Valuation using multiples"/>
      <sheetName val="IPO "/>
    </sheetNames>
    <sheetDataSet>
      <sheetData sheetId="0" refreshError="1"/>
      <sheetData sheetId="1" refreshError="1"/>
      <sheetData sheetId="2" refreshError="1"/>
      <sheetData sheetId="3" refreshError="1">
        <row r="24">
          <cell r="M24" t="str">
            <v>ROE</v>
          </cell>
        </row>
        <row r="25">
          <cell r="A25">
            <v>1998</v>
          </cell>
          <cell r="M25">
            <v>0.34851621808143546</v>
          </cell>
        </row>
        <row r="26">
          <cell r="A26">
            <v>1999</v>
          </cell>
          <cell r="M26">
            <v>0.19410456062291434</v>
          </cell>
        </row>
        <row r="27">
          <cell r="A27">
            <v>2000</v>
          </cell>
          <cell r="M27">
            <v>3.644210021577559E-2</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dimension ref="C4:T39"/>
  <sheetViews>
    <sheetView topLeftCell="C1" workbookViewId="0">
      <selection activeCell="J18" sqref="J18"/>
    </sheetView>
  </sheetViews>
  <sheetFormatPr defaultRowHeight="15"/>
  <cols>
    <col min="1" max="1" width="9.140625" style="58"/>
    <col min="2" max="2" width="10.85546875" style="58" customWidth="1"/>
    <col min="3" max="3" width="35" style="58" bestFit="1" customWidth="1"/>
    <col min="4" max="4" width="47.5703125" style="58" bestFit="1" customWidth="1"/>
    <col min="5" max="5" width="11.7109375" style="58" bestFit="1" customWidth="1"/>
    <col min="6" max="6" width="12" style="58" bestFit="1" customWidth="1"/>
    <col min="7" max="7" width="9.85546875" style="58" bestFit="1" customWidth="1"/>
    <col min="8" max="8" width="10" style="58" bestFit="1" customWidth="1"/>
    <col min="9" max="9" width="10.85546875" style="58" bestFit="1" customWidth="1"/>
    <col min="10" max="10" width="12" style="58" bestFit="1" customWidth="1"/>
    <col min="11" max="11" width="11.28515625" style="58" bestFit="1" customWidth="1"/>
    <col min="12" max="13" width="10.5703125" style="58" bestFit="1" customWidth="1"/>
    <col min="14" max="16384" width="9.140625" style="58"/>
  </cols>
  <sheetData>
    <row r="4" spans="3:18">
      <c r="C4" s="167"/>
      <c r="D4" s="167"/>
      <c r="E4" s="274"/>
      <c r="F4" s="274"/>
      <c r="G4" s="274"/>
      <c r="H4" s="167"/>
      <c r="I4" s="167"/>
      <c r="J4" s="167"/>
      <c r="K4" s="167"/>
      <c r="L4" s="167"/>
      <c r="M4" s="178"/>
    </row>
    <row r="5" spans="3:18" ht="15" customHeight="1" thickBot="1">
      <c r="C5" s="167"/>
      <c r="D5" s="197"/>
      <c r="E5" s="275"/>
      <c r="F5" s="275"/>
      <c r="G5" s="275"/>
      <c r="H5" s="180"/>
      <c r="I5" s="276" t="s">
        <v>153</v>
      </c>
      <c r="J5" s="276"/>
      <c r="K5" s="276"/>
      <c r="L5" s="276"/>
      <c r="M5" s="178"/>
    </row>
    <row r="6" spans="3:18" ht="15.75" thickBot="1">
      <c r="C6" s="70"/>
      <c r="D6" s="202"/>
      <c r="E6" s="198"/>
      <c r="G6" s="209">
        <v>1994</v>
      </c>
      <c r="H6" s="209">
        <v>1995</v>
      </c>
      <c r="I6" s="209">
        <v>1996</v>
      </c>
      <c r="J6" s="209">
        <v>1997</v>
      </c>
      <c r="K6" s="209">
        <v>1998</v>
      </c>
      <c r="L6" s="209">
        <v>1999</v>
      </c>
      <c r="M6" s="209">
        <v>2000</v>
      </c>
      <c r="N6" s="209">
        <v>2001</v>
      </c>
      <c r="O6" s="209">
        <v>2002</v>
      </c>
      <c r="P6" s="209">
        <v>2003</v>
      </c>
      <c r="Q6" s="209">
        <v>2004</v>
      </c>
      <c r="R6" s="209">
        <v>2005</v>
      </c>
    </row>
    <row r="7" spans="3:18">
      <c r="C7" s="71"/>
      <c r="D7" s="204"/>
      <c r="E7" s="208"/>
      <c r="F7" s="71"/>
      <c r="G7" s="71"/>
      <c r="H7" s="71"/>
      <c r="I7" s="71"/>
      <c r="L7" s="71"/>
      <c r="M7" s="178"/>
    </row>
    <row r="8" spans="3:18">
      <c r="D8" s="170" t="s">
        <v>154</v>
      </c>
      <c r="E8" s="210">
        <v>0.19</v>
      </c>
      <c r="G8" s="211">
        <v>81316</v>
      </c>
      <c r="H8" s="211">
        <v>114522</v>
      </c>
      <c r="I8" s="211">
        <f>H8*(1+$E$8)</f>
        <v>136281.18</v>
      </c>
      <c r="J8" s="211">
        <f t="shared" ref="J8:R8" si="0">I8*(1+$E$8)</f>
        <v>162174.60419999997</v>
      </c>
      <c r="K8" s="211">
        <f t="shared" si="0"/>
        <v>192987.77899799997</v>
      </c>
      <c r="L8" s="211">
        <f t="shared" si="0"/>
        <v>229655.45700761996</v>
      </c>
      <c r="M8" s="211">
        <f t="shared" si="0"/>
        <v>273289.99383906776</v>
      </c>
      <c r="N8" s="211">
        <f t="shared" si="0"/>
        <v>325215.0926684906</v>
      </c>
      <c r="O8" s="211">
        <f t="shared" si="0"/>
        <v>387005.96027550381</v>
      </c>
      <c r="P8" s="211">
        <f t="shared" si="0"/>
        <v>460537.09272784949</v>
      </c>
      <c r="Q8" s="211">
        <f t="shared" si="0"/>
        <v>548039.14034614083</v>
      </c>
      <c r="R8" s="211">
        <f t="shared" si="0"/>
        <v>652166.57701190759</v>
      </c>
    </row>
    <row r="9" spans="3:18" ht="15" customHeight="1" thickBot="1">
      <c r="D9" s="170" t="s">
        <v>155</v>
      </c>
      <c r="E9" s="200"/>
      <c r="F9" s="273">
        <v>44378</v>
      </c>
      <c r="G9" s="273"/>
      <c r="H9" s="211">
        <v>66693</v>
      </c>
      <c r="I9" s="211"/>
      <c r="L9" s="167"/>
      <c r="M9" s="178"/>
    </row>
    <row r="10" spans="3:18" ht="23.25" customHeight="1">
      <c r="D10" s="277" t="s">
        <v>156</v>
      </c>
      <c r="E10" s="200"/>
      <c r="F10" s="181"/>
      <c r="G10" s="174">
        <v>36938</v>
      </c>
      <c r="H10" s="174">
        <v>47829</v>
      </c>
      <c r="L10" s="181"/>
      <c r="M10" s="178"/>
    </row>
    <row r="11" spans="3:18">
      <c r="D11" s="277"/>
      <c r="E11" s="206"/>
      <c r="F11" s="182"/>
      <c r="G11" s="182"/>
      <c r="H11" s="182"/>
      <c r="I11" s="182"/>
      <c r="L11" s="182"/>
      <c r="M11" s="178"/>
    </row>
    <row r="12" spans="3:18" ht="15" customHeight="1">
      <c r="D12" s="171" t="s">
        <v>157</v>
      </c>
      <c r="E12" s="200"/>
      <c r="F12" s="273">
        <v>30058</v>
      </c>
      <c r="G12" s="273"/>
      <c r="H12" s="211">
        <v>35400</v>
      </c>
      <c r="I12" s="211"/>
      <c r="L12" s="167"/>
      <c r="M12" s="178"/>
    </row>
    <row r="13" spans="3:18" ht="15" customHeight="1">
      <c r="D13" s="171" t="s">
        <v>69</v>
      </c>
      <c r="E13" s="215">
        <f>H13/H8</f>
        <v>2.9540175686767606E-2</v>
      </c>
      <c r="F13" s="273">
        <v>3200</v>
      </c>
      <c r="G13" s="273"/>
      <c r="H13" s="211">
        <v>3383</v>
      </c>
      <c r="I13" s="211"/>
      <c r="L13" s="167"/>
      <c r="M13" s="178"/>
    </row>
    <row r="14" spans="3:18" ht="15" customHeight="1">
      <c r="D14" s="171" t="s">
        <v>158</v>
      </c>
      <c r="E14" s="200"/>
      <c r="F14" s="273">
        <v>4441</v>
      </c>
      <c r="G14" s="273"/>
      <c r="H14" s="211">
        <v>6149</v>
      </c>
      <c r="I14" s="211"/>
      <c r="L14" s="167"/>
      <c r="M14" s="178"/>
    </row>
    <row r="15" spans="3:18" ht="15.75" thickBot="1">
      <c r="D15" s="171" t="s">
        <v>159</v>
      </c>
      <c r="E15" s="201"/>
      <c r="F15" s="278">
        <v>-155</v>
      </c>
      <c r="G15" s="278"/>
      <c r="H15" s="187" t="s">
        <v>160</v>
      </c>
      <c r="I15" s="187"/>
      <c r="L15" s="167"/>
      <c r="M15" s="178"/>
    </row>
    <row r="16" spans="3:18" ht="48.75" customHeight="1" thickBot="1">
      <c r="D16" s="277" t="s">
        <v>161</v>
      </c>
      <c r="E16" s="200"/>
      <c r="F16" s="70"/>
      <c r="G16" s="176">
        <v>37544</v>
      </c>
      <c r="H16" s="176">
        <v>44932</v>
      </c>
      <c r="L16" s="70"/>
      <c r="M16" s="178"/>
    </row>
    <row r="17" spans="3:20" ht="15" customHeight="1">
      <c r="D17" s="277"/>
      <c r="E17" s="202"/>
      <c r="F17" s="70"/>
      <c r="G17" s="70"/>
      <c r="H17" s="70"/>
      <c r="I17" s="70"/>
      <c r="L17" s="70"/>
      <c r="M17" s="178"/>
    </row>
    <row r="18" spans="3:20" ht="15" customHeight="1">
      <c r="D18" s="171" t="s">
        <v>162</v>
      </c>
      <c r="E18" s="200"/>
      <c r="F18" s="278">
        <v>-606</v>
      </c>
      <c r="G18" s="278"/>
      <c r="H18" s="211">
        <v>2897</v>
      </c>
      <c r="I18" s="211">
        <f>(H18*1.26)+4800</f>
        <v>8450.2199999999993</v>
      </c>
      <c r="J18" s="58">
        <f>(I18*1.26)+3000</f>
        <v>13647.277199999999</v>
      </c>
      <c r="L18" s="167"/>
      <c r="M18" s="178"/>
    </row>
    <row r="19" spans="3:20">
      <c r="D19" s="170" t="s">
        <v>163</v>
      </c>
      <c r="E19" s="200"/>
      <c r="F19" s="278">
        <v>-33</v>
      </c>
      <c r="G19" s="278"/>
      <c r="H19" s="211">
        <v>1220</v>
      </c>
      <c r="I19" s="211"/>
      <c r="L19" s="167"/>
      <c r="M19" s="178"/>
    </row>
    <row r="20" spans="3:20" ht="24" customHeight="1">
      <c r="D20" s="170" t="s">
        <v>164</v>
      </c>
      <c r="E20" s="201"/>
      <c r="F20" s="278">
        <v>-289</v>
      </c>
      <c r="G20" s="278"/>
      <c r="H20" s="187" t="s">
        <v>160</v>
      </c>
      <c r="I20" s="187"/>
      <c r="L20" s="70"/>
      <c r="M20" s="178"/>
    </row>
    <row r="21" spans="3:20" ht="22.5" customHeight="1" thickBot="1">
      <c r="D21" s="277" t="s">
        <v>165</v>
      </c>
      <c r="E21" s="203"/>
      <c r="F21" s="189"/>
      <c r="G21" s="177"/>
      <c r="I21" s="177"/>
      <c r="L21" s="189"/>
      <c r="M21" s="178"/>
    </row>
    <row r="22" spans="3:20" ht="16.5" thickBot="1">
      <c r="D22" s="277"/>
      <c r="E22" s="213">
        <v>0.255</v>
      </c>
      <c r="F22" s="175">
        <f>H22/H8</f>
        <v>1.4643474616230943E-2</v>
      </c>
      <c r="G22" s="183">
        <v>-928</v>
      </c>
      <c r="H22" s="179">
        <v>1677</v>
      </c>
      <c r="I22" s="58">
        <f>H22*(1+$E$22)</f>
        <v>2104.6349999999998</v>
      </c>
      <c r="J22" s="58">
        <f t="shared" ref="J22:R22" si="1">I22*(1+$E$22)</f>
        <v>2641.3169249999996</v>
      </c>
      <c r="K22" s="58">
        <f t="shared" si="1"/>
        <v>3314.8527408749992</v>
      </c>
      <c r="L22" s="58">
        <f t="shared" si="1"/>
        <v>4160.1401897981241</v>
      </c>
      <c r="M22" s="58">
        <f t="shared" si="1"/>
        <v>5220.9759381966451</v>
      </c>
      <c r="N22" s="58">
        <f t="shared" si="1"/>
        <v>6552.3248024367886</v>
      </c>
      <c r="O22" s="58">
        <f t="shared" si="1"/>
        <v>8223.1676270581684</v>
      </c>
      <c r="P22" s="58">
        <f t="shared" si="1"/>
        <v>10320.075371958001</v>
      </c>
      <c r="Q22" s="58">
        <f t="shared" si="1"/>
        <v>12951.694591807291</v>
      </c>
      <c r="R22" s="58">
        <f t="shared" si="1"/>
        <v>16254.376712718149</v>
      </c>
      <c r="T22" s="233">
        <f>AVERAGE(I23:R23)</f>
        <v>0.27839953395362116</v>
      </c>
    </row>
    <row r="23" spans="3:20" s="235" customFormat="1" ht="35.25" customHeight="1" thickBot="1">
      <c r="D23" s="277" t="s">
        <v>166</v>
      </c>
      <c r="E23" s="236"/>
      <c r="F23" s="234">
        <f>H22/H24</f>
        <v>16770</v>
      </c>
      <c r="G23" s="237"/>
      <c r="H23" s="238"/>
      <c r="I23" s="239">
        <f>I22/$I$24</f>
        <v>8.1669965075669371E-2</v>
      </c>
      <c r="J23" s="239">
        <f t="shared" ref="J23:R23" si="2">J22/$I$24</f>
        <v>0.10249580616996506</v>
      </c>
      <c r="K23" s="239">
        <f t="shared" si="2"/>
        <v>0.12863223674330615</v>
      </c>
      <c r="L23" s="239">
        <f t="shared" si="2"/>
        <v>0.1614334571128492</v>
      </c>
      <c r="M23" s="239">
        <f t="shared" si="2"/>
        <v>0.20259898867662574</v>
      </c>
      <c r="N23" s="239">
        <f t="shared" si="2"/>
        <v>0.25426173078916525</v>
      </c>
      <c r="O23" s="239">
        <f t="shared" si="2"/>
        <v>0.31909847214040232</v>
      </c>
      <c r="P23" s="239">
        <f t="shared" si="2"/>
        <v>0.40046858253620493</v>
      </c>
      <c r="Q23" s="239">
        <f t="shared" si="2"/>
        <v>0.50258807108293713</v>
      </c>
      <c r="R23" s="239">
        <f t="shared" si="2"/>
        <v>0.63074802920908613</v>
      </c>
    </row>
    <row r="24" spans="3:20" ht="15.75" customHeight="1" thickBot="1">
      <c r="D24" s="277"/>
      <c r="E24" s="207"/>
      <c r="F24" s="234"/>
      <c r="G24" s="184">
        <v>-0.16</v>
      </c>
      <c r="H24" s="184">
        <v>0.1</v>
      </c>
      <c r="I24" s="233">
        <f>F23+9000</f>
        <v>25770</v>
      </c>
      <c r="L24" s="189"/>
      <c r="M24" s="189"/>
    </row>
    <row r="25" spans="3:20" ht="23.25" customHeight="1" thickBot="1">
      <c r="D25" s="277" t="s">
        <v>167</v>
      </c>
      <c r="E25" s="203"/>
      <c r="F25" s="279"/>
      <c r="G25" s="177"/>
      <c r="H25" s="212"/>
      <c r="I25" s="177"/>
      <c r="L25" s="279"/>
      <c r="M25" s="178"/>
    </row>
    <row r="26" spans="3:20">
      <c r="D26" s="277"/>
      <c r="E26" s="201"/>
      <c r="F26" s="279"/>
      <c r="G26" s="173" t="s">
        <v>160</v>
      </c>
      <c r="H26" s="172">
        <v>-1427</v>
      </c>
      <c r="L26" s="279"/>
      <c r="M26" s="178"/>
    </row>
    <row r="27" spans="3:20">
      <c r="D27" s="170" t="s">
        <v>165</v>
      </c>
      <c r="E27" s="200"/>
      <c r="F27" s="278">
        <v>-928</v>
      </c>
      <c r="G27" s="278"/>
      <c r="H27" s="211">
        <v>1677</v>
      </c>
      <c r="I27" s="211"/>
      <c r="L27" s="167"/>
      <c r="M27" s="178"/>
    </row>
    <row r="28" spans="3:20" ht="19.5">
      <c r="D28" s="170" t="s">
        <v>168</v>
      </c>
      <c r="E28" s="201"/>
      <c r="F28" s="278">
        <v>-499</v>
      </c>
      <c r="G28" s="278"/>
      <c r="H28" s="187">
        <v>-541</v>
      </c>
      <c r="I28" s="187"/>
      <c r="L28" s="181"/>
      <c r="M28" s="178"/>
    </row>
    <row r="29" spans="3:20" ht="48" customHeight="1" thickBot="1">
      <c r="D29" s="277" t="s">
        <v>169</v>
      </c>
      <c r="E29" s="203"/>
      <c r="F29" s="279"/>
      <c r="G29" s="177"/>
      <c r="H29" s="189"/>
      <c r="I29" s="177"/>
      <c r="L29" s="279"/>
      <c r="M29" s="178"/>
    </row>
    <row r="30" spans="3:20" ht="15.75" thickBot="1">
      <c r="D30" s="277"/>
      <c r="E30" s="200"/>
      <c r="F30" s="279"/>
      <c r="G30" s="179">
        <v>-1427</v>
      </c>
      <c r="H30" s="183">
        <v>-291</v>
      </c>
      <c r="I30" s="58">
        <f>H30+I22</f>
        <v>1813.6349999999998</v>
      </c>
      <c r="J30" s="58">
        <f>I30+J22</f>
        <v>4454.9519249999994</v>
      </c>
      <c r="L30" s="279"/>
      <c r="M30" s="178"/>
    </row>
    <row r="31" spans="3:20" ht="15.75" thickBot="1">
      <c r="C31" s="178"/>
      <c r="D31" s="203"/>
      <c r="E31" s="203"/>
      <c r="F31" s="178"/>
      <c r="G31" s="177"/>
      <c r="H31" s="178"/>
      <c r="I31" s="177"/>
      <c r="L31" s="178"/>
      <c r="M31" s="178"/>
    </row>
    <row r="32" spans="3:20">
      <c r="D32" s="59"/>
      <c r="E32" s="60"/>
      <c r="F32" s="60"/>
      <c r="G32" s="60"/>
    </row>
    <row r="33" spans="4:18">
      <c r="D33" s="59" t="s">
        <v>179</v>
      </c>
      <c r="E33" s="216">
        <v>0.03</v>
      </c>
      <c r="F33" s="60"/>
      <c r="G33" s="60"/>
      <c r="I33" s="58">
        <f>I8*$E$33</f>
        <v>4088.4353999999998</v>
      </c>
      <c r="J33" s="58">
        <f t="shared" ref="J33:R33" si="3">J8*$E$33</f>
        <v>4865.2381259999993</v>
      </c>
      <c r="K33" s="58">
        <f t="shared" si="3"/>
        <v>5789.6333699399984</v>
      </c>
      <c r="L33" s="58">
        <f t="shared" si="3"/>
        <v>6889.6637102285986</v>
      </c>
      <c r="M33" s="58">
        <f t="shared" si="3"/>
        <v>8198.6998151720327</v>
      </c>
      <c r="N33" s="58">
        <f t="shared" si="3"/>
        <v>9756.4527800547185</v>
      </c>
      <c r="O33" s="58">
        <f t="shared" si="3"/>
        <v>11610.178808265115</v>
      </c>
      <c r="P33" s="58">
        <f t="shared" si="3"/>
        <v>13816.112781835483</v>
      </c>
      <c r="Q33" s="58">
        <f t="shared" si="3"/>
        <v>16441.174210384226</v>
      </c>
      <c r="R33" s="58">
        <f t="shared" si="3"/>
        <v>19564.997310357227</v>
      </c>
    </row>
    <row r="34" spans="4:18">
      <c r="D34" s="59"/>
      <c r="E34" s="62"/>
      <c r="F34" s="62"/>
      <c r="G34" s="62"/>
    </row>
    <row r="35" spans="4:18">
      <c r="D35" s="59"/>
      <c r="E35" s="62"/>
      <c r="F35" s="62"/>
      <c r="G35" s="62"/>
    </row>
    <row r="36" spans="4:18">
      <c r="D36" s="59"/>
      <c r="E36" s="61"/>
      <c r="F36" s="61"/>
      <c r="G36" s="61"/>
    </row>
    <row r="37" spans="4:18">
      <c r="D37" s="59"/>
      <c r="E37" s="63"/>
      <c r="F37" s="63"/>
      <c r="G37" s="63"/>
    </row>
    <row r="38" spans="4:18">
      <c r="D38" s="64"/>
      <c r="E38" s="67"/>
      <c r="F38" s="67"/>
      <c r="G38" s="67"/>
    </row>
    <row r="39" spans="4:18">
      <c r="D39" s="64"/>
      <c r="E39" s="65"/>
      <c r="F39" s="66"/>
      <c r="G39" s="60"/>
    </row>
  </sheetData>
  <mergeCells count="23">
    <mergeCell ref="L25:L26"/>
    <mergeCell ref="L29:L30"/>
    <mergeCell ref="F28:G28"/>
    <mergeCell ref="D29:D30"/>
    <mergeCell ref="F29:F30"/>
    <mergeCell ref="F18:G18"/>
    <mergeCell ref="F19:G19"/>
    <mergeCell ref="F20:G20"/>
    <mergeCell ref="D21:D22"/>
    <mergeCell ref="F27:G27"/>
    <mergeCell ref="D23:D24"/>
    <mergeCell ref="D25:D26"/>
    <mergeCell ref="F25:F26"/>
    <mergeCell ref="F12:G12"/>
    <mergeCell ref="F13:G13"/>
    <mergeCell ref="F14:G14"/>
    <mergeCell ref="F15:G15"/>
    <mergeCell ref="D16:D17"/>
    <mergeCell ref="F9:G9"/>
    <mergeCell ref="E4:G4"/>
    <mergeCell ref="E5:G5"/>
    <mergeCell ref="I5:L5"/>
    <mergeCell ref="D10:D11"/>
  </mergeCells>
  <pageMargins left="0.7" right="0.7" top="0.75" bottom="0.75" header="0.3" footer="0.3"/>
  <pageSetup orientation="portrait" horizontalDpi="300" verticalDpi="300" r:id="rId1"/>
</worksheet>
</file>

<file path=xl/worksheets/sheet10.xml><?xml version="1.0" encoding="utf-8"?>
<worksheet xmlns="http://schemas.openxmlformats.org/spreadsheetml/2006/main" xmlns:r="http://schemas.openxmlformats.org/officeDocument/2006/relationships">
  <dimension ref="A1:D31"/>
  <sheetViews>
    <sheetView workbookViewId="0"/>
  </sheetViews>
  <sheetFormatPr defaultRowHeight="15"/>
  <cols>
    <col min="1" max="4" width="36.7109375" customWidth="1"/>
  </cols>
  <sheetData>
    <row r="1" spans="1:4">
      <c r="A1" s="161" t="s">
        <v>114</v>
      </c>
    </row>
    <row r="3" spans="1:4">
      <c r="A3" t="s">
        <v>115</v>
      </c>
      <c r="B3" t="s">
        <v>116</v>
      </c>
      <c r="C3">
        <v>0</v>
      </c>
    </row>
    <row r="4" spans="1:4">
      <c r="A4" t="s">
        <v>117</v>
      </c>
    </row>
    <row r="5" spans="1:4">
      <c r="A5" t="s">
        <v>118</v>
      </c>
    </row>
    <row r="7" spans="1:4">
      <c r="A7" s="161" t="s">
        <v>119</v>
      </c>
      <c r="B7" t="s">
        <v>120</v>
      </c>
    </row>
    <row r="8" spans="1:4">
      <c r="B8">
        <v>4</v>
      </c>
    </row>
    <row r="10" spans="1:4">
      <c r="A10" t="s">
        <v>121</v>
      </c>
    </row>
    <row r="11" spans="1:4">
      <c r="A11" t="e">
        <f>CB_DATA_!#REF!</f>
        <v>#REF!</v>
      </c>
      <c r="C11" t="e">
        <f>Simulation!#REF!</f>
        <v>#REF!</v>
      </c>
      <c r="D11" t="e">
        <f>'No. of share simulation'!#REF!</f>
        <v>#REF!</v>
      </c>
    </row>
    <row r="13" spans="1:4">
      <c r="A13" t="s">
        <v>122</v>
      </c>
    </row>
    <row r="14" spans="1:4">
      <c r="A14" t="s">
        <v>126</v>
      </c>
      <c r="C14" t="s">
        <v>131</v>
      </c>
      <c r="D14" t="s">
        <v>132</v>
      </c>
    </row>
    <row r="16" spans="1:4">
      <c r="A16" t="s">
        <v>123</v>
      </c>
    </row>
    <row r="19" spans="1:4">
      <c r="A19" t="s">
        <v>124</v>
      </c>
    </row>
    <row r="20" spans="1:4">
      <c r="A20">
        <v>31</v>
      </c>
      <c r="C20">
        <v>26</v>
      </c>
      <c r="D20">
        <v>31</v>
      </c>
    </row>
    <row r="25" spans="1:4">
      <c r="A25" s="161" t="s">
        <v>125</v>
      </c>
    </row>
    <row r="26" spans="1:4">
      <c r="A26" s="162" t="s">
        <v>127</v>
      </c>
      <c r="D26" s="162" t="s">
        <v>130</v>
      </c>
    </row>
    <row r="27" spans="1:4">
      <c r="A27" t="s">
        <v>128</v>
      </c>
      <c r="D27" t="s">
        <v>191</v>
      </c>
    </row>
    <row r="28" spans="1:4">
      <c r="A28" s="162" t="s">
        <v>129</v>
      </c>
      <c r="D28" s="162" t="s">
        <v>129</v>
      </c>
    </row>
    <row r="29" spans="1:4">
      <c r="A29" s="162" t="s">
        <v>130</v>
      </c>
      <c r="D29" s="162" t="s">
        <v>127</v>
      </c>
    </row>
    <row r="30" spans="1:4">
      <c r="A30" t="s">
        <v>189</v>
      </c>
      <c r="D30" t="s">
        <v>190</v>
      </c>
    </row>
    <row r="31" spans="1:4">
      <c r="A31" s="162" t="s">
        <v>129</v>
      </c>
      <c r="D31" s="162" t="s">
        <v>129</v>
      </c>
    </row>
  </sheetData>
  <pageMargins left="0.7" right="0.7" top="0.75" bottom="0.75" header="0.3" footer="0.3"/>
  <pageSetup orientation="portrait" horizontalDpi="300" verticalDpi="300" r:id="rId1"/>
</worksheet>
</file>

<file path=xl/worksheets/sheet11.xml><?xml version="1.0" encoding="utf-8"?>
<worksheet xmlns="http://schemas.openxmlformats.org/spreadsheetml/2006/main" xmlns:r="http://schemas.openxmlformats.org/officeDocument/2006/relationships">
  <dimension ref="A1:O83"/>
  <sheetViews>
    <sheetView workbookViewId="0">
      <selection activeCell="A28" sqref="A28:B30"/>
    </sheetView>
  </sheetViews>
  <sheetFormatPr defaultRowHeight="15"/>
  <cols>
    <col min="1" max="1" width="34.7109375" bestFit="1" customWidth="1"/>
    <col min="2" max="2" width="22.5703125" bestFit="1" customWidth="1"/>
    <col min="5" max="6" width="15.85546875" customWidth="1"/>
    <col min="7" max="7" width="17.140625" customWidth="1"/>
    <col min="8" max="8" width="15" customWidth="1"/>
    <col min="9" max="9" width="19" customWidth="1"/>
    <col min="10" max="10" width="13.28515625" customWidth="1"/>
    <col min="11" max="11" width="26.85546875" customWidth="1"/>
    <col min="13" max="13" width="9.5703125" bestFit="1" customWidth="1"/>
  </cols>
  <sheetData>
    <row r="1" spans="1:15">
      <c r="A1" s="58" t="s">
        <v>73</v>
      </c>
      <c r="B1" s="58"/>
      <c r="D1" s="58"/>
      <c r="F1">
        <f>F3+F4</f>
        <v>14211</v>
      </c>
      <c r="G1">
        <f t="shared" ref="G1:K1" si="0">G3+G4</f>
        <v>14111</v>
      </c>
      <c r="H1">
        <f t="shared" si="0"/>
        <v>2515</v>
      </c>
      <c r="I1">
        <f t="shared" si="0"/>
        <v>9153</v>
      </c>
      <c r="J1">
        <f t="shared" si="0"/>
        <v>2759</v>
      </c>
      <c r="K1">
        <f t="shared" si="0"/>
        <v>3721</v>
      </c>
      <c r="L1">
        <f>L3+L4</f>
        <v>8965</v>
      </c>
    </row>
    <row r="2" spans="1:15">
      <c r="A2" t="s">
        <v>74</v>
      </c>
      <c r="B2" s="74">
        <f>WACC!D20</f>
        <v>5.9479993100275998E-2</v>
      </c>
      <c r="C2" s="74"/>
      <c r="D2" s="74"/>
      <c r="E2" s="74" t="s">
        <v>84</v>
      </c>
      <c r="F2" s="219">
        <v>1996</v>
      </c>
      <c r="G2" s="219">
        <v>1997</v>
      </c>
      <c r="H2" s="219">
        <v>1998</v>
      </c>
      <c r="I2" s="219">
        <v>1999</v>
      </c>
      <c r="J2" s="219">
        <v>2000</v>
      </c>
      <c r="K2" s="219">
        <v>2001</v>
      </c>
      <c r="L2" s="219">
        <v>2002</v>
      </c>
      <c r="M2" s="219">
        <v>2003</v>
      </c>
      <c r="N2" s="219">
        <v>2004</v>
      </c>
      <c r="O2" s="219">
        <v>2005</v>
      </c>
    </row>
    <row r="3" spans="1:15">
      <c r="A3" t="s">
        <v>75</v>
      </c>
      <c r="B3" s="74">
        <v>0.03</v>
      </c>
      <c r="F3">
        <v>9400</v>
      </c>
      <c r="G3">
        <v>10400</v>
      </c>
      <c r="I3">
        <v>7500</v>
      </c>
      <c r="J3">
        <v>1250</v>
      </c>
      <c r="K3">
        <v>2500</v>
      </c>
      <c r="L3">
        <v>8750</v>
      </c>
    </row>
    <row r="4" spans="1:15">
      <c r="A4" t="s">
        <v>64</v>
      </c>
      <c r="B4" s="74">
        <v>0.3</v>
      </c>
      <c r="F4">
        <v>4811</v>
      </c>
      <c r="G4">
        <v>3711</v>
      </c>
      <c r="H4">
        <v>2515</v>
      </c>
      <c r="I4">
        <v>1653</v>
      </c>
      <c r="J4">
        <v>1509</v>
      </c>
      <c r="K4">
        <v>1221</v>
      </c>
      <c r="L4">
        <v>215</v>
      </c>
    </row>
    <row r="5" spans="1:15">
      <c r="B5" s="74"/>
      <c r="E5" t="s">
        <v>85</v>
      </c>
      <c r="F5">
        <f>$E$6*IS!I8</f>
        <v>4088.4353999999998</v>
      </c>
      <c r="G5">
        <f>$E$6*IS!J8</f>
        <v>4865.2381259999993</v>
      </c>
      <c r="H5">
        <f>$E$6*IS!K8</f>
        <v>5789.6333699399984</v>
      </c>
      <c r="I5">
        <f>$E$6*IS!L8</f>
        <v>6889.6637102285986</v>
      </c>
      <c r="J5">
        <f>$E$6*IS!M8</f>
        <v>8198.6998151720327</v>
      </c>
      <c r="K5">
        <f>$E$6*IS!N8</f>
        <v>9756.4527800547185</v>
      </c>
      <c r="L5">
        <f>$E$6*IS!O8</f>
        <v>11610.178808265115</v>
      </c>
      <c r="M5">
        <f>$E$6*IS!P8</f>
        <v>13816.112781835483</v>
      </c>
      <c r="N5">
        <f>$E$6*IS!Q8</f>
        <v>16441.174210384226</v>
      </c>
      <c r="O5">
        <f>$E$6*IS!R8</f>
        <v>19564.997310357227</v>
      </c>
    </row>
    <row r="6" spans="1:15">
      <c r="A6" t="s">
        <v>76</v>
      </c>
      <c r="B6" s="74">
        <v>0.03</v>
      </c>
      <c r="C6" s="75"/>
      <c r="D6" s="75"/>
      <c r="E6" s="75">
        <v>0.03</v>
      </c>
      <c r="F6" s="75"/>
      <c r="G6" s="75"/>
      <c r="H6" s="75"/>
    </row>
    <row r="7" spans="1:15">
      <c r="A7" t="s">
        <v>77</v>
      </c>
      <c r="B7" s="74">
        <v>0.15</v>
      </c>
      <c r="E7" s="68"/>
      <c r="F7" s="68"/>
      <c r="G7" s="68"/>
      <c r="H7" s="68"/>
      <c r="I7" s="68"/>
      <c r="J7" s="68"/>
      <c r="K7" s="68"/>
      <c r="L7" s="68"/>
      <c r="M7" s="68"/>
      <c r="N7" s="68"/>
    </row>
    <row r="8" spans="1:15">
      <c r="A8" t="s">
        <v>78</v>
      </c>
      <c r="B8" s="76">
        <v>0.02</v>
      </c>
    </row>
    <row r="10" spans="1:15" ht="15.75" thickBot="1">
      <c r="A10" s="77"/>
      <c r="B10" s="77"/>
      <c r="C10" s="305"/>
      <c r="D10" s="305"/>
      <c r="E10" s="305"/>
      <c r="F10" s="305"/>
      <c r="G10" s="305"/>
      <c r="H10" s="305"/>
      <c r="I10" s="305"/>
      <c r="J10" s="305"/>
      <c r="K10" s="78"/>
    </row>
    <row r="11" spans="1:15">
      <c r="A11" s="79" t="s">
        <v>14</v>
      </c>
      <c r="B11" s="306" t="s">
        <v>79</v>
      </c>
      <c r="C11" s="307"/>
      <c r="D11" s="307"/>
      <c r="E11" s="307"/>
      <c r="F11" s="307"/>
      <c r="G11" s="307"/>
      <c r="H11" s="307"/>
      <c r="I11" s="308"/>
      <c r="J11" s="80" t="s">
        <v>80</v>
      </c>
    </row>
    <row r="12" spans="1:15" ht="15.75" thickBot="1">
      <c r="A12" s="81"/>
      <c r="B12" s="219">
        <v>1996</v>
      </c>
      <c r="C12" s="219">
        <v>1997</v>
      </c>
      <c r="D12" s="219">
        <v>1998</v>
      </c>
      <c r="E12" s="219">
        <v>1999</v>
      </c>
      <c r="F12" s="219"/>
      <c r="G12" s="219">
        <v>2000</v>
      </c>
      <c r="H12" s="219">
        <v>2001</v>
      </c>
      <c r="I12" s="219">
        <v>2002</v>
      </c>
      <c r="J12" s="219">
        <v>2003</v>
      </c>
      <c r="K12" s="219">
        <v>2004</v>
      </c>
      <c r="L12" s="219">
        <v>2005</v>
      </c>
    </row>
    <row r="13" spans="1:15">
      <c r="A13" s="82" t="s">
        <v>70</v>
      </c>
      <c r="B13" s="83">
        <f>IS!I22</f>
        <v>2104.6349999999998</v>
      </c>
      <c r="C13" s="83">
        <f>IS!J22</f>
        <v>2641.3169249999996</v>
      </c>
      <c r="D13" s="83">
        <f>IS!K22</f>
        <v>3314.8527408749992</v>
      </c>
      <c r="E13" s="83">
        <f>IS!L22</f>
        <v>4160.1401897981241</v>
      </c>
      <c r="F13" s="85" t="s">
        <v>70</v>
      </c>
      <c r="G13" s="116">
        <f>IS!M22</f>
        <v>5220.9759381966451</v>
      </c>
      <c r="H13" s="116">
        <f>IS!N22</f>
        <v>6552.3248024367886</v>
      </c>
      <c r="I13" s="116">
        <f>IS!O22</f>
        <v>8223.1676270581684</v>
      </c>
      <c r="J13" s="116">
        <f>IS!P22</f>
        <v>10320.075371958001</v>
      </c>
      <c r="K13" s="116">
        <f>IS!Q22</f>
        <v>12951.694591807291</v>
      </c>
      <c r="L13" s="116">
        <f>IS!R22</f>
        <v>16254.376712718149</v>
      </c>
    </row>
    <row r="14" spans="1:15" ht="24.75">
      <c r="A14" s="82" t="s">
        <v>81</v>
      </c>
      <c r="B14" s="83">
        <f>IS!I33</f>
        <v>4088.4353999999998</v>
      </c>
      <c r="C14" s="83">
        <f>IS!J33</f>
        <v>4865.2381259999993</v>
      </c>
      <c r="D14" s="83">
        <f>IS!K33</f>
        <v>5789.6333699399984</v>
      </c>
      <c r="E14" s="83">
        <f>IS!L33</f>
        <v>6889.6637102285986</v>
      </c>
      <c r="F14" s="82" t="s">
        <v>81</v>
      </c>
      <c r="G14" s="86">
        <f>IS!M33</f>
        <v>8198.6998151720327</v>
      </c>
      <c r="H14" s="86">
        <f>IS!N33</f>
        <v>9756.4527800547185</v>
      </c>
      <c r="I14" s="86">
        <f>IS!O33</f>
        <v>11610.178808265115</v>
      </c>
      <c r="J14" s="86">
        <f>IS!P33</f>
        <v>13816.112781835483</v>
      </c>
      <c r="K14" s="86">
        <f>IS!Q33</f>
        <v>16441.174210384226</v>
      </c>
      <c r="L14" s="86">
        <f>IS!R33</f>
        <v>19564.997310357227</v>
      </c>
    </row>
    <row r="15" spans="1:15">
      <c r="A15" s="82" t="s">
        <v>82</v>
      </c>
      <c r="B15" s="231">
        <f>BS!H27</f>
        <v>1032.1199999999953</v>
      </c>
      <c r="C15" s="231">
        <f>BS!I27</f>
        <v>1346.5374000000011</v>
      </c>
      <c r="D15" s="231">
        <f>BS!J27</f>
        <v>1735.2493079999986</v>
      </c>
      <c r="E15" s="231">
        <f>BS!K27</f>
        <v>2214.0123228600132</v>
      </c>
      <c r="F15" s="73"/>
      <c r="G15" s="115">
        <f>BS!L27</f>
        <v>2801.7306451211916</v>
      </c>
      <c r="H15" s="115">
        <f>BS!M27</f>
        <v>3521.0615162730683</v>
      </c>
      <c r="I15" s="115">
        <f>BS!N27</f>
        <v>4399.1341347429261</v>
      </c>
      <c r="J15" s="115">
        <f>BS!O27</f>
        <v>5468.4029224581609</v>
      </c>
      <c r="K15" s="115">
        <f>BS!P27</f>
        <v>6767.6598018063523</v>
      </c>
      <c r="L15" s="115">
        <f>BS!Q27</f>
        <v>8343.2346080232528</v>
      </c>
    </row>
    <row r="16" spans="1:15">
      <c r="A16" s="82" t="s">
        <v>83</v>
      </c>
      <c r="B16" s="83"/>
      <c r="C16" s="87"/>
      <c r="D16" s="88"/>
      <c r="E16" s="88"/>
      <c r="F16" s="82"/>
      <c r="G16" s="89"/>
      <c r="H16" s="88"/>
      <c r="I16" s="88"/>
      <c r="J16" s="90"/>
      <c r="K16" s="68"/>
    </row>
    <row r="17" spans="1:13">
      <c r="A17" s="82" t="s">
        <v>84</v>
      </c>
      <c r="B17" s="83">
        <f>F1</f>
        <v>14211</v>
      </c>
      <c r="C17" s="83">
        <f t="shared" ref="C17:E17" si="1">G1</f>
        <v>14111</v>
      </c>
      <c r="D17" s="83">
        <f t="shared" si="1"/>
        <v>2515</v>
      </c>
      <c r="E17" s="83">
        <f t="shared" si="1"/>
        <v>9153</v>
      </c>
      <c r="F17" s="85"/>
      <c r="G17" s="85">
        <f>J3</f>
        <v>1250</v>
      </c>
      <c r="H17" s="85">
        <f t="shared" ref="H17:I17" si="2">K3</f>
        <v>2500</v>
      </c>
      <c r="I17" s="85">
        <f t="shared" si="2"/>
        <v>8750</v>
      </c>
      <c r="J17" s="91"/>
      <c r="K17" s="91"/>
      <c r="L17" s="91"/>
    </row>
    <row r="18" spans="1:13">
      <c r="A18" s="82" t="s">
        <v>85</v>
      </c>
      <c r="B18" s="83">
        <f>F5</f>
        <v>4088.4353999999998</v>
      </c>
      <c r="C18" s="83">
        <f t="shared" ref="C18:E18" si="3">G5</f>
        <v>4865.2381259999993</v>
      </c>
      <c r="D18" s="83">
        <f t="shared" si="3"/>
        <v>5789.6333699399984</v>
      </c>
      <c r="E18" s="83">
        <f t="shared" si="3"/>
        <v>6889.6637102285986</v>
      </c>
      <c r="F18" s="82" t="s">
        <v>85</v>
      </c>
      <c r="G18" s="85">
        <f>J5</f>
        <v>8198.6998151720327</v>
      </c>
      <c r="H18" s="85">
        <f t="shared" ref="H18:I18" si="4">K5</f>
        <v>9756.4527800547185</v>
      </c>
      <c r="I18" s="85">
        <f t="shared" si="4"/>
        <v>11610.178808265115</v>
      </c>
      <c r="J18" s="85">
        <f t="shared" ref="J18" si="5">M5</f>
        <v>13816.112781835483</v>
      </c>
      <c r="K18" s="85">
        <f t="shared" ref="K18" si="6">N5</f>
        <v>16441.174210384226</v>
      </c>
      <c r="L18" s="85">
        <f t="shared" ref="L18" si="7">O5</f>
        <v>19564.997310357227</v>
      </c>
    </row>
    <row r="19" spans="1:13">
      <c r="A19" s="82"/>
      <c r="B19" s="83"/>
      <c r="C19" s="84"/>
      <c r="D19" s="84"/>
      <c r="E19" s="84"/>
      <c r="F19" s="84"/>
      <c r="G19" s="84"/>
      <c r="H19" s="84"/>
      <c r="I19" s="84"/>
      <c r="J19" s="91"/>
      <c r="K19" s="68"/>
    </row>
    <row r="20" spans="1:13">
      <c r="A20" s="92"/>
      <c r="B20" s="93"/>
      <c r="C20" s="56"/>
      <c r="D20" s="56"/>
      <c r="E20" s="56"/>
      <c r="F20" s="56"/>
      <c r="G20" s="56"/>
      <c r="H20" s="56"/>
      <c r="I20" s="56"/>
      <c r="J20" s="94"/>
      <c r="K20" s="68"/>
    </row>
    <row r="21" spans="1:13" ht="15.75" thickBot="1">
      <c r="A21" s="57"/>
      <c r="B21" s="95"/>
      <c r="C21" s="96"/>
      <c r="D21" s="96"/>
      <c r="E21" s="96"/>
      <c r="F21" s="96"/>
      <c r="G21" s="96"/>
      <c r="H21" s="96"/>
      <c r="I21" s="96"/>
      <c r="J21" s="1"/>
      <c r="K21" s="68"/>
    </row>
    <row r="22" spans="1:13">
      <c r="A22" s="97"/>
      <c r="D22" s="98"/>
      <c r="E22" s="98"/>
      <c r="F22" s="98"/>
      <c r="G22" s="98"/>
      <c r="H22" s="98"/>
      <c r="I22" s="98"/>
      <c r="J22" s="1"/>
    </row>
    <row r="23" spans="1:13">
      <c r="A23" s="97"/>
      <c r="D23" s="68"/>
      <c r="E23" s="68"/>
      <c r="F23" s="68"/>
      <c r="G23" s="68"/>
      <c r="H23" s="68"/>
      <c r="I23" s="68"/>
      <c r="J23" s="1"/>
    </row>
    <row r="24" spans="1:13">
      <c r="A24" s="97" t="s">
        <v>86</v>
      </c>
      <c r="B24" s="99">
        <f>B13-B14-B15+B16-B17+B18</f>
        <v>-13138.484999999995</v>
      </c>
      <c r="C24" s="99">
        <f>C13-C14-C15+C16-C17+C18</f>
        <v>-12816.220475000002</v>
      </c>
      <c r="D24" s="99">
        <f>D13-D14-D15+D16-D17+D18</f>
        <v>-935.39656712499891</v>
      </c>
      <c r="E24" s="99">
        <f>E13-E14-E15+E16-E17+E18</f>
        <v>-7206.8721330618882</v>
      </c>
      <c r="F24" s="99"/>
      <c r="G24" s="99">
        <f>G13-G14-G15+G16-G17+G18</f>
        <v>1169.2452930754534</v>
      </c>
      <c r="H24" s="99">
        <f>H13-H14-H15+H16-H17+H18</f>
        <v>531.2632861637212</v>
      </c>
      <c r="I24" s="99">
        <f>I13-I14-I15+I16-I17+I18</f>
        <v>-4925.9665076847559</v>
      </c>
      <c r="J24" s="99">
        <f t="shared" ref="J24:K24" si="8">J13-J14-J15+J16-J17+J18</f>
        <v>4851.6724494998398</v>
      </c>
      <c r="K24" s="99">
        <f t="shared" si="8"/>
        <v>6184.0347900009383</v>
      </c>
      <c r="L24" s="99">
        <f>L13-L14-L15+L16-L17+L18</f>
        <v>7911.1421046948963</v>
      </c>
    </row>
    <row r="25" spans="1:13">
      <c r="A25" s="97" t="s">
        <v>87</v>
      </c>
      <c r="B25" s="98">
        <f>B24/(1+$B$2)^1</f>
        <v>-12400.880701440941</v>
      </c>
      <c r="C25" s="98">
        <f>C24/(1+$B$2)^2</f>
        <v>-11417.590161984772</v>
      </c>
      <c r="D25" s="98">
        <f>D24/(1+$B$2)^3</f>
        <v>-786.53398320617953</v>
      </c>
      <c r="E25" s="98">
        <f>E24/(1+$B$2)^4</f>
        <v>-5719.7332684194071</v>
      </c>
      <c r="F25" s="98"/>
      <c r="G25" s="98">
        <f>G24/(1+$B$2)^5</f>
        <v>875.8743941393617</v>
      </c>
      <c r="H25" s="98">
        <f>H24/(1+$B$2)^6</f>
        <v>375.62392295089751</v>
      </c>
      <c r="I25" s="98">
        <f>I24/(1+$B$2)^7</f>
        <v>-3287.3211537955285</v>
      </c>
      <c r="J25" s="98">
        <f>J24/(1+$B$2)^8</f>
        <v>3055.9721523138724</v>
      </c>
      <c r="K25" s="98">
        <f>K24/(1+$B$2)^9</f>
        <v>3676.5212780294837</v>
      </c>
      <c r="L25" s="98">
        <f>L24/(1+$B$2)^10</f>
        <v>4439.2702584555282</v>
      </c>
      <c r="M25" s="56">
        <f>((L24*(1+B8))/(B2-B8))/(1+B2)^10</f>
        <v>114692.4127398843</v>
      </c>
    </row>
    <row r="26" spans="1:13">
      <c r="A26" s="97"/>
      <c r="J26" s="1"/>
    </row>
    <row r="27" spans="1:13" ht="15.75" thickBot="1">
      <c r="J27" s="1"/>
      <c r="K27" s="1"/>
    </row>
    <row r="28" spans="1:13">
      <c r="A28" s="265" t="s">
        <v>88</v>
      </c>
      <c r="B28" s="262">
        <f>SUM(B25:M25)*1000</f>
        <v>93503615.47692661</v>
      </c>
      <c r="J28" s="1"/>
      <c r="K28" s="1"/>
    </row>
    <row r="29" spans="1:13">
      <c r="A29" s="266" t="s">
        <v>89</v>
      </c>
      <c r="B29" s="263">
        <v>16770000</v>
      </c>
      <c r="J29" s="1"/>
      <c r="K29" s="1"/>
    </row>
    <row r="30" spans="1:13" ht="15.75" thickBot="1">
      <c r="A30" s="267" t="s">
        <v>95</v>
      </c>
      <c r="B30" s="264">
        <f>(B28/B29)</f>
        <v>5.5756479115639008</v>
      </c>
      <c r="H30" s="1"/>
      <c r="I30" s="1"/>
    </row>
    <row r="31" spans="1:13">
      <c r="A31" s="1"/>
      <c r="B31" s="1"/>
      <c r="C31" s="1"/>
      <c r="D31" s="1"/>
      <c r="E31" s="1"/>
      <c r="F31" s="1"/>
      <c r="G31" s="1"/>
      <c r="H31" s="1"/>
      <c r="I31" s="1"/>
      <c r="J31" s="1"/>
      <c r="K31" s="1"/>
    </row>
    <row r="32" spans="1:13">
      <c r="A32" s="1"/>
      <c r="B32" s="1"/>
      <c r="C32" s="1"/>
      <c r="D32" s="1"/>
      <c r="E32" s="1"/>
      <c r="F32" s="1"/>
      <c r="G32" s="1"/>
      <c r="H32" s="1"/>
      <c r="I32" s="1"/>
      <c r="J32" s="1"/>
      <c r="K32" s="1"/>
    </row>
    <row r="33" spans="1:11">
      <c r="A33" s="1"/>
      <c r="B33" s="1"/>
      <c r="C33" s="1"/>
      <c r="D33" s="1"/>
      <c r="E33" s="1"/>
      <c r="F33" s="1"/>
      <c r="G33" s="1"/>
      <c r="H33" s="1"/>
      <c r="I33" s="1"/>
      <c r="J33" s="1"/>
      <c r="K33" s="1"/>
    </row>
    <row r="34" spans="1:11">
      <c r="A34" s="1"/>
      <c r="B34" s="1"/>
      <c r="C34" s="1"/>
      <c r="D34" s="1"/>
      <c r="E34" s="1"/>
      <c r="F34" s="1"/>
      <c r="G34" s="1"/>
      <c r="H34" s="1"/>
      <c r="I34" s="1"/>
      <c r="J34" s="1"/>
      <c r="K34" s="1"/>
    </row>
    <row r="35" spans="1:11">
      <c r="A35" s="1"/>
      <c r="B35" s="1"/>
      <c r="C35" s="1"/>
      <c r="D35" s="1"/>
      <c r="E35" s="1"/>
      <c r="F35" s="1"/>
      <c r="G35" s="1"/>
      <c r="H35" s="1"/>
      <c r="I35" s="1"/>
      <c r="J35" s="1"/>
      <c r="K35" s="1"/>
    </row>
    <row r="36" spans="1:11">
      <c r="A36" s="1"/>
      <c r="B36" s="1"/>
      <c r="C36" s="1"/>
      <c r="D36" s="1"/>
      <c r="E36" s="1"/>
      <c r="F36" s="1"/>
      <c r="G36" s="1"/>
      <c r="H36" s="1"/>
      <c r="I36" s="1"/>
      <c r="J36" s="1"/>
      <c r="K36" s="1"/>
    </row>
    <row r="37" spans="1:11">
      <c r="A37" s="1"/>
      <c r="B37" s="1"/>
      <c r="C37" s="1"/>
      <c r="D37" s="1"/>
      <c r="E37" s="1"/>
      <c r="F37" s="1"/>
      <c r="G37" s="1"/>
      <c r="H37" s="1"/>
      <c r="I37" s="1"/>
      <c r="J37" s="1"/>
      <c r="K37" s="1"/>
    </row>
    <row r="38" spans="1:11">
      <c r="A38" s="1"/>
      <c r="B38" s="1"/>
      <c r="C38" s="1"/>
      <c r="D38" s="1"/>
      <c r="E38" s="1"/>
      <c r="F38" s="1"/>
      <c r="G38" s="1"/>
      <c r="H38" s="1"/>
      <c r="I38" s="1"/>
      <c r="J38" s="1"/>
      <c r="K38" s="1"/>
    </row>
    <row r="39" spans="1:11">
      <c r="A39" s="1"/>
      <c r="B39" s="1"/>
      <c r="C39" s="1"/>
      <c r="D39" s="1"/>
      <c r="E39" s="1"/>
      <c r="F39" s="1"/>
      <c r="G39" s="1"/>
      <c r="H39" s="1"/>
      <c r="I39" s="1"/>
      <c r="J39" s="1"/>
      <c r="K39" s="1"/>
    </row>
    <row r="40" spans="1:11">
      <c r="A40" s="1"/>
      <c r="B40" s="1"/>
      <c r="C40" s="1"/>
      <c r="D40" s="1"/>
      <c r="E40" s="1"/>
      <c r="F40" s="1"/>
      <c r="G40" s="1"/>
      <c r="H40" s="1"/>
      <c r="I40" s="1"/>
      <c r="J40" s="1"/>
      <c r="K40" s="1"/>
    </row>
    <row r="41" spans="1:11">
      <c r="A41" s="1"/>
      <c r="B41" s="1"/>
      <c r="C41" s="1"/>
      <c r="D41" s="1"/>
      <c r="E41" s="1"/>
      <c r="F41" s="1"/>
      <c r="G41" s="1"/>
      <c r="H41" s="1"/>
      <c r="I41" s="1"/>
      <c r="J41" s="1"/>
      <c r="K41" s="1"/>
    </row>
    <row r="42" spans="1:11">
      <c r="A42" s="1"/>
      <c r="B42" s="1"/>
      <c r="C42" s="1"/>
      <c r="D42" s="1"/>
      <c r="E42" s="1"/>
      <c r="F42" s="1"/>
      <c r="G42" s="1"/>
      <c r="H42" s="1"/>
      <c r="I42" s="1"/>
      <c r="J42" s="1"/>
      <c r="K42" s="1"/>
    </row>
    <row r="43" spans="1:11">
      <c r="A43" s="1"/>
      <c r="B43" s="1"/>
      <c r="C43" s="1"/>
      <c r="D43" s="1"/>
      <c r="E43" s="1"/>
      <c r="F43" s="1"/>
      <c r="G43" s="1"/>
      <c r="H43" s="1"/>
      <c r="I43" s="1"/>
      <c r="J43" s="1"/>
      <c r="K43" s="1"/>
    </row>
    <row r="44" spans="1:11">
      <c r="A44" s="1"/>
      <c r="B44" s="1"/>
      <c r="C44" s="1"/>
      <c r="D44" s="1"/>
      <c r="E44" s="1"/>
      <c r="F44" s="1"/>
      <c r="G44" s="1"/>
      <c r="H44" s="1"/>
      <c r="I44" s="1"/>
      <c r="J44" s="1"/>
      <c r="K44" s="1"/>
    </row>
    <row r="45" spans="1:11">
      <c r="A45" s="1"/>
      <c r="B45" s="1"/>
      <c r="C45" s="1"/>
      <c r="D45" s="1"/>
      <c r="E45" s="1"/>
      <c r="F45" s="1"/>
      <c r="G45" s="1"/>
      <c r="H45" s="1"/>
      <c r="I45" s="1"/>
      <c r="J45" s="1"/>
      <c r="K45" s="1"/>
    </row>
    <row r="46" spans="1:11">
      <c r="A46" s="1"/>
      <c r="B46" s="1"/>
      <c r="C46" s="1"/>
      <c r="D46" s="1"/>
      <c r="E46" s="1"/>
      <c r="F46" s="1"/>
      <c r="G46" s="1"/>
      <c r="H46" s="1"/>
      <c r="I46" s="1"/>
      <c r="J46" s="1"/>
      <c r="K46" s="1"/>
    </row>
    <row r="47" spans="1:11">
      <c r="A47" s="1"/>
      <c r="B47" s="1"/>
      <c r="C47" s="1"/>
      <c r="D47" s="1"/>
      <c r="E47" s="1"/>
      <c r="F47" s="1"/>
      <c r="G47" s="1"/>
      <c r="H47" s="1"/>
      <c r="I47" s="1"/>
      <c r="J47" s="1"/>
      <c r="K47" s="1"/>
    </row>
    <row r="48" spans="1:11">
      <c r="A48" s="1"/>
      <c r="B48" s="1"/>
      <c r="C48" s="1"/>
      <c r="D48" s="1"/>
      <c r="E48" s="1"/>
      <c r="F48" s="1"/>
      <c r="G48" s="1"/>
      <c r="H48" s="1"/>
      <c r="I48" s="1"/>
      <c r="J48" s="1"/>
      <c r="K48" s="1"/>
    </row>
    <row r="49" spans="1:11">
      <c r="A49" s="1"/>
      <c r="B49" s="1"/>
      <c r="C49" s="1"/>
      <c r="D49" s="1"/>
      <c r="E49" s="1"/>
      <c r="F49" s="1"/>
      <c r="G49" s="1"/>
      <c r="H49" s="1"/>
      <c r="I49" s="1"/>
      <c r="J49" s="1"/>
      <c r="K49" s="1"/>
    </row>
    <row r="50" spans="1:11">
      <c r="A50" s="1"/>
      <c r="B50" s="1"/>
      <c r="C50" s="1"/>
      <c r="D50" s="1"/>
      <c r="E50" s="1"/>
      <c r="F50" s="1"/>
      <c r="G50" s="1"/>
      <c r="H50" s="1"/>
      <c r="I50" s="1"/>
      <c r="J50" s="1"/>
      <c r="K50" s="1"/>
    </row>
    <row r="51" spans="1:11">
      <c r="A51" s="1"/>
      <c r="B51" s="1"/>
      <c r="C51" s="1"/>
      <c r="D51" s="1"/>
      <c r="E51" s="1"/>
      <c r="F51" s="1"/>
      <c r="G51" s="1"/>
      <c r="H51" s="1"/>
      <c r="I51" s="1"/>
      <c r="J51" s="1"/>
      <c r="K51" s="1"/>
    </row>
    <row r="52" spans="1:11">
      <c r="A52" s="1"/>
      <c r="B52" s="1"/>
      <c r="C52" s="1"/>
      <c r="D52" s="1"/>
      <c r="E52" s="1"/>
      <c r="F52" s="1"/>
      <c r="G52" s="1"/>
      <c r="H52" s="1"/>
      <c r="I52" s="1"/>
      <c r="J52" s="1"/>
      <c r="K52" s="1"/>
    </row>
    <row r="53" spans="1:11">
      <c r="A53" s="1"/>
      <c r="B53" s="1"/>
      <c r="C53" s="1"/>
      <c r="D53" s="1"/>
      <c r="E53" s="1"/>
      <c r="F53" s="1"/>
      <c r="G53" s="1"/>
      <c r="H53" s="1"/>
      <c r="I53" s="1"/>
      <c r="J53" s="1"/>
      <c r="K53" s="1"/>
    </row>
    <row r="54" spans="1:11">
      <c r="A54" s="1"/>
      <c r="B54" s="1"/>
      <c r="C54" s="1"/>
      <c r="D54" s="1"/>
      <c r="E54" s="1"/>
      <c r="F54" s="1"/>
      <c r="G54" s="1"/>
      <c r="H54" s="1"/>
      <c r="I54" s="1"/>
      <c r="J54" s="1"/>
      <c r="K54" s="1"/>
    </row>
    <row r="55" spans="1:11">
      <c r="A55" s="1"/>
      <c r="B55" s="1"/>
      <c r="C55" s="1"/>
      <c r="D55" s="1"/>
      <c r="E55" s="1"/>
      <c r="F55" s="1"/>
      <c r="G55" s="1"/>
      <c r="H55" s="1"/>
      <c r="I55" s="1"/>
      <c r="J55" s="1"/>
      <c r="K55" s="1"/>
    </row>
    <row r="56" spans="1:11">
      <c r="A56" s="1"/>
      <c r="B56" s="1"/>
      <c r="C56" s="1"/>
      <c r="D56" s="1"/>
      <c r="E56" s="1"/>
      <c r="F56" s="1"/>
      <c r="G56" s="1"/>
      <c r="H56" s="1"/>
      <c r="I56" s="1"/>
      <c r="J56" s="1"/>
      <c r="K56" s="1"/>
    </row>
    <row r="57" spans="1:11">
      <c r="A57" s="1"/>
      <c r="B57" s="1"/>
      <c r="C57" s="1"/>
      <c r="D57" s="1"/>
      <c r="E57" s="1"/>
      <c r="F57" s="1"/>
      <c r="G57" s="1"/>
      <c r="H57" s="1"/>
      <c r="I57" s="1"/>
      <c r="J57" s="1"/>
      <c r="K57" s="1"/>
    </row>
    <row r="58" spans="1:11">
      <c r="A58" s="1"/>
      <c r="B58" s="1"/>
      <c r="C58" s="1"/>
      <c r="D58" s="1"/>
      <c r="E58" s="1"/>
      <c r="F58" s="1"/>
      <c r="G58" s="1"/>
      <c r="H58" s="1"/>
      <c r="I58" s="1"/>
      <c r="J58" s="1"/>
      <c r="K58" s="1"/>
    </row>
    <row r="59" spans="1:11">
      <c r="A59" s="1"/>
      <c r="B59" s="1"/>
      <c r="C59" s="1"/>
      <c r="D59" s="1"/>
      <c r="E59" s="1"/>
      <c r="F59" s="1"/>
      <c r="G59" s="1"/>
      <c r="H59" s="1"/>
      <c r="I59" s="1"/>
      <c r="J59" s="1"/>
      <c r="K59" s="1"/>
    </row>
    <row r="60" spans="1:11">
      <c r="A60" s="1"/>
      <c r="B60" s="1"/>
      <c r="C60" s="1"/>
      <c r="D60" s="1"/>
      <c r="E60" s="1"/>
      <c r="F60" s="1"/>
      <c r="G60" s="1"/>
      <c r="H60" s="1"/>
      <c r="I60" s="1"/>
      <c r="J60" s="1"/>
      <c r="K60" s="1"/>
    </row>
    <row r="61" spans="1:11">
      <c r="A61" s="1"/>
      <c r="B61" s="1"/>
      <c r="C61" s="1"/>
      <c r="D61" s="1"/>
      <c r="E61" s="1"/>
      <c r="F61" s="1"/>
      <c r="G61" s="1"/>
      <c r="H61" s="1"/>
      <c r="I61" s="1"/>
      <c r="J61" s="1"/>
      <c r="K61" s="1"/>
    </row>
    <row r="62" spans="1:11">
      <c r="A62" s="1"/>
      <c r="B62" s="1"/>
      <c r="C62" s="1"/>
      <c r="D62" s="1"/>
      <c r="E62" s="1"/>
      <c r="F62" s="1"/>
      <c r="G62" s="1"/>
      <c r="H62" s="1"/>
      <c r="I62" s="1"/>
      <c r="J62" s="1"/>
      <c r="K62" s="1"/>
    </row>
    <row r="63" spans="1:11">
      <c r="A63" s="1"/>
      <c r="B63" s="1"/>
      <c r="C63" s="1"/>
      <c r="D63" s="1"/>
      <c r="E63" s="1"/>
      <c r="F63" s="1"/>
      <c r="G63" s="1"/>
      <c r="H63" s="1"/>
      <c r="I63" s="1"/>
      <c r="J63" s="1"/>
      <c r="K63" s="1"/>
    </row>
    <row r="64" spans="1:11">
      <c r="A64" s="1"/>
      <c r="B64" s="1"/>
      <c r="C64" s="1"/>
      <c r="D64" s="1"/>
      <c r="E64" s="1"/>
      <c r="F64" s="1"/>
      <c r="G64" s="1"/>
      <c r="H64" s="1"/>
      <c r="I64" s="1"/>
      <c r="J64" s="1"/>
      <c r="K64" s="1"/>
    </row>
    <row r="65" spans="1:11">
      <c r="A65" s="1"/>
      <c r="B65" s="1"/>
      <c r="C65" s="1"/>
      <c r="D65" s="1"/>
      <c r="E65" s="1"/>
      <c r="F65" s="1"/>
      <c r="G65" s="1"/>
      <c r="H65" s="1"/>
      <c r="I65" s="1"/>
      <c r="J65" s="1"/>
      <c r="K65" s="1"/>
    </row>
    <row r="66" spans="1:11">
      <c r="A66" s="1"/>
      <c r="B66" s="1"/>
      <c r="C66" s="1"/>
      <c r="D66" s="1"/>
      <c r="E66" s="1"/>
      <c r="F66" s="1"/>
      <c r="G66" s="1"/>
      <c r="H66" s="1"/>
      <c r="I66" s="1"/>
      <c r="J66" s="1"/>
      <c r="K66" s="1"/>
    </row>
    <row r="67" spans="1:11">
      <c r="A67" s="1"/>
      <c r="B67" s="1"/>
      <c r="C67" s="1"/>
      <c r="D67" s="1"/>
      <c r="E67" s="1"/>
      <c r="F67" s="1"/>
      <c r="G67" s="1"/>
      <c r="H67" s="1"/>
      <c r="I67" s="1"/>
      <c r="J67" s="1"/>
      <c r="K67" s="1"/>
    </row>
    <row r="68" spans="1:11">
      <c r="A68" s="1"/>
      <c r="B68" s="1"/>
      <c r="C68" s="1"/>
      <c r="D68" s="1"/>
      <c r="E68" s="1"/>
      <c r="F68" s="1"/>
      <c r="G68" s="1"/>
      <c r="H68" s="1"/>
      <c r="I68" s="1"/>
      <c r="J68" s="1"/>
      <c r="K68" s="1"/>
    </row>
    <row r="69" spans="1:11">
      <c r="A69" s="1"/>
      <c r="B69" s="1"/>
      <c r="C69" s="1"/>
      <c r="D69" s="1"/>
      <c r="E69" s="1"/>
      <c r="F69" s="1"/>
      <c r="G69" s="1"/>
      <c r="H69" s="1"/>
      <c r="I69" s="1"/>
      <c r="J69" s="1"/>
      <c r="K69" s="1"/>
    </row>
    <row r="70" spans="1:11">
      <c r="A70" s="1"/>
      <c r="B70" s="1"/>
      <c r="C70" s="1"/>
      <c r="D70" s="1"/>
      <c r="E70" s="1"/>
      <c r="F70" s="1"/>
      <c r="G70" s="1"/>
      <c r="H70" s="1"/>
      <c r="I70" s="1"/>
      <c r="J70" s="1"/>
      <c r="K70" s="1"/>
    </row>
    <row r="71" spans="1:11">
      <c r="A71" s="1"/>
      <c r="B71" s="1"/>
      <c r="C71" s="1"/>
      <c r="D71" s="1"/>
      <c r="E71" s="1"/>
      <c r="F71" s="1"/>
      <c r="G71" s="1"/>
      <c r="H71" s="1"/>
      <c r="I71" s="1"/>
      <c r="J71" s="1"/>
      <c r="K71" s="1"/>
    </row>
    <row r="72" spans="1:11">
      <c r="A72" s="1"/>
      <c r="B72" s="1"/>
      <c r="C72" s="1"/>
      <c r="D72" s="1"/>
      <c r="E72" s="1"/>
      <c r="F72" s="1"/>
      <c r="G72" s="1"/>
      <c r="H72" s="1"/>
      <c r="I72" s="1"/>
      <c r="J72" s="1"/>
      <c r="K72" s="1"/>
    </row>
    <row r="73" spans="1:11">
      <c r="A73" s="1"/>
      <c r="B73" s="1"/>
      <c r="C73" s="1"/>
      <c r="D73" s="1"/>
      <c r="E73" s="1"/>
      <c r="F73" s="1"/>
      <c r="G73" s="1"/>
      <c r="H73" s="1"/>
      <c r="I73" s="1"/>
      <c r="J73" s="1"/>
      <c r="K73" s="1"/>
    </row>
    <row r="74" spans="1:11">
      <c r="A74" s="1"/>
      <c r="B74" s="1"/>
      <c r="C74" s="1"/>
      <c r="D74" s="1"/>
      <c r="E74" s="1"/>
      <c r="F74" s="1"/>
      <c r="G74" s="1"/>
      <c r="H74" s="1"/>
      <c r="I74" s="1"/>
      <c r="J74" s="1"/>
      <c r="K74" s="1"/>
    </row>
    <row r="75" spans="1:11">
      <c r="A75" s="1"/>
      <c r="B75" s="1"/>
      <c r="C75" s="1"/>
      <c r="D75" s="1"/>
      <c r="E75" s="1"/>
      <c r="F75" s="1"/>
      <c r="G75" s="1"/>
      <c r="H75" s="1"/>
      <c r="I75" s="1"/>
      <c r="J75" s="1"/>
      <c r="K75" s="1"/>
    </row>
    <row r="76" spans="1:11">
      <c r="A76" s="1"/>
      <c r="B76" s="1"/>
      <c r="C76" s="1"/>
      <c r="D76" s="1"/>
      <c r="E76" s="1"/>
      <c r="F76" s="1"/>
      <c r="G76" s="1"/>
      <c r="H76" s="1"/>
      <c r="I76" s="1"/>
      <c r="J76" s="1"/>
      <c r="K76" s="1"/>
    </row>
    <row r="77" spans="1:11">
      <c r="A77" s="1"/>
      <c r="B77" s="1"/>
      <c r="C77" s="1"/>
      <c r="D77" s="1"/>
      <c r="E77" s="1"/>
      <c r="F77" s="1"/>
      <c r="G77" s="1"/>
      <c r="H77" s="1"/>
      <c r="I77" s="1"/>
      <c r="J77" s="1"/>
      <c r="K77" s="1"/>
    </row>
    <row r="78" spans="1:11">
      <c r="A78" s="1"/>
      <c r="B78" s="1"/>
      <c r="C78" s="1"/>
      <c r="D78" s="1"/>
      <c r="E78" s="1"/>
      <c r="F78" s="1"/>
      <c r="G78" s="1"/>
      <c r="H78" s="1"/>
      <c r="I78" s="1"/>
      <c r="J78" s="1"/>
      <c r="K78" s="1"/>
    </row>
    <row r="79" spans="1:11">
      <c r="A79" s="1"/>
      <c r="B79" s="1"/>
      <c r="C79" s="1"/>
      <c r="D79" s="1"/>
      <c r="E79" s="1"/>
      <c r="F79" s="1"/>
      <c r="G79" s="1"/>
      <c r="H79" s="1"/>
      <c r="I79" s="1"/>
      <c r="J79" s="1"/>
      <c r="K79" s="1"/>
    </row>
    <row r="80" spans="1:11">
      <c r="A80" s="1"/>
      <c r="B80" s="1"/>
      <c r="C80" s="1"/>
      <c r="D80" s="1"/>
      <c r="E80" s="1"/>
      <c r="F80" s="1"/>
      <c r="G80" s="1"/>
      <c r="H80" s="1"/>
      <c r="I80" s="1"/>
      <c r="J80" s="1"/>
      <c r="K80" s="1"/>
    </row>
    <row r="81" spans="1:11">
      <c r="A81" s="1"/>
      <c r="B81" s="1"/>
      <c r="C81" s="1"/>
      <c r="D81" s="1"/>
      <c r="E81" s="1"/>
      <c r="F81" s="1"/>
      <c r="G81" s="1"/>
      <c r="H81" s="1"/>
      <c r="I81" s="1"/>
      <c r="J81" s="1"/>
      <c r="K81" s="1"/>
    </row>
    <row r="82" spans="1:11">
      <c r="A82" s="1"/>
      <c r="B82" s="1"/>
      <c r="C82" s="1"/>
      <c r="D82" s="1"/>
      <c r="E82" s="1"/>
      <c r="F82" s="1"/>
      <c r="G82" s="1"/>
      <c r="H82" s="1"/>
      <c r="I82" s="1"/>
      <c r="J82" s="1"/>
      <c r="K82" s="1"/>
    </row>
    <row r="83" spans="1:11">
      <c r="A83" s="1"/>
      <c r="B83" s="1"/>
      <c r="C83" s="1"/>
      <c r="D83" s="1"/>
      <c r="E83" s="1"/>
      <c r="F83" s="1"/>
      <c r="G83" s="1"/>
      <c r="H83" s="1"/>
      <c r="I83" s="1"/>
      <c r="J83" s="1"/>
      <c r="K83" s="1"/>
    </row>
  </sheetData>
  <mergeCells count="2">
    <mergeCell ref="C10:J10"/>
    <mergeCell ref="B11:I11"/>
  </mergeCell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O85"/>
  <sheetViews>
    <sheetView topLeftCell="A21" workbookViewId="0">
      <selection activeCell="B32" sqref="B32"/>
    </sheetView>
  </sheetViews>
  <sheetFormatPr defaultRowHeight="15"/>
  <cols>
    <col min="1" max="1" width="34.7109375" bestFit="1" customWidth="1"/>
    <col min="2" max="2" width="22.5703125" bestFit="1" customWidth="1"/>
    <col min="5" max="6" width="15.85546875" customWidth="1"/>
    <col min="7" max="7" width="17.140625" customWidth="1"/>
    <col min="8" max="8" width="15" customWidth="1"/>
    <col min="9" max="9" width="19" customWidth="1"/>
    <col min="10" max="10" width="13.28515625" customWidth="1"/>
    <col min="11" max="11" width="11.28515625" customWidth="1"/>
    <col min="12" max="12" width="12" bestFit="1" customWidth="1"/>
    <col min="13" max="13" width="9.5703125" bestFit="1" customWidth="1"/>
  </cols>
  <sheetData>
    <row r="1" spans="1:15">
      <c r="A1" s="58" t="s">
        <v>73</v>
      </c>
      <c r="B1" s="58"/>
      <c r="D1" s="58"/>
      <c r="F1">
        <f>F3+F4</f>
        <v>14211</v>
      </c>
      <c r="G1">
        <f t="shared" ref="G1:K1" si="0">G3+G4</f>
        <v>14111</v>
      </c>
      <c r="H1">
        <f t="shared" si="0"/>
        <v>2515</v>
      </c>
      <c r="I1">
        <f t="shared" si="0"/>
        <v>9153</v>
      </c>
      <c r="J1">
        <f t="shared" si="0"/>
        <v>2759</v>
      </c>
      <c r="K1">
        <f t="shared" si="0"/>
        <v>3721</v>
      </c>
      <c r="L1">
        <f>L3+L4</f>
        <v>8965</v>
      </c>
    </row>
    <row r="2" spans="1:15">
      <c r="A2" t="s">
        <v>74</v>
      </c>
      <c r="B2" s="74">
        <v>5.9479993100275998E-2</v>
      </c>
      <c r="C2" s="74"/>
      <c r="D2" s="74"/>
      <c r="E2" s="74" t="s">
        <v>84</v>
      </c>
      <c r="F2" s="219">
        <v>1996</v>
      </c>
      <c r="G2" s="219">
        <v>1997</v>
      </c>
      <c r="H2" s="219">
        <v>1998</v>
      </c>
      <c r="I2" s="219">
        <v>1999</v>
      </c>
      <c r="J2" s="219">
        <v>2000</v>
      </c>
      <c r="K2" s="219">
        <v>2001</v>
      </c>
      <c r="L2" s="219">
        <v>2002</v>
      </c>
      <c r="M2" s="219">
        <v>2003</v>
      </c>
      <c r="N2" s="219">
        <v>2004</v>
      </c>
      <c r="O2" s="219">
        <v>2005</v>
      </c>
    </row>
    <row r="3" spans="1:15">
      <c r="A3" t="s">
        <v>75</v>
      </c>
      <c r="B3" s="74">
        <v>0.03</v>
      </c>
      <c r="F3">
        <v>9400</v>
      </c>
      <c r="G3">
        <v>10400</v>
      </c>
      <c r="I3">
        <v>7500</v>
      </c>
      <c r="J3">
        <v>1250</v>
      </c>
      <c r="K3">
        <v>2500</v>
      </c>
      <c r="L3">
        <v>8750</v>
      </c>
    </row>
    <row r="4" spans="1:15">
      <c r="A4" t="s">
        <v>64</v>
      </c>
      <c r="B4" s="74">
        <v>0.3</v>
      </c>
      <c r="F4">
        <v>4811</v>
      </c>
      <c r="G4">
        <v>3711</v>
      </c>
      <c r="H4">
        <v>2515</v>
      </c>
      <c r="I4">
        <v>1653</v>
      </c>
      <c r="J4">
        <v>1509</v>
      </c>
      <c r="K4">
        <v>1221</v>
      </c>
      <c r="L4">
        <v>215</v>
      </c>
    </row>
    <row r="5" spans="1:15">
      <c r="A5" t="s">
        <v>187</v>
      </c>
      <c r="B5" s="74">
        <v>0.26</v>
      </c>
      <c r="E5" t="s">
        <v>85</v>
      </c>
      <c r="F5">
        <f>$E$6*IS!I8</f>
        <v>4088.4353999999998</v>
      </c>
      <c r="G5">
        <f>$E$6*IS!J8</f>
        <v>4865.2381259999993</v>
      </c>
      <c r="H5">
        <f>$E$6*IS!K8</f>
        <v>5789.6333699399984</v>
      </c>
      <c r="I5">
        <f>$E$6*IS!L8</f>
        <v>6889.6637102285986</v>
      </c>
      <c r="J5">
        <f>$E$6*IS!M8</f>
        <v>8198.6998151720327</v>
      </c>
      <c r="K5">
        <f>$E$6*IS!N8</f>
        <v>9756.4527800547185</v>
      </c>
      <c r="L5">
        <f>$E$6*IS!O8</f>
        <v>11610.178808265115</v>
      </c>
      <c r="M5">
        <f>$E$6*IS!P8</f>
        <v>13816.112781835483</v>
      </c>
      <c r="N5">
        <f>$E$6*IS!Q8</f>
        <v>16441.174210384226</v>
      </c>
      <c r="O5">
        <f>$E$6*IS!R8</f>
        <v>19564.997310357227</v>
      </c>
    </row>
    <row r="6" spans="1:15">
      <c r="A6" t="s">
        <v>76</v>
      </c>
      <c r="B6" s="74">
        <v>0.03</v>
      </c>
      <c r="C6" s="75"/>
      <c r="D6" s="75"/>
      <c r="E6" s="75">
        <v>0.03</v>
      </c>
      <c r="F6" s="75"/>
      <c r="G6" s="75"/>
      <c r="H6" s="75"/>
    </row>
    <row r="7" spans="1:15">
      <c r="A7" t="s">
        <v>77</v>
      </c>
      <c r="B7" s="74">
        <v>0.19</v>
      </c>
      <c r="E7" s="68">
        <v>1.9425864342273127</v>
      </c>
      <c r="F7" s="68">
        <v>1.8419743878330692</v>
      </c>
      <c r="G7" s="68">
        <v>1.7465733239213963</v>
      </c>
      <c r="H7" s="68">
        <v>1.6561133509692922</v>
      </c>
      <c r="I7" s="68" t="e">
        <v>#VALUE!</v>
      </c>
      <c r="J7" s="68">
        <v>1.5703385558991698</v>
      </c>
      <c r="K7" s="68">
        <v>1.4890062800956272</v>
      </c>
      <c r="L7" s="68">
        <v>1.4118864329193599</v>
      </c>
      <c r="M7" s="68">
        <v>1.338760840776126</v>
      </c>
      <c r="N7" s="68">
        <v>1.2694226298992748</v>
      </c>
      <c r="O7" s="68">
        <v>1.2036756410997107</v>
      </c>
    </row>
    <row r="8" spans="1:15">
      <c r="A8" t="s">
        <v>78</v>
      </c>
      <c r="B8" s="76">
        <v>0.02</v>
      </c>
      <c r="E8">
        <v>1.9425864342273127</v>
      </c>
      <c r="F8">
        <v>1.8419743878330692</v>
      </c>
      <c r="G8">
        <v>1.7465733239213963</v>
      </c>
      <c r="H8">
        <v>1.6561133509692922</v>
      </c>
      <c r="J8">
        <v>1.5703385558991698</v>
      </c>
      <c r="K8">
        <v>1.4890062800956272</v>
      </c>
      <c r="L8">
        <v>1.4118864329193599</v>
      </c>
      <c r="M8">
        <v>1.338760840776126</v>
      </c>
      <c r="N8">
        <v>1.2694226298992748</v>
      </c>
      <c r="O8">
        <v>1.2036756410997107</v>
      </c>
    </row>
    <row r="9" spans="1:15">
      <c r="E9">
        <v>0.49040332409182374</v>
      </c>
      <c r="F9">
        <v>0.50979774038285897</v>
      </c>
      <c r="G9">
        <v>0.52347704216325353</v>
      </c>
      <c r="H9">
        <v>0.53219656594492093</v>
      </c>
      <c r="J9">
        <v>0.53662967963972752</v>
      </c>
      <c r="K9">
        <v>0.53737591197609691</v>
      </c>
      <c r="L9">
        <v>0.53496831564854197</v>
      </c>
      <c r="M9">
        <v>0.52988013414292101</v>
      </c>
      <c r="N9">
        <v>0.52253083593302885</v>
      </c>
      <c r="O9">
        <v>0.51329157404695402</v>
      </c>
    </row>
    <row r="10" spans="1:15">
      <c r="A10" s="82" t="s">
        <v>81</v>
      </c>
      <c r="B10" s="144">
        <v>1.5703385558991698</v>
      </c>
    </row>
    <row r="11" spans="1:15">
      <c r="A11" s="82" t="s">
        <v>85</v>
      </c>
      <c r="B11" s="271">
        <v>1.5703385558991698</v>
      </c>
    </row>
    <row r="12" spans="1:15" ht="15.75" thickBot="1">
      <c r="A12" s="77"/>
      <c r="B12" s="77"/>
      <c r="C12" s="305"/>
      <c r="D12" s="305"/>
      <c r="E12" s="305"/>
      <c r="F12" s="305"/>
      <c r="G12" s="305"/>
      <c r="H12" s="305"/>
      <c r="I12" s="305"/>
      <c r="J12" s="305"/>
      <c r="K12" s="78"/>
    </row>
    <row r="13" spans="1:15">
      <c r="A13" s="79" t="s">
        <v>14</v>
      </c>
      <c r="B13" s="306" t="s">
        <v>79</v>
      </c>
      <c r="C13" s="307"/>
      <c r="D13" s="307"/>
      <c r="E13" s="307"/>
      <c r="F13" s="307"/>
      <c r="G13" s="307"/>
      <c r="H13" s="307"/>
      <c r="I13" s="308"/>
      <c r="J13" s="80" t="s">
        <v>80</v>
      </c>
    </row>
    <row r="14" spans="1:15" ht="15.75" thickBot="1">
      <c r="A14" s="81"/>
      <c r="B14" s="219">
        <v>1996</v>
      </c>
      <c r="C14" s="219">
        <v>1997</v>
      </c>
      <c r="D14" s="219">
        <v>1998</v>
      </c>
      <c r="E14" s="219">
        <v>1999</v>
      </c>
      <c r="F14" s="219"/>
      <c r="G14" s="219">
        <v>2000</v>
      </c>
      <c r="H14" s="219">
        <v>2001</v>
      </c>
      <c r="I14" s="219">
        <v>2002</v>
      </c>
      <c r="J14" s="219">
        <v>2003</v>
      </c>
      <c r="K14" s="219">
        <v>2004</v>
      </c>
      <c r="L14" s="219">
        <v>2005</v>
      </c>
    </row>
    <row r="15" spans="1:15">
      <c r="A15" s="82" t="s">
        <v>70</v>
      </c>
      <c r="B15" s="83">
        <v>2104.6349999999998</v>
      </c>
      <c r="C15" s="83">
        <v>2641.3169249999996</v>
      </c>
      <c r="D15" s="83">
        <v>3314.8527408749992</v>
      </c>
      <c r="E15" s="83">
        <v>4160.1401897981241</v>
      </c>
      <c r="F15" s="85" t="s">
        <v>70</v>
      </c>
      <c r="G15" s="116">
        <v>5220.9759381966451</v>
      </c>
      <c r="H15" s="116">
        <v>6552.3248024367886</v>
      </c>
      <c r="I15" s="116">
        <v>8223.1676270581684</v>
      </c>
      <c r="J15" s="116">
        <v>10320.075371958001</v>
      </c>
      <c r="K15" s="116">
        <v>12951.694591807291</v>
      </c>
      <c r="L15" s="116">
        <v>16254.376712718149</v>
      </c>
      <c r="N15">
        <v>7174.355989984816</v>
      </c>
      <c r="O15">
        <v>4728.8049541732216</v>
      </c>
    </row>
    <row r="16" spans="1:15">
      <c r="A16" s="82" t="s">
        <v>81</v>
      </c>
      <c r="B16" s="83">
        <f>B15*E8</f>
        <v>4088.4353999999998</v>
      </c>
      <c r="C16" s="83">
        <f>C15*F8</f>
        <v>4865.2381259999993</v>
      </c>
      <c r="D16" s="83">
        <f>D15*G8</f>
        <v>5789.6333699399984</v>
      </c>
      <c r="E16" s="83">
        <f>E15*H8</f>
        <v>6889.6637102285986</v>
      </c>
      <c r="F16" s="82"/>
      <c r="G16" s="260">
        <f>G15*B10</f>
        <v>8198.6998151720327</v>
      </c>
      <c r="H16" s="260">
        <f>H15*K8</f>
        <v>9756.4527800547185</v>
      </c>
      <c r="I16" s="260">
        <f>I15*L8</f>
        <v>11610.178808265115</v>
      </c>
      <c r="J16" s="260">
        <f>J15*M8</f>
        <v>13816.112781835483</v>
      </c>
      <c r="K16" s="260">
        <f>K15*N8</f>
        <v>16441.174210384226</v>
      </c>
      <c r="L16" s="260">
        <f>L15*O8</f>
        <v>19564.997310357227</v>
      </c>
      <c r="N16">
        <v>10102.058631223739</v>
      </c>
      <c r="O16">
        <v>5185.9520051097315</v>
      </c>
    </row>
    <row r="17" spans="1:15">
      <c r="A17" s="82" t="s">
        <v>82</v>
      </c>
      <c r="B17" s="231">
        <f>B15*E9</f>
        <v>1032.1199999999953</v>
      </c>
      <c r="C17" s="231">
        <f>C15*F9</f>
        <v>1346.5374000000011</v>
      </c>
      <c r="D17" s="231">
        <f>D15*G9</f>
        <v>1735.2493079999986</v>
      </c>
      <c r="E17" s="231">
        <f>E15*H9</f>
        <v>2214.0123228600132</v>
      </c>
      <c r="F17" s="82"/>
      <c r="G17" s="115">
        <v>2801.7306451211916</v>
      </c>
      <c r="H17" s="115">
        <f>H15*K9</f>
        <v>3521.0615162730683</v>
      </c>
      <c r="I17" s="115">
        <f>I15*L9</f>
        <v>4399.1341347429261</v>
      </c>
      <c r="J17" s="115">
        <f>J15*M9</f>
        <v>5468.4029224581609</v>
      </c>
      <c r="K17" s="115">
        <f>K15*N9</f>
        <v>6767.6598018063523</v>
      </c>
      <c r="L17" s="115">
        <f>L15*O9</f>
        <v>8343.2346080232528</v>
      </c>
      <c r="N17">
        <v>3762.9142659284962</v>
      </c>
      <c r="O17">
        <v>2451.9901451657493</v>
      </c>
    </row>
    <row r="18" spans="1:15">
      <c r="A18" s="82" t="s">
        <v>83</v>
      </c>
      <c r="B18" s="83"/>
      <c r="C18" s="87"/>
      <c r="D18" s="88"/>
      <c r="E18" s="88"/>
      <c r="F18" s="82"/>
      <c r="G18" s="89"/>
      <c r="H18" s="88"/>
      <c r="I18" s="88"/>
      <c r="J18" s="90"/>
      <c r="K18" s="68"/>
    </row>
    <row r="19" spans="1:15">
      <c r="A19" s="82" t="s">
        <v>84</v>
      </c>
      <c r="B19" s="83">
        <f>F1</f>
        <v>14211</v>
      </c>
      <c r="C19" s="83">
        <f t="shared" ref="C19:E19" si="1">G1</f>
        <v>14111</v>
      </c>
      <c r="D19" s="83">
        <f t="shared" si="1"/>
        <v>2515</v>
      </c>
      <c r="E19" s="83">
        <f t="shared" si="1"/>
        <v>9153</v>
      </c>
      <c r="F19" s="85"/>
      <c r="G19" s="85">
        <v>1250</v>
      </c>
      <c r="H19" s="85">
        <f t="shared" ref="H19:I19" si="2">K3</f>
        <v>2500</v>
      </c>
      <c r="I19" s="85">
        <f t="shared" si="2"/>
        <v>8750</v>
      </c>
      <c r="J19" s="91"/>
      <c r="K19" s="91"/>
      <c r="L19" s="91"/>
    </row>
    <row r="20" spans="1:15">
      <c r="A20" s="82" t="s">
        <v>85</v>
      </c>
      <c r="B20" s="261">
        <f>B15*E7</f>
        <v>4088.4353999999998</v>
      </c>
      <c r="C20" s="261">
        <f>C15*F7</f>
        <v>4865.2381259999993</v>
      </c>
      <c r="D20" s="261">
        <f>D15*G7</f>
        <v>5789.6333699399984</v>
      </c>
      <c r="E20" s="261">
        <f>E15*H7</f>
        <v>6889.6637102285986</v>
      </c>
      <c r="F20" s="82"/>
      <c r="G20" s="85">
        <f>G15*B11</f>
        <v>8198.6998151720327</v>
      </c>
      <c r="H20" s="85">
        <f>H15*K7</f>
        <v>9756.4527800547185</v>
      </c>
      <c r="I20" s="85">
        <f>I15*L7</f>
        <v>11610.178808265115</v>
      </c>
      <c r="J20" s="85">
        <f>J15*M7</f>
        <v>13816.112781835483</v>
      </c>
      <c r="K20" s="85">
        <f>K15*N7</f>
        <v>16441.174210384226</v>
      </c>
      <c r="L20" s="85">
        <f>L15*O7</f>
        <v>19564.997310357227</v>
      </c>
      <c r="N20">
        <v>10102.058631223739</v>
      </c>
      <c r="O20">
        <v>5185.9520051097315</v>
      </c>
    </row>
    <row r="21" spans="1:15">
      <c r="A21" s="82"/>
      <c r="B21" s="83"/>
      <c r="C21" s="84"/>
      <c r="D21" s="84"/>
      <c r="E21" s="84"/>
      <c r="F21" s="84"/>
      <c r="G21" s="84"/>
      <c r="H21" s="84"/>
      <c r="I21" s="84"/>
      <c r="J21" s="91"/>
      <c r="K21" s="68"/>
    </row>
    <row r="22" spans="1:15">
      <c r="A22" s="92"/>
      <c r="B22" s="93"/>
      <c r="C22" s="56"/>
      <c r="D22" s="56"/>
      <c r="E22" s="56"/>
      <c r="F22" s="56"/>
      <c r="G22" s="56"/>
      <c r="H22" s="56"/>
      <c r="I22" s="56"/>
      <c r="J22" s="94"/>
      <c r="K22" s="68"/>
    </row>
    <row r="23" spans="1:15" ht="15.75" thickBot="1">
      <c r="A23" s="57"/>
      <c r="B23" s="95"/>
      <c r="C23" s="96"/>
      <c r="D23" s="96"/>
      <c r="E23" s="96"/>
      <c r="F23" s="96"/>
      <c r="G23" s="96"/>
      <c r="H23" s="96"/>
      <c r="I23" s="96"/>
      <c r="J23" s="1"/>
      <c r="K23" s="68"/>
    </row>
    <row r="24" spans="1:15">
      <c r="A24" s="97"/>
      <c r="D24" s="98"/>
      <c r="E24" s="98"/>
      <c r="F24" s="98"/>
      <c r="G24" s="98"/>
      <c r="H24" s="98"/>
      <c r="I24" s="98"/>
      <c r="J24" s="1"/>
    </row>
    <row r="25" spans="1:15">
      <c r="A25" s="97"/>
      <c r="D25" s="68"/>
      <c r="E25" s="68"/>
      <c r="F25" s="68"/>
      <c r="G25" s="68"/>
      <c r="H25" s="68"/>
      <c r="I25" s="68"/>
      <c r="J25" s="1"/>
    </row>
    <row r="26" spans="1:15">
      <c r="A26" s="97" t="s">
        <v>86</v>
      </c>
      <c r="B26" s="99">
        <f>B15-B16-B17+B18-B19+B20</f>
        <v>-13138.484999999995</v>
      </c>
      <c r="C26" s="99">
        <f>C15-C16-C17+C18-C19+C20</f>
        <v>-12816.220475000002</v>
      </c>
      <c r="D26" s="99">
        <f>D15-D16-D17+D18-D19+D20</f>
        <v>-935.39656712499891</v>
      </c>
      <c r="E26" s="99">
        <f>E15-E16-E17+E18-E19+E20</f>
        <v>-7206.8721330618882</v>
      </c>
      <c r="F26" s="99"/>
      <c r="G26" s="99">
        <f>G15-G16-G17+G18-G19+G20</f>
        <v>1169.2452930754534</v>
      </c>
      <c r="H26" s="99">
        <f>H15-H16-H17+H18-H19+H20</f>
        <v>531.2632861637212</v>
      </c>
      <c r="I26" s="99">
        <f>I15-I16-I17+I18-I19+I20</f>
        <v>-4925.9665076847559</v>
      </c>
      <c r="J26" s="99">
        <f t="shared" ref="J26:K26" si="3">J15-J16-J17+J18-J19+J20</f>
        <v>4851.6724494998398</v>
      </c>
      <c r="K26" s="99">
        <f t="shared" si="3"/>
        <v>6184.0347900009383</v>
      </c>
      <c r="L26" s="99">
        <f>L15-L16-L17+L18-L19+L20</f>
        <v>7911.1421046948963</v>
      </c>
    </row>
    <row r="27" spans="1:15">
      <c r="A27" s="97" t="s">
        <v>87</v>
      </c>
      <c r="B27" s="98">
        <f>B26/(1+$B$2)^1</f>
        <v>-12400.880701440941</v>
      </c>
      <c r="C27" s="98">
        <f>C26/(1+$B$2)^2</f>
        <v>-11417.590161984772</v>
      </c>
      <c r="D27" s="98">
        <f>D26/(1+$B$2)^3</f>
        <v>-786.53398320617953</v>
      </c>
      <c r="E27" s="98">
        <f>E26/(1+$B$2)^4</f>
        <v>-5719.7332684194071</v>
      </c>
      <c r="F27" s="98"/>
      <c r="G27" s="98">
        <f>G26/(1+$B$2)^5</f>
        <v>875.8743941393617</v>
      </c>
      <c r="H27" s="98">
        <f>H26/(1+$B$2)^6</f>
        <v>375.62392295089751</v>
      </c>
      <c r="I27" s="98">
        <f>I26/(1+$B$2)^7</f>
        <v>-3287.3211537955285</v>
      </c>
      <c r="J27" s="98">
        <f>J26/(1+$B$2)^8</f>
        <v>3055.9721523138724</v>
      </c>
      <c r="K27" s="98">
        <f>K26/(1+$B$2)^9</f>
        <v>3676.5212780294837</v>
      </c>
      <c r="L27" s="98">
        <f>L26/(1+$B$2)^10</f>
        <v>4439.2702584555282</v>
      </c>
      <c r="M27" s="56">
        <f>((L26*(1+B8))/(B2-B8))/(1+B2)^10</f>
        <v>114692.4127398843</v>
      </c>
    </row>
    <row r="28" spans="1:15">
      <c r="A28" s="97"/>
      <c r="J28" s="1"/>
    </row>
    <row r="29" spans="1:15" ht="15.75" thickBot="1">
      <c r="J29" s="1"/>
      <c r="K29" s="1"/>
    </row>
    <row r="30" spans="1:15">
      <c r="A30" s="100" t="s">
        <v>88</v>
      </c>
      <c r="B30" s="101">
        <f>SUM(B27:M27)*1000</f>
        <v>93503615.47692661</v>
      </c>
      <c r="J30" s="1"/>
      <c r="K30" s="1"/>
    </row>
    <row r="31" spans="1:15">
      <c r="A31" s="102" t="s">
        <v>89</v>
      </c>
      <c r="B31" s="232">
        <v>16770000</v>
      </c>
      <c r="J31" s="1"/>
      <c r="K31" s="1"/>
    </row>
    <row r="32" spans="1:15" ht="15.75" thickBot="1">
      <c r="A32" s="103" t="s">
        <v>95</v>
      </c>
      <c r="B32" s="272">
        <f>(B30/B31)</f>
        <v>5.5756479115639008</v>
      </c>
      <c r="H32" s="1"/>
      <c r="I32" s="1"/>
    </row>
    <row r="33" spans="1:11">
      <c r="A33" s="1"/>
      <c r="B33" s="1"/>
      <c r="C33" s="1"/>
      <c r="D33" s="1"/>
      <c r="E33" s="1"/>
      <c r="F33" s="1"/>
      <c r="G33" s="1"/>
      <c r="H33" s="1"/>
      <c r="I33" s="1"/>
      <c r="J33" s="1"/>
      <c r="K33" s="1"/>
    </row>
    <row r="34" spans="1:11">
      <c r="A34" s="1"/>
      <c r="B34" s="1"/>
      <c r="C34" s="1"/>
      <c r="D34" s="1"/>
      <c r="E34" s="1"/>
      <c r="F34" s="1"/>
      <c r="G34" s="1"/>
      <c r="H34" s="1"/>
      <c r="I34" s="1"/>
      <c r="J34" s="1"/>
      <c r="K34" s="1"/>
    </row>
    <row r="35" spans="1:11">
      <c r="A35" s="1"/>
      <c r="B35" s="1"/>
      <c r="C35" s="1"/>
      <c r="D35" s="1"/>
      <c r="E35" s="1"/>
      <c r="F35" s="1"/>
      <c r="G35" s="1"/>
      <c r="H35" s="1"/>
      <c r="I35" s="1"/>
      <c r="J35" s="1"/>
      <c r="K35" s="1"/>
    </row>
    <row r="36" spans="1:11">
      <c r="A36" s="1"/>
      <c r="B36" s="1"/>
      <c r="C36" s="1"/>
      <c r="D36" s="1"/>
      <c r="E36" s="1"/>
      <c r="F36" s="1"/>
      <c r="G36" s="1"/>
      <c r="H36" s="1"/>
      <c r="I36" s="1"/>
      <c r="J36" s="1"/>
      <c r="K36" s="1"/>
    </row>
    <row r="37" spans="1:11">
      <c r="A37" s="1"/>
      <c r="B37" s="1"/>
      <c r="C37" s="1"/>
      <c r="D37" s="1"/>
      <c r="E37" s="1"/>
      <c r="F37" s="1"/>
      <c r="G37" s="1"/>
      <c r="H37" s="1"/>
      <c r="I37" s="1"/>
      <c r="J37" s="1"/>
      <c r="K37" s="1"/>
    </row>
    <row r="38" spans="1:11">
      <c r="A38" s="1"/>
      <c r="B38" s="1"/>
      <c r="C38" s="1"/>
      <c r="D38" s="1"/>
      <c r="E38" s="1"/>
      <c r="F38" s="1"/>
      <c r="G38" s="1"/>
      <c r="H38" s="1"/>
      <c r="I38" s="1"/>
      <c r="J38" s="1"/>
      <c r="K38" s="1"/>
    </row>
    <row r="39" spans="1:11">
      <c r="A39" s="1"/>
      <c r="B39" s="1"/>
      <c r="C39" s="1"/>
      <c r="D39" s="1"/>
      <c r="E39" s="1"/>
      <c r="F39" s="1"/>
      <c r="G39" s="1"/>
      <c r="H39" s="1"/>
      <c r="I39" s="1"/>
      <c r="J39" s="1"/>
      <c r="K39" s="1"/>
    </row>
    <row r="40" spans="1:11">
      <c r="A40" s="1"/>
      <c r="B40" s="1"/>
      <c r="C40" s="1"/>
      <c r="D40" s="1"/>
      <c r="E40" s="1"/>
      <c r="F40" s="1"/>
      <c r="G40" s="1"/>
      <c r="H40" s="1"/>
      <c r="I40" s="1"/>
      <c r="J40" s="1"/>
      <c r="K40" s="1"/>
    </row>
    <row r="41" spans="1:11">
      <c r="A41" s="1"/>
      <c r="B41" s="1"/>
      <c r="C41" s="1"/>
      <c r="D41" s="1"/>
      <c r="E41" s="1"/>
      <c r="F41" s="1"/>
      <c r="G41" s="1"/>
      <c r="H41" s="1"/>
      <c r="I41" s="1"/>
      <c r="J41" s="1"/>
      <c r="K41" s="1"/>
    </row>
    <row r="42" spans="1:11">
      <c r="A42" s="1"/>
      <c r="B42" s="1"/>
      <c r="C42" s="1"/>
      <c r="D42" s="1"/>
      <c r="E42" s="1"/>
      <c r="F42" s="1"/>
      <c r="G42" s="1"/>
      <c r="H42" s="1"/>
      <c r="I42" s="1"/>
      <c r="J42" s="1"/>
      <c r="K42" s="1"/>
    </row>
    <row r="43" spans="1:11">
      <c r="A43" s="1"/>
      <c r="B43" s="1"/>
      <c r="C43" s="1"/>
      <c r="D43" s="1"/>
      <c r="E43" s="1"/>
      <c r="F43" s="1"/>
      <c r="G43" s="1"/>
      <c r="H43" s="1"/>
      <c r="I43" s="1"/>
      <c r="J43" s="1"/>
      <c r="K43" s="1"/>
    </row>
    <row r="44" spans="1:11">
      <c r="A44" s="1"/>
      <c r="B44" s="1"/>
      <c r="C44" s="1"/>
      <c r="D44" s="1"/>
      <c r="E44" s="1"/>
      <c r="F44" s="1"/>
      <c r="G44" s="1"/>
      <c r="H44" s="1"/>
      <c r="I44" s="1"/>
      <c r="J44" s="1"/>
      <c r="K44" s="1"/>
    </row>
    <row r="45" spans="1:11">
      <c r="A45" s="1"/>
      <c r="B45" s="1"/>
      <c r="C45" s="1"/>
      <c r="D45" s="1"/>
      <c r="E45" s="1"/>
      <c r="F45" s="1"/>
      <c r="G45" s="1"/>
      <c r="H45" s="1"/>
      <c r="I45" s="1"/>
      <c r="J45" s="1"/>
      <c r="K45" s="1"/>
    </row>
    <row r="46" spans="1:11">
      <c r="A46" s="1"/>
      <c r="B46" s="1"/>
      <c r="C46" s="1"/>
      <c r="D46" s="1"/>
      <c r="E46" s="1"/>
      <c r="F46" s="1"/>
      <c r="G46" s="1"/>
      <c r="H46" s="1"/>
      <c r="I46" s="1"/>
      <c r="J46" s="1"/>
      <c r="K46" s="1"/>
    </row>
    <row r="47" spans="1:11">
      <c r="A47" s="1"/>
      <c r="B47" s="1"/>
      <c r="C47" s="1"/>
      <c r="D47" s="1"/>
      <c r="E47" s="1"/>
      <c r="F47" s="1"/>
      <c r="G47" s="1"/>
      <c r="H47" s="1"/>
      <c r="I47" s="1"/>
      <c r="J47" s="1"/>
      <c r="K47" s="1"/>
    </row>
    <row r="48" spans="1:11">
      <c r="A48" s="1"/>
      <c r="B48" s="1"/>
      <c r="C48" s="1"/>
      <c r="D48" s="1"/>
      <c r="E48" s="1"/>
      <c r="F48" s="1"/>
      <c r="G48" s="1"/>
      <c r="H48" s="1"/>
      <c r="I48" s="1"/>
      <c r="J48" s="1"/>
      <c r="K48" s="1"/>
    </row>
    <row r="49" spans="1:11">
      <c r="A49" s="1"/>
      <c r="B49" s="1"/>
      <c r="C49" s="1"/>
      <c r="D49" s="1"/>
      <c r="E49" s="1"/>
      <c r="F49" s="1"/>
      <c r="G49" s="1"/>
      <c r="H49" s="1"/>
      <c r="I49" s="1"/>
      <c r="J49" s="1"/>
      <c r="K49" s="1"/>
    </row>
    <row r="50" spans="1:11">
      <c r="A50" s="1"/>
      <c r="B50" s="1"/>
      <c r="C50" s="1"/>
      <c r="D50" s="1"/>
      <c r="E50" s="1"/>
      <c r="F50" s="1"/>
      <c r="G50" s="1"/>
      <c r="H50" s="1"/>
      <c r="I50" s="1"/>
      <c r="J50" s="1"/>
      <c r="K50" s="1"/>
    </row>
    <row r="51" spans="1:11">
      <c r="A51" s="1"/>
      <c r="B51" s="1"/>
      <c r="C51" s="1"/>
      <c r="D51" s="1"/>
      <c r="E51" s="1"/>
      <c r="F51" s="1"/>
      <c r="G51" s="1"/>
      <c r="H51" s="1"/>
      <c r="I51" s="1"/>
      <c r="J51" s="1"/>
      <c r="K51" s="1"/>
    </row>
    <row r="52" spans="1:11">
      <c r="A52" s="1"/>
      <c r="B52" s="1"/>
      <c r="C52" s="1"/>
      <c r="D52" s="1"/>
      <c r="E52" s="1"/>
      <c r="F52" s="1"/>
      <c r="G52" s="1"/>
      <c r="H52" s="1"/>
      <c r="I52" s="1"/>
      <c r="J52" s="1"/>
      <c r="K52" s="1"/>
    </row>
    <row r="53" spans="1:11">
      <c r="A53" s="1"/>
      <c r="B53" s="1"/>
      <c r="C53" s="1"/>
      <c r="D53" s="1"/>
      <c r="E53" s="1"/>
      <c r="F53" s="1"/>
      <c r="G53" s="1"/>
      <c r="H53" s="1"/>
      <c r="I53" s="1"/>
      <c r="J53" s="1"/>
      <c r="K53" s="1"/>
    </row>
    <row r="54" spans="1:11">
      <c r="A54" s="1"/>
      <c r="B54" s="1"/>
      <c r="C54" s="1"/>
      <c r="D54" s="1"/>
      <c r="E54" s="1"/>
      <c r="F54" s="1"/>
      <c r="G54" s="1"/>
      <c r="H54" s="1"/>
      <c r="I54" s="1"/>
      <c r="J54" s="1"/>
      <c r="K54" s="1"/>
    </row>
    <row r="55" spans="1:11">
      <c r="A55" s="1"/>
      <c r="B55" s="1"/>
      <c r="C55" s="1"/>
      <c r="D55" s="1"/>
      <c r="E55" s="1"/>
      <c r="F55" s="1"/>
      <c r="G55" s="1"/>
      <c r="H55" s="1"/>
      <c r="I55" s="1"/>
      <c r="J55" s="1"/>
      <c r="K55" s="1"/>
    </row>
    <row r="56" spans="1:11">
      <c r="A56" s="1"/>
      <c r="B56" s="1"/>
      <c r="C56" s="1"/>
      <c r="D56" s="1"/>
      <c r="E56" s="1"/>
      <c r="F56" s="1"/>
      <c r="G56" s="1"/>
      <c r="H56" s="1"/>
      <c r="I56" s="1"/>
      <c r="J56" s="1"/>
      <c r="K56" s="1"/>
    </row>
    <row r="57" spans="1:11">
      <c r="A57" s="1"/>
      <c r="B57" s="1"/>
      <c r="C57" s="1"/>
      <c r="D57" s="1"/>
      <c r="E57" s="1"/>
      <c r="F57" s="1"/>
      <c r="G57" s="1"/>
      <c r="H57" s="1"/>
      <c r="I57" s="1"/>
      <c r="J57" s="1"/>
      <c r="K57" s="1"/>
    </row>
    <row r="58" spans="1:11">
      <c r="A58" s="1"/>
      <c r="B58" s="1"/>
      <c r="C58" s="1"/>
      <c r="D58" s="1"/>
      <c r="E58" s="1"/>
      <c r="F58" s="1"/>
      <c r="G58" s="1"/>
      <c r="H58" s="1"/>
      <c r="I58" s="1"/>
      <c r="J58" s="1"/>
      <c r="K58" s="1"/>
    </row>
    <row r="59" spans="1:11">
      <c r="A59" s="1"/>
      <c r="B59" s="1"/>
      <c r="C59" s="1"/>
      <c r="D59" s="1"/>
      <c r="E59" s="1"/>
      <c r="F59" s="1"/>
      <c r="G59" s="1"/>
      <c r="H59" s="1"/>
      <c r="I59" s="1"/>
      <c r="J59" s="1"/>
      <c r="K59" s="1"/>
    </row>
    <row r="60" spans="1:11">
      <c r="A60" s="1"/>
      <c r="B60" s="1"/>
      <c r="C60" s="1"/>
      <c r="D60" s="1"/>
      <c r="E60" s="1"/>
      <c r="F60" s="1"/>
      <c r="G60" s="1"/>
      <c r="H60" s="1"/>
      <c r="I60" s="1"/>
      <c r="J60" s="1"/>
      <c r="K60" s="1"/>
    </row>
    <row r="61" spans="1:11">
      <c r="A61" s="1"/>
      <c r="B61" s="1"/>
      <c r="C61" s="1"/>
      <c r="D61" s="1"/>
      <c r="E61" s="1"/>
      <c r="F61" s="1"/>
      <c r="G61" s="1"/>
      <c r="H61" s="1"/>
      <c r="I61" s="1"/>
      <c r="J61" s="1"/>
      <c r="K61" s="1"/>
    </row>
    <row r="62" spans="1:11">
      <c r="A62" s="1"/>
      <c r="B62" s="1"/>
      <c r="C62" s="1"/>
      <c r="D62" s="1"/>
      <c r="E62" s="1"/>
      <c r="F62" s="1"/>
      <c r="G62" s="1"/>
      <c r="H62" s="1"/>
      <c r="I62" s="1"/>
      <c r="J62" s="1"/>
      <c r="K62" s="1"/>
    </row>
    <row r="63" spans="1:11">
      <c r="A63" s="1"/>
      <c r="B63" s="1"/>
      <c r="C63" s="1"/>
      <c r="D63" s="1"/>
      <c r="E63" s="1"/>
      <c r="F63" s="1"/>
      <c r="G63" s="1"/>
      <c r="H63" s="1"/>
      <c r="I63" s="1"/>
      <c r="J63" s="1"/>
      <c r="K63" s="1"/>
    </row>
    <row r="64" spans="1:11">
      <c r="A64" s="1"/>
      <c r="B64" s="1"/>
      <c r="C64" s="1"/>
      <c r="D64" s="1"/>
      <c r="E64" s="1"/>
      <c r="F64" s="1"/>
      <c r="G64" s="1"/>
      <c r="H64" s="1"/>
      <c r="I64" s="1"/>
      <c r="J64" s="1"/>
      <c r="K64" s="1"/>
    </row>
    <row r="65" spans="1:11">
      <c r="A65" s="1"/>
      <c r="B65" s="1"/>
      <c r="C65" s="1"/>
      <c r="D65" s="1"/>
      <c r="E65" s="1"/>
      <c r="F65" s="1"/>
      <c r="G65" s="1"/>
      <c r="H65" s="1"/>
      <c r="I65" s="1"/>
      <c r="J65" s="1"/>
      <c r="K65" s="1"/>
    </row>
    <row r="66" spans="1:11">
      <c r="A66" s="1"/>
      <c r="B66" s="1"/>
      <c r="C66" s="1"/>
      <c r="D66" s="1"/>
      <c r="E66" s="1"/>
      <c r="F66" s="1"/>
      <c r="G66" s="1"/>
      <c r="H66" s="1"/>
      <c r="I66" s="1"/>
      <c r="J66" s="1"/>
      <c r="K66" s="1"/>
    </row>
    <row r="67" spans="1:11">
      <c r="A67" s="1"/>
      <c r="B67" s="1"/>
      <c r="C67" s="1"/>
      <c r="D67" s="1"/>
      <c r="E67" s="1"/>
      <c r="F67" s="1"/>
      <c r="G67" s="1"/>
      <c r="H67" s="1"/>
      <c r="I67" s="1"/>
      <c r="J67" s="1"/>
      <c r="K67" s="1"/>
    </row>
    <row r="68" spans="1:11">
      <c r="A68" s="1"/>
      <c r="B68" s="1"/>
      <c r="C68" s="1"/>
      <c r="D68" s="1"/>
      <c r="E68" s="1"/>
      <c r="F68" s="1"/>
      <c r="G68" s="1"/>
      <c r="H68" s="1"/>
      <c r="I68" s="1"/>
      <c r="J68" s="1"/>
      <c r="K68" s="1"/>
    </row>
    <row r="69" spans="1:11">
      <c r="A69" s="1"/>
      <c r="B69" s="1"/>
      <c r="C69" s="1"/>
      <c r="D69" s="1"/>
      <c r="E69" s="1"/>
      <c r="F69" s="1"/>
      <c r="G69" s="1"/>
      <c r="H69" s="1"/>
      <c r="I69" s="1"/>
      <c r="J69" s="1"/>
      <c r="K69" s="1"/>
    </row>
    <row r="70" spans="1:11">
      <c r="A70" s="1"/>
      <c r="B70" s="1"/>
      <c r="C70" s="1"/>
      <c r="D70" s="1"/>
      <c r="E70" s="1"/>
      <c r="F70" s="1"/>
      <c r="G70" s="1"/>
      <c r="H70" s="1"/>
      <c r="I70" s="1"/>
      <c r="J70" s="1"/>
      <c r="K70" s="1"/>
    </row>
    <row r="71" spans="1:11">
      <c r="A71" s="1"/>
      <c r="B71" s="1"/>
      <c r="C71" s="1"/>
      <c r="D71" s="1"/>
      <c r="E71" s="1"/>
      <c r="F71" s="1"/>
      <c r="G71" s="1"/>
      <c r="H71" s="1"/>
      <c r="I71" s="1"/>
      <c r="J71" s="1"/>
      <c r="K71" s="1"/>
    </row>
    <row r="72" spans="1:11">
      <c r="A72" s="1"/>
      <c r="B72" s="1"/>
      <c r="C72" s="1"/>
      <c r="D72" s="1"/>
      <c r="E72" s="1"/>
      <c r="F72" s="1"/>
      <c r="G72" s="1"/>
      <c r="H72" s="1"/>
      <c r="I72" s="1"/>
      <c r="J72" s="1"/>
      <c r="K72" s="1"/>
    </row>
    <row r="73" spans="1:11">
      <c r="A73" s="1"/>
      <c r="B73" s="1"/>
      <c r="C73" s="1"/>
      <c r="D73" s="1"/>
      <c r="E73" s="1"/>
      <c r="F73" s="1"/>
      <c r="G73" s="1"/>
      <c r="H73" s="1"/>
      <c r="I73" s="1"/>
      <c r="J73" s="1"/>
      <c r="K73" s="1"/>
    </row>
    <row r="74" spans="1:11">
      <c r="A74" s="1"/>
      <c r="B74" s="1"/>
      <c r="C74" s="1"/>
      <c r="D74" s="1"/>
      <c r="E74" s="1"/>
      <c r="F74" s="1"/>
      <c r="G74" s="1"/>
      <c r="H74" s="1"/>
      <c r="I74" s="1"/>
      <c r="J74" s="1"/>
      <c r="K74" s="1"/>
    </row>
    <row r="75" spans="1:11">
      <c r="A75" s="1"/>
      <c r="B75" s="1"/>
      <c r="C75" s="1"/>
      <c r="D75" s="1"/>
      <c r="E75" s="1"/>
      <c r="F75" s="1"/>
      <c r="G75" s="1"/>
      <c r="H75" s="1"/>
      <c r="I75" s="1"/>
      <c r="J75" s="1"/>
      <c r="K75" s="1"/>
    </row>
    <row r="76" spans="1:11">
      <c r="A76" s="1"/>
      <c r="B76" s="1"/>
      <c r="C76" s="1"/>
      <c r="D76" s="1"/>
      <c r="E76" s="1"/>
      <c r="F76" s="1"/>
      <c r="G76" s="1"/>
      <c r="H76" s="1"/>
      <c r="I76" s="1"/>
      <c r="J76" s="1"/>
      <c r="K76" s="1"/>
    </row>
    <row r="77" spans="1:11">
      <c r="A77" s="1"/>
      <c r="B77" s="1"/>
      <c r="C77" s="1"/>
      <c r="D77" s="1"/>
      <c r="E77" s="1"/>
      <c r="F77" s="1"/>
      <c r="G77" s="1"/>
      <c r="H77" s="1"/>
      <c r="I77" s="1"/>
      <c r="J77" s="1"/>
      <c r="K77" s="1"/>
    </row>
    <row r="78" spans="1:11">
      <c r="A78" s="1"/>
      <c r="B78" s="1"/>
      <c r="C78" s="1"/>
      <c r="D78" s="1"/>
      <c r="E78" s="1"/>
      <c r="F78" s="1"/>
      <c r="G78" s="1"/>
      <c r="H78" s="1"/>
      <c r="I78" s="1"/>
      <c r="J78" s="1"/>
      <c r="K78" s="1"/>
    </row>
    <row r="79" spans="1:11">
      <c r="A79" s="1"/>
      <c r="B79" s="1"/>
      <c r="C79" s="1"/>
      <c r="D79" s="1"/>
      <c r="E79" s="1"/>
      <c r="F79" s="1"/>
      <c r="G79" s="1"/>
      <c r="H79" s="1"/>
      <c r="I79" s="1"/>
      <c r="J79" s="1"/>
      <c r="K79" s="1"/>
    </row>
    <row r="80" spans="1:11">
      <c r="A80" s="1"/>
      <c r="B80" s="1"/>
      <c r="C80" s="1"/>
      <c r="D80" s="1"/>
      <c r="E80" s="1"/>
      <c r="F80" s="1"/>
      <c r="G80" s="1"/>
      <c r="H80" s="1"/>
      <c r="I80" s="1"/>
      <c r="J80" s="1"/>
      <c r="K80" s="1"/>
    </row>
    <row r="81" spans="1:11">
      <c r="A81" s="1"/>
      <c r="B81" s="1"/>
      <c r="C81" s="1"/>
      <c r="D81" s="1"/>
      <c r="E81" s="1"/>
      <c r="F81" s="1"/>
      <c r="G81" s="1"/>
      <c r="H81" s="1"/>
      <c r="I81" s="1"/>
      <c r="J81" s="1"/>
      <c r="K81" s="1"/>
    </row>
    <row r="82" spans="1:11">
      <c r="A82" s="1"/>
      <c r="B82" s="1"/>
      <c r="C82" s="1"/>
      <c r="D82" s="1"/>
      <c r="E82" s="1"/>
      <c r="F82" s="1"/>
      <c r="G82" s="1"/>
      <c r="H82" s="1"/>
      <c r="I82" s="1"/>
      <c r="J82" s="1"/>
      <c r="K82" s="1"/>
    </row>
    <row r="83" spans="1:11">
      <c r="A83" s="1"/>
      <c r="B83" s="1"/>
      <c r="C83" s="1"/>
      <c r="D83" s="1"/>
      <c r="E83" s="1"/>
      <c r="F83" s="1"/>
      <c r="G83" s="1"/>
      <c r="H83" s="1"/>
      <c r="I83" s="1"/>
      <c r="J83" s="1"/>
      <c r="K83" s="1"/>
    </row>
    <row r="84" spans="1:11">
      <c r="A84" s="1"/>
      <c r="B84" s="1"/>
      <c r="C84" s="1"/>
      <c r="D84" s="1"/>
      <c r="E84" s="1"/>
      <c r="F84" s="1"/>
      <c r="G84" s="1"/>
      <c r="H84" s="1"/>
      <c r="I84" s="1"/>
      <c r="J84" s="1"/>
      <c r="K84" s="1"/>
    </row>
    <row r="85" spans="1:11">
      <c r="A85" s="1"/>
      <c r="B85" s="1"/>
      <c r="C85" s="1"/>
      <c r="D85" s="1"/>
      <c r="E85" s="1"/>
      <c r="F85" s="1"/>
      <c r="G85" s="1"/>
      <c r="H85" s="1"/>
      <c r="I85" s="1"/>
      <c r="J85" s="1"/>
      <c r="K85" s="1"/>
    </row>
  </sheetData>
  <mergeCells count="2">
    <mergeCell ref="C12:J12"/>
    <mergeCell ref="B13:I13"/>
  </mergeCells>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H4:L10"/>
  <sheetViews>
    <sheetView workbookViewId="0">
      <selection activeCell="K4" sqref="K4:L8"/>
    </sheetView>
  </sheetViews>
  <sheetFormatPr defaultRowHeight="15"/>
  <cols>
    <col min="8" max="8" width="12.5703125" bestFit="1" customWidth="1"/>
    <col min="9" max="9" width="11" bestFit="1" customWidth="1"/>
    <col min="11" max="11" width="15.5703125" bestFit="1" customWidth="1"/>
  </cols>
  <sheetData>
    <row r="4" spans="8:12">
      <c r="K4" s="309" t="s">
        <v>176</v>
      </c>
      <c r="L4" s="309"/>
    </row>
    <row r="5" spans="8:12">
      <c r="K5" s="75">
        <v>0.05</v>
      </c>
      <c r="L5">
        <f>I9*K5</f>
        <v>1650000</v>
      </c>
    </row>
    <row r="6" spans="8:12">
      <c r="K6" t="s">
        <v>193</v>
      </c>
      <c r="L6">
        <f>I9-L5</f>
        <v>31350000</v>
      </c>
    </row>
    <row r="7" spans="8:12">
      <c r="K7" t="s">
        <v>84</v>
      </c>
      <c r="L7">
        <v>19800000</v>
      </c>
    </row>
    <row r="8" spans="8:12">
      <c r="H8" t="s">
        <v>100</v>
      </c>
      <c r="I8" s="163">
        <v>3</v>
      </c>
      <c r="K8" t="s">
        <v>186</v>
      </c>
      <c r="L8">
        <f>L6-L7</f>
        <v>11550000</v>
      </c>
    </row>
    <row r="9" spans="8:12">
      <c r="H9" t="s">
        <v>133</v>
      </c>
      <c r="I9" s="163">
        <v>33000000</v>
      </c>
    </row>
    <row r="10" spans="8:12">
      <c r="H10" t="s">
        <v>192</v>
      </c>
      <c r="I10" s="270">
        <f>I9/I8</f>
        <v>11000000</v>
      </c>
    </row>
  </sheetData>
  <mergeCells count="1">
    <mergeCell ref="K4:L4"/>
  </mergeCells>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dimension ref="B3:Q56"/>
  <sheetViews>
    <sheetView topLeftCell="A22" workbookViewId="0">
      <selection activeCell="H29" sqref="H29"/>
    </sheetView>
  </sheetViews>
  <sheetFormatPr defaultRowHeight="15"/>
  <cols>
    <col min="1" max="1" width="9.140625" style="58"/>
    <col min="2" max="2" width="76.140625" style="58" bestFit="1" customWidth="1"/>
    <col min="3" max="16384" width="9.140625" style="58"/>
  </cols>
  <sheetData>
    <row r="3" spans="2:17">
      <c r="B3" s="167"/>
      <c r="C3" s="197"/>
      <c r="D3" s="280"/>
      <c r="E3" s="280"/>
      <c r="F3" s="280"/>
    </row>
    <row r="4" spans="2:17" ht="15.75" thickBot="1">
      <c r="B4" s="167"/>
      <c r="C4" s="198"/>
      <c r="D4" s="205"/>
      <c r="E4" s="205"/>
      <c r="F4" s="205">
        <v>1994</v>
      </c>
      <c r="G4" s="205">
        <v>1995</v>
      </c>
      <c r="H4" s="58">
        <v>1996</v>
      </c>
      <c r="I4" s="205">
        <v>1997</v>
      </c>
      <c r="J4" s="58">
        <v>1998</v>
      </c>
      <c r="K4" s="205">
        <v>1999</v>
      </c>
      <c r="L4" s="58">
        <v>2000</v>
      </c>
      <c r="M4" s="205">
        <v>2001</v>
      </c>
      <c r="N4" s="58">
        <v>2002</v>
      </c>
      <c r="O4" s="205">
        <v>2003</v>
      </c>
      <c r="P4" s="58">
        <v>2004</v>
      </c>
      <c r="Q4" s="205">
        <v>2005</v>
      </c>
    </row>
    <row r="5" spans="2:17">
      <c r="B5" s="277" t="s">
        <v>135</v>
      </c>
      <c r="C5" s="204"/>
      <c r="D5" s="168"/>
      <c r="E5" s="71"/>
      <c r="F5" s="168"/>
      <c r="G5" s="168"/>
    </row>
    <row r="6" spans="2:17">
      <c r="B6" s="277"/>
      <c r="C6" s="199"/>
      <c r="D6" s="169"/>
      <c r="E6" s="169"/>
      <c r="F6" s="169"/>
      <c r="G6" s="169"/>
    </row>
    <row r="7" spans="2:17">
      <c r="B7" s="170" t="s">
        <v>136</v>
      </c>
      <c r="C7" s="197"/>
      <c r="D7" s="167"/>
      <c r="E7" s="167"/>
      <c r="F7" s="167"/>
      <c r="G7" s="167"/>
    </row>
    <row r="8" spans="2:17">
      <c r="B8" s="171" t="s">
        <v>137</v>
      </c>
      <c r="C8" s="200"/>
      <c r="D8" s="273">
        <v>8120</v>
      </c>
      <c r="E8" s="273"/>
      <c r="F8" s="273"/>
      <c r="G8" s="186"/>
    </row>
    <row r="9" spans="2:17">
      <c r="B9" s="171" t="s">
        <v>138</v>
      </c>
      <c r="C9" s="200"/>
      <c r="D9" s="273">
        <v>44490</v>
      </c>
      <c r="E9" s="273"/>
      <c r="F9" s="273"/>
      <c r="G9" s="186"/>
    </row>
    <row r="10" spans="2:17">
      <c r="B10" s="171" t="s">
        <v>139</v>
      </c>
      <c r="C10" s="200"/>
      <c r="D10" s="278">
        <v>619</v>
      </c>
      <c r="E10" s="278"/>
      <c r="F10" s="278"/>
      <c r="G10" s="186"/>
    </row>
    <row r="11" spans="2:17" ht="15.75" thickBot="1">
      <c r="B11" s="171" t="s">
        <v>140</v>
      </c>
      <c r="C11" s="200"/>
      <c r="D11" s="273">
        <v>5075</v>
      </c>
      <c r="E11" s="273"/>
      <c r="F11" s="273"/>
      <c r="G11" s="186"/>
    </row>
    <row r="12" spans="2:17">
      <c r="B12" s="69"/>
      <c r="C12" s="214">
        <v>0.17</v>
      </c>
      <c r="D12" s="281"/>
      <c r="E12" s="281"/>
      <c r="F12" s="174">
        <v>58304</v>
      </c>
      <c r="G12" s="174">
        <v>46941</v>
      </c>
      <c r="H12" s="58">
        <f>G12*(1+$C$12)</f>
        <v>54920.969999999994</v>
      </c>
      <c r="I12" s="58">
        <f t="shared" ref="I12:Q12" si="0">H12*(1+$C$12)</f>
        <v>64257.534899999991</v>
      </c>
      <c r="J12" s="58">
        <f t="shared" si="0"/>
        <v>75181.315832999986</v>
      </c>
      <c r="K12" s="58">
        <f t="shared" si="0"/>
        <v>87962.139524609986</v>
      </c>
      <c r="L12" s="58">
        <f t="shared" si="0"/>
        <v>102915.70324379367</v>
      </c>
      <c r="M12" s="58">
        <f t="shared" si="0"/>
        <v>120411.3727952386</v>
      </c>
      <c r="N12" s="58">
        <f t="shared" si="0"/>
        <v>140881.30617042916</v>
      </c>
      <c r="O12" s="58">
        <f t="shared" si="0"/>
        <v>164831.1282194021</v>
      </c>
      <c r="P12" s="58">
        <f t="shared" si="0"/>
        <v>192852.42001670046</v>
      </c>
      <c r="Q12" s="58">
        <f t="shared" si="0"/>
        <v>225637.33141953952</v>
      </c>
    </row>
    <row r="13" spans="2:17">
      <c r="B13" s="170" t="s">
        <v>141</v>
      </c>
      <c r="C13" s="200"/>
      <c r="D13" s="273">
        <v>29315</v>
      </c>
      <c r="E13" s="273"/>
      <c r="F13" s="273"/>
      <c r="G13" s="186"/>
      <c r="H13" s="218">
        <f>D13+4088</f>
        <v>33403</v>
      </c>
      <c r="I13" s="218">
        <f>H13+4865</f>
        <v>38268</v>
      </c>
    </row>
    <row r="14" spans="2:17" ht="19.5">
      <c r="B14" s="170" t="s">
        <v>142</v>
      </c>
      <c r="C14" s="200"/>
      <c r="D14" s="273">
        <v>14577</v>
      </c>
      <c r="E14" s="273"/>
      <c r="F14" s="273"/>
      <c r="G14" s="186"/>
      <c r="H14" s="211">
        <f>D14*1.1</f>
        <v>16034.7</v>
      </c>
      <c r="I14" s="211">
        <f>H14*1.1</f>
        <v>17638.170000000002</v>
      </c>
      <c r="J14" s="211"/>
    </row>
    <row r="15" spans="2:17" ht="15.75" thickBot="1">
      <c r="B15" s="170" t="s">
        <v>143</v>
      </c>
      <c r="C15" s="200"/>
      <c r="D15" s="273">
        <v>23380</v>
      </c>
      <c r="E15" s="273"/>
      <c r="F15" s="273"/>
      <c r="G15" s="186"/>
      <c r="H15" s="211">
        <f>D15*1.1</f>
        <v>25718.000000000004</v>
      </c>
      <c r="I15" s="211">
        <f>H15*1.1</f>
        <v>28289.800000000007</v>
      </c>
      <c r="J15" s="211"/>
    </row>
    <row r="16" spans="2:17" ht="15.75" thickBot="1">
      <c r="B16" s="70"/>
      <c r="C16" s="200"/>
      <c r="D16" s="282"/>
      <c r="E16" s="282"/>
      <c r="F16" s="176">
        <v>125576</v>
      </c>
      <c r="G16" s="176">
        <v>112370</v>
      </c>
      <c r="H16" s="58">
        <f>SUM(H12:H15)</f>
        <v>130076.67</v>
      </c>
      <c r="I16" s="58">
        <f>SUM(I12:I15)</f>
        <v>148453.5049</v>
      </c>
    </row>
    <row r="17" spans="2:17" ht="15.75" thickBot="1">
      <c r="B17" s="277" t="s">
        <v>144</v>
      </c>
      <c r="C17" s="203"/>
      <c r="D17" s="178"/>
      <c r="E17" s="178"/>
      <c r="F17" s="177"/>
      <c r="G17" s="177"/>
    </row>
    <row r="18" spans="2:17">
      <c r="B18" s="277"/>
      <c r="C18" s="202"/>
      <c r="D18" s="70"/>
      <c r="E18" s="70"/>
      <c r="F18" s="70"/>
      <c r="G18" s="191"/>
    </row>
    <row r="19" spans="2:17">
      <c r="B19" s="170" t="s">
        <v>145</v>
      </c>
      <c r="C19" s="197"/>
      <c r="D19" s="167"/>
      <c r="E19" s="167"/>
      <c r="F19" s="167"/>
      <c r="G19" s="167"/>
    </row>
    <row r="20" spans="2:17">
      <c r="B20" s="171" t="s">
        <v>146</v>
      </c>
      <c r="C20" s="200"/>
      <c r="D20" s="273">
        <v>24121</v>
      </c>
      <c r="E20" s="273"/>
      <c r="F20" s="273"/>
      <c r="G20" s="186"/>
    </row>
    <row r="21" spans="2:17">
      <c r="B21" s="171" t="s">
        <v>67</v>
      </c>
      <c r="C21" s="200"/>
      <c r="D21" s="273">
        <v>17015</v>
      </c>
      <c r="E21" s="273"/>
      <c r="F21" s="273"/>
      <c r="G21" s="186"/>
    </row>
    <row r="22" spans="2:17">
      <c r="B22" s="171" t="s">
        <v>147</v>
      </c>
      <c r="C22" s="201"/>
      <c r="D22" s="278">
        <v>570</v>
      </c>
      <c r="E22" s="278"/>
      <c r="F22" s="278"/>
      <c r="G22" s="188"/>
    </row>
    <row r="23" spans="2:17">
      <c r="B23" s="171" t="s">
        <v>68</v>
      </c>
      <c r="C23" s="200"/>
      <c r="D23" s="273">
        <v>1664</v>
      </c>
      <c r="E23" s="273"/>
      <c r="F23" s="273"/>
      <c r="G23" s="186"/>
    </row>
    <row r="24" spans="2:17" ht="15.75" thickBot="1">
      <c r="B24" s="171" t="s">
        <v>148</v>
      </c>
      <c r="C24" s="200"/>
      <c r="D24" s="273">
        <v>9100</v>
      </c>
      <c r="E24" s="273"/>
      <c r="F24" s="273"/>
      <c r="G24" s="186"/>
    </row>
    <row r="25" spans="2:17">
      <c r="B25" s="69"/>
      <c r="C25" s="214">
        <v>0.15</v>
      </c>
      <c r="D25" s="281"/>
      <c r="E25" s="281"/>
      <c r="F25" s="174">
        <v>52470</v>
      </c>
      <c r="G25" s="174">
        <v>46319</v>
      </c>
      <c r="H25" s="58">
        <f>G25*(1+$C$25)</f>
        <v>53266.85</v>
      </c>
      <c r="I25" s="58">
        <f t="shared" ref="I25:Q25" si="1">H25*(1+$C$25)</f>
        <v>61256.877499999995</v>
      </c>
      <c r="J25" s="58">
        <f t="shared" si="1"/>
        <v>70445.409124999991</v>
      </c>
      <c r="K25" s="58">
        <f t="shared" si="1"/>
        <v>81012.220493749977</v>
      </c>
      <c r="L25" s="58">
        <f t="shared" si="1"/>
        <v>93164.053567812472</v>
      </c>
      <c r="M25" s="58">
        <f t="shared" si="1"/>
        <v>107138.66160298433</v>
      </c>
      <c r="N25" s="58">
        <f t="shared" si="1"/>
        <v>123209.46084343197</v>
      </c>
      <c r="O25" s="58">
        <f t="shared" si="1"/>
        <v>141690.87996994675</v>
      </c>
      <c r="P25" s="58">
        <f t="shared" si="1"/>
        <v>162944.51196543875</v>
      </c>
      <c r="Q25" s="58">
        <f t="shared" si="1"/>
        <v>187386.18876025456</v>
      </c>
    </row>
    <row r="26" spans="2:17" ht="18.75">
      <c r="B26" s="217" t="s">
        <v>180</v>
      </c>
      <c r="C26" s="200"/>
      <c r="D26" s="190"/>
      <c r="E26" s="190"/>
      <c r="F26" s="200">
        <f>F12-F25</f>
        <v>5834</v>
      </c>
      <c r="G26" s="200">
        <f>G12-G25</f>
        <v>622</v>
      </c>
      <c r="H26" s="200">
        <f>H12-H25</f>
        <v>1654.1199999999953</v>
      </c>
      <c r="I26" s="200">
        <f t="shared" ref="I26" si="2">I12-I25</f>
        <v>3000.6573999999964</v>
      </c>
      <c r="J26" s="200">
        <f t="shared" ref="J26" si="3">J12-J25</f>
        <v>4735.906707999995</v>
      </c>
      <c r="K26" s="200">
        <f t="shared" ref="K26" si="4">K12-K25</f>
        <v>6949.9190308600082</v>
      </c>
      <c r="L26" s="200">
        <f t="shared" ref="L26" si="5">L12-L25</f>
        <v>9751.6496759811998</v>
      </c>
      <c r="M26" s="200">
        <f t="shared" ref="M26" si="6">M12-M25</f>
        <v>13272.711192254268</v>
      </c>
      <c r="N26" s="200">
        <f t="shared" ref="N26" si="7">N12-N25</f>
        <v>17671.845326997194</v>
      </c>
      <c r="O26" s="200">
        <f t="shared" ref="O26" si="8">O12-O25</f>
        <v>23140.248249455355</v>
      </c>
      <c r="P26" s="200">
        <f t="shared" ref="P26" si="9">P12-P25</f>
        <v>29907.908051261707</v>
      </c>
      <c r="Q26" s="200">
        <f t="shared" ref="Q26" si="10">Q12-Q25</f>
        <v>38251.14265928496</v>
      </c>
    </row>
    <row r="27" spans="2:17" ht="18.75">
      <c r="B27" s="217" t="s">
        <v>181</v>
      </c>
      <c r="C27" s="200"/>
      <c r="D27" s="190"/>
      <c r="E27" s="190"/>
      <c r="F27" s="200"/>
      <c r="G27" s="200"/>
      <c r="H27" s="218">
        <f>H26-G26</f>
        <v>1032.1199999999953</v>
      </c>
      <c r="I27" s="218">
        <f t="shared" ref="I27:L27" si="11">I26-H26</f>
        <v>1346.5374000000011</v>
      </c>
      <c r="J27" s="218">
        <f t="shared" si="11"/>
        <v>1735.2493079999986</v>
      </c>
      <c r="K27" s="218">
        <f t="shared" si="11"/>
        <v>2214.0123228600132</v>
      </c>
      <c r="L27" s="218">
        <f t="shared" si="11"/>
        <v>2801.7306451211916</v>
      </c>
      <c r="M27" s="218">
        <f t="shared" ref="M27" si="12">M26-L26</f>
        <v>3521.0615162730683</v>
      </c>
      <c r="N27" s="218">
        <f>N26-M26</f>
        <v>4399.1341347429261</v>
      </c>
      <c r="O27" s="218">
        <f t="shared" ref="O27:Q27" si="13">O26-N26</f>
        <v>5468.4029224581609</v>
      </c>
      <c r="P27" s="218">
        <f t="shared" si="13"/>
        <v>6767.6598018063523</v>
      </c>
      <c r="Q27" s="218">
        <f t="shared" si="13"/>
        <v>8343.2346080232528</v>
      </c>
    </row>
    <row r="28" spans="2:17">
      <c r="B28" s="190"/>
      <c r="C28" s="200"/>
      <c r="D28" s="190"/>
      <c r="E28" s="190"/>
      <c r="F28" s="200"/>
      <c r="G28" s="200"/>
    </row>
    <row r="29" spans="2:17">
      <c r="B29" s="170" t="s">
        <v>149</v>
      </c>
      <c r="C29" s="200"/>
      <c r="D29" s="273">
        <v>54270</v>
      </c>
      <c r="E29" s="273"/>
      <c r="F29" s="273"/>
      <c r="G29" s="186">
        <v>41670</v>
      </c>
      <c r="H29" s="218">
        <f>G29-9400</f>
        <v>32270</v>
      </c>
    </row>
    <row r="30" spans="2:17">
      <c r="B30" s="170" t="s">
        <v>68</v>
      </c>
      <c r="C30" s="200"/>
      <c r="D30" s="273">
        <v>3841</v>
      </c>
      <c r="E30" s="273"/>
      <c r="F30" s="273"/>
      <c r="G30" s="186"/>
    </row>
    <row r="31" spans="2:17">
      <c r="B31" s="170" t="s">
        <v>150</v>
      </c>
      <c r="C31" s="197"/>
      <c r="D31" s="167"/>
      <c r="E31" s="167"/>
      <c r="F31" s="167"/>
      <c r="G31" s="167"/>
    </row>
    <row r="32" spans="2:17">
      <c r="B32" s="171" t="s">
        <v>151</v>
      </c>
      <c r="C32" s="200"/>
      <c r="D32" s="273">
        <v>16422</v>
      </c>
      <c r="E32" s="273"/>
      <c r="F32" s="273"/>
      <c r="G32" s="186"/>
    </row>
    <row r="33" spans="2:7" ht="15.75" thickBot="1">
      <c r="B33" s="171" t="s">
        <v>152</v>
      </c>
      <c r="C33" s="201"/>
      <c r="D33" s="273">
        <v>-1427</v>
      </c>
      <c r="E33" s="273"/>
      <c r="F33" s="273"/>
      <c r="G33" s="188"/>
    </row>
    <row r="34" spans="2:7" ht="15.75" thickBot="1">
      <c r="B34" s="70"/>
      <c r="C34" s="200"/>
      <c r="D34" s="282"/>
      <c r="E34" s="282"/>
      <c r="F34" s="176">
        <v>14995</v>
      </c>
      <c r="G34" s="176">
        <v>19202</v>
      </c>
    </row>
    <row r="35" spans="2:7" ht="15.75" thickBot="1">
      <c r="B35" s="70"/>
      <c r="C35" s="200"/>
      <c r="D35" s="282"/>
      <c r="E35" s="282"/>
      <c r="F35" s="179">
        <v>125576</v>
      </c>
      <c r="G35" s="179">
        <v>112370</v>
      </c>
    </row>
    <row r="36" spans="2:7" ht="15.75" thickBot="1">
      <c r="B36" s="178"/>
      <c r="C36" s="203"/>
      <c r="D36" s="178"/>
      <c r="E36" s="178"/>
      <c r="F36" s="177"/>
      <c r="G36" s="177"/>
    </row>
    <row r="37" spans="2:7">
      <c r="B37" s="59" t="s">
        <v>185</v>
      </c>
      <c r="G37" s="218">
        <f>G35-G34</f>
        <v>93168</v>
      </c>
    </row>
    <row r="38" spans="2:7">
      <c r="B38" s="59"/>
    </row>
    <row r="39" spans="2:7">
      <c r="B39" s="59"/>
    </row>
    <row r="40" spans="2:7">
      <c r="B40" s="59"/>
    </row>
    <row r="41" spans="2:7">
      <c r="B41" s="59"/>
    </row>
    <row r="42" spans="2:7">
      <c r="B42" s="59"/>
    </row>
    <row r="43" spans="2:7">
      <c r="B43" s="59"/>
    </row>
    <row r="44" spans="2:7">
      <c r="B44" s="59"/>
    </row>
    <row r="45" spans="2:7">
      <c r="B45" s="59"/>
    </row>
    <row r="46" spans="2:7">
      <c r="B46" s="59"/>
    </row>
    <row r="47" spans="2:7">
      <c r="B47" s="59"/>
    </row>
    <row r="48" spans="2:7">
      <c r="B48" s="59"/>
    </row>
    <row r="49" spans="2:2">
      <c r="B49" s="59"/>
    </row>
    <row r="50" spans="2:2">
      <c r="B50" s="59"/>
    </row>
    <row r="51" spans="2:2">
      <c r="B51" s="59"/>
    </row>
    <row r="52" spans="2:2">
      <c r="B52" s="59"/>
    </row>
    <row r="53" spans="2:2">
      <c r="B53" s="59"/>
    </row>
    <row r="54" spans="2:2">
      <c r="B54" s="59"/>
    </row>
    <row r="55" spans="2:2">
      <c r="B55" s="59"/>
    </row>
    <row r="56" spans="2:2">
      <c r="B56" s="59"/>
    </row>
  </sheetData>
  <mergeCells count="24">
    <mergeCell ref="D22:F22"/>
    <mergeCell ref="D23:F23"/>
    <mergeCell ref="D35:E35"/>
    <mergeCell ref="D24:F24"/>
    <mergeCell ref="D25:E25"/>
    <mergeCell ref="D29:F29"/>
    <mergeCell ref="D30:F30"/>
    <mergeCell ref="D32:F32"/>
    <mergeCell ref="D33:F33"/>
    <mergeCell ref="D34:E34"/>
    <mergeCell ref="D15:F15"/>
    <mergeCell ref="D16:E16"/>
    <mergeCell ref="B17:B18"/>
    <mergeCell ref="D20:F20"/>
    <mergeCell ref="D21:F21"/>
    <mergeCell ref="D3:F3"/>
    <mergeCell ref="B5:B6"/>
    <mergeCell ref="D14:F14"/>
    <mergeCell ref="D8:F8"/>
    <mergeCell ref="D9:F9"/>
    <mergeCell ref="D10:F10"/>
    <mergeCell ref="D11:F11"/>
    <mergeCell ref="D12:E12"/>
    <mergeCell ref="D13:F13"/>
  </mergeCells>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dimension ref="A1:K13"/>
  <sheetViews>
    <sheetView tabSelected="1" workbookViewId="0">
      <selection activeCell="J7" sqref="J7"/>
    </sheetView>
  </sheetViews>
  <sheetFormatPr defaultRowHeight="15"/>
  <cols>
    <col min="1" max="1" width="34.28515625" style="144" bestFit="1" customWidth="1"/>
    <col min="2" max="2" width="45.42578125" style="144" customWidth="1"/>
    <col min="3" max="4" width="9.140625" style="144"/>
    <col min="5" max="5" width="9.28515625" style="144" bestFit="1" customWidth="1"/>
    <col min="6" max="6" width="9.140625" style="144"/>
    <col min="7" max="7" width="20.28515625" style="144" bestFit="1" customWidth="1"/>
    <col min="8" max="8" width="8.5703125" style="144" customWidth="1"/>
    <col min="9" max="9" width="5.7109375" style="144" customWidth="1"/>
    <col min="10" max="16384" width="9.140625" style="144"/>
  </cols>
  <sheetData>
    <row r="1" spans="1:11" ht="15.75">
      <c r="A1" s="146"/>
      <c r="B1" s="146"/>
      <c r="C1" s="143"/>
      <c r="D1" s="143"/>
      <c r="E1" s="143"/>
    </row>
    <row r="2" spans="1:11" ht="15.75">
      <c r="A2" s="143"/>
      <c r="B2" s="147"/>
      <c r="C2" s="147"/>
      <c r="D2" s="147"/>
      <c r="E2" s="147"/>
    </row>
    <row r="3" spans="1:11" ht="26.25">
      <c r="A3" s="152" t="s">
        <v>2</v>
      </c>
      <c r="B3" s="153"/>
      <c r="C3" s="153"/>
      <c r="D3" s="153"/>
      <c r="E3" s="153"/>
      <c r="F3" s="154"/>
      <c r="G3" s="154"/>
      <c r="H3" s="154"/>
      <c r="I3" s="154"/>
      <c r="J3" s="154"/>
      <c r="K3" s="154"/>
    </row>
    <row r="4" spans="1:11">
      <c r="A4" s="148" t="s">
        <v>3</v>
      </c>
      <c r="B4" s="148" t="s">
        <v>4</v>
      </c>
      <c r="C4" s="148"/>
      <c r="D4" s="148"/>
      <c r="E4" s="148"/>
      <c r="F4" s="148"/>
      <c r="G4" s="154"/>
      <c r="H4" s="154"/>
      <c r="I4" s="154"/>
      <c r="J4" s="154"/>
      <c r="K4" s="154"/>
    </row>
    <row r="5" spans="1:11">
      <c r="A5" s="154"/>
      <c r="B5" s="154"/>
      <c r="C5" s="154"/>
      <c r="D5" s="154"/>
      <c r="E5" s="154"/>
      <c r="F5" s="154"/>
      <c r="G5" s="154"/>
      <c r="H5" s="154"/>
      <c r="I5" s="154"/>
      <c r="J5" s="154"/>
      <c r="K5" s="154"/>
    </row>
    <row r="6" spans="1:11">
      <c r="A6" s="149"/>
      <c r="B6" s="145" t="s">
        <v>5</v>
      </c>
      <c r="C6" s="145" t="s">
        <v>6</v>
      </c>
      <c r="D6" s="145" t="s">
        <v>7</v>
      </c>
      <c r="E6" s="145" t="s">
        <v>8</v>
      </c>
      <c r="F6" s="150" t="s">
        <v>9</v>
      </c>
      <c r="G6" s="145" t="s">
        <v>10</v>
      </c>
      <c r="H6" s="151" t="s">
        <v>1</v>
      </c>
      <c r="I6" s="145" t="s">
        <v>11</v>
      </c>
      <c r="J6" s="155" t="s">
        <v>3</v>
      </c>
      <c r="K6" s="154"/>
    </row>
    <row r="7" spans="1:11">
      <c r="A7" s="154">
        <v>1994</v>
      </c>
      <c r="B7" s="156">
        <f>IS!G22</f>
        <v>-928</v>
      </c>
      <c r="C7" s="157">
        <f>IS!G8</f>
        <v>81316</v>
      </c>
      <c r="D7" s="310">
        <f>'Business risk'!D20</f>
        <v>3835</v>
      </c>
      <c r="E7" s="156">
        <f>BS!F35</f>
        <v>125576</v>
      </c>
      <c r="F7" s="157">
        <f>BS!F34</f>
        <v>14995</v>
      </c>
      <c r="G7" s="158">
        <f>B7/C7</f>
        <v>-1.1412268188302425E-2</v>
      </c>
      <c r="H7" s="158">
        <f>C7/E7</f>
        <v>0.6475441167101994</v>
      </c>
      <c r="I7" s="159">
        <f>E7/F7</f>
        <v>8.3745248416138711</v>
      </c>
      <c r="J7" s="160">
        <f>G7*H7*I7</f>
        <v>-6.1887295765255083E-2</v>
      </c>
      <c r="K7" s="154"/>
    </row>
    <row r="8" spans="1:11">
      <c r="A8" s="154">
        <v>1995</v>
      </c>
      <c r="B8" s="156">
        <f>IS!H22</f>
        <v>1677</v>
      </c>
      <c r="C8" s="157">
        <f>IS!H8</f>
        <v>114522</v>
      </c>
      <c r="D8" s="310">
        <f>'Business risk'!E20</f>
        <v>9046</v>
      </c>
      <c r="E8" s="156">
        <f>BS!G35</f>
        <v>112370</v>
      </c>
      <c r="F8" s="157">
        <f>BS!G34</f>
        <v>19202</v>
      </c>
      <c r="G8" s="158">
        <f>B8/C8</f>
        <v>1.4643474616230943E-2</v>
      </c>
      <c r="H8" s="158">
        <f>C8/E8</f>
        <v>1.0191510189552371</v>
      </c>
      <c r="I8" s="159">
        <f>E8/F8</f>
        <v>5.8519945838975103</v>
      </c>
      <c r="J8" s="160">
        <f>G8*H8*I8</f>
        <v>8.7334652640349952E-2</v>
      </c>
      <c r="K8" s="154"/>
    </row>
    <row r="9" spans="1:11">
      <c r="A9" s="154"/>
      <c r="B9" s="154"/>
      <c r="C9" s="154"/>
      <c r="D9" s="154"/>
      <c r="E9" s="154"/>
      <c r="F9" s="154"/>
      <c r="G9" s="154"/>
      <c r="H9" s="154"/>
      <c r="I9" s="154"/>
      <c r="J9" s="154"/>
      <c r="K9" s="154"/>
    </row>
    <row r="10" spans="1:11">
      <c r="A10" s="154"/>
      <c r="B10" s="154"/>
      <c r="C10" s="154"/>
      <c r="D10" s="154"/>
      <c r="E10" s="154"/>
      <c r="F10" s="154"/>
      <c r="G10" s="154"/>
      <c r="H10" s="154"/>
      <c r="I10" s="154"/>
      <c r="J10" s="154"/>
      <c r="K10" s="154"/>
    </row>
    <row r="11" spans="1:11">
      <c r="A11" s="154"/>
      <c r="B11" s="154"/>
      <c r="C11" s="154"/>
      <c r="D11" s="154"/>
      <c r="E11" s="154"/>
      <c r="F11" s="154"/>
      <c r="G11" s="154"/>
      <c r="H11" s="154"/>
      <c r="I11" s="154"/>
      <c r="J11" s="154"/>
      <c r="K11" s="154"/>
    </row>
    <row r="12" spans="1:11">
      <c r="A12" s="154"/>
      <c r="B12" s="154"/>
      <c r="C12" s="154"/>
      <c r="D12" s="154"/>
      <c r="E12" s="154"/>
      <c r="F12" s="154"/>
      <c r="G12" s="154"/>
      <c r="H12" s="154"/>
      <c r="I12" s="154"/>
      <c r="J12" s="154"/>
      <c r="K12" s="154"/>
    </row>
    <row r="13" spans="1:11">
      <c r="A13" s="154"/>
      <c r="B13" s="154"/>
      <c r="C13" s="154"/>
      <c r="D13" s="154"/>
      <c r="E13" s="154"/>
      <c r="F13" s="154"/>
      <c r="G13" s="154"/>
      <c r="H13" s="154"/>
      <c r="I13" s="154"/>
      <c r="J13" s="154"/>
      <c r="K13" s="154"/>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C2:F26"/>
  <sheetViews>
    <sheetView topLeftCell="A4" workbookViewId="0">
      <selection activeCell="E24" sqref="E24"/>
    </sheetView>
  </sheetViews>
  <sheetFormatPr defaultRowHeight="15"/>
  <cols>
    <col min="1" max="1" width="9.140625" style="4"/>
    <col min="2" max="2" width="18.7109375" style="4" customWidth="1"/>
    <col min="3" max="3" width="36.140625" style="4" customWidth="1"/>
    <col min="4" max="4" width="20.7109375" style="4" customWidth="1"/>
    <col min="5" max="5" width="11.7109375" style="4" customWidth="1"/>
    <col min="6" max="6" width="11" style="4" customWidth="1"/>
    <col min="7" max="16384" width="9.140625" style="4"/>
  </cols>
  <sheetData>
    <row r="2" spans="3:6">
      <c r="C2" s="287" t="s">
        <v>12</v>
      </c>
      <c r="D2" s="287"/>
      <c r="E2" s="287"/>
      <c r="F2" s="287"/>
    </row>
    <row r="3" spans="3:6" ht="15.75" thickBot="1"/>
    <row r="4" spans="3:6" ht="18.75">
      <c r="C4" s="288" t="s">
        <v>13</v>
      </c>
      <c r="D4" s="289"/>
      <c r="E4" s="289"/>
      <c r="F4" s="289"/>
    </row>
    <row r="5" spans="3:6" ht="15.75">
      <c r="C5" s="5" t="s">
        <v>14</v>
      </c>
      <c r="D5">
        <v>1994</v>
      </c>
      <c r="E5">
        <v>1995</v>
      </c>
      <c r="F5"/>
    </row>
    <row r="6" spans="3:6">
      <c r="C6" s="6" t="s">
        <v>72</v>
      </c>
      <c r="D6" s="7">
        <f>IS!G8</f>
        <v>81316</v>
      </c>
      <c r="E6" s="7">
        <f>IS!H8</f>
        <v>114522</v>
      </c>
      <c r="F6" s="7"/>
    </row>
    <row r="7" spans="3:6">
      <c r="C7" s="6" t="s">
        <v>15</v>
      </c>
      <c r="D7" s="290">
        <f>STDEV(D6:F6)</f>
        <v>23480.187776080496</v>
      </c>
      <c r="E7" s="291"/>
      <c r="F7" s="291"/>
    </row>
    <row r="8" spans="3:6">
      <c r="C8" s="6" t="s">
        <v>16</v>
      </c>
      <c r="D8" s="290">
        <f>AVERAGE(D6:F6)</f>
        <v>97919</v>
      </c>
      <c r="E8" s="291"/>
      <c r="F8" s="291"/>
    </row>
    <row r="9" spans="3:6">
      <c r="C9" s="6" t="s">
        <v>17</v>
      </c>
      <c r="D9" s="290">
        <f>D7/D8</f>
        <v>0.23979194820290747</v>
      </c>
      <c r="E9" s="291"/>
      <c r="F9" s="291"/>
    </row>
    <row r="10" spans="3:6">
      <c r="C10" s="8"/>
      <c r="D10" s="9"/>
      <c r="E10" s="9"/>
      <c r="F10" s="9"/>
    </row>
    <row r="11" spans="3:6" ht="18.75">
      <c r="C11" s="285" t="s">
        <v>18</v>
      </c>
      <c r="D11" s="286"/>
      <c r="E11" s="286"/>
      <c r="F11" s="286"/>
    </row>
    <row r="12" spans="3:6" ht="15.75">
      <c r="C12" s="10" t="s">
        <v>14</v>
      </c>
      <c r="D12">
        <v>1994</v>
      </c>
      <c r="E12">
        <v>1995</v>
      </c>
      <c r="F12"/>
    </row>
    <row r="13" spans="3:6">
      <c r="C13" s="11" t="s">
        <v>7</v>
      </c>
      <c r="D13" s="12">
        <f>IS!F18+IS!F14</f>
        <v>3835</v>
      </c>
      <c r="E13" s="12">
        <f>IS!H18+IS!H14</f>
        <v>9046</v>
      </c>
      <c r="F13" s="12"/>
    </row>
    <row r="14" spans="3:6">
      <c r="C14" s="11" t="s">
        <v>19</v>
      </c>
      <c r="D14" s="283">
        <f>STDEV(D13:F13)</f>
        <v>3684.7334367630992</v>
      </c>
      <c r="E14" s="284"/>
      <c r="F14" s="284"/>
    </row>
    <row r="15" spans="3:6">
      <c r="C15" s="11" t="s">
        <v>20</v>
      </c>
      <c r="D15" s="283">
        <f>AVERAGE(D13:F13)</f>
        <v>6440.5</v>
      </c>
      <c r="E15" s="284"/>
      <c r="F15" s="284"/>
    </row>
    <row r="16" spans="3:6">
      <c r="C16" s="11" t="s">
        <v>21</v>
      </c>
      <c r="D16" s="283">
        <f>D14/D15</f>
        <v>0.57211915794784551</v>
      </c>
      <c r="E16" s="284"/>
      <c r="F16" s="284"/>
    </row>
    <row r="17" spans="3:6">
      <c r="C17" s="8"/>
      <c r="D17" s="13"/>
      <c r="E17" s="13"/>
      <c r="F17" s="13"/>
    </row>
    <row r="18" spans="3:6" ht="18.75">
      <c r="C18" s="285" t="s">
        <v>22</v>
      </c>
      <c r="D18" s="286"/>
      <c r="E18" s="286"/>
      <c r="F18" s="286"/>
    </row>
    <row r="19" spans="3:6">
      <c r="C19" s="14" t="s">
        <v>0</v>
      </c>
      <c r="D19">
        <v>1994</v>
      </c>
      <c r="E19">
        <v>1995</v>
      </c>
      <c r="F19"/>
    </row>
    <row r="20" spans="3:6">
      <c r="C20" s="11" t="s">
        <v>7</v>
      </c>
      <c r="D20" s="12">
        <f>D13</f>
        <v>3835</v>
      </c>
      <c r="E20" s="12">
        <f>E13</f>
        <v>9046</v>
      </c>
      <c r="F20" s="12"/>
    </row>
    <row r="21" spans="3:6">
      <c r="C21" s="11" t="s">
        <v>23</v>
      </c>
      <c r="D21" s="15"/>
      <c r="E21" s="12">
        <f>E20-D20</f>
        <v>5211</v>
      </c>
      <c r="F21" s="12"/>
    </row>
    <row r="22" spans="3:6">
      <c r="C22" s="11" t="s">
        <v>24</v>
      </c>
      <c r="D22" s="12">
        <f>D6</f>
        <v>81316</v>
      </c>
      <c r="E22" s="12">
        <f>E6</f>
        <v>114522</v>
      </c>
      <c r="F22" s="12"/>
    </row>
    <row r="23" spans="3:6">
      <c r="C23" s="11" t="s">
        <v>25</v>
      </c>
      <c r="D23" s="12"/>
      <c r="E23" s="12">
        <f>E22-D22</f>
        <v>33206</v>
      </c>
      <c r="F23" s="12"/>
    </row>
    <row r="24" spans="3:6">
      <c r="C24" s="11" t="s">
        <v>26</v>
      </c>
      <c r="D24" s="15"/>
      <c r="E24" s="12">
        <f>(E21/D20)/(E23/D22)</f>
        <v>3.3274776608836105</v>
      </c>
      <c r="F24" s="12"/>
    </row>
    <row r="25" spans="3:6">
      <c r="C25" s="8"/>
      <c r="D25" s="13"/>
      <c r="E25" s="13"/>
      <c r="F25" s="13"/>
    </row>
    <row r="26" spans="3:6">
      <c r="C26" s="8"/>
      <c r="D26" s="13"/>
      <c r="E26" s="13"/>
      <c r="F26" s="13"/>
    </row>
  </sheetData>
  <mergeCells count="10">
    <mergeCell ref="D14:F14"/>
    <mergeCell ref="D15:F15"/>
    <mergeCell ref="D16:F16"/>
    <mergeCell ref="C18:F18"/>
    <mergeCell ref="C2:F2"/>
    <mergeCell ref="C4:F4"/>
    <mergeCell ref="D7:F7"/>
    <mergeCell ref="D8:F8"/>
    <mergeCell ref="D9:F9"/>
    <mergeCell ref="C11:F11"/>
  </mergeCell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B1:G23"/>
  <sheetViews>
    <sheetView topLeftCell="A7" workbookViewId="0">
      <selection activeCell="D23" sqref="D23:E23"/>
    </sheetView>
  </sheetViews>
  <sheetFormatPr defaultRowHeight="15.75"/>
  <cols>
    <col min="1" max="2" width="9.140625" style="17"/>
    <col min="3" max="3" width="27.42578125" style="17" customWidth="1"/>
    <col min="4" max="4" width="13.85546875" style="17" customWidth="1"/>
    <col min="5" max="5" width="17" style="17" customWidth="1"/>
    <col min="6" max="6" width="15.140625" style="17" customWidth="1"/>
    <col min="7" max="16384" width="9.140625" style="17"/>
  </cols>
  <sheetData>
    <row r="1" spans="2:7" ht="22.5">
      <c r="B1" s="16"/>
      <c r="C1" s="292" t="s">
        <v>27</v>
      </c>
      <c r="D1" s="292"/>
      <c r="E1" s="292"/>
      <c r="F1" s="292"/>
    </row>
    <row r="2" spans="2:7">
      <c r="B2" s="18"/>
      <c r="C2" s="18"/>
      <c r="D2" s="18"/>
      <c r="E2" s="18"/>
      <c r="F2" s="18"/>
    </row>
    <row r="3" spans="2:7">
      <c r="B3" s="18"/>
      <c r="C3" s="293" t="s">
        <v>28</v>
      </c>
      <c r="D3" s="294"/>
      <c r="E3" s="294"/>
      <c r="F3" s="294"/>
    </row>
    <row r="4" spans="2:7">
      <c r="B4" s="18"/>
      <c r="C4" s="19" t="s">
        <v>0</v>
      </c>
      <c r="D4">
        <v>1994</v>
      </c>
      <c r="E4">
        <v>1995</v>
      </c>
      <c r="F4"/>
      <c r="G4" s="17" t="s">
        <v>29</v>
      </c>
    </row>
    <row r="5" spans="2:7">
      <c r="B5" s="18"/>
      <c r="C5" s="20" t="s">
        <v>7</v>
      </c>
      <c r="D5" s="21">
        <f>'Business risk'!D13</f>
        <v>3835</v>
      </c>
      <c r="E5" s="21">
        <f>'Business risk'!E13</f>
        <v>9046</v>
      </c>
      <c r="F5" s="21"/>
    </row>
    <row r="6" spans="2:7">
      <c r="B6" s="18"/>
      <c r="C6" s="20" t="s">
        <v>30</v>
      </c>
      <c r="D6" s="22">
        <f>IS!F14</f>
        <v>4441</v>
      </c>
      <c r="E6" s="22">
        <f>IS!H14</f>
        <v>6149</v>
      </c>
      <c r="F6" s="22"/>
    </row>
    <row r="7" spans="2:7">
      <c r="B7" s="18"/>
      <c r="C7" s="20" t="s">
        <v>31</v>
      </c>
      <c r="D7" s="23">
        <f>D5/(D5-D6)</f>
        <v>-6.3283828382838285</v>
      </c>
      <c r="E7" s="23">
        <f>E5/(E5-E6)</f>
        <v>3.1225405591991717</v>
      </c>
      <c r="F7" s="23"/>
      <c r="G7" s="24">
        <f>AVERAGE(D7:F7)</f>
        <v>-1.6029211395423284</v>
      </c>
    </row>
    <row r="8" spans="2:7">
      <c r="B8" s="18"/>
      <c r="C8" s="18"/>
      <c r="D8" s="18"/>
      <c r="E8" s="18"/>
      <c r="F8" s="18"/>
    </row>
    <row r="9" spans="2:7">
      <c r="B9" s="18"/>
      <c r="C9" s="18"/>
      <c r="D9" s="18"/>
      <c r="E9" s="18"/>
      <c r="F9" s="18"/>
    </row>
    <row r="10" spans="2:7">
      <c r="B10" s="18"/>
      <c r="C10" s="18"/>
      <c r="D10" s="25">
        <f>D4</f>
        <v>1994</v>
      </c>
      <c r="E10" s="25">
        <f>E4</f>
        <v>1995</v>
      </c>
      <c r="F10" s="25"/>
    </row>
    <row r="11" spans="2:7">
      <c r="B11" s="18"/>
      <c r="C11" s="18" t="s">
        <v>32</v>
      </c>
      <c r="D11" s="18">
        <f>D7</f>
        <v>-6.3283828382838285</v>
      </c>
      <c r="E11" s="18">
        <f>E7</f>
        <v>3.1225405591991717</v>
      </c>
      <c r="F11" s="26"/>
    </row>
    <row r="12" spans="2:7">
      <c r="B12" s="18"/>
      <c r="C12" s="18"/>
      <c r="D12" s="18"/>
      <c r="E12" s="18"/>
      <c r="F12" s="18"/>
    </row>
    <row r="13" spans="2:7">
      <c r="B13" s="18"/>
      <c r="C13" s="295" t="s">
        <v>33</v>
      </c>
      <c r="D13" s="296"/>
      <c r="E13" s="296"/>
      <c r="F13" s="296"/>
    </row>
    <row r="14" spans="2:7">
      <c r="B14" s="18"/>
      <c r="C14" s="19" t="s">
        <v>0</v>
      </c>
      <c r="D14">
        <f>D4</f>
        <v>1994</v>
      </c>
      <c r="E14">
        <f>E4</f>
        <v>1995</v>
      </c>
      <c r="F14"/>
    </row>
    <row r="15" spans="2:7">
      <c r="B15" s="18"/>
      <c r="C15" s="27" t="s">
        <v>7</v>
      </c>
      <c r="D15" s="21">
        <f>'Business risk'!D13</f>
        <v>3835</v>
      </c>
      <c r="E15" s="21">
        <f>'Business risk'!E13</f>
        <v>9046</v>
      </c>
      <c r="F15" s="21"/>
    </row>
    <row r="16" spans="2:7">
      <c r="B16" s="18"/>
      <c r="C16" s="27" t="s">
        <v>30</v>
      </c>
      <c r="D16" s="28">
        <f>D6</f>
        <v>4441</v>
      </c>
      <c r="E16" s="28">
        <f>E6</f>
        <v>6149</v>
      </c>
      <c r="F16" s="28"/>
    </row>
    <row r="17" spans="2:6">
      <c r="B17" s="18"/>
      <c r="C17" s="27" t="s">
        <v>34</v>
      </c>
      <c r="D17" s="29">
        <f>D15/D16</f>
        <v>0.86354424679126318</v>
      </c>
      <c r="E17" s="29">
        <f>E15/E16</f>
        <v>1.4711335176451457</v>
      </c>
      <c r="F17" s="29"/>
    </row>
    <row r="18" spans="2:6">
      <c r="B18" s="18"/>
      <c r="C18" s="18"/>
      <c r="D18" s="18"/>
      <c r="E18" s="18"/>
      <c r="F18" s="18"/>
    </row>
    <row r="19" spans="2:6">
      <c r="B19" s="18"/>
      <c r="C19" s="18"/>
      <c r="D19" s="18"/>
      <c r="E19" s="18"/>
      <c r="F19" s="18"/>
    </row>
    <row r="20" spans="2:6">
      <c r="B20" s="18"/>
      <c r="C20" s="18"/>
      <c r="D20" s="18"/>
      <c r="E20" s="18"/>
      <c r="F20" s="18"/>
    </row>
    <row r="21" spans="2:6">
      <c r="B21" s="18"/>
      <c r="C21" s="18"/>
      <c r="D21" s="18"/>
      <c r="E21" s="18"/>
      <c r="F21" s="18"/>
    </row>
    <row r="22" spans="2:6">
      <c r="B22" s="18"/>
      <c r="C22" s="18"/>
      <c r="D22" s="25">
        <f>D14</f>
        <v>1994</v>
      </c>
      <c r="E22" s="25">
        <f>E14</f>
        <v>1995</v>
      </c>
      <c r="F22" s="25">
        <f>F14</f>
        <v>0</v>
      </c>
    </row>
    <row r="23" spans="2:6">
      <c r="B23" s="18"/>
      <c r="C23" s="18" t="s">
        <v>33</v>
      </c>
      <c r="D23" s="18">
        <f>D17</f>
        <v>0.86354424679126318</v>
      </c>
      <c r="E23" s="18">
        <f>E17</f>
        <v>1.4711335176451457</v>
      </c>
      <c r="F23" s="18">
        <f>F17</f>
        <v>0</v>
      </c>
    </row>
  </sheetData>
  <mergeCells count="3">
    <mergeCell ref="C1:F1"/>
    <mergeCell ref="C3:F3"/>
    <mergeCell ref="C13:F13"/>
  </mergeCell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B3:O45"/>
  <sheetViews>
    <sheetView topLeftCell="A16" workbookViewId="0">
      <selection activeCell="J24" sqref="J24"/>
    </sheetView>
  </sheetViews>
  <sheetFormatPr defaultRowHeight="15.75"/>
  <cols>
    <col min="1" max="1" width="9.140625" style="3"/>
    <col min="2" max="2" width="15" style="3" customWidth="1"/>
    <col min="3" max="3" width="29" style="3" customWidth="1"/>
    <col min="4" max="4" width="13.85546875" style="3" bestFit="1" customWidth="1"/>
    <col min="5" max="5" width="13.7109375" style="254" customWidth="1"/>
    <col min="6" max="6" width="18.7109375" style="254" customWidth="1"/>
    <col min="7" max="16384" width="9.140625" style="3"/>
  </cols>
  <sheetData>
    <row r="3" spans="2:6">
      <c r="B3" s="30"/>
      <c r="C3" s="31" t="s">
        <v>0</v>
      </c>
      <c r="D3">
        <v>1995</v>
      </c>
      <c r="E3" s="244">
        <v>1996</v>
      </c>
      <c r="F3" s="244">
        <v>1997</v>
      </c>
    </row>
    <row r="4" spans="2:6">
      <c r="B4" s="32"/>
      <c r="C4" s="32" t="s">
        <v>35</v>
      </c>
      <c r="D4" s="33">
        <f>BS!G26</f>
        <v>622</v>
      </c>
      <c r="E4" s="245">
        <f>BS!H26</f>
        <v>1654.1199999999953</v>
      </c>
      <c r="F4" s="245">
        <f>BS!I26</f>
        <v>3000.6573999999964</v>
      </c>
    </row>
    <row r="5" spans="2:6">
      <c r="B5" s="32"/>
      <c r="C5" s="32" t="s">
        <v>8</v>
      </c>
      <c r="D5" s="34">
        <f>BS!G35</f>
        <v>112370</v>
      </c>
      <c r="E5" s="246">
        <f>BS!H16</f>
        <v>130076.67</v>
      </c>
      <c r="F5" s="246">
        <f>BS!I16</f>
        <v>148453.5049</v>
      </c>
    </row>
    <row r="6" spans="2:6">
      <c r="B6" s="35" t="s">
        <v>36</v>
      </c>
      <c r="C6" s="35" t="s">
        <v>37</v>
      </c>
      <c r="D6" s="243">
        <f>D4/D5</f>
        <v>5.535285218474682E-3</v>
      </c>
      <c r="E6" s="243">
        <f>E4/E5</f>
        <v>1.2716500199459253E-2</v>
      </c>
      <c r="F6" s="256">
        <f>F4/F5</f>
        <v>2.0212775724098086E-2</v>
      </c>
    </row>
    <row r="7" spans="2:6">
      <c r="B7" s="32"/>
      <c r="C7" s="32" t="s">
        <v>38</v>
      </c>
      <c r="D7" s="33">
        <v>0.71699999999999997</v>
      </c>
      <c r="E7" s="33">
        <v>0.71699999999999997</v>
      </c>
      <c r="F7" s="245">
        <v>0.71699999999999997</v>
      </c>
    </row>
    <row r="8" spans="2:6">
      <c r="B8" s="32"/>
      <c r="C8" s="32" t="s">
        <v>39</v>
      </c>
      <c r="D8" s="36">
        <f>D6*D7</f>
        <v>3.9687995016463471E-3</v>
      </c>
      <c r="E8" s="36">
        <f>E6*E7</f>
        <v>9.117730643012285E-3</v>
      </c>
      <c r="F8" s="257">
        <f>F6*F7</f>
        <v>1.4492560194178328E-2</v>
      </c>
    </row>
    <row r="9" spans="2:6">
      <c r="B9" s="32"/>
      <c r="C9" s="32"/>
      <c r="D9" s="33"/>
      <c r="E9" s="245"/>
      <c r="F9" s="246"/>
    </row>
    <row r="10" spans="2:6">
      <c r="B10" s="32"/>
      <c r="C10" s="32" t="s">
        <v>40</v>
      </c>
      <c r="D10" s="37">
        <f>IS!H30</f>
        <v>-291</v>
      </c>
      <c r="E10" s="247">
        <f>IS!I30</f>
        <v>1813.6349999999998</v>
      </c>
      <c r="F10" s="247">
        <f>IS!J30</f>
        <v>4454.9519249999994</v>
      </c>
    </row>
    <row r="11" spans="2:6">
      <c r="B11" s="35" t="s">
        <v>41</v>
      </c>
      <c r="C11" s="35" t="s">
        <v>42</v>
      </c>
      <c r="D11" s="33">
        <f>D10/D5</f>
        <v>-2.5896591616979621E-3</v>
      </c>
      <c r="E11" s="33">
        <f>E10/E5</f>
        <v>1.394281541801462E-2</v>
      </c>
      <c r="F11" s="245">
        <f>F10/F5</f>
        <v>3.0009072052565592E-2</v>
      </c>
    </row>
    <row r="12" spans="2:6">
      <c r="B12" s="32"/>
      <c r="C12" s="32" t="s">
        <v>38</v>
      </c>
      <c r="D12" s="33">
        <v>0.84699999999999998</v>
      </c>
      <c r="E12" s="33">
        <v>0.84699999999999998</v>
      </c>
      <c r="F12" s="245">
        <v>0.84699999999999998</v>
      </c>
    </row>
    <row r="13" spans="2:6">
      <c r="B13" s="32"/>
      <c r="C13" s="32" t="s">
        <v>39</v>
      </c>
      <c r="D13" s="38">
        <f>D11*D12</f>
        <v>-2.1934413099581737E-3</v>
      </c>
      <c r="E13" s="38">
        <f>E11*E12</f>
        <v>1.1809564659058382E-2</v>
      </c>
      <c r="F13" s="38">
        <f>F11*F12</f>
        <v>2.5417684028523055E-2</v>
      </c>
    </row>
    <row r="14" spans="2:6">
      <c r="B14" s="32"/>
      <c r="C14" s="32"/>
      <c r="D14" s="39"/>
      <c r="E14" s="248"/>
      <c r="F14" s="248"/>
    </row>
    <row r="15" spans="2:6">
      <c r="B15" s="32"/>
      <c r="C15" s="32" t="s">
        <v>7</v>
      </c>
      <c r="D15" s="185">
        <f>'Business risk'!D13</f>
        <v>3835</v>
      </c>
      <c r="E15" s="255">
        <f>IS!I18</f>
        <v>8450.2199999999993</v>
      </c>
      <c r="F15" s="255">
        <f>IS!J18</f>
        <v>13647.277199999999</v>
      </c>
    </row>
    <row r="16" spans="2:6">
      <c r="B16" s="35" t="s">
        <v>43</v>
      </c>
      <c r="C16" s="35" t="s">
        <v>44</v>
      </c>
      <c r="D16" s="39">
        <f>D15/D5</f>
        <v>3.4128326065675889E-2</v>
      </c>
      <c r="E16" s="248">
        <f>E15/E5</f>
        <v>6.496337890568693E-2</v>
      </c>
      <c r="F16" s="248">
        <f>F15/F5</f>
        <v>9.1929639581045677E-2</v>
      </c>
    </row>
    <row r="17" spans="2:15">
      <c r="B17" s="32"/>
      <c r="C17" s="32" t="s">
        <v>38</v>
      </c>
      <c r="D17" s="33">
        <v>3.1</v>
      </c>
      <c r="E17" s="33">
        <v>3.1</v>
      </c>
      <c r="F17" s="33">
        <v>3.1</v>
      </c>
    </row>
    <row r="18" spans="2:15">
      <c r="B18" s="32"/>
      <c r="C18" s="32" t="s">
        <v>39</v>
      </c>
      <c r="D18" s="40">
        <f>D16*D17</f>
        <v>0.10579781080359525</v>
      </c>
      <c r="E18" s="40">
        <f>E16*E17</f>
        <v>0.20138647460762948</v>
      </c>
      <c r="F18" s="40">
        <f>F16*F17</f>
        <v>0.28498188270124158</v>
      </c>
    </row>
    <row r="19" spans="2:15">
      <c r="B19" s="32"/>
      <c r="C19" s="32"/>
      <c r="D19" s="33"/>
      <c r="E19" s="245"/>
      <c r="F19" s="246"/>
    </row>
    <row r="20" spans="2:15">
      <c r="D20" s="39"/>
      <c r="E20" s="249"/>
      <c r="F20" s="250"/>
      <c r="G20" s="164"/>
      <c r="H20" s="164"/>
      <c r="I20" s="164"/>
      <c r="J20" s="164"/>
      <c r="K20" s="164"/>
      <c r="L20" s="164"/>
      <c r="M20" s="164"/>
      <c r="N20" s="164"/>
      <c r="O20" s="164"/>
    </row>
    <row r="21" spans="2:15">
      <c r="D21" s="39"/>
      <c r="E21" s="249"/>
      <c r="F21" s="250"/>
      <c r="G21" s="164"/>
      <c r="H21" s="164"/>
      <c r="I21" s="164"/>
      <c r="J21" s="164"/>
      <c r="K21" s="164"/>
      <c r="L21" s="164"/>
      <c r="M21" s="164"/>
      <c r="N21" s="164"/>
      <c r="O21" s="164"/>
    </row>
    <row r="22" spans="2:15">
      <c r="D22" s="39"/>
      <c r="E22" s="249"/>
      <c r="F22" s="249"/>
      <c r="G22" s="164"/>
      <c r="H22" s="164"/>
      <c r="I22" s="164"/>
      <c r="J22" s="164"/>
      <c r="K22" s="164"/>
      <c r="L22" s="164"/>
      <c r="M22" s="164"/>
      <c r="N22" s="164"/>
      <c r="O22" s="164"/>
    </row>
    <row r="23" spans="2:15">
      <c r="C23" s="32" t="s">
        <v>45</v>
      </c>
      <c r="D23" s="34">
        <f>BS!G34</f>
        <v>19202</v>
      </c>
      <c r="E23" s="250">
        <f>D23+27000</f>
        <v>46202</v>
      </c>
      <c r="F23" s="250">
        <f>E23</f>
        <v>46202</v>
      </c>
      <c r="G23" s="164"/>
      <c r="H23" s="164"/>
      <c r="I23" s="164"/>
      <c r="J23" s="164"/>
      <c r="K23" s="164"/>
      <c r="L23" s="164"/>
      <c r="M23" s="164"/>
      <c r="N23" s="164"/>
      <c r="O23" s="164"/>
    </row>
    <row r="24" spans="2:15">
      <c r="C24" s="32" t="s">
        <v>46</v>
      </c>
      <c r="D24" s="34">
        <f>BS!G29</f>
        <v>41670</v>
      </c>
      <c r="E24" s="250">
        <f>D24-9400</f>
        <v>32270</v>
      </c>
      <c r="F24" s="250">
        <f>E24-10400</f>
        <v>21870</v>
      </c>
      <c r="G24" s="164"/>
      <c r="H24" s="164">
        <f>D24/D23</f>
        <v>2.1700864493281951</v>
      </c>
      <c r="I24" s="164">
        <f t="shared" ref="I24:J24" si="0">E24/E23</f>
        <v>0.6984546123544435</v>
      </c>
      <c r="J24" s="164">
        <f t="shared" si="0"/>
        <v>0.4733561317691875</v>
      </c>
      <c r="K24" s="164"/>
      <c r="L24" s="164"/>
      <c r="M24" s="164"/>
      <c r="N24" s="164"/>
      <c r="O24" s="164"/>
    </row>
    <row r="25" spans="2:15">
      <c r="B25" s="32"/>
      <c r="C25" s="35" t="s">
        <v>47</v>
      </c>
      <c r="D25" s="33">
        <f>D23/D24</f>
        <v>0.46081113510919125</v>
      </c>
      <c r="E25" s="33">
        <f>E23/E24</f>
        <v>1.4317322590641464</v>
      </c>
      <c r="F25" s="33">
        <f>F23/F24</f>
        <v>2.1125743026977597</v>
      </c>
      <c r="G25" s="164"/>
      <c r="H25" s="164"/>
      <c r="I25" s="164"/>
      <c r="J25" s="164"/>
      <c r="K25" s="164"/>
      <c r="L25" s="164"/>
      <c r="M25" s="164"/>
      <c r="N25" s="164"/>
      <c r="O25" s="164"/>
    </row>
    <row r="26" spans="2:15">
      <c r="B26" s="32"/>
      <c r="C26" s="32" t="s">
        <v>38</v>
      </c>
      <c r="D26" s="33">
        <v>0.42</v>
      </c>
      <c r="E26" s="33">
        <v>0.42</v>
      </c>
      <c r="F26" s="33">
        <v>0.42</v>
      </c>
      <c r="G26" s="164"/>
      <c r="H26" s="164"/>
      <c r="I26" s="164"/>
      <c r="J26" s="164"/>
      <c r="K26" s="164"/>
      <c r="L26" s="164"/>
      <c r="M26" s="164"/>
      <c r="N26" s="164"/>
      <c r="O26" s="164"/>
    </row>
    <row r="27" spans="2:15">
      <c r="B27" s="35" t="s">
        <v>48</v>
      </c>
      <c r="C27" s="32" t="s">
        <v>39</v>
      </c>
      <c r="D27" s="41">
        <f>D25*D26</f>
        <v>0.19354067674586031</v>
      </c>
      <c r="E27" s="41">
        <f>E25*E26</f>
        <v>0.6013275488069415</v>
      </c>
      <c r="F27" s="41">
        <f>F25*F26</f>
        <v>0.88728120713305902</v>
      </c>
      <c r="G27" s="72"/>
      <c r="H27" s="72"/>
      <c r="I27" s="72"/>
      <c r="J27" s="72"/>
      <c r="K27" s="72"/>
      <c r="L27" s="72"/>
      <c r="M27" s="72"/>
      <c r="N27" s="72"/>
      <c r="O27" s="164"/>
    </row>
    <row r="28" spans="2:15">
      <c r="B28" s="32"/>
      <c r="C28" s="32"/>
      <c r="D28" s="33"/>
      <c r="E28" s="245"/>
      <c r="F28" s="258"/>
      <c r="G28" s="164"/>
      <c r="H28" s="164"/>
      <c r="I28" s="164"/>
      <c r="J28" s="164"/>
      <c r="K28" s="164"/>
      <c r="L28" s="164"/>
      <c r="M28" s="164"/>
      <c r="N28" s="164"/>
      <c r="O28" s="164"/>
    </row>
    <row r="29" spans="2:15">
      <c r="B29" s="32"/>
      <c r="C29" s="32" t="s">
        <v>49</v>
      </c>
      <c r="D29" s="37">
        <f>IS!H8</f>
        <v>114522</v>
      </c>
      <c r="E29" s="247">
        <f>IS!I8</f>
        <v>136281.18</v>
      </c>
      <c r="F29" s="247">
        <f>IS!J8</f>
        <v>162174.60419999997</v>
      </c>
      <c r="G29" s="164"/>
      <c r="H29" s="164"/>
      <c r="I29" s="164"/>
      <c r="J29" s="164"/>
      <c r="K29" s="164"/>
      <c r="L29" s="164"/>
      <c r="M29" s="164"/>
      <c r="N29" s="164"/>
      <c r="O29" s="164"/>
    </row>
    <row r="30" spans="2:15">
      <c r="B30" s="32"/>
      <c r="C30" s="35" t="s">
        <v>50</v>
      </c>
      <c r="D30" s="33">
        <f>D29/D5</f>
        <v>1.0191510189552371</v>
      </c>
      <c r="E30" s="33">
        <f>E29/E5</f>
        <v>1.0476988686749129</v>
      </c>
      <c r="F30" s="33">
        <f>F29/F5</f>
        <v>1.0924269137952833</v>
      </c>
      <c r="G30" s="164"/>
      <c r="H30" s="164"/>
      <c r="I30" s="164"/>
      <c r="J30" s="164"/>
      <c r="K30" s="164"/>
      <c r="L30" s="164"/>
      <c r="M30" s="164"/>
      <c r="N30" s="164"/>
      <c r="O30" s="164"/>
    </row>
    <row r="31" spans="2:15">
      <c r="B31" s="32"/>
      <c r="C31" s="32" t="s">
        <v>38</v>
      </c>
      <c r="D31" s="33">
        <v>0.998</v>
      </c>
      <c r="E31" s="33">
        <v>0.998</v>
      </c>
      <c r="F31" s="33">
        <v>0.998</v>
      </c>
      <c r="G31" s="164"/>
      <c r="H31" s="164"/>
      <c r="I31" s="164"/>
      <c r="J31" s="164"/>
      <c r="K31" s="164"/>
      <c r="L31" s="164"/>
      <c r="M31" s="164"/>
      <c r="N31" s="164"/>
      <c r="O31" s="164"/>
    </row>
    <row r="32" spans="2:15">
      <c r="B32" s="35" t="s">
        <v>51</v>
      </c>
      <c r="C32" s="32" t="s">
        <v>39</v>
      </c>
      <c r="D32" s="42">
        <f>D30*D31</f>
        <v>1.0171127169173266</v>
      </c>
      <c r="E32" s="42">
        <f>E30*E31</f>
        <v>1.045603470937563</v>
      </c>
      <c r="F32" s="42">
        <f>F30*F31</f>
        <v>1.0902420599676927</v>
      </c>
      <c r="G32" s="164"/>
      <c r="H32" s="164"/>
      <c r="I32" s="164"/>
      <c r="J32" s="164"/>
      <c r="K32" s="164"/>
      <c r="L32" s="164"/>
      <c r="M32" s="164"/>
      <c r="N32" s="164"/>
      <c r="O32" s="164"/>
    </row>
    <row r="33" spans="2:15">
      <c r="B33" s="32"/>
      <c r="C33" s="43"/>
      <c r="D33" s="43"/>
      <c r="E33" s="251"/>
      <c r="F33" s="259"/>
      <c r="G33" s="164"/>
      <c r="H33" s="164"/>
      <c r="I33" s="164"/>
      <c r="J33" s="164"/>
      <c r="K33" s="164"/>
      <c r="L33" s="164"/>
      <c r="M33" s="164"/>
      <c r="N33" s="164"/>
      <c r="O33" s="164"/>
    </row>
    <row r="34" spans="2:15">
      <c r="B34" s="32"/>
      <c r="D34">
        <v>1995</v>
      </c>
      <c r="E34" s="252">
        <v>1996</v>
      </c>
      <c r="F34">
        <v>1997</v>
      </c>
      <c r="G34" s="164"/>
      <c r="H34" s="164"/>
      <c r="I34" s="164"/>
      <c r="J34" s="164"/>
      <c r="K34" s="164"/>
      <c r="L34" s="164"/>
      <c r="M34" s="164"/>
      <c r="N34" s="164"/>
      <c r="O34" s="164"/>
    </row>
    <row r="35" spans="2:15">
      <c r="B35" s="32"/>
      <c r="C35" s="45" t="s">
        <v>52</v>
      </c>
      <c r="D35" s="43">
        <f>D8+D13+D18+D27+D32</f>
        <v>1.3182265626584704</v>
      </c>
      <c r="E35" s="43">
        <f>E8+E13+E18+E27+E32</f>
        <v>1.8692447896542046</v>
      </c>
      <c r="F35" s="43">
        <f>F8+F13+F18+F27+F32</f>
        <v>2.3024153940246945</v>
      </c>
      <c r="G35" s="164"/>
      <c r="H35" s="164"/>
      <c r="I35" s="164"/>
      <c r="J35" s="164"/>
      <c r="K35" s="164"/>
      <c r="L35" s="164"/>
      <c r="M35" s="164"/>
      <c r="N35" s="164"/>
      <c r="O35" s="164"/>
    </row>
    <row r="36" spans="2:15">
      <c r="B36" s="44"/>
      <c r="D36" s="54" t="s">
        <v>59</v>
      </c>
      <c r="E36" s="47" t="s">
        <v>54</v>
      </c>
      <c r="F36" s="47" t="s">
        <v>54</v>
      </c>
      <c r="G36" s="164"/>
      <c r="H36" s="164"/>
      <c r="I36" s="164"/>
      <c r="J36" s="164"/>
      <c r="K36" s="164"/>
      <c r="L36" s="164"/>
      <c r="M36" s="164"/>
      <c r="N36" s="164"/>
      <c r="O36" s="164"/>
    </row>
    <row r="37" spans="2:15">
      <c r="C37" s="48"/>
      <c r="D37" s="48"/>
      <c r="E37" s="251"/>
      <c r="F37" s="259"/>
      <c r="G37" s="164"/>
      <c r="H37" s="164"/>
      <c r="I37" s="164"/>
      <c r="J37" s="164"/>
      <c r="K37" s="164"/>
      <c r="L37" s="164"/>
      <c r="M37" s="164"/>
      <c r="N37" s="164"/>
      <c r="O37" s="164"/>
    </row>
    <row r="38" spans="2:15">
      <c r="B38" s="45"/>
      <c r="C38" s="44"/>
      <c r="D38" s="49"/>
      <c r="E38" s="251"/>
      <c r="F38" s="259"/>
      <c r="G38" s="164"/>
      <c r="H38" s="164"/>
      <c r="I38" s="164"/>
      <c r="J38" s="164"/>
      <c r="K38" s="164"/>
      <c r="L38" s="164"/>
      <c r="M38" s="164"/>
      <c r="N38" s="164"/>
      <c r="O38" s="164"/>
    </row>
    <row r="39" spans="2:15">
      <c r="B39" s="18"/>
      <c r="C39" s="44"/>
      <c r="D39" s="49"/>
      <c r="E39" s="251"/>
      <c r="F39" s="259"/>
      <c r="G39" s="164"/>
      <c r="H39" s="164"/>
      <c r="I39" s="164"/>
      <c r="J39" s="164"/>
      <c r="K39" s="164"/>
      <c r="L39" s="164"/>
      <c r="M39" s="164"/>
      <c r="N39" s="164"/>
      <c r="O39" s="164"/>
    </row>
    <row r="40" spans="2:15">
      <c r="B40" s="32" t="s">
        <v>55</v>
      </c>
      <c r="C40" s="48"/>
      <c r="D40" s="49"/>
      <c r="E40" s="251"/>
      <c r="F40" s="259"/>
      <c r="G40" s="164"/>
      <c r="H40" s="164"/>
      <c r="I40" s="164"/>
      <c r="J40" s="164"/>
      <c r="K40" s="164"/>
      <c r="L40" s="164"/>
      <c r="M40" s="164"/>
      <c r="N40" s="164"/>
      <c r="O40" s="164"/>
    </row>
    <row r="41" spans="2:15">
      <c r="B41" s="50" t="s">
        <v>56</v>
      </c>
      <c r="C41" s="46" t="s">
        <v>53</v>
      </c>
      <c r="D41" s="49"/>
      <c r="E41" s="253"/>
      <c r="F41" s="253"/>
    </row>
    <row r="42" spans="2:15">
      <c r="B42" s="30"/>
      <c r="C42" s="48"/>
      <c r="D42" s="49"/>
      <c r="E42" s="253"/>
      <c r="F42" s="253"/>
    </row>
    <row r="43" spans="2:15">
      <c r="B43" s="51" t="s">
        <v>57</v>
      </c>
      <c r="C43" s="47" t="s">
        <v>54</v>
      </c>
      <c r="D43" s="44"/>
      <c r="E43" s="253"/>
    </row>
    <row r="44" spans="2:15">
      <c r="B44" s="32"/>
      <c r="C44" s="52"/>
    </row>
    <row r="45" spans="2:15">
      <c r="B45" s="53" t="s">
        <v>58</v>
      </c>
      <c r="C45" s="54" t="s">
        <v>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C6:K20"/>
  <sheetViews>
    <sheetView workbookViewId="0">
      <selection activeCell="C7" sqref="C7:D20"/>
    </sheetView>
  </sheetViews>
  <sheetFormatPr defaultRowHeight="15"/>
  <cols>
    <col min="1" max="1" width="24.140625" style="58" customWidth="1"/>
    <col min="2" max="2" width="15.140625" style="58" customWidth="1"/>
    <col min="3" max="3" width="22.7109375" style="58" bestFit="1" customWidth="1"/>
    <col min="4" max="4" width="25.140625" style="58" bestFit="1" customWidth="1"/>
    <col min="5" max="5" width="15.140625" style="58" customWidth="1"/>
    <col min="6" max="6" width="9.140625" style="58"/>
    <col min="7" max="7" width="27.140625" style="58" customWidth="1"/>
    <col min="8" max="8" width="15.85546875" style="58" customWidth="1"/>
    <col min="9" max="9" width="9.140625" style="58"/>
    <col min="10" max="10" width="24.7109375" style="58" bestFit="1" customWidth="1"/>
    <col min="11" max="11" width="12.7109375" style="58" customWidth="1"/>
    <col min="12" max="16384" width="9.140625" style="58"/>
  </cols>
  <sheetData>
    <row r="6" spans="3:11">
      <c r="G6" s="220"/>
      <c r="H6" s="220"/>
      <c r="I6" s="220"/>
      <c r="J6" s="220"/>
      <c r="K6" s="220"/>
    </row>
    <row r="7" spans="3:11" ht="18" customHeight="1">
      <c r="C7" s="104" t="s">
        <v>66</v>
      </c>
      <c r="D7" s="104" t="s">
        <v>134</v>
      </c>
      <c r="G7" s="221"/>
      <c r="H7" s="221"/>
      <c r="I7" s="220"/>
      <c r="J7" s="221"/>
      <c r="K7" s="221"/>
    </row>
    <row r="8" spans="3:11" ht="31.5" customHeight="1">
      <c r="C8" s="105" t="s">
        <v>60</v>
      </c>
      <c r="D8" s="112">
        <v>7.1400000000000005E-2</v>
      </c>
      <c r="G8" s="222"/>
      <c r="H8" s="223"/>
      <c r="I8" s="220"/>
      <c r="J8" s="222"/>
      <c r="K8" s="223"/>
    </row>
    <row r="9" spans="3:11" ht="15.75">
      <c r="C9" s="105" t="s">
        <v>61</v>
      </c>
      <c r="D9" s="112">
        <v>7.0000000000000007E-2</v>
      </c>
      <c r="G9" s="222"/>
      <c r="H9" s="223"/>
      <c r="I9" s="220"/>
      <c r="J9" s="222"/>
      <c r="K9" s="223"/>
    </row>
    <row r="10" spans="3:11" ht="15.75">
      <c r="C10" s="105" t="s">
        <v>62</v>
      </c>
      <c r="D10" s="106">
        <v>0.95</v>
      </c>
      <c r="G10" s="222"/>
      <c r="H10" s="224"/>
      <c r="I10" s="220"/>
      <c r="J10" s="222"/>
      <c r="K10" s="224"/>
    </row>
    <row r="11" spans="3:11">
      <c r="C11" s="107" t="s">
        <v>90</v>
      </c>
      <c r="D11" s="108">
        <f>D8+D10*(D9-D8)</f>
        <v>7.0070000000000007E-2</v>
      </c>
      <c r="G11" s="225"/>
      <c r="H11" s="226"/>
      <c r="I11" s="220"/>
      <c r="J11" s="225"/>
      <c r="K11" s="226"/>
    </row>
    <row r="12" spans="3:11">
      <c r="C12" s="107" t="s">
        <v>63</v>
      </c>
      <c r="D12" s="112">
        <v>8.4000000000000005E-2</v>
      </c>
      <c r="G12" s="225"/>
      <c r="H12" s="223"/>
      <c r="I12" s="220"/>
      <c r="J12" s="225"/>
      <c r="K12" s="223"/>
    </row>
    <row r="13" spans="3:11">
      <c r="C13" s="107" t="s">
        <v>91</v>
      </c>
      <c r="D13" s="106">
        <f>D12*(1-0.35)</f>
        <v>5.4600000000000003E-2</v>
      </c>
      <c r="G13" s="225"/>
      <c r="H13" s="224"/>
      <c r="I13" s="220"/>
      <c r="J13" s="225"/>
      <c r="K13" s="224"/>
    </row>
    <row r="14" spans="3:11">
      <c r="C14" s="107" t="s">
        <v>92</v>
      </c>
      <c r="D14" s="108">
        <f>D16/D18</f>
        <v>0.68455118938099624</v>
      </c>
      <c r="G14" s="225"/>
      <c r="H14" s="226"/>
      <c r="I14" s="220"/>
      <c r="J14" s="225"/>
      <c r="K14" s="226"/>
    </row>
    <row r="15" spans="3:11">
      <c r="C15" s="107" t="s">
        <v>65</v>
      </c>
      <c r="D15" s="108">
        <f>D17/D18</f>
        <v>0.31544881061900382</v>
      </c>
      <c r="G15" s="225"/>
      <c r="H15" s="226"/>
      <c r="I15" s="220"/>
      <c r="J15" s="225"/>
      <c r="K15" s="226"/>
    </row>
    <row r="16" spans="3:11">
      <c r="C16" s="107" t="s">
        <v>46</v>
      </c>
      <c r="D16" s="109">
        <f>BS!G29</f>
        <v>41670</v>
      </c>
      <c r="G16" s="225"/>
      <c r="H16" s="227"/>
      <c r="I16" s="220"/>
      <c r="J16" s="225"/>
      <c r="K16" s="227"/>
    </row>
    <row r="17" spans="3:11">
      <c r="C17" s="107" t="s">
        <v>9</v>
      </c>
      <c r="D17" s="110">
        <f>BS!G34</f>
        <v>19202</v>
      </c>
      <c r="G17" s="225"/>
      <c r="H17" s="227"/>
      <c r="I17" s="220"/>
      <c r="J17" s="225"/>
      <c r="K17" s="227"/>
    </row>
    <row r="18" spans="3:11">
      <c r="C18" s="107" t="s">
        <v>93</v>
      </c>
      <c r="D18" s="109">
        <f>D17+D16</f>
        <v>60872</v>
      </c>
      <c r="G18" s="225"/>
      <c r="H18" s="227"/>
      <c r="I18" s="220"/>
      <c r="J18" s="225"/>
      <c r="K18" s="227"/>
    </row>
    <row r="19" spans="3:11">
      <c r="C19" s="107" t="s">
        <v>94</v>
      </c>
      <c r="D19" s="113">
        <v>0.3</v>
      </c>
      <c r="G19" s="225"/>
      <c r="H19" s="228"/>
      <c r="I19" s="220"/>
      <c r="J19" s="225"/>
      <c r="K19" s="228"/>
    </row>
    <row r="20" spans="3:11">
      <c r="C20" s="111" t="s">
        <v>66</v>
      </c>
      <c r="D20" s="114">
        <f>D11*D15+(D13*D14)</f>
        <v>5.9479993100275998E-2</v>
      </c>
      <c r="G20" s="229"/>
      <c r="H20" s="230"/>
      <c r="I20" s="220"/>
      <c r="J20" s="229"/>
      <c r="K20" s="230"/>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C2:U44"/>
  <sheetViews>
    <sheetView topLeftCell="E19" workbookViewId="0">
      <selection activeCell="M23" sqref="M23:T30"/>
    </sheetView>
  </sheetViews>
  <sheetFormatPr defaultRowHeight="15"/>
  <cols>
    <col min="6" max="6" width="23.140625" bestFit="1" customWidth="1"/>
    <col min="7" max="7" width="18.85546875" bestFit="1" customWidth="1"/>
    <col min="8" max="8" width="13.7109375" bestFit="1" customWidth="1"/>
    <col min="9" max="9" width="12" bestFit="1" customWidth="1"/>
    <col min="14" max="14" width="7.42578125" customWidth="1"/>
    <col min="15" max="15" width="12" bestFit="1" customWidth="1"/>
  </cols>
  <sheetData>
    <row r="2" spans="3:21" ht="15.75" thickBot="1"/>
    <row r="3" spans="3:21">
      <c r="C3" s="117"/>
      <c r="D3" s="118"/>
      <c r="E3" s="118"/>
      <c r="F3" s="118"/>
      <c r="G3" s="118"/>
      <c r="H3" s="118"/>
      <c r="I3" s="118"/>
      <c r="J3" s="118"/>
      <c r="K3" s="118"/>
      <c r="L3" s="118"/>
      <c r="M3" s="118"/>
      <c r="N3" s="118"/>
      <c r="O3" s="118"/>
      <c r="P3" s="118"/>
      <c r="Q3" s="118"/>
      <c r="R3" s="118"/>
      <c r="S3" s="118"/>
      <c r="T3" s="118"/>
      <c r="U3" s="119"/>
    </row>
    <row r="4" spans="3:21">
      <c r="C4" s="55"/>
      <c r="D4" s="1"/>
      <c r="E4" s="1"/>
      <c r="F4" s="1"/>
      <c r="G4" s="1"/>
      <c r="H4" s="1"/>
      <c r="I4" s="1"/>
      <c r="J4" s="1"/>
      <c r="K4" s="1"/>
      <c r="L4" s="1"/>
      <c r="M4" s="1"/>
      <c r="N4" s="1"/>
      <c r="O4" s="1"/>
      <c r="P4" s="1"/>
      <c r="Q4" s="1"/>
      <c r="R4" s="1"/>
      <c r="S4" s="1"/>
      <c r="T4" s="1"/>
      <c r="U4" s="2"/>
    </row>
    <row r="5" spans="3:21" ht="15.75" thickBot="1">
      <c r="C5" s="55"/>
      <c r="D5" s="1"/>
      <c r="E5" s="1"/>
      <c r="F5" s="1"/>
      <c r="G5" s="1"/>
      <c r="H5" s="1"/>
      <c r="I5" s="1"/>
      <c r="J5" s="1"/>
      <c r="K5" s="1"/>
      <c r="L5" s="1"/>
      <c r="M5" s="1"/>
      <c r="N5" s="1"/>
      <c r="O5" s="1"/>
      <c r="P5" s="1"/>
      <c r="Q5" s="1"/>
      <c r="R5" s="1"/>
      <c r="S5" s="1"/>
      <c r="T5" s="1"/>
      <c r="U5" s="2"/>
    </row>
    <row r="6" spans="3:21" ht="19.5" thickBot="1">
      <c r="C6" s="55"/>
      <c r="D6" s="1"/>
      <c r="E6" s="128" t="s">
        <v>104</v>
      </c>
      <c r="F6" s="129"/>
      <c r="G6" s="129"/>
      <c r="H6" s="118"/>
      <c r="I6" s="118"/>
      <c r="J6" s="118"/>
      <c r="K6" s="119"/>
      <c r="L6" s="1"/>
      <c r="M6" s="299" t="s">
        <v>102</v>
      </c>
      <c r="N6" s="300"/>
      <c r="O6" s="119"/>
      <c r="P6" s="1"/>
      <c r="R6" s="166"/>
      <c r="S6" s="128" t="s">
        <v>103</v>
      </c>
      <c r="T6" s="240">
        <f>(BS!G35-BS!G37)/IS!F23</f>
        <v>1.145020870602266</v>
      </c>
      <c r="U6" s="2"/>
    </row>
    <row r="7" spans="3:21">
      <c r="C7" s="55"/>
      <c r="D7" s="1"/>
      <c r="E7" s="55"/>
      <c r="F7" s="117" t="s">
        <v>0</v>
      </c>
      <c r="G7" s="118">
        <v>1994</v>
      </c>
      <c r="H7" s="118">
        <v>1995</v>
      </c>
      <c r="I7" s="118"/>
      <c r="J7" s="118"/>
      <c r="K7" s="119"/>
      <c r="L7" s="1"/>
      <c r="M7" s="55"/>
      <c r="N7" s="1" t="s">
        <v>99</v>
      </c>
      <c r="O7" s="124">
        <f>IS!T22</f>
        <v>0.27839953395362116</v>
      </c>
      <c r="P7" s="1"/>
      <c r="Q7" s="55"/>
      <c r="R7" s="1"/>
      <c r="S7" s="1"/>
      <c r="T7" s="2"/>
      <c r="U7" s="2"/>
    </row>
    <row r="8" spans="3:21" ht="15.75" thickBot="1">
      <c r="C8" s="55"/>
      <c r="D8" s="1"/>
      <c r="E8" s="55"/>
      <c r="F8" s="55" t="s">
        <v>96</v>
      </c>
      <c r="G8" s="94">
        <f>IS!G22</f>
        <v>-928</v>
      </c>
      <c r="H8" s="94">
        <f>IS!H22</f>
        <v>1677</v>
      </c>
      <c r="I8" s="94"/>
      <c r="J8" s="1"/>
      <c r="K8" s="2"/>
      <c r="L8" s="1"/>
      <c r="M8" s="55"/>
      <c r="N8" s="1" t="s">
        <v>101</v>
      </c>
      <c r="O8" s="2">
        <f>H18</f>
        <v>14.686666666666667</v>
      </c>
      <c r="P8" s="1"/>
      <c r="Q8" s="57"/>
      <c r="R8" s="122"/>
      <c r="S8" s="122"/>
      <c r="T8" s="123"/>
      <c r="U8" s="2"/>
    </row>
    <row r="9" spans="3:21" ht="15.75" thickBot="1">
      <c r="C9" s="55"/>
      <c r="D9" s="1"/>
      <c r="E9" s="55"/>
      <c r="F9" s="55" t="s">
        <v>97</v>
      </c>
      <c r="G9" s="121">
        <f>IS!F23</f>
        <v>16770</v>
      </c>
      <c r="H9" s="121">
        <f>G9</f>
        <v>16770</v>
      </c>
      <c r="I9" s="1"/>
      <c r="J9" s="1"/>
      <c r="K9" s="2"/>
      <c r="L9" s="1"/>
      <c r="M9" s="303" t="s">
        <v>175</v>
      </c>
      <c r="N9" s="304"/>
      <c r="O9" s="127">
        <f>O8*O7</f>
        <v>4.0887611553321825</v>
      </c>
      <c r="P9" s="1"/>
      <c r="Q9" s="1"/>
      <c r="R9" s="1"/>
      <c r="S9" s="1"/>
      <c r="T9" s="1"/>
      <c r="U9" s="2"/>
    </row>
    <row r="10" spans="3:21">
      <c r="C10" s="55"/>
      <c r="D10" s="1"/>
      <c r="E10" s="55"/>
      <c r="F10" s="55" t="s">
        <v>98</v>
      </c>
      <c r="G10" s="120">
        <f>G9/(H9+G9)</f>
        <v>0.5</v>
      </c>
      <c r="H10" s="120">
        <f>H9/(G9+H9)</f>
        <v>0.5</v>
      </c>
      <c r="I10" s="120"/>
      <c r="J10" s="1"/>
      <c r="K10" s="2"/>
      <c r="L10" s="1"/>
      <c r="M10" s="1"/>
      <c r="N10" s="1"/>
      <c r="O10" s="1"/>
      <c r="P10" s="1"/>
      <c r="Q10" s="1"/>
      <c r="R10" s="1"/>
      <c r="S10" s="1"/>
      <c r="T10" s="1"/>
      <c r="U10" s="2"/>
    </row>
    <row r="11" spans="3:21">
      <c r="C11" s="55"/>
      <c r="D11" s="1"/>
      <c r="E11" s="55"/>
      <c r="F11" s="55"/>
      <c r="G11" s="121">
        <f>G10*G8</f>
        <v>-464</v>
      </c>
      <c r="H11" s="121">
        <f>H10*H8</f>
        <v>838.5</v>
      </c>
      <c r="I11" s="121"/>
      <c r="J11" s="1"/>
      <c r="K11" s="2"/>
      <c r="L11" s="1"/>
      <c r="M11" s="1"/>
      <c r="N11" s="1"/>
      <c r="O11" s="1"/>
      <c r="P11" s="1"/>
      <c r="Q11" s="1"/>
      <c r="R11" s="1"/>
      <c r="S11" s="1"/>
      <c r="T11" s="1"/>
      <c r="U11" s="2"/>
    </row>
    <row r="12" spans="3:21">
      <c r="C12" s="55"/>
      <c r="D12" s="1"/>
      <c r="E12" s="55"/>
      <c r="F12" s="55" t="s">
        <v>39</v>
      </c>
      <c r="G12" s="121">
        <f>SUM(G11:I11)</f>
        <v>374.5</v>
      </c>
      <c r="H12" s="1"/>
      <c r="I12" s="1"/>
      <c r="J12" s="1"/>
      <c r="K12" s="2"/>
      <c r="L12" s="1"/>
      <c r="M12" s="1"/>
      <c r="N12" s="1"/>
      <c r="O12" s="1"/>
      <c r="P12" s="1"/>
      <c r="Q12" s="1"/>
      <c r="R12" s="1"/>
      <c r="S12" s="1"/>
      <c r="T12" s="1"/>
      <c r="U12" s="2"/>
    </row>
    <row r="13" spans="3:21">
      <c r="C13" s="55"/>
      <c r="D13" s="1"/>
      <c r="E13" s="55"/>
      <c r="F13" s="55" t="s">
        <v>99</v>
      </c>
      <c r="G13" s="121">
        <f>G12/H9</f>
        <v>2.2331544424567681E-2</v>
      </c>
      <c r="H13" s="1"/>
      <c r="I13" s="1"/>
      <c r="J13" s="1"/>
      <c r="K13" s="2"/>
      <c r="L13" s="1"/>
      <c r="M13" s="1"/>
      <c r="N13" s="1"/>
      <c r="O13" s="1"/>
      <c r="P13" s="1"/>
      <c r="Q13" s="1"/>
      <c r="R13" s="1"/>
      <c r="S13" s="1"/>
      <c r="T13" s="1"/>
      <c r="U13" s="2"/>
    </row>
    <row r="14" spans="3:21">
      <c r="C14" s="55"/>
      <c r="D14" s="1"/>
      <c r="E14" s="55"/>
      <c r="F14" s="55"/>
      <c r="G14" s="1"/>
      <c r="H14" s="1" t="s">
        <v>171</v>
      </c>
      <c r="I14" s="1" t="s">
        <v>172</v>
      </c>
      <c r="J14" s="1" t="s">
        <v>173</v>
      </c>
      <c r="K14" s="2" t="s">
        <v>174</v>
      </c>
      <c r="L14" s="1"/>
      <c r="M14" s="1"/>
      <c r="N14" s="1"/>
      <c r="O14" s="1"/>
      <c r="P14" s="1"/>
      <c r="Q14" s="1"/>
      <c r="R14" s="1"/>
      <c r="S14" s="1"/>
      <c r="T14" s="1"/>
      <c r="U14" s="2"/>
    </row>
    <row r="15" spans="3:21">
      <c r="C15" s="55"/>
      <c r="D15" s="1"/>
      <c r="E15" s="55"/>
      <c r="F15" s="55" t="s">
        <v>170</v>
      </c>
      <c r="G15" s="1"/>
      <c r="H15" s="1">
        <v>13.3</v>
      </c>
      <c r="I15" s="1">
        <v>16.739999999999998</v>
      </c>
      <c r="J15" s="1"/>
      <c r="K15" s="2">
        <v>14.02</v>
      </c>
      <c r="L15" s="1"/>
      <c r="M15" s="1"/>
      <c r="N15" s="1"/>
      <c r="O15" s="1"/>
      <c r="P15" s="1"/>
      <c r="Q15" s="1"/>
      <c r="R15" s="1"/>
      <c r="S15" s="1"/>
      <c r="T15" s="1"/>
      <c r="U15" s="2"/>
    </row>
    <row r="16" spans="3:21">
      <c r="C16" s="55"/>
      <c r="D16" s="1"/>
      <c r="E16" s="55"/>
      <c r="F16" s="55"/>
      <c r="G16" s="1"/>
      <c r="H16" s="1"/>
      <c r="I16" s="1"/>
      <c r="J16" s="1"/>
      <c r="K16" s="2"/>
      <c r="L16" s="1"/>
      <c r="M16" s="1"/>
      <c r="N16" s="1"/>
      <c r="O16" s="1"/>
      <c r="P16" s="1"/>
      <c r="Q16" s="1"/>
      <c r="R16" s="1"/>
      <c r="S16" s="1"/>
      <c r="T16" s="1"/>
      <c r="U16" s="2"/>
    </row>
    <row r="17" spans="3:21">
      <c r="C17" s="55"/>
      <c r="D17" s="1"/>
      <c r="E17" s="55"/>
      <c r="F17" s="55"/>
      <c r="G17" s="1"/>
      <c r="H17" s="1"/>
      <c r="I17" s="1"/>
      <c r="J17" s="1"/>
      <c r="K17" s="2"/>
      <c r="L17" s="1"/>
      <c r="M17" s="1"/>
      <c r="N17" s="1"/>
      <c r="O17" s="1"/>
      <c r="P17" s="1"/>
      <c r="Q17" s="1"/>
      <c r="R17" s="1"/>
      <c r="S17" s="1"/>
      <c r="T17" s="1"/>
      <c r="U17" s="2"/>
    </row>
    <row r="18" spans="3:21">
      <c r="C18" s="55"/>
      <c r="D18" s="1"/>
      <c r="E18" s="55" t="s">
        <v>71</v>
      </c>
      <c r="F18" s="55" t="s">
        <v>29</v>
      </c>
      <c r="G18" s="1"/>
      <c r="H18" s="1">
        <f>AVERAGE(H15:K15)</f>
        <v>14.686666666666667</v>
      </c>
      <c r="I18" s="1"/>
      <c r="J18" s="1"/>
      <c r="K18" s="2"/>
      <c r="L18" s="1"/>
      <c r="M18" s="1"/>
      <c r="N18" s="1"/>
      <c r="O18" s="1"/>
      <c r="P18" s="1"/>
      <c r="Q18" s="1"/>
      <c r="R18" s="1"/>
      <c r="S18" s="1"/>
      <c r="T18" s="1"/>
      <c r="U18" s="2"/>
    </row>
    <row r="19" spans="3:21" ht="19.5" thickBot="1">
      <c r="C19" s="55"/>
      <c r="D19" s="1"/>
      <c r="E19" s="57"/>
      <c r="F19" s="301" t="s">
        <v>175</v>
      </c>
      <c r="G19" s="302"/>
      <c r="H19" s="165">
        <f>H18*G13</f>
        <v>0.32797594911548406</v>
      </c>
      <c r="I19" s="122"/>
      <c r="J19" s="122"/>
      <c r="K19" s="123"/>
      <c r="L19" s="1"/>
      <c r="M19" s="1"/>
      <c r="N19" s="1"/>
      <c r="O19" s="1"/>
      <c r="P19" s="1"/>
      <c r="Q19" s="1"/>
      <c r="R19" s="1"/>
      <c r="S19" s="1"/>
      <c r="T19" s="1"/>
      <c r="U19" s="2"/>
    </row>
    <row r="20" spans="3:21">
      <c r="C20" s="55"/>
      <c r="D20" s="1"/>
      <c r="E20" s="1"/>
      <c r="F20" s="1"/>
      <c r="G20" s="1"/>
      <c r="H20" s="1"/>
      <c r="I20" s="1"/>
      <c r="J20" s="1"/>
      <c r="K20" s="1"/>
      <c r="L20" s="1"/>
      <c r="M20" s="1"/>
      <c r="N20" s="1"/>
      <c r="O20" s="1"/>
      <c r="P20" s="1"/>
      <c r="Q20" s="1"/>
      <c r="R20" s="1"/>
      <c r="S20" s="1"/>
      <c r="T20" s="1"/>
      <c r="U20" s="2"/>
    </row>
    <row r="21" spans="3:21">
      <c r="C21" s="55"/>
      <c r="D21" s="1"/>
      <c r="E21" s="1"/>
      <c r="F21" s="1"/>
      <c r="G21" s="1"/>
      <c r="H21" s="1"/>
      <c r="I21" s="1"/>
      <c r="J21" s="1"/>
      <c r="K21" s="1"/>
      <c r="L21" s="1"/>
      <c r="M21" s="1"/>
      <c r="N21" s="1"/>
      <c r="O21" s="1"/>
      <c r="P21" s="1"/>
      <c r="Q21" s="1"/>
      <c r="R21" s="1"/>
      <c r="S21" s="1"/>
      <c r="T21" s="1"/>
      <c r="U21" s="2"/>
    </row>
    <row r="22" spans="3:21" ht="15.75" thickBot="1">
      <c r="C22" s="55"/>
      <c r="D22" s="1"/>
      <c r="E22" s="1"/>
      <c r="F22" s="1"/>
      <c r="G22" s="1"/>
      <c r="H22" s="1"/>
      <c r="I22" s="1"/>
      <c r="J22" s="1"/>
      <c r="K22" s="1"/>
      <c r="L22" s="1"/>
      <c r="M22" s="1"/>
      <c r="N22" s="1"/>
      <c r="O22" s="1"/>
      <c r="P22" s="1"/>
      <c r="Q22" s="1"/>
      <c r="R22" s="1"/>
      <c r="S22" s="1"/>
      <c r="T22" s="1"/>
      <c r="U22" s="2"/>
    </row>
    <row r="23" spans="3:21" ht="19.5" thickBot="1">
      <c r="C23" s="55"/>
      <c r="D23" s="297"/>
      <c r="E23" s="297"/>
      <c r="F23" s="297"/>
      <c r="G23" s="297"/>
      <c r="H23" s="1"/>
      <c r="I23" s="1"/>
      <c r="J23" s="1"/>
      <c r="K23" s="1"/>
      <c r="L23" s="1"/>
      <c r="M23" s="299" t="s">
        <v>105</v>
      </c>
      <c r="N23" s="300"/>
      <c r="O23" s="300"/>
      <c r="P23" s="118"/>
      <c r="Q23" s="118"/>
      <c r="R23" s="118"/>
      <c r="S23" s="118"/>
      <c r="T23" s="119"/>
      <c r="U23" s="2"/>
    </row>
    <row r="24" spans="3:21" ht="18.75">
      <c r="C24" s="55"/>
      <c r="D24" s="194"/>
      <c r="E24" s="194"/>
      <c r="F24" s="194"/>
      <c r="G24" s="195"/>
      <c r="H24" s="196"/>
      <c r="I24" s="196"/>
      <c r="J24" s="195"/>
      <c r="K24" s="195"/>
      <c r="L24" s="1"/>
      <c r="M24" s="55"/>
      <c r="N24" s="1"/>
      <c r="O24" s="117"/>
      <c r="P24" s="1" t="s">
        <v>171</v>
      </c>
      <c r="Q24" s="1" t="s">
        <v>172</v>
      </c>
      <c r="R24" s="1" t="s">
        <v>173</v>
      </c>
      <c r="S24" s="2" t="s">
        <v>174</v>
      </c>
      <c r="T24" s="130"/>
      <c r="U24" s="2"/>
    </row>
    <row r="25" spans="3:21">
      <c r="C25" s="55"/>
      <c r="D25" s="1"/>
      <c r="E25" s="298"/>
      <c r="F25" s="298"/>
      <c r="G25" s="1"/>
      <c r="H25" s="1"/>
      <c r="I25" s="1"/>
      <c r="J25" s="1"/>
      <c r="K25" s="1"/>
      <c r="L25" s="1"/>
      <c r="M25" s="55"/>
      <c r="N25" s="1"/>
      <c r="O25" s="55"/>
      <c r="P25" s="1"/>
      <c r="Q25" s="1"/>
      <c r="R25" s="1"/>
      <c r="S25" s="1"/>
      <c r="T25" s="2"/>
      <c r="U25" s="2"/>
    </row>
    <row r="26" spans="3:21">
      <c r="C26" s="55"/>
      <c r="D26" s="1"/>
      <c r="E26" s="1"/>
      <c r="F26" s="1"/>
      <c r="G26" s="1"/>
      <c r="H26" s="1"/>
      <c r="I26" s="1"/>
      <c r="J26" s="1"/>
      <c r="K26" s="1"/>
      <c r="L26" s="1"/>
      <c r="M26" s="55"/>
      <c r="N26" s="1"/>
      <c r="O26" s="55"/>
      <c r="P26" s="1"/>
      <c r="Q26" s="1"/>
      <c r="R26" s="1"/>
      <c r="S26" s="1"/>
      <c r="T26" s="2"/>
      <c r="U26" s="2"/>
    </row>
    <row r="27" spans="3:21">
      <c r="C27" s="55"/>
      <c r="D27" s="1"/>
      <c r="E27" s="1"/>
      <c r="F27" s="1"/>
      <c r="G27" s="1"/>
      <c r="H27" s="1"/>
      <c r="I27" s="1"/>
      <c r="J27" s="1"/>
      <c r="K27" s="1"/>
      <c r="L27" s="1"/>
      <c r="M27" s="55"/>
      <c r="N27" s="1"/>
      <c r="O27" s="55" t="s">
        <v>106</v>
      </c>
      <c r="P27" s="1">
        <v>7.3</v>
      </c>
      <c r="Q27" s="1">
        <v>7.26</v>
      </c>
      <c r="R27" s="1">
        <v>7.25</v>
      </c>
      <c r="S27" s="78">
        <v>5.64</v>
      </c>
      <c r="T27" s="2"/>
      <c r="U27" s="2"/>
    </row>
    <row r="28" spans="3:21">
      <c r="C28" s="55"/>
      <c r="D28" s="1"/>
      <c r="E28" s="1"/>
      <c r="F28" s="1"/>
      <c r="G28" s="1"/>
      <c r="H28" s="1"/>
      <c r="I28" s="1"/>
      <c r="J28" s="1"/>
      <c r="K28" s="1"/>
      <c r="L28" s="1"/>
      <c r="M28" s="55"/>
      <c r="N28" s="1"/>
      <c r="O28" s="55" t="s">
        <v>29</v>
      </c>
      <c r="P28" s="1">
        <f>AVERAGE(P27:S27)</f>
        <v>6.8624999999999998</v>
      </c>
      <c r="Q28" s="1"/>
      <c r="R28" s="1"/>
      <c r="S28" s="1"/>
      <c r="T28" s="2"/>
      <c r="U28" s="2"/>
    </row>
    <row r="29" spans="3:21" ht="18.75">
      <c r="C29" s="55"/>
      <c r="D29" s="1"/>
      <c r="E29" s="1"/>
      <c r="F29" s="125"/>
      <c r="G29" s="1"/>
      <c r="H29" s="1"/>
      <c r="I29" s="1"/>
      <c r="J29" s="1"/>
      <c r="K29" s="1"/>
      <c r="L29" s="1"/>
      <c r="M29" s="55"/>
      <c r="N29" s="1"/>
      <c r="O29" s="55" t="s">
        <v>177</v>
      </c>
      <c r="P29" s="192">
        <f>IS!H18+IS!H14+IS!H13</f>
        <v>12429</v>
      </c>
      <c r="Q29" s="121">
        <f>P29/IS!F23</f>
        <v>0.74114490161001789</v>
      </c>
      <c r="R29" s="1"/>
      <c r="S29" s="1"/>
      <c r="T29" s="2"/>
      <c r="U29" s="2"/>
    </row>
    <row r="30" spans="3:21" ht="15.75" thickBot="1">
      <c r="C30" s="55"/>
      <c r="D30" s="1"/>
      <c r="E30" s="1"/>
      <c r="F30" s="1"/>
      <c r="G30" s="1"/>
      <c r="H30" s="1"/>
      <c r="I30" s="1"/>
      <c r="J30" s="1"/>
      <c r="K30" s="1"/>
      <c r="L30" s="1"/>
      <c r="M30" s="57"/>
      <c r="N30" s="122"/>
      <c r="O30" s="131" t="s">
        <v>178</v>
      </c>
      <c r="P30" s="193">
        <f>P28*Q29</f>
        <v>5.0861068872987474</v>
      </c>
      <c r="Q30" s="122"/>
      <c r="R30" s="122"/>
      <c r="S30" s="122"/>
      <c r="T30" s="123"/>
      <c r="U30" s="2"/>
    </row>
    <row r="31" spans="3:21">
      <c r="C31" s="55"/>
      <c r="D31" s="1"/>
      <c r="E31" s="1"/>
      <c r="F31" s="1"/>
      <c r="G31" s="1"/>
      <c r="H31" s="1"/>
      <c r="I31" s="1"/>
      <c r="J31" s="1"/>
      <c r="K31" s="1"/>
      <c r="L31" s="1"/>
      <c r="M31" s="1"/>
      <c r="N31" s="1"/>
      <c r="O31" s="1"/>
      <c r="P31" s="1"/>
      <c r="Q31" s="1"/>
      <c r="R31" s="1"/>
      <c r="S31" s="1"/>
      <c r="T31" s="1"/>
      <c r="U31" s="2"/>
    </row>
    <row r="32" spans="3:21">
      <c r="C32" s="55"/>
      <c r="D32" s="1"/>
      <c r="E32" s="1"/>
      <c r="F32" s="1"/>
      <c r="G32" s="1"/>
      <c r="H32" s="1"/>
      <c r="I32" s="1"/>
      <c r="J32" s="1"/>
      <c r="K32" s="1"/>
      <c r="L32" s="1"/>
      <c r="M32" s="1"/>
      <c r="N32" s="1"/>
      <c r="O32" s="1"/>
      <c r="P32" s="1"/>
      <c r="Q32" s="1"/>
      <c r="R32" s="1"/>
      <c r="S32" s="1"/>
      <c r="T32" s="1"/>
      <c r="U32" s="2"/>
    </row>
    <row r="33" spans="3:21">
      <c r="C33" s="55"/>
      <c r="D33" s="1"/>
      <c r="E33" s="1"/>
      <c r="F33" s="1"/>
      <c r="G33" s="1"/>
      <c r="H33" s="1"/>
      <c r="I33" s="1"/>
      <c r="J33" s="1"/>
      <c r="K33" s="1"/>
      <c r="L33" s="1"/>
      <c r="M33" s="1"/>
      <c r="N33" s="1"/>
      <c r="O33" s="1"/>
      <c r="P33" s="1"/>
      <c r="Q33" s="1"/>
      <c r="R33" s="1"/>
      <c r="S33" s="1"/>
      <c r="T33" s="1"/>
      <c r="U33" s="2"/>
    </row>
    <row r="34" spans="3:21">
      <c r="C34" s="55"/>
      <c r="D34" s="1"/>
      <c r="E34" s="1"/>
      <c r="F34" s="126"/>
      <c r="G34" s="126"/>
      <c r="H34" s="1"/>
      <c r="I34" s="1"/>
      <c r="J34" s="1"/>
      <c r="K34" s="1"/>
      <c r="L34" s="1"/>
      <c r="M34" s="1"/>
      <c r="N34" s="1"/>
      <c r="O34" s="1"/>
      <c r="P34" s="1"/>
      <c r="Q34" s="1"/>
      <c r="R34" s="1"/>
      <c r="S34" s="1"/>
      <c r="T34" s="1"/>
      <c r="U34" s="2"/>
    </row>
    <row r="35" spans="3:21">
      <c r="C35" s="55"/>
      <c r="D35" s="1"/>
      <c r="E35" s="1"/>
      <c r="F35" s="1"/>
      <c r="G35" s="1"/>
      <c r="H35" s="1"/>
      <c r="I35" s="1"/>
      <c r="J35" s="1"/>
      <c r="K35" s="1"/>
      <c r="L35" s="1"/>
      <c r="M35" s="1"/>
      <c r="N35" s="1"/>
      <c r="O35" s="1"/>
      <c r="P35" s="1"/>
      <c r="Q35" s="1"/>
      <c r="R35" s="1"/>
      <c r="S35" s="1"/>
      <c r="T35" s="1"/>
      <c r="U35" s="2"/>
    </row>
    <row r="36" spans="3:21">
      <c r="C36" s="55"/>
      <c r="D36" s="1"/>
      <c r="E36" s="1"/>
      <c r="F36" s="1"/>
      <c r="G36" s="1"/>
      <c r="H36" s="1"/>
      <c r="I36" s="1"/>
      <c r="J36" s="1"/>
      <c r="K36" s="1"/>
      <c r="L36" s="1"/>
      <c r="M36" s="1"/>
      <c r="N36" s="1"/>
      <c r="O36" s="1"/>
      <c r="P36" s="1"/>
      <c r="Q36" s="1"/>
      <c r="R36" s="1"/>
      <c r="S36" s="1"/>
      <c r="T36" s="1"/>
      <c r="U36" s="2"/>
    </row>
    <row r="37" spans="3:21">
      <c r="C37" s="55"/>
      <c r="D37" s="1"/>
      <c r="E37" s="1"/>
      <c r="F37" s="1"/>
      <c r="G37" s="1"/>
      <c r="H37" s="1"/>
      <c r="I37" s="1"/>
      <c r="J37" s="1"/>
      <c r="K37" s="1"/>
      <c r="L37" s="1"/>
      <c r="M37" s="1"/>
      <c r="N37" s="1"/>
      <c r="O37" s="1"/>
      <c r="P37" s="1"/>
      <c r="Q37" s="1"/>
      <c r="R37" s="1"/>
      <c r="S37" s="1"/>
      <c r="T37" s="1"/>
      <c r="U37" s="2"/>
    </row>
    <row r="38" spans="3:21">
      <c r="C38" s="55"/>
      <c r="D38" s="1"/>
      <c r="E38" s="1"/>
      <c r="F38" s="1"/>
      <c r="G38" s="1"/>
      <c r="H38" s="1"/>
      <c r="I38" s="1"/>
      <c r="J38" s="1"/>
      <c r="K38" s="1"/>
      <c r="L38" s="1"/>
      <c r="M38" s="1"/>
      <c r="N38" s="1"/>
      <c r="O38" s="1"/>
      <c r="P38" s="1"/>
      <c r="Q38" s="1"/>
      <c r="R38" s="1"/>
      <c r="S38" s="1"/>
      <c r="T38" s="1"/>
      <c r="U38" s="2"/>
    </row>
    <row r="39" spans="3:21">
      <c r="C39" s="55"/>
      <c r="D39" s="1"/>
      <c r="E39" s="1"/>
      <c r="F39" s="78"/>
      <c r="G39" s="78"/>
      <c r="H39" s="1"/>
      <c r="I39" s="1"/>
      <c r="J39" s="1"/>
      <c r="K39" s="1"/>
      <c r="L39" s="1"/>
      <c r="M39" s="1"/>
      <c r="N39" s="1"/>
      <c r="O39" s="1"/>
      <c r="P39" s="1"/>
      <c r="Q39" s="1"/>
      <c r="R39" s="1"/>
      <c r="S39" s="1"/>
      <c r="T39" s="1"/>
      <c r="U39" s="2"/>
    </row>
    <row r="40" spans="3:21">
      <c r="C40" s="55"/>
      <c r="D40" s="1"/>
      <c r="E40" s="1"/>
      <c r="F40" s="78"/>
      <c r="G40" s="78"/>
      <c r="H40" s="1"/>
      <c r="I40" s="1"/>
      <c r="J40" s="1"/>
      <c r="K40" s="1"/>
      <c r="L40" s="1"/>
      <c r="M40" s="1"/>
      <c r="N40" s="1"/>
      <c r="O40" s="1"/>
      <c r="P40" s="1"/>
      <c r="Q40" s="1"/>
      <c r="R40" s="1"/>
      <c r="S40" s="1"/>
      <c r="T40" s="1"/>
      <c r="U40" s="2"/>
    </row>
    <row r="41" spans="3:21">
      <c r="C41" s="55"/>
      <c r="D41" s="1"/>
      <c r="E41" s="1"/>
      <c r="F41" s="78"/>
      <c r="G41" s="78"/>
      <c r="H41" s="1"/>
      <c r="I41" s="1"/>
      <c r="J41" s="1"/>
      <c r="K41" s="1"/>
      <c r="L41" s="1"/>
      <c r="M41" s="1"/>
      <c r="N41" s="1"/>
      <c r="O41" s="1"/>
      <c r="P41" s="1"/>
      <c r="Q41" s="1"/>
      <c r="R41" s="1"/>
      <c r="S41" s="1"/>
      <c r="T41" s="1"/>
      <c r="U41" s="2"/>
    </row>
    <row r="42" spans="3:21">
      <c r="C42" s="55"/>
      <c r="D42" s="1"/>
      <c r="E42" s="1"/>
      <c r="F42" s="78"/>
      <c r="G42" s="78"/>
      <c r="H42" s="1"/>
      <c r="I42" s="1"/>
      <c r="J42" s="1"/>
      <c r="K42" s="1"/>
      <c r="L42" s="1"/>
      <c r="M42" s="1"/>
      <c r="N42" s="1"/>
      <c r="O42" s="1"/>
      <c r="P42" s="1"/>
      <c r="Q42" s="1"/>
      <c r="R42" s="1"/>
      <c r="S42" s="1"/>
      <c r="T42" s="1"/>
      <c r="U42" s="2"/>
    </row>
    <row r="43" spans="3:21" ht="21.75" thickBot="1">
      <c r="C43" s="57"/>
      <c r="D43" s="122"/>
      <c r="E43" s="122"/>
      <c r="F43" s="268"/>
      <c r="G43" s="269"/>
      <c r="H43" s="122"/>
      <c r="I43" s="122"/>
      <c r="J43" s="122"/>
      <c r="K43" s="122"/>
      <c r="L43" s="122"/>
      <c r="M43" s="122"/>
      <c r="N43" s="122"/>
      <c r="O43" s="122"/>
      <c r="P43" s="122"/>
      <c r="Q43" s="122"/>
      <c r="R43" s="122"/>
      <c r="S43" s="122"/>
      <c r="T43" s="122"/>
      <c r="U43" s="123"/>
    </row>
    <row r="44" spans="3:21">
      <c r="F44" s="144"/>
      <c r="G44" s="144"/>
    </row>
  </sheetData>
  <mergeCells count="6">
    <mergeCell ref="D23:G23"/>
    <mergeCell ref="E25:F25"/>
    <mergeCell ref="M23:O23"/>
    <mergeCell ref="F19:G19"/>
    <mergeCell ref="M6:N6"/>
    <mergeCell ref="M9:N9"/>
  </mergeCells>
  <pageMargins left="0.7" right="0.7" top="0.75" bottom="0.75" header="0.3" footer="0.3"/>
  <pageSetup orientation="portrait" horizontalDpi="300" verticalDpi="300" r:id="rId1"/>
</worksheet>
</file>

<file path=xl/worksheets/sheet9.xml><?xml version="1.0" encoding="utf-8"?>
<worksheet xmlns="http://schemas.openxmlformats.org/spreadsheetml/2006/main" xmlns:r="http://schemas.openxmlformats.org/officeDocument/2006/relationships">
  <dimension ref="B1:O14"/>
  <sheetViews>
    <sheetView workbookViewId="0">
      <selection activeCell="D14" sqref="D14"/>
    </sheetView>
  </sheetViews>
  <sheetFormatPr defaultRowHeight="15"/>
  <cols>
    <col min="3" max="3" width="38.28515625" bestFit="1" customWidth="1"/>
    <col min="4" max="4" width="11.42578125" bestFit="1" customWidth="1"/>
    <col min="5" max="5" width="34.140625" bestFit="1" customWidth="1"/>
    <col min="6" max="6" width="20.42578125" bestFit="1" customWidth="1"/>
    <col min="8" max="8" width="17.7109375" bestFit="1" customWidth="1"/>
  </cols>
  <sheetData>
    <row r="1" spans="2:15" ht="15.75" thickBot="1"/>
    <row r="2" spans="2:15" ht="19.5" thickBot="1">
      <c r="C2" s="299" t="s">
        <v>107</v>
      </c>
      <c r="D2" s="300"/>
      <c r="E2" s="300"/>
      <c r="F2" s="119"/>
      <c r="H2" s="139" t="s">
        <v>182</v>
      </c>
      <c r="I2" s="144">
        <v>0.59812500000000002</v>
      </c>
      <c r="J2">
        <v>3.5020949720670393</v>
      </c>
      <c r="K2">
        <v>1.9830882352941179</v>
      </c>
      <c r="L2">
        <v>0.74766288951841364</v>
      </c>
      <c r="M2">
        <v>1.7077427742198927</v>
      </c>
      <c r="N2">
        <v>6.8289803220035781</v>
      </c>
      <c r="O2">
        <v>11.662141800191447</v>
      </c>
    </row>
    <row r="3" spans="2:15" ht="15.75">
      <c r="C3" s="117"/>
      <c r="D3" s="133" t="s">
        <v>109</v>
      </c>
      <c r="E3" s="133" t="s">
        <v>110</v>
      </c>
      <c r="F3" s="134" t="s">
        <v>111</v>
      </c>
      <c r="G3" s="1"/>
      <c r="H3" t="s">
        <v>183</v>
      </c>
      <c r="I3">
        <v>2.2200000000000002</v>
      </c>
      <c r="J3">
        <v>2.36</v>
      </c>
      <c r="K3">
        <v>1.93</v>
      </c>
      <c r="M3">
        <v>2.17</v>
      </c>
      <c r="N3">
        <v>5.3417412045319024</v>
      </c>
      <c r="O3">
        <v>11.591578413834227</v>
      </c>
    </row>
    <row r="4" spans="2:15" ht="18.75">
      <c r="C4" s="135" t="s">
        <v>171</v>
      </c>
      <c r="D4" s="1">
        <v>0.01</v>
      </c>
      <c r="E4" s="1">
        <v>32.619999999999997</v>
      </c>
      <c r="F4" s="2">
        <f>E4/D4</f>
        <v>3261.9999999999995</v>
      </c>
      <c r="H4" t="s">
        <v>184</v>
      </c>
      <c r="I4">
        <v>2.9686078252957233E-2</v>
      </c>
      <c r="J4">
        <v>8.1273904089438076E-2</v>
      </c>
      <c r="K4">
        <v>0.20714285714285713</v>
      </c>
      <c r="L4">
        <v>0.22500489141068283</v>
      </c>
      <c r="M4">
        <v>0.13577693272398381</v>
      </c>
      <c r="N4">
        <v>112.37</v>
      </c>
      <c r="O4">
        <v>15.257253930194061</v>
      </c>
    </row>
    <row r="5" spans="2:15">
      <c r="C5" s="241" t="s">
        <v>172</v>
      </c>
      <c r="D5" s="1">
        <v>0.01</v>
      </c>
      <c r="E5" s="1">
        <v>27.625</v>
      </c>
      <c r="F5" s="2">
        <f t="shared" ref="F5:F6" si="0">E5/D5</f>
        <v>2762.5</v>
      </c>
    </row>
    <row r="6" spans="2:15">
      <c r="C6" s="241" t="s">
        <v>174</v>
      </c>
      <c r="D6" s="1">
        <v>0.01</v>
      </c>
      <c r="E6" s="1">
        <v>11.5</v>
      </c>
      <c r="F6" s="2">
        <f t="shared" si="0"/>
        <v>1150</v>
      </c>
    </row>
    <row r="7" spans="2:15" ht="15.75">
      <c r="C7" s="136" t="s">
        <v>108</v>
      </c>
      <c r="D7" s="1"/>
      <c r="E7" s="1"/>
      <c r="F7" s="2">
        <f>AVERAGE(F4:F6)</f>
        <v>2391.5</v>
      </c>
    </row>
    <row r="8" spans="2:15" ht="15.75">
      <c r="C8" s="137" t="s">
        <v>113</v>
      </c>
      <c r="D8" s="242">
        <v>0.01</v>
      </c>
      <c r="E8" s="1"/>
      <c r="F8" s="2"/>
    </row>
    <row r="9" spans="2:15" ht="15.75">
      <c r="B9" s="1"/>
      <c r="C9" s="138" t="s">
        <v>112</v>
      </c>
      <c r="D9" s="132"/>
      <c r="E9" s="1"/>
      <c r="F9" s="140">
        <f>F7*D8</f>
        <v>23.914999999999999</v>
      </c>
    </row>
    <row r="10" spans="2:15" ht="15.75" thickBot="1">
      <c r="C10" s="57"/>
      <c r="D10" s="122"/>
      <c r="E10" s="122"/>
      <c r="F10" s="123"/>
    </row>
    <row r="13" spans="2:15" ht="15.75" thickBot="1"/>
    <row r="14" spans="2:15" ht="21.75" thickBot="1">
      <c r="C14" s="141" t="s">
        <v>188</v>
      </c>
      <c r="D14" s="142">
        <f>(O2+O3+O4+'EPS Valuation'!O9+'EPS Valuation'!T6+'EPS Valuation'!H19+'EPS Valuation'!P30+'Base Valuation'!B30)/8</f>
        <v>6.8418108647665399</v>
      </c>
    </row>
  </sheetData>
  <mergeCells count="1">
    <mergeCell ref="C2:E2"/>
  </mergeCells>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IS</vt:lpstr>
      <vt:lpstr>BS</vt:lpstr>
      <vt:lpstr>Ratios</vt:lpstr>
      <vt:lpstr>Business risk</vt:lpstr>
      <vt:lpstr>Financial risk</vt:lpstr>
      <vt:lpstr>Z-Score Model</vt:lpstr>
      <vt:lpstr>WACC</vt:lpstr>
      <vt:lpstr>EPS Valuation</vt:lpstr>
      <vt:lpstr>Bookbuilding</vt:lpstr>
      <vt:lpstr>Base Valuation</vt:lpstr>
      <vt:lpstr>Simulation</vt:lpstr>
      <vt:lpstr>No. of share simulation</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2017-03-20T21:59:45Z</dcterms:modified>
</cp:coreProperties>
</file>