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drianboss/Downloads/"/>
    </mc:Choice>
  </mc:AlternateContent>
  <xr:revisionPtr revIDLastSave="0" documentId="13_ncr:1_{E2AFCA72-5455-7A4D-9649-92C4006088EE}" xr6:coauthVersionLast="47" xr6:coauthVersionMax="47" xr10:uidLastSave="{00000000-0000-0000-0000-000000000000}"/>
  <bookViews>
    <workbookView xWindow="0" yWindow="0" windowWidth="28800" windowHeight="18000" activeTab="3" xr2:uid="{00000000-000D-0000-FFFF-FFFF00000000}"/>
  </bookViews>
  <sheets>
    <sheet name="Starter Information" sheetId="24" r:id="rId1"/>
    <sheet name="Pricing and Costs" sheetId="21" r:id="rId2"/>
    <sheet name="Production" sheetId="19" r:id="rId3"/>
    <sheet name="Capacity" sheetId="22" r:id="rId4"/>
    <sheet name="Orders" sheetId="18" r:id="rId5"/>
    <sheet name="Inventory" sheetId="20" r:id="rId6"/>
    <sheet name="Operating Income" sheetId="2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1" i="18" l="1"/>
  <c r="J37" i="22"/>
  <c r="M38" i="22"/>
  <c r="M39" i="22"/>
  <c r="M40" i="22"/>
  <c r="M41" i="22"/>
  <c r="M42" i="22"/>
  <c r="M43" i="22"/>
  <c r="M44" i="22"/>
  <c r="M45" i="22"/>
  <c r="M46" i="22"/>
  <c r="M47" i="22"/>
  <c r="M48" i="22"/>
  <c r="M49" i="22"/>
  <c r="M50" i="22"/>
  <c r="M51" i="22"/>
  <c r="M52" i="22"/>
  <c r="M53" i="22"/>
  <c r="M54" i="22"/>
  <c r="M55" i="22"/>
  <c r="M56" i="22"/>
  <c r="M57" i="22"/>
  <c r="M58" i="22"/>
  <c r="M59" i="22"/>
  <c r="M60" i="22"/>
  <c r="M37" i="22"/>
  <c r="L38" i="22"/>
  <c r="L39" i="22"/>
  <c r="L40" i="22"/>
  <c r="L41" i="22"/>
  <c r="L42" i="22"/>
  <c r="L43" i="22"/>
  <c r="L44" i="22"/>
  <c r="L45" i="22"/>
  <c r="L46" i="22"/>
  <c r="L47" i="22"/>
  <c r="L48" i="22"/>
  <c r="L49" i="22"/>
  <c r="L50" i="22"/>
  <c r="L51" i="22"/>
  <c r="L52" i="22"/>
  <c r="L53" i="22"/>
  <c r="L54" i="22"/>
  <c r="L55" i="22"/>
  <c r="L56" i="22"/>
  <c r="L57" i="22"/>
  <c r="L58" i="22"/>
  <c r="L59" i="22"/>
  <c r="L60" i="22"/>
  <c r="L37" i="22"/>
  <c r="M36" i="22"/>
  <c r="L36" i="22"/>
  <c r="K38" i="22"/>
  <c r="K39" i="22"/>
  <c r="K40" i="22"/>
  <c r="K41" i="22"/>
  <c r="K42" i="22"/>
  <c r="K43" i="22"/>
  <c r="K44" i="22"/>
  <c r="K45" i="22"/>
  <c r="K46" i="22"/>
  <c r="K47" i="22"/>
  <c r="K48" i="22"/>
  <c r="K49" i="22"/>
  <c r="K50" i="22"/>
  <c r="K51" i="22"/>
  <c r="K52" i="22"/>
  <c r="K53" i="22"/>
  <c r="K54" i="22"/>
  <c r="K55" i="22"/>
  <c r="K56" i="22"/>
  <c r="K57" i="22"/>
  <c r="K58" i="22"/>
  <c r="K59" i="22"/>
  <c r="K60" i="22"/>
  <c r="K37" i="22"/>
  <c r="K36" i="22"/>
  <c r="F71" i="18"/>
  <c r="H71" i="18"/>
  <c r="I71" i="18" s="1"/>
  <c r="N71" i="18"/>
  <c r="Q37" i="22"/>
  <c r="K71" i="18"/>
  <c r="L71" i="18" l="1"/>
  <c r="Q11" i="22" l="1"/>
  <c r="Q12" i="22"/>
  <c r="AP18" i="18"/>
  <c r="AO18" i="18"/>
  <c r="AN18" i="18"/>
  <c r="AM18" i="18"/>
  <c r="AB9" i="20"/>
  <c r="AB10" i="20"/>
  <c r="AB11" i="20"/>
  <c r="AC9" i="20"/>
  <c r="AC10" i="20"/>
  <c r="AC11" i="20"/>
  <c r="AD9" i="20"/>
  <c r="AD10" i="20"/>
  <c r="AD11" i="20"/>
  <c r="AE9" i="20"/>
  <c r="AE10" i="20"/>
  <c r="AE11" i="20"/>
  <c r="AE8" i="20"/>
  <c r="AD8" i="20"/>
  <c r="AC8" i="20"/>
  <c r="AB8" i="20"/>
  <c r="AF9" i="20"/>
  <c r="AF10" i="20"/>
  <c r="AF11" i="20"/>
  <c r="AF8" i="20"/>
  <c r="J7" i="23" l="1"/>
  <c r="T73" i="20"/>
  <c r="AQ18" i="18"/>
  <c r="F20" i="23" l="1"/>
  <c r="E20" i="23"/>
  <c r="D20" i="23"/>
  <c r="C20" i="23"/>
  <c r="D64" i="23" l="1"/>
  <c r="D65" i="23" s="1"/>
  <c r="D66" i="23" s="1"/>
  <c r="D67" i="23" s="1"/>
  <c r="D68" i="23" s="1"/>
  <c r="D69" i="23" s="1"/>
  <c r="D70" i="23" s="1"/>
  <c r="D71" i="23" s="1"/>
  <c r="D72" i="23" s="1"/>
  <c r="D73" i="23" s="1"/>
  <c r="D74" i="23" s="1"/>
  <c r="D75" i="23" s="1"/>
  <c r="D76" i="23" s="1"/>
  <c r="D77" i="23" s="1"/>
  <c r="D78" i="23" s="1"/>
  <c r="D79" i="23" s="1"/>
  <c r="D80" i="23" s="1"/>
  <c r="D81" i="23" s="1"/>
  <c r="D82" i="23" s="1"/>
  <c r="D83" i="23" s="1"/>
  <c r="D84" i="23" s="1"/>
  <c r="D85" i="23" s="1"/>
  <c r="D86" i="23" s="1"/>
  <c r="D87" i="23" s="1"/>
  <c r="M63" i="19" l="1"/>
  <c r="M62" i="19"/>
  <c r="N48" i="18"/>
  <c r="T40" i="19" l="1"/>
  <c r="AB42" i="19" s="1"/>
  <c r="J63" i="19"/>
  <c r="J62" i="19"/>
  <c r="G63" i="19"/>
  <c r="G62" i="19"/>
  <c r="D63" i="19" l="1"/>
  <c r="D62" i="19"/>
  <c r="T39" i="22"/>
  <c r="S39" i="22"/>
  <c r="R39" i="22"/>
  <c r="Q39" i="22"/>
  <c r="T38" i="22"/>
  <c r="S38" i="22"/>
  <c r="R38" i="22"/>
  <c r="Q38" i="22"/>
  <c r="T37" i="22"/>
  <c r="S37" i="22"/>
  <c r="R37" i="22"/>
  <c r="T36" i="22"/>
  <c r="S36" i="22"/>
  <c r="R36" i="22"/>
  <c r="Q36" i="22"/>
  <c r="T35" i="22"/>
  <c r="S35" i="22"/>
  <c r="R35" i="22"/>
  <c r="Q35" i="22"/>
  <c r="T34" i="22"/>
  <c r="S34" i="22"/>
  <c r="R34" i="22"/>
  <c r="Q34" i="22"/>
  <c r="T33" i="22"/>
  <c r="S33" i="22"/>
  <c r="R33" i="22"/>
  <c r="Q33" i="22"/>
  <c r="T32" i="22"/>
  <c r="S32" i="22"/>
  <c r="R32" i="22"/>
  <c r="Q32" i="22"/>
  <c r="T31" i="22"/>
  <c r="S31" i="22"/>
  <c r="R31" i="22"/>
  <c r="Q31" i="22"/>
  <c r="T30" i="22"/>
  <c r="S30" i="22"/>
  <c r="R30" i="22"/>
  <c r="Q30" i="22"/>
  <c r="T29" i="22"/>
  <c r="S29" i="22"/>
  <c r="R29" i="22"/>
  <c r="Q29" i="22"/>
  <c r="T28" i="22"/>
  <c r="S28" i="22"/>
  <c r="R28" i="22"/>
  <c r="Q28" i="22"/>
  <c r="T27" i="22"/>
  <c r="S27" i="22"/>
  <c r="R27" i="22"/>
  <c r="Q27" i="22"/>
  <c r="T26" i="22"/>
  <c r="S26" i="22"/>
  <c r="R26" i="22"/>
  <c r="Q26" i="22"/>
  <c r="T25" i="22"/>
  <c r="S25" i="22"/>
  <c r="R25" i="22"/>
  <c r="Q25" i="22"/>
  <c r="T24" i="22"/>
  <c r="S24" i="22"/>
  <c r="R24" i="22"/>
  <c r="Q24" i="22"/>
  <c r="T23" i="22"/>
  <c r="S23" i="22"/>
  <c r="R23" i="22"/>
  <c r="Q23" i="22"/>
  <c r="T22" i="22"/>
  <c r="S22" i="22"/>
  <c r="R22" i="22"/>
  <c r="Q22" i="22"/>
  <c r="T21" i="22"/>
  <c r="S21" i="22"/>
  <c r="R21" i="22"/>
  <c r="Q21" i="22"/>
  <c r="T20" i="22"/>
  <c r="S20" i="22"/>
  <c r="R20" i="22"/>
  <c r="Q20" i="22"/>
  <c r="T19" i="22"/>
  <c r="S19" i="22"/>
  <c r="R19" i="22"/>
  <c r="Q19" i="22"/>
  <c r="T18" i="22"/>
  <c r="S18" i="22"/>
  <c r="R18" i="22"/>
  <c r="Q18" i="22"/>
  <c r="T17" i="22"/>
  <c r="S17" i="22"/>
  <c r="R17" i="22"/>
  <c r="Q17" i="22"/>
  <c r="T16" i="22"/>
  <c r="S16" i="22"/>
  <c r="R16" i="22"/>
  <c r="Q16" i="22"/>
  <c r="T15" i="22"/>
  <c r="S15" i="22"/>
  <c r="R15" i="22"/>
  <c r="Q15" i="22"/>
  <c r="T14" i="22"/>
  <c r="S14" i="22"/>
  <c r="R14" i="22"/>
  <c r="Q14" i="22"/>
  <c r="T13" i="22"/>
  <c r="S13" i="22"/>
  <c r="R13" i="22"/>
  <c r="Q13" i="22"/>
  <c r="T12" i="22"/>
  <c r="S12" i="22"/>
  <c r="R12" i="22"/>
  <c r="T11" i="22"/>
  <c r="S11" i="22"/>
  <c r="R11" i="22"/>
  <c r="T39" i="19" l="1"/>
  <c r="E48" i="18"/>
  <c r="AJ97" i="22" l="1"/>
  <c r="AD97" i="22"/>
  <c r="X97" i="22"/>
  <c r="AP97" i="22"/>
  <c r="O60" i="20" l="1"/>
  <c r="N60" i="20"/>
  <c r="M60" i="20"/>
  <c r="L60" i="20"/>
  <c r="O10" i="20"/>
  <c r="N10" i="20"/>
  <c r="M10" i="20"/>
  <c r="L10" i="20"/>
  <c r="O9" i="20"/>
  <c r="N9" i="20"/>
  <c r="M9" i="20"/>
  <c r="L9" i="20"/>
  <c r="O8" i="20"/>
  <c r="N8" i="20"/>
  <c r="M8" i="20"/>
  <c r="L8" i="20"/>
  <c r="AC44" i="18"/>
  <c r="AC43" i="18"/>
  <c r="AP43" i="18" s="1"/>
  <c r="AC42" i="18"/>
  <c r="AP42" i="18" s="1"/>
  <c r="AC41" i="18"/>
  <c r="AP41" i="18" s="1"/>
  <c r="AC40" i="18"/>
  <c r="AP40" i="18" s="1"/>
  <c r="AC39" i="18"/>
  <c r="AP39" i="18" s="1"/>
  <c r="AC38" i="18"/>
  <c r="AP38" i="18" s="1"/>
  <c r="AC37" i="18"/>
  <c r="AP37" i="18" s="1"/>
  <c r="AC36" i="18"/>
  <c r="AP36" i="18" s="1"/>
  <c r="AC35" i="18"/>
  <c r="AP35" i="18" s="1"/>
  <c r="AC34" i="18"/>
  <c r="AP34" i="18" s="1"/>
  <c r="AC33" i="18"/>
  <c r="AP33" i="18" s="1"/>
  <c r="AC32" i="18"/>
  <c r="AP32" i="18" s="1"/>
  <c r="AC31" i="18"/>
  <c r="AP31" i="18" s="1"/>
  <c r="AC30" i="18"/>
  <c r="AP30" i="18" s="1"/>
  <c r="AC29" i="18"/>
  <c r="AP29" i="18" s="1"/>
  <c r="AC28" i="18"/>
  <c r="AP28" i="18" s="1"/>
  <c r="AC27" i="18"/>
  <c r="AP27" i="18" s="1"/>
  <c r="AC26" i="18"/>
  <c r="AP26" i="18" s="1"/>
  <c r="AC25" i="18"/>
  <c r="AP25" i="18" s="1"/>
  <c r="AC24" i="18"/>
  <c r="AP24" i="18" s="1"/>
  <c r="AC23" i="18"/>
  <c r="AP23" i="18" s="1"/>
  <c r="AC22" i="18"/>
  <c r="AP22" i="18" s="1"/>
  <c r="AC21" i="18"/>
  <c r="AP21" i="18" s="1"/>
  <c r="AC20" i="18"/>
  <c r="AP20" i="18" s="1"/>
  <c r="AC19" i="18"/>
  <c r="AP19" i="18" s="1"/>
  <c r="AA30" i="18"/>
  <c r="AN30" i="18" s="1"/>
  <c r="AA29" i="18"/>
  <c r="AN29" i="18" s="1"/>
  <c r="AA28" i="18"/>
  <c r="AN28" i="18" s="1"/>
  <c r="AA27" i="18"/>
  <c r="AN27" i="18" s="1"/>
  <c r="AA26" i="18"/>
  <c r="AN26" i="18" s="1"/>
  <c r="AA24" i="18"/>
  <c r="AN24" i="18" s="1"/>
  <c r="AA23" i="18"/>
  <c r="AN23" i="18" s="1"/>
  <c r="AA22" i="18"/>
  <c r="AN22" i="18" s="1"/>
  <c r="AA47" i="18"/>
  <c r="AN47" i="18" s="1"/>
  <c r="AA46" i="18"/>
  <c r="AN46" i="18" s="1"/>
  <c r="AA45" i="18"/>
  <c r="AN45" i="18" s="1"/>
  <c r="AA44" i="18"/>
  <c r="AN44" i="18" s="1"/>
  <c r="AA43" i="18"/>
  <c r="AN43" i="18" s="1"/>
  <c r="AA42" i="18"/>
  <c r="AN42" i="18" s="1"/>
  <c r="AA41" i="18"/>
  <c r="AN41" i="18" s="1"/>
  <c r="AA40" i="18"/>
  <c r="AN40" i="18" s="1"/>
  <c r="AA39" i="18"/>
  <c r="AN39" i="18" s="1"/>
  <c r="AA38" i="18"/>
  <c r="AN38" i="18" s="1"/>
  <c r="AA37" i="18"/>
  <c r="AN37" i="18" s="1"/>
  <c r="AA36" i="18"/>
  <c r="AN36" i="18" s="1"/>
  <c r="AA35" i="18"/>
  <c r="AN35" i="18" s="1"/>
  <c r="AA34" i="18"/>
  <c r="AN34" i="18" s="1"/>
  <c r="AA33" i="18"/>
  <c r="AN33" i="18" s="1"/>
  <c r="AA32" i="18"/>
  <c r="AN32" i="18" s="1"/>
  <c r="AA31" i="18"/>
  <c r="AN31" i="18" s="1"/>
  <c r="AA25" i="18"/>
  <c r="AN25" i="18" s="1"/>
  <c r="AA21" i="18"/>
  <c r="AN21" i="18" s="1"/>
  <c r="AA20" i="18"/>
  <c r="AN20" i="18" s="1"/>
  <c r="AA19" i="18"/>
  <c r="AN19" i="18" s="1"/>
  <c r="AB19" i="18"/>
  <c r="AO19" i="18" s="1"/>
  <c r="Z19" i="18"/>
  <c r="AM19" i="18" s="1"/>
  <c r="AB43" i="18"/>
  <c r="AB42" i="18"/>
  <c r="AO42" i="18" s="1"/>
  <c r="AB41" i="18"/>
  <c r="AO41" i="18" s="1"/>
  <c r="AB40" i="18"/>
  <c r="AO40" i="18" s="1"/>
  <c r="AB39" i="18"/>
  <c r="AO39" i="18" s="1"/>
  <c r="AB36" i="18"/>
  <c r="AB35" i="18"/>
  <c r="AO35" i="18" s="1"/>
  <c r="AB34" i="18"/>
  <c r="AO34" i="18" s="1"/>
  <c r="AB33" i="18"/>
  <c r="AO33" i="18" s="1"/>
  <c r="AB32" i="18"/>
  <c r="AO32" i="18" s="1"/>
  <c r="AB31" i="18"/>
  <c r="AO31" i="18" s="1"/>
  <c r="AB30" i="18"/>
  <c r="AO30" i="18" s="1"/>
  <c r="AB29" i="18"/>
  <c r="AO29" i="18" s="1"/>
  <c r="AB28" i="18"/>
  <c r="AO28" i="18" s="1"/>
  <c r="AB27" i="18"/>
  <c r="AO27" i="18" s="1"/>
  <c r="AB26" i="18"/>
  <c r="AO26" i="18" s="1"/>
  <c r="AB25" i="18"/>
  <c r="AO25" i="18" s="1"/>
  <c r="AB24" i="18"/>
  <c r="AO24" i="18" s="1"/>
  <c r="AB23" i="18"/>
  <c r="AO23" i="18" s="1"/>
  <c r="AB22" i="18"/>
  <c r="AO22" i="18" s="1"/>
  <c r="AB21" i="18"/>
  <c r="AO21" i="18" s="1"/>
  <c r="AB20" i="18"/>
  <c r="AO20" i="18" s="1"/>
  <c r="Z47" i="18"/>
  <c r="AM47" i="18" s="1"/>
  <c r="Z46" i="18"/>
  <c r="AM46" i="18" s="1"/>
  <c r="Z45" i="18"/>
  <c r="AM45" i="18" s="1"/>
  <c r="Z44" i="18"/>
  <c r="AM44" i="18" s="1"/>
  <c r="Z43" i="18"/>
  <c r="AM43" i="18" s="1"/>
  <c r="Z42" i="18"/>
  <c r="AM42" i="18" s="1"/>
  <c r="Z41" i="18"/>
  <c r="AM41" i="18" s="1"/>
  <c r="Z40" i="18"/>
  <c r="AM40" i="18" s="1"/>
  <c r="AQ40" i="18" s="1"/>
  <c r="Z39" i="18"/>
  <c r="AM39" i="18" s="1"/>
  <c r="Z38" i="18"/>
  <c r="AM38" i="18" s="1"/>
  <c r="Z37" i="18"/>
  <c r="AM37" i="18" s="1"/>
  <c r="Z36" i="18"/>
  <c r="AM36" i="18" s="1"/>
  <c r="Z35" i="18"/>
  <c r="AM35" i="18" s="1"/>
  <c r="Z34" i="18"/>
  <c r="AM34" i="18" s="1"/>
  <c r="Z33" i="18"/>
  <c r="AM33" i="18" s="1"/>
  <c r="Z32" i="18"/>
  <c r="AM32" i="18" s="1"/>
  <c r="AQ32" i="18" s="1"/>
  <c r="Z31" i="18"/>
  <c r="AM31" i="18" s="1"/>
  <c r="Z30" i="18"/>
  <c r="AM30" i="18" s="1"/>
  <c r="Z29" i="18"/>
  <c r="AM29" i="18" s="1"/>
  <c r="Z28" i="18"/>
  <c r="AM28" i="18" s="1"/>
  <c r="AQ28" i="18" s="1"/>
  <c r="Z27" i="18"/>
  <c r="AM27" i="18" s="1"/>
  <c r="Z26" i="18"/>
  <c r="AM26" i="18" s="1"/>
  <c r="Z25" i="18"/>
  <c r="AM25" i="18" s="1"/>
  <c r="Z24" i="18"/>
  <c r="AM24" i="18" s="1"/>
  <c r="Z23" i="18"/>
  <c r="AM23" i="18" s="1"/>
  <c r="Z22" i="18"/>
  <c r="AM22" i="18" s="1"/>
  <c r="Z21" i="18"/>
  <c r="AM21" i="18" s="1"/>
  <c r="Z20" i="18"/>
  <c r="AM20" i="18" s="1"/>
  <c r="AQ20" i="18" s="1"/>
  <c r="W63" i="19"/>
  <c r="V63" i="19"/>
  <c r="U63" i="19"/>
  <c r="AQ22" i="18" l="1"/>
  <c r="AQ23" i="18"/>
  <c r="AQ27" i="18"/>
  <c r="AQ31" i="18"/>
  <c r="AQ35" i="18"/>
  <c r="AQ39" i="18"/>
  <c r="AQ24" i="18"/>
  <c r="AQ43" i="18"/>
  <c r="AB37" i="18"/>
  <c r="AO36" i="18"/>
  <c r="AQ36" i="18" s="1"/>
  <c r="AQ21" i="18"/>
  <c r="AQ29" i="18"/>
  <c r="AQ33" i="18"/>
  <c r="AQ41" i="18"/>
  <c r="AB44" i="18"/>
  <c r="AO43" i="18"/>
  <c r="AQ25" i="18"/>
  <c r="AQ26" i="18"/>
  <c r="AQ30" i="18"/>
  <c r="AQ34" i="18"/>
  <c r="AQ42" i="18"/>
  <c r="AQ19" i="18"/>
  <c r="AC45" i="18"/>
  <c r="AP44" i="18"/>
  <c r="W40" i="19"/>
  <c r="W39" i="19"/>
  <c r="W38" i="19"/>
  <c r="W37" i="19"/>
  <c r="W36" i="19"/>
  <c r="W35" i="19"/>
  <c r="W34" i="19"/>
  <c r="W33" i="19"/>
  <c r="W32" i="19"/>
  <c r="W31" i="19"/>
  <c r="W30" i="19"/>
  <c r="W29" i="19"/>
  <c r="W28" i="19"/>
  <c r="W27" i="19"/>
  <c r="W26" i="19"/>
  <c r="W25" i="19"/>
  <c r="W24" i="19"/>
  <c r="W23" i="19"/>
  <c r="W22" i="19"/>
  <c r="W21" i="19"/>
  <c r="W20" i="19"/>
  <c r="W19" i="19"/>
  <c r="W18" i="19"/>
  <c r="W17" i="19"/>
  <c r="W16" i="19"/>
  <c r="W15" i="19"/>
  <c r="W14" i="19"/>
  <c r="W13" i="19"/>
  <c r="W12" i="19"/>
  <c r="V33" i="19"/>
  <c r="V32" i="19"/>
  <c r="V31" i="19"/>
  <c r="V30" i="19"/>
  <c r="V29" i="19"/>
  <c r="V40" i="19"/>
  <c r="V39" i="19"/>
  <c r="V38" i="19"/>
  <c r="V37" i="19"/>
  <c r="V36" i="19"/>
  <c r="V35" i="19"/>
  <c r="V34" i="19"/>
  <c r="V28" i="19"/>
  <c r="V27" i="19"/>
  <c r="V26" i="19"/>
  <c r="V25" i="19"/>
  <c r="V24" i="19"/>
  <c r="V23" i="19"/>
  <c r="V22" i="19"/>
  <c r="V21" i="19"/>
  <c r="V20" i="19"/>
  <c r="V19" i="19"/>
  <c r="V18" i="19"/>
  <c r="V17" i="19"/>
  <c r="V16" i="19"/>
  <c r="V15" i="19"/>
  <c r="V14" i="19"/>
  <c r="V13" i="19"/>
  <c r="V12" i="19"/>
  <c r="U40" i="19"/>
  <c r="U39" i="19"/>
  <c r="U38" i="19"/>
  <c r="U37" i="19"/>
  <c r="U35" i="19"/>
  <c r="U34" i="19"/>
  <c r="U33" i="19"/>
  <c r="U32" i="19"/>
  <c r="U31" i="19"/>
  <c r="U30" i="19"/>
  <c r="U29" i="19"/>
  <c r="U27" i="19"/>
  <c r="U26" i="19"/>
  <c r="U25" i="19"/>
  <c r="U24" i="19"/>
  <c r="U23" i="19"/>
  <c r="U22" i="19"/>
  <c r="U21" i="19"/>
  <c r="U19" i="19"/>
  <c r="U18" i="19"/>
  <c r="U17" i="19"/>
  <c r="U16" i="19"/>
  <c r="U15" i="19"/>
  <c r="U12" i="19"/>
  <c r="U36" i="19"/>
  <c r="U28" i="19"/>
  <c r="U20" i="19"/>
  <c r="U14" i="19"/>
  <c r="U13" i="19"/>
  <c r="T12" i="19"/>
  <c r="T63" i="19"/>
  <c r="T38" i="19"/>
  <c r="T37" i="19"/>
  <c r="T36" i="19"/>
  <c r="T35" i="19"/>
  <c r="T34" i="19"/>
  <c r="T33" i="19"/>
  <c r="T32" i="19"/>
  <c r="T31" i="19"/>
  <c r="T30" i="19"/>
  <c r="T29" i="19"/>
  <c r="T28" i="19"/>
  <c r="T27" i="19"/>
  <c r="T26" i="19"/>
  <c r="T25" i="19"/>
  <c r="T24" i="19"/>
  <c r="T23" i="19"/>
  <c r="T22" i="19"/>
  <c r="T21" i="19"/>
  <c r="T20" i="19"/>
  <c r="T19" i="19"/>
  <c r="T18" i="19"/>
  <c r="T17" i="19"/>
  <c r="T16" i="19"/>
  <c r="T15" i="19"/>
  <c r="T14" i="19"/>
  <c r="T13" i="19"/>
  <c r="N70" i="18"/>
  <c r="O70" i="18" s="1"/>
  <c r="N69" i="18"/>
  <c r="O69" i="18" s="1"/>
  <c r="N68" i="18"/>
  <c r="O68" i="18" s="1"/>
  <c r="N67" i="18"/>
  <c r="O67" i="18" s="1"/>
  <c r="N66" i="18"/>
  <c r="O66" i="18" s="1"/>
  <c r="N65" i="18"/>
  <c r="O65" i="18" s="1"/>
  <c r="N64" i="18"/>
  <c r="O64" i="18" s="1"/>
  <c r="N63" i="18"/>
  <c r="O63" i="18" s="1"/>
  <c r="N62" i="18"/>
  <c r="O62" i="18" s="1"/>
  <c r="N61" i="18"/>
  <c r="O61" i="18" s="1"/>
  <c r="N60" i="18"/>
  <c r="O60" i="18" s="1"/>
  <c r="N59" i="18"/>
  <c r="O59" i="18" s="1"/>
  <c r="N58" i="18"/>
  <c r="O58" i="18" s="1"/>
  <c r="N57" i="18"/>
  <c r="O57" i="18" s="1"/>
  <c r="N56" i="18"/>
  <c r="O56" i="18" s="1"/>
  <c r="N55" i="18"/>
  <c r="O55" i="18" s="1"/>
  <c r="N54" i="18"/>
  <c r="O54" i="18" s="1"/>
  <c r="N53" i="18"/>
  <c r="O53" i="18" s="1"/>
  <c r="N52" i="18"/>
  <c r="O52" i="18" s="1"/>
  <c r="N51" i="18"/>
  <c r="N50" i="18"/>
  <c r="N49" i="18"/>
  <c r="O49" i="18" s="1"/>
  <c r="O48" i="18"/>
  <c r="H60" i="18"/>
  <c r="I60" i="18" s="1"/>
  <c r="H59" i="18"/>
  <c r="I59" i="18" s="1"/>
  <c r="H58" i="18"/>
  <c r="I58" i="18" s="1"/>
  <c r="H57" i="18"/>
  <c r="I57" i="18" s="1"/>
  <c r="H56" i="18"/>
  <c r="I56" i="18" s="1"/>
  <c r="H54" i="18"/>
  <c r="I54" i="18" s="1"/>
  <c r="H53" i="18"/>
  <c r="I53" i="18" s="1"/>
  <c r="H52" i="18"/>
  <c r="I52" i="18" s="1"/>
  <c r="H50" i="18"/>
  <c r="H70" i="18"/>
  <c r="I70" i="18" s="1"/>
  <c r="H69" i="18"/>
  <c r="I69" i="18" s="1"/>
  <c r="H68" i="18"/>
  <c r="I68" i="18" s="1"/>
  <c r="H67" i="18"/>
  <c r="I67" i="18" s="1"/>
  <c r="H66" i="18"/>
  <c r="I66" i="18" s="1"/>
  <c r="H65" i="18"/>
  <c r="I65" i="18" s="1"/>
  <c r="H64" i="18"/>
  <c r="I64" i="18" s="1"/>
  <c r="H63" i="18"/>
  <c r="I63" i="18" s="1"/>
  <c r="H62" i="18"/>
  <c r="I62" i="18" s="1"/>
  <c r="H61" i="18"/>
  <c r="I61" i="18" s="1"/>
  <c r="H55" i="18"/>
  <c r="I55" i="18" s="1"/>
  <c r="H51" i="18"/>
  <c r="H49" i="18"/>
  <c r="I49" i="18" s="1"/>
  <c r="H48" i="18"/>
  <c r="I48" i="18" s="1"/>
  <c r="K66" i="18"/>
  <c r="K49" i="18"/>
  <c r="K64" i="18"/>
  <c r="K52" i="18"/>
  <c r="K57" i="18"/>
  <c r="K56" i="18"/>
  <c r="K54" i="18"/>
  <c r="K62" i="18"/>
  <c r="K58" i="18"/>
  <c r="K63" i="18"/>
  <c r="K61" i="18"/>
  <c r="K48" i="18"/>
  <c r="K60" i="18"/>
  <c r="K51" i="18"/>
  <c r="K50" i="18"/>
  <c r="K65" i="18"/>
  <c r="K55" i="18"/>
  <c r="K59" i="18"/>
  <c r="K53" i="18"/>
  <c r="AC46" i="18" l="1"/>
  <c r="AP45" i="18"/>
  <c r="AB45" i="18"/>
  <c r="AO44" i="18"/>
  <c r="AQ44" i="18" s="1"/>
  <c r="AB38" i="18"/>
  <c r="AO38" i="18" s="1"/>
  <c r="AQ38" i="18" s="1"/>
  <c r="AO37" i="18"/>
  <c r="AQ37" i="18" s="1"/>
  <c r="AP76" i="22"/>
  <c r="AD76" i="22"/>
  <c r="AJ76" i="22"/>
  <c r="X76" i="22"/>
  <c r="AP84" i="22"/>
  <c r="AD84" i="22"/>
  <c r="AJ84" i="22"/>
  <c r="X84" i="22"/>
  <c r="AJ92" i="22"/>
  <c r="AP92" i="22"/>
  <c r="AD92" i="22"/>
  <c r="X92" i="22"/>
  <c r="Y71" i="22"/>
  <c r="AK71" i="22"/>
  <c r="AQ71" i="22"/>
  <c r="AE71" i="22"/>
  <c r="AK75" i="22"/>
  <c r="Y75" i="22"/>
  <c r="AQ75" i="22"/>
  <c r="AE75" i="22"/>
  <c r="Y84" i="22"/>
  <c r="AQ84" i="22"/>
  <c r="AE84" i="22"/>
  <c r="AK84" i="22"/>
  <c r="AK93" i="22"/>
  <c r="Y93" i="22"/>
  <c r="AQ93" i="22"/>
  <c r="AE93" i="22"/>
  <c r="Z73" i="22"/>
  <c r="AL73" i="22"/>
  <c r="AR73" i="22"/>
  <c r="AF73" i="22"/>
  <c r="Z81" i="22"/>
  <c r="AL81" i="22"/>
  <c r="AR81" i="22"/>
  <c r="AF81" i="22"/>
  <c r="AR94" i="22"/>
  <c r="AF94" i="22"/>
  <c r="Z94" i="22"/>
  <c r="AL94" i="22"/>
  <c r="AR90" i="22"/>
  <c r="AF90" i="22"/>
  <c r="AL90" i="22"/>
  <c r="Z90" i="22"/>
  <c r="AS76" i="22"/>
  <c r="AG76" i="22"/>
  <c r="AM76" i="22"/>
  <c r="AA76" i="22"/>
  <c r="AS84" i="22"/>
  <c r="AG84" i="22"/>
  <c r="AM84" i="22"/>
  <c r="AA84" i="22"/>
  <c r="AS92" i="22"/>
  <c r="AG92" i="22"/>
  <c r="AM92" i="22"/>
  <c r="AA92" i="22"/>
  <c r="AP77" i="22"/>
  <c r="AJ77" i="22"/>
  <c r="AD77" i="22"/>
  <c r="X77" i="22"/>
  <c r="AD85" i="22"/>
  <c r="AJ85" i="22"/>
  <c r="AP85" i="22"/>
  <c r="X85" i="22"/>
  <c r="AP93" i="22"/>
  <c r="AJ93" i="22"/>
  <c r="X93" i="22"/>
  <c r="AD93" i="22"/>
  <c r="AQ72" i="22"/>
  <c r="AE72" i="22"/>
  <c r="Y72" i="22"/>
  <c r="AK72" i="22"/>
  <c r="Y76" i="22"/>
  <c r="AQ76" i="22"/>
  <c r="AE76" i="22"/>
  <c r="AK76" i="22"/>
  <c r="AK85" i="22"/>
  <c r="Y85" i="22"/>
  <c r="AQ85" i="22"/>
  <c r="AE85" i="22"/>
  <c r="AK95" i="22"/>
  <c r="AQ95" i="22"/>
  <c r="AE95" i="22"/>
  <c r="Y95" i="22"/>
  <c r="AR74" i="22"/>
  <c r="AF74" i="22"/>
  <c r="AL74" i="22"/>
  <c r="Z74" i="22"/>
  <c r="AR82" i="22"/>
  <c r="AF82" i="22"/>
  <c r="AL82" i="22"/>
  <c r="Z82" i="22"/>
  <c r="AL95" i="22"/>
  <c r="AF95" i="22"/>
  <c r="AR95" i="22"/>
  <c r="Z95" i="22"/>
  <c r="AL91" i="22"/>
  <c r="Z91" i="22"/>
  <c r="AR91" i="22"/>
  <c r="AF91" i="22"/>
  <c r="AM77" i="22"/>
  <c r="AA77" i="22"/>
  <c r="AS77" i="22"/>
  <c r="AG77" i="22"/>
  <c r="AM85" i="22"/>
  <c r="AA85" i="22"/>
  <c r="AS85" i="22"/>
  <c r="AG85" i="22"/>
  <c r="AM93" i="22"/>
  <c r="AA93" i="22"/>
  <c r="AS93" i="22"/>
  <c r="AG93" i="22"/>
  <c r="AJ78" i="22"/>
  <c r="AP78" i="22"/>
  <c r="AD78" i="22"/>
  <c r="X78" i="22"/>
  <c r="AJ86" i="22"/>
  <c r="X86" i="22"/>
  <c r="AP86" i="22"/>
  <c r="AD86" i="22"/>
  <c r="AP94" i="22"/>
  <c r="AD94" i="22"/>
  <c r="AJ94" i="22"/>
  <c r="X94" i="22"/>
  <c r="AQ78" i="22"/>
  <c r="AE78" i="22"/>
  <c r="Y78" i="22"/>
  <c r="AK78" i="22"/>
  <c r="AK77" i="22"/>
  <c r="Y77" i="22"/>
  <c r="AQ77" i="22"/>
  <c r="AE77" i="22"/>
  <c r="AK87" i="22"/>
  <c r="Y87" i="22"/>
  <c r="AQ87" i="22"/>
  <c r="AE87" i="22"/>
  <c r="AE96" i="22"/>
  <c r="AQ96" i="22"/>
  <c r="Y96" i="22"/>
  <c r="AK96" i="22"/>
  <c r="AL75" i="22"/>
  <c r="Z75" i="22"/>
  <c r="AR75" i="22"/>
  <c r="AF75" i="22"/>
  <c r="AL83" i="22"/>
  <c r="Z83" i="22"/>
  <c r="AR83" i="22"/>
  <c r="AF83" i="22"/>
  <c r="AF96" i="22"/>
  <c r="AR96" i="22"/>
  <c r="Z96" i="22"/>
  <c r="AL96" i="22"/>
  <c r="AS70" i="22"/>
  <c r="AG70" i="22"/>
  <c r="AA70" i="22"/>
  <c r="AM70" i="22"/>
  <c r="AS78" i="22"/>
  <c r="AG78" i="22"/>
  <c r="AA78" i="22"/>
  <c r="AM78" i="22"/>
  <c r="AS86" i="22"/>
  <c r="AG86" i="22"/>
  <c r="AA86" i="22"/>
  <c r="AM86" i="22"/>
  <c r="AG94" i="22"/>
  <c r="AA94" i="22"/>
  <c r="AS94" i="22"/>
  <c r="AM94" i="22"/>
  <c r="X71" i="22"/>
  <c r="AD71" i="22"/>
  <c r="AP71" i="22"/>
  <c r="AJ71" i="22"/>
  <c r="X79" i="22"/>
  <c r="AJ79" i="22"/>
  <c r="AP79" i="22"/>
  <c r="AD79" i="22"/>
  <c r="X87" i="22"/>
  <c r="AP87" i="22"/>
  <c r="AJ87" i="22"/>
  <c r="AD87" i="22"/>
  <c r="AP95" i="22"/>
  <c r="AD95" i="22"/>
  <c r="AJ95" i="22"/>
  <c r="X95" i="22"/>
  <c r="AQ86" i="22"/>
  <c r="AE86" i="22"/>
  <c r="Y86" i="22"/>
  <c r="AK86" i="22"/>
  <c r="AK79" i="22"/>
  <c r="AQ79" i="22"/>
  <c r="AE79" i="22"/>
  <c r="Y79" i="22"/>
  <c r="AQ88" i="22"/>
  <c r="AE88" i="22"/>
  <c r="Y88" i="22"/>
  <c r="AK88" i="22"/>
  <c r="Y97" i="22"/>
  <c r="AK97" i="22"/>
  <c r="AQ97" i="22"/>
  <c r="AE97" i="22"/>
  <c r="Z76" i="22"/>
  <c r="AR76" i="22"/>
  <c r="AF76" i="22"/>
  <c r="AL76" i="22"/>
  <c r="AR84" i="22"/>
  <c r="AF84" i="22"/>
  <c r="Z84" i="22"/>
  <c r="AL84" i="22"/>
  <c r="Z97" i="22"/>
  <c r="AL97" i="22"/>
  <c r="AR97" i="22"/>
  <c r="AF97" i="22"/>
  <c r="AM71" i="22"/>
  <c r="AS71" i="22"/>
  <c r="AG71" i="22"/>
  <c r="AA71" i="22"/>
  <c r="AM79" i="22"/>
  <c r="AS79" i="22"/>
  <c r="AG79" i="22"/>
  <c r="AA79" i="22"/>
  <c r="AM87" i="22"/>
  <c r="AS87" i="22"/>
  <c r="AG87" i="22"/>
  <c r="AA87" i="22"/>
  <c r="AM95" i="22"/>
  <c r="AS95" i="22"/>
  <c r="AG95" i="22"/>
  <c r="AA95" i="22"/>
  <c r="X72" i="22"/>
  <c r="AJ72" i="22"/>
  <c r="AP72" i="22"/>
  <c r="AD72" i="22"/>
  <c r="X80" i="22"/>
  <c r="AP80" i="22"/>
  <c r="AD80" i="22"/>
  <c r="AJ80" i="22"/>
  <c r="AJ88" i="22"/>
  <c r="X88" i="22"/>
  <c r="AP88" i="22"/>
  <c r="AD88" i="22"/>
  <c r="AD96" i="22"/>
  <c r="AP96" i="22"/>
  <c r="AJ96" i="22"/>
  <c r="X96" i="22"/>
  <c r="T37" i="20"/>
  <c r="AQ94" i="22"/>
  <c r="AE94" i="22"/>
  <c r="Y94" i="22"/>
  <c r="AK94" i="22"/>
  <c r="AQ80" i="22"/>
  <c r="AE80" i="22"/>
  <c r="Y80" i="22"/>
  <c r="AK80" i="22"/>
  <c r="Y89" i="22"/>
  <c r="AK89" i="22"/>
  <c r="AQ89" i="22"/>
  <c r="AE89" i="22"/>
  <c r="AQ98" i="22"/>
  <c r="AE98" i="22"/>
  <c r="AK98" i="22"/>
  <c r="Y98" i="22"/>
  <c r="AL77" i="22"/>
  <c r="Z77" i="22"/>
  <c r="AR77" i="22"/>
  <c r="AF77" i="22"/>
  <c r="AL85" i="22"/>
  <c r="Z85" i="22"/>
  <c r="AR85" i="22"/>
  <c r="AF85" i="22"/>
  <c r="AF98" i="22"/>
  <c r="AR98" i="22"/>
  <c r="AL98" i="22"/>
  <c r="Z98" i="22"/>
  <c r="AS72" i="22"/>
  <c r="AG72" i="22"/>
  <c r="AA72" i="22"/>
  <c r="AM72" i="22"/>
  <c r="AS80" i="22"/>
  <c r="AG80" i="22"/>
  <c r="AA80" i="22"/>
  <c r="AM80" i="22"/>
  <c r="AS88" i="22"/>
  <c r="AG88" i="22"/>
  <c r="AA88" i="22"/>
  <c r="AM88" i="22"/>
  <c r="AG96" i="22"/>
  <c r="AA96" i="22"/>
  <c r="AS96" i="22"/>
  <c r="AM96" i="22"/>
  <c r="X73" i="22"/>
  <c r="AD73" i="22"/>
  <c r="AJ73" i="22"/>
  <c r="AP73" i="22"/>
  <c r="X81" i="22"/>
  <c r="AJ81" i="22"/>
  <c r="AP81" i="22"/>
  <c r="AD81" i="22"/>
  <c r="AP89" i="22"/>
  <c r="X89" i="22"/>
  <c r="AD89" i="22"/>
  <c r="AJ89" i="22"/>
  <c r="AQ70" i="22"/>
  <c r="AE70" i="22"/>
  <c r="Y70" i="22"/>
  <c r="AK70" i="22"/>
  <c r="Y81" i="22"/>
  <c r="AK81" i="22"/>
  <c r="AQ81" i="22"/>
  <c r="AE81" i="22"/>
  <c r="AQ90" i="22"/>
  <c r="AE90" i="22"/>
  <c r="AK90" i="22"/>
  <c r="Y90" i="22"/>
  <c r="AR70" i="22"/>
  <c r="AF70" i="22"/>
  <c r="Z70" i="22"/>
  <c r="AL70" i="22"/>
  <c r="AR78" i="22"/>
  <c r="AF78" i="22"/>
  <c r="Z78" i="22"/>
  <c r="AL78" i="22"/>
  <c r="AR86" i="22"/>
  <c r="AF86" i="22"/>
  <c r="Z86" i="22"/>
  <c r="AL86" i="22"/>
  <c r="AL87" i="22"/>
  <c r="AR87" i="22"/>
  <c r="AF87" i="22"/>
  <c r="Z87" i="22"/>
  <c r="AM73" i="22"/>
  <c r="AA73" i="22"/>
  <c r="AS73" i="22"/>
  <c r="AG73" i="22"/>
  <c r="AM81" i="22"/>
  <c r="AS81" i="22"/>
  <c r="AG81" i="22"/>
  <c r="AA81" i="22"/>
  <c r="AM89" i="22"/>
  <c r="AS89" i="22"/>
  <c r="AG89" i="22"/>
  <c r="AA89" i="22"/>
  <c r="AM97" i="22"/>
  <c r="AA97" i="22"/>
  <c r="AS97" i="22"/>
  <c r="AG97" i="22"/>
  <c r="AJ74" i="22"/>
  <c r="AP74" i="22"/>
  <c r="AD74" i="22"/>
  <c r="X74" i="22"/>
  <c r="AP82" i="22"/>
  <c r="AD82" i="22"/>
  <c r="X82" i="22"/>
  <c r="AJ82" i="22"/>
  <c r="AP90" i="22"/>
  <c r="AD90" i="22"/>
  <c r="X90" i="22"/>
  <c r="AJ90" i="22"/>
  <c r="T38" i="20"/>
  <c r="AP98" i="22"/>
  <c r="AD98" i="22"/>
  <c r="X98" i="22"/>
  <c r="AJ98" i="22"/>
  <c r="Y73" i="22"/>
  <c r="AK73" i="22"/>
  <c r="AQ73" i="22"/>
  <c r="AE73" i="22"/>
  <c r="AQ82" i="22"/>
  <c r="AE82" i="22"/>
  <c r="AK82" i="22"/>
  <c r="Y82" i="22"/>
  <c r="AK91" i="22"/>
  <c r="Y91" i="22"/>
  <c r="AQ91" i="22"/>
  <c r="AE91" i="22"/>
  <c r="AL71" i="22"/>
  <c r="AR71" i="22"/>
  <c r="AF71" i="22"/>
  <c r="Z71" i="22"/>
  <c r="AL79" i="22"/>
  <c r="AR79" i="22"/>
  <c r="AF79" i="22"/>
  <c r="Z79" i="22"/>
  <c r="AR92" i="22"/>
  <c r="AF92" i="22"/>
  <c r="Z92" i="22"/>
  <c r="AL92" i="22"/>
  <c r="AR88" i="22"/>
  <c r="AF88" i="22"/>
  <c r="Z88" i="22"/>
  <c r="AL88" i="22"/>
  <c r="AS74" i="22"/>
  <c r="AG74" i="22"/>
  <c r="AM74" i="22"/>
  <c r="AA74" i="22"/>
  <c r="AS82" i="22"/>
  <c r="AG82" i="22"/>
  <c r="AM82" i="22"/>
  <c r="AA82" i="22"/>
  <c r="AS90" i="22"/>
  <c r="AG90" i="22"/>
  <c r="AM90" i="22"/>
  <c r="AA90" i="22"/>
  <c r="AS98" i="22"/>
  <c r="AG98" i="22"/>
  <c r="AM98" i="22"/>
  <c r="AA98" i="22"/>
  <c r="AP75" i="22"/>
  <c r="AJ75" i="22"/>
  <c r="X75" i="22"/>
  <c r="AD75" i="22"/>
  <c r="AD83" i="22"/>
  <c r="AJ83" i="22"/>
  <c r="AP83" i="22"/>
  <c r="X83" i="22"/>
  <c r="AJ91" i="22"/>
  <c r="AD91" i="22"/>
  <c r="X91" i="22"/>
  <c r="AP91" i="22"/>
  <c r="X70" i="22"/>
  <c r="AP70" i="22"/>
  <c r="AD70" i="22"/>
  <c r="AJ70" i="22"/>
  <c r="AQ74" i="22"/>
  <c r="AE74" i="22"/>
  <c r="AK74" i="22"/>
  <c r="Y74" i="22"/>
  <c r="AK83" i="22"/>
  <c r="Y83" i="22"/>
  <c r="AQ83" i="22"/>
  <c r="AE83" i="22"/>
  <c r="Y92" i="22"/>
  <c r="AQ92" i="22"/>
  <c r="AE92" i="22"/>
  <c r="AK92" i="22"/>
  <c r="AR72" i="22"/>
  <c r="AF72" i="22"/>
  <c r="Z72" i="22"/>
  <c r="AL72" i="22"/>
  <c r="AR80" i="22"/>
  <c r="AF80" i="22"/>
  <c r="Z80" i="22"/>
  <c r="AL80" i="22"/>
  <c r="AL93" i="22"/>
  <c r="Z93" i="22"/>
  <c r="AR93" i="22"/>
  <c r="AF93" i="22"/>
  <c r="Z89" i="22"/>
  <c r="AL89" i="22"/>
  <c r="AR89" i="22"/>
  <c r="AF89" i="22"/>
  <c r="AM75" i="22"/>
  <c r="AA75" i="22"/>
  <c r="AS75" i="22"/>
  <c r="AG75" i="22"/>
  <c r="AM83" i="22"/>
  <c r="AA83" i="22"/>
  <c r="AS83" i="22"/>
  <c r="AG83" i="22"/>
  <c r="AM91" i="22"/>
  <c r="AA91" i="22"/>
  <c r="AS91" i="22"/>
  <c r="AG91" i="22"/>
  <c r="AB15" i="19"/>
  <c r="T12" i="20"/>
  <c r="AC27" i="19"/>
  <c r="U24" i="20"/>
  <c r="AB24" i="19"/>
  <c r="T21" i="20"/>
  <c r="AB40" i="19"/>
  <c r="AC19" i="19"/>
  <c r="U16" i="20"/>
  <c r="AD17" i="19"/>
  <c r="V14" i="20"/>
  <c r="AE20" i="19"/>
  <c r="W17" i="20"/>
  <c r="AE36" i="19"/>
  <c r="W33" i="20"/>
  <c r="AB17" i="19"/>
  <c r="T14" i="20"/>
  <c r="AB25" i="19"/>
  <c r="T22" i="20"/>
  <c r="AB33" i="19"/>
  <c r="T30" i="20"/>
  <c r="AB41" i="19"/>
  <c r="AC16" i="19"/>
  <c r="U13" i="20"/>
  <c r="AC20" i="19"/>
  <c r="U17" i="20"/>
  <c r="AC29" i="19"/>
  <c r="U26" i="20"/>
  <c r="AC39" i="19"/>
  <c r="U36" i="20"/>
  <c r="AD18" i="19"/>
  <c r="V15" i="20"/>
  <c r="AD26" i="19"/>
  <c r="V23" i="20"/>
  <c r="AD39" i="19"/>
  <c r="V36" i="20"/>
  <c r="AD35" i="19"/>
  <c r="V32" i="20"/>
  <c r="AE21" i="19"/>
  <c r="W18" i="20"/>
  <c r="AE29" i="19"/>
  <c r="W26" i="20"/>
  <c r="AE37" i="19"/>
  <c r="W34" i="20"/>
  <c r="AB23" i="19"/>
  <c r="T20" i="20"/>
  <c r="AC36" i="19"/>
  <c r="U33" i="20"/>
  <c r="AE27" i="19"/>
  <c r="W24" i="20"/>
  <c r="AB16" i="19"/>
  <c r="T13" i="20"/>
  <c r="AC37" i="19"/>
  <c r="U34" i="20"/>
  <c r="AD38" i="19"/>
  <c r="V35" i="20"/>
  <c r="AE28" i="19"/>
  <c r="W25" i="20"/>
  <c r="O50" i="18"/>
  <c r="AB18" i="19"/>
  <c r="T15" i="20"/>
  <c r="AB26" i="19"/>
  <c r="T23" i="20"/>
  <c r="AB34" i="19"/>
  <c r="T31" i="20"/>
  <c r="AC22" i="19"/>
  <c r="U19" i="20"/>
  <c r="AC21" i="19"/>
  <c r="U18" i="20"/>
  <c r="AC31" i="19"/>
  <c r="U28" i="20"/>
  <c r="AC40" i="19"/>
  <c r="U37" i="20"/>
  <c r="AD19" i="19"/>
  <c r="V16" i="20"/>
  <c r="AD27" i="19"/>
  <c r="V24" i="20"/>
  <c r="AD40" i="19"/>
  <c r="V37" i="20"/>
  <c r="AE14" i="19"/>
  <c r="G12" i="20" s="1"/>
  <c r="AE12" i="20" s="1"/>
  <c r="W11" i="20"/>
  <c r="AE22" i="19"/>
  <c r="W19" i="20"/>
  <c r="AE30" i="19"/>
  <c r="W27" i="20"/>
  <c r="AE38" i="19"/>
  <c r="W35" i="20"/>
  <c r="AB39" i="19"/>
  <c r="T36" i="20"/>
  <c r="AC18" i="19"/>
  <c r="U15" i="20"/>
  <c r="AD24" i="19"/>
  <c r="V21" i="20"/>
  <c r="AD33" i="19"/>
  <c r="V30" i="20"/>
  <c r="AE35" i="19"/>
  <c r="W32" i="20"/>
  <c r="AC28" i="19"/>
  <c r="U25" i="20"/>
  <c r="AD34" i="19"/>
  <c r="V31" i="20"/>
  <c r="I51" i="18"/>
  <c r="O51" i="18"/>
  <c r="AB19" i="19"/>
  <c r="T16" i="20"/>
  <c r="AB27" i="19"/>
  <c r="T24" i="20"/>
  <c r="AB35" i="19"/>
  <c r="T32" i="20"/>
  <c r="AC30" i="19"/>
  <c r="U27" i="20"/>
  <c r="AC23" i="19"/>
  <c r="U20" i="20"/>
  <c r="AC32" i="19"/>
  <c r="U29" i="20"/>
  <c r="AC41" i="19"/>
  <c r="U38" i="20"/>
  <c r="AD20" i="19"/>
  <c r="V17" i="20"/>
  <c r="AD28" i="19"/>
  <c r="V25" i="20"/>
  <c r="AD41" i="19"/>
  <c r="V38" i="20"/>
  <c r="AE15" i="19"/>
  <c r="W12" i="20"/>
  <c r="AE23" i="19"/>
  <c r="W20" i="20"/>
  <c r="AE31" i="19"/>
  <c r="W28" i="20"/>
  <c r="AE39" i="19"/>
  <c r="W36" i="20"/>
  <c r="AD37" i="19"/>
  <c r="V34" i="20"/>
  <c r="AB32" i="19"/>
  <c r="T29" i="20"/>
  <c r="AC15" i="19"/>
  <c r="U12" i="20"/>
  <c r="AD25" i="19"/>
  <c r="V22" i="20"/>
  <c r="AB20" i="19"/>
  <c r="T17" i="20"/>
  <c r="AB28" i="19"/>
  <c r="T25" i="20"/>
  <c r="AB36" i="19"/>
  <c r="T33" i="20"/>
  <c r="AC38" i="19"/>
  <c r="U35" i="20"/>
  <c r="AC24" i="19"/>
  <c r="U21" i="20"/>
  <c r="AC33" i="19"/>
  <c r="U30" i="20"/>
  <c r="AC42" i="19"/>
  <c r="AD21" i="19"/>
  <c r="V18" i="20"/>
  <c r="AD29" i="19"/>
  <c r="V26" i="20"/>
  <c r="AD42" i="19"/>
  <c r="AE16" i="19"/>
  <c r="W13" i="20"/>
  <c r="AE24" i="19"/>
  <c r="W21" i="20"/>
  <c r="AE32" i="19"/>
  <c r="W29" i="20"/>
  <c r="AE40" i="19"/>
  <c r="W37" i="20"/>
  <c r="AB21" i="19"/>
  <c r="T18" i="20"/>
  <c r="AB29" i="19"/>
  <c r="T26" i="20"/>
  <c r="AB37" i="19"/>
  <c r="T34" i="20"/>
  <c r="AC14" i="19"/>
  <c r="E12" i="20" s="1"/>
  <c r="AC12" i="20" s="1"/>
  <c r="U11" i="20"/>
  <c r="AC25" i="19"/>
  <c r="U22" i="20"/>
  <c r="AC34" i="19"/>
  <c r="U31" i="20"/>
  <c r="AD14" i="19"/>
  <c r="F12" i="20" s="1"/>
  <c r="AD12" i="20" s="1"/>
  <c r="V11" i="20"/>
  <c r="AD22" i="19"/>
  <c r="V19" i="20"/>
  <c r="AD30" i="19"/>
  <c r="V27" i="20"/>
  <c r="AD31" i="19"/>
  <c r="V28" i="20"/>
  <c r="AE17" i="19"/>
  <c r="W14" i="20"/>
  <c r="AE25" i="19"/>
  <c r="W22" i="20"/>
  <c r="AE33" i="19"/>
  <c r="W30" i="20"/>
  <c r="AE41" i="19"/>
  <c r="W38" i="20"/>
  <c r="I50" i="18"/>
  <c r="AB31" i="19"/>
  <c r="T28" i="20"/>
  <c r="AB14" i="19"/>
  <c r="D12" i="20" s="1"/>
  <c r="AB12" i="20" s="1"/>
  <c r="T11" i="20"/>
  <c r="AD16" i="19"/>
  <c r="V13" i="20"/>
  <c r="AE19" i="19"/>
  <c r="W16" i="20"/>
  <c r="AB22" i="19"/>
  <c r="T19" i="20"/>
  <c r="AB30" i="19"/>
  <c r="T27" i="20"/>
  <c r="AB38" i="19"/>
  <c r="T35" i="20"/>
  <c r="AC17" i="19"/>
  <c r="U14" i="20"/>
  <c r="AC26" i="19"/>
  <c r="U23" i="20"/>
  <c r="AC35" i="19"/>
  <c r="U32" i="20"/>
  <c r="AD15" i="19"/>
  <c r="V12" i="20"/>
  <c r="AD23" i="19"/>
  <c r="V20" i="20"/>
  <c r="AD36" i="19"/>
  <c r="V33" i="20"/>
  <c r="AD32" i="19"/>
  <c r="V29" i="20"/>
  <c r="AE18" i="19"/>
  <c r="W15" i="20"/>
  <c r="AE26" i="19"/>
  <c r="W23" i="20"/>
  <c r="AE34" i="19"/>
  <c r="W31" i="20"/>
  <c r="AE42" i="19"/>
  <c r="L49" i="18"/>
  <c r="L50" i="18"/>
  <c r="L51" i="18"/>
  <c r="L48" i="18"/>
  <c r="L52" i="18"/>
  <c r="L53" i="18"/>
  <c r="L54" i="18"/>
  <c r="L55" i="18"/>
  <c r="L56" i="18"/>
  <c r="L57" i="18"/>
  <c r="L58" i="18"/>
  <c r="L59" i="18"/>
  <c r="L60" i="18"/>
  <c r="L61" i="18"/>
  <c r="L62" i="18"/>
  <c r="L63" i="18"/>
  <c r="L64" i="18"/>
  <c r="L65" i="18"/>
  <c r="L66" i="18"/>
  <c r="K69" i="18"/>
  <c r="K70" i="18"/>
  <c r="K68" i="18"/>
  <c r="K67" i="18"/>
  <c r="Q41" i="22" l="1"/>
  <c r="J36" i="22"/>
  <c r="J60" i="22"/>
  <c r="R44" i="22"/>
  <c r="AB46" i="18"/>
  <c r="AO45" i="18"/>
  <c r="AQ45" i="18" s="1"/>
  <c r="D59" i="22"/>
  <c r="C59" i="22"/>
  <c r="AF12" i="20"/>
  <c r="E59" i="22"/>
  <c r="AC47" i="18"/>
  <c r="AP47" i="18" s="1"/>
  <c r="AP46" i="18"/>
  <c r="F59" i="22"/>
  <c r="AE121" i="22"/>
  <c r="AE119" i="22"/>
  <c r="AE117" i="22"/>
  <c r="AE115" i="22"/>
  <c r="AE113" i="22"/>
  <c r="AE111" i="22"/>
  <c r="AE109" i="22"/>
  <c r="AE107" i="22"/>
  <c r="AE102" i="22"/>
  <c r="AE120" i="22"/>
  <c r="AE110" i="22"/>
  <c r="AE118" i="22"/>
  <c r="AE112" i="22"/>
  <c r="AE105" i="22"/>
  <c r="AE104" i="22"/>
  <c r="AE101" i="22"/>
  <c r="AE99" i="22"/>
  <c r="AE114" i="22"/>
  <c r="AE106" i="22"/>
  <c r="AE116" i="22"/>
  <c r="AE108" i="22"/>
  <c r="AE103" i="22"/>
  <c r="AE100" i="22"/>
  <c r="AJ115" i="22"/>
  <c r="AJ101" i="22"/>
  <c r="AJ119" i="22"/>
  <c r="AJ111" i="22"/>
  <c r="AJ109" i="22"/>
  <c r="AJ120" i="22"/>
  <c r="AJ118" i="22"/>
  <c r="AJ116" i="22"/>
  <c r="AJ114" i="22"/>
  <c r="AJ112" i="22"/>
  <c r="AJ110" i="22"/>
  <c r="AJ108" i="22"/>
  <c r="AJ106" i="22"/>
  <c r="AJ104" i="22"/>
  <c r="AJ102" i="22"/>
  <c r="AJ100" i="22"/>
  <c r="AJ121" i="22"/>
  <c r="AJ105" i="22"/>
  <c r="AJ99" i="22"/>
  <c r="AJ117" i="22"/>
  <c r="AJ103" i="22"/>
  <c r="AJ113" i="22"/>
  <c r="AJ107" i="22"/>
  <c r="AQ121" i="22"/>
  <c r="AQ119" i="22"/>
  <c r="AQ117" i="22"/>
  <c r="AQ115" i="22"/>
  <c r="AQ113" i="22"/>
  <c r="AQ111" i="22"/>
  <c r="AQ109" i="22"/>
  <c r="AQ107" i="22"/>
  <c r="AQ105" i="22"/>
  <c r="AQ103" i="22"/>
  <c r="AQ101" i="22"/>
  <c r="AQ99" i="22"/>
  <c r="AQ120" i="22"/>
  <c r="AQ118" i="22"/>
  <c r="AQ116" i="22"/>
  <c r="AQ114" i="22"/>
  <c r="AQ112" i="22"/>
  <c r="AQ110" i="22"/>
  <c r="AQ108" i="22"/>
  <c r="AQ106" i="22"/>
  <c r="AQ104" i="22"/>
  <c r="AQ102" i="22"/>
  <c r="AQ100" i="22"/>
  <c r="AL120" i="22"/>
  <c r="AL118" i="22"/>
  <c r="AL116" i="22"/>
  <c r="AL114" i="22"/>
  <c r="AL112" i="22"/>
  <c r="AL110" i="22"/>
  <c r="AL108" i="22"/>
  <c r="AL106" i="22"/>
  <c r="AL104" i="22"/>
  <c r="AL102" i="22"/>
  <c r="AL100" i="22"/>
  <c r="AL99" i="22"/>
  <c r="AL121" i="22"/>
  <c r="AL119" i="22"/>
  <c r="AL117" i="22"/>
  <c r="AL115" i="22"/>
  <c r="AL113" i="22"/>
  <c r="AL111" i="22"/>
  <c r="AL109" i="22"/>
  <c r="AL107" i="22"/>
  <c r="AL105" i="22"/>
  <c r="AL103" i="22"/>
  <c r="AL101" i="22"/>
  <c r="AP100" i="22"/>
  <c r="AP121" i="22"/>
  <c r="AP119" i="22"/>
  <c r="AP117" i="22"/>
  <c r="AP115" i="22"/>
  <c r="AP113" i="22"/>
  <c r="AP111" i="22"/>
  <c r="AP109" i="22"/>
  <c r="AP107" i="22"/>
  <c r="AP105" i="22"/>
  <c r="AP103" i="22"/>
  <c r="AP101" i="22"/>
  <c r="AP99" i="22"/>
  <c r="AP120" i="22"/>
  <c r="AP112" i="22"/>
  <c r="AP108" i="22"/>
  <c r="AP104" i="22"/>
  <c r="AP118" i="22"/>
  <c r="AP116" i="22"/>
  <c r="AP114" i="22"/>
  <c r="AP110" i="22"/>
  <c r="AP106" i="22"/>
  <c r="AP102" i="22"/>
  <c r="Z116" i="22"/>
  <c r="Z108" i="22"/>
  <c r="Z121" i="22"/>
  <c r="Z105" i="22"/>
  <c r="Z99" i="22"/>
  <c r="Z113" i="22"/>
  <c r="Z102" i="22"/>
  <c r="Z120" i="22"/>
  <c r="Z112" i="22"/>
  <c r="Z104" i="22"/>
  <c r="Z118" i="22"/>
  <c r="Z110" i="22"/>
  <c r="Z115" i="22"/>
  <c r="Z107" i="22"/>
  <c r="Z101" i="22"/>
  <c r="Z119" i="22"/>
  <c r="Z117" i="22"/>
  <c r="Z109" i="22"/>
  <c r="Z100" i="22"/>
  <c r="Z114" i="22"/>
  <c r="Z103" i="22"/>
  <c r="Z106" i="22"/>
  <c r="Z111" i="22"/>
  <c r="AM120" i="22"/>
  <c r="AM118" i="22"/>
  <c r="AM116" i="22"/>
  <c r="AM114" i="22"/>
  <c r="AM112" i="22"/>
  <c r="AM110" i="22"/>
  <c r="AM108" i="22"/>
  <c r="AM106" i="22"/>
  <c r="AM104" i="22"/>
  <c r="AM102" i="22"/>
  <c r="AM100" i="22"/>
  <c r="AM117" i="22"/>
  <c r="AM103" i="22"/>
  <c r="AM115" i="22"/>
  <c r="AM109" i="22"/>
  <c r="AM101" i="22"/>
  <c r="AM99" i="22"/>
  <c r="AM119" i="22"/>
  <c r="AM113" i="22"/>
  <c r="AM107" i="22"/>
  <c r="AM121" i="22"/>
  <c r="AM111" i="22"/>
  <c r="AM105" i="22"/>
  <c r="X115" i="22"/>
  <c r="X107" i="22"/>
  <c r="X99" i="22"/>
  <c r="X106" i="22"/>
  <c r="X111" i="22"/>
  <c r="X114" i="22"/>
  <c r="X103" i="22"/>
  <c r="X116" i="22"/>
  <c r="X121" i="22"/>
  <c r="X113" i="22"/>
  <c r="X105" i="22"/>
  <c r="X100" i="22"/>
  <c r="X120" i="22"/>
  <c r="X112" i="22"/>
  <c r="X104" i="22"/>
  <c r="X119" i="22"/>
  <c r="X118" i="22"/>
  <c r="X110" i="22"/>
  <c r="X102" i="22"/>
  <c r="X117" i="22"/>
  <c r="X109" i="22"/>
  <c r="X101" i="22"/>
  <c r="X108" i="22"/>
  <c r="AF113" i="22"/>
  <c r="AF101" i="22"/>
  <c r="AF104" i="22"/>
  <c r="AF99" i="22"/>
  <c r="AF103" i="22"/>
  <c r="AF121" i="22"/>
  <c r="AF120" i="22"/>
  <c r="AF118" i="22"/>
  <c r="AF116" i="22"/>
  <c r="AF114" i="22"/>
  <c r="AF112" i="22"/>
  <c r="AF110" i="22"/>
  <c r="AF108" i="22"/>
  <c r="AF106" i="22"/>
  <c r="AF117" i="22"/>
  <c r="AF109" i="22"/>
  <c r="AF100" i="22"/>
  <c r="AF105" i="22"/>
  <c r="AF115" i="22"/>
  <c r="AF107" i="22"/>
  <c r="AF119" i="22"/>
  <c r="AF111" i="22"/>
  <c r="AF102" i="22"/>
  <c r="AA121" i="22"/>
  <c r="AA113" i="22"/>
  <c r="AA105" i="22"/>
  <c r="AA102" i="22"/>
  <c r="AA110" i="22"/>
  <c r="AA117" i="22"/>
  <c r="AA118" i="22"/>
  <c r="AA115" i="22"/>
  <c r="AA107" i="22"/>
  <c r="AA101" i="22"/>
  <c r="AA100" i="22"/>
  <c r="AA108" i="22"/>
  <c r="AA120" i="22"/>
  <c r="AA112" i="22"/>
  <c r="AA104" i="22"/>
  <c r="AA109" i="22"/>
  <c r="AA114" i="22"/>
  <c r="AA106" i="22"/>
  <c r="AA119" i="22"/>
  <c r="AA103" i="22"/>
  <c r="AA116" i="22"/>
  <c r="AA111" i="22"/>
  <c r="AA99" i="22"/>
  <c r="AD105" i="22"/>
  <c r="AD121" i="22"/>
  <c r="AD119" i="22"/>
  <c r="AD117" i="22"/>
  <c r="AD115" i="22"/>
  <c r="AD113" i="22"/>
  <c r="AD111" i="22"/>
  <c r="AD109" i="22"/>
  <c r="AD107" i="22"/>
  <c r="AD102" i="22"/>
  <c r="AD100" i="22"/>
  <c r="AD104" i="22"/>
  <c r="AD101" i="22"/>
  <c r="AD99" i="22"/>
  <c r="AD120" i="22"/>
  <c r="AD118" i="22"/>
  <c r="AD116" i="22"/>
  <c r="AD114" i="22"/>
  <c r="AD112" i="22"/>
  <c r="AD110" i="22"/>
  <c r="AD108" i="22"/>
  <c r="AD106" i="22"/>
  <c r="AD103" i="22"/>
  <c r="AR121" i="22"/>
  <c r="AR119" i="22"/>
  <c r="AR117" i="22"/>
  <c r="AR115" i="22"/>
  <c r="AR113" i="22"/>
  <c r="AR111" i="22"/>
  <c r="AR109" i="22"/>
  <c r="AR107" i="22"/>
  <c r="AR105" i="22"/>
  <c r="AR103" i="22"/>
  <c r="AR101" i="22"/>
  <c r="AR99" i="22"/>
  <c r="AR120" i="22"/>
  <c r="AR118" i="22"/>
  <c r="AR116" i="22"/>
  <c r="AR114" i="22"/>
  <c r="AR112" i="22"/>
  <c r="AR110" i="22"/>
  <c r="AR108" i="22"/>
  <c r="AR106" i="22"/>
  <c r="AR104" i="22"/>
  <c r="AR102" i="22"/>
  <c r="AR100" i="22"/>
  <c r="AG101" i="22"/>
  <c r="AG99" i="22"/>
  <c r="AG102" i="22"/>
  <c r="AG120" i="22"/>
  <c r="AG118" i="22"/>
  <c r="AG116" i="22"/>
  <c r="AG114" i="22"/>
  <c r="AG112" i="22"/>
  <c r="AG110" i="22"/>
  <c r="AG108" i="22"/>
  <c r="AG106" i="22"/>
  <c r="AG100" i="22"/>
  <c r="AG105" i="22"/>
  <c r="AG104" i="22"/>
  <c r="AG119" i="22"/>
  <c r="AG113" i="22"/>
  <c r="AG109" i="22"/>
  <c r="AG103" i="22"/>
  <c r="AG121" i="22"/>
  <c r="AG117" i="22"/>
  <c r="AG115" i="22"/>
  <c r="AG111" i="22"/>
  <c r="AG107" i="22"/>
  <c r="Y119" i="22"/>
  <c r="Y111" i="22"/>
  <c r="Y99" i="22"/>
  <c r="Y116" i="22"/>
  <c r="Y107" i="22"/>
  <c r="Y100" i="22"/>
  <c r="Y108" i="22"/>
  <c r="Y114" i="22"/>
  <c r="Y121" i="22"/>
  <c r="Y113" i="22"/>
  <c r="Y105" i="22"/>
  <c r="Y115" i="22"/>
  <c r="Y118" i="22"/>
  <c r="Y110" i="22"/>
  <c r="Y103" i="22"/>
  <c r="Y106" i="22"/>
  <c r="Y102" i="22"/>
  <c r="Y120" i="22"/>
  <c r="Y112" i="22"/>
  <c r="Y104" i="22"/>
  <c r="Y109" i="22"/>
  <c r="Y101" i="22"/>
  <c r="Y117" i="22"/>
  <c r="AK120" i="22"/>
  <c r="AK118" i="22"/>
  <c r="AK116" i="22"/>
  <c r="AK114" i="22"/>
  <c r="AK112" i="22"/>
  <c r="AK110" i="22"/>
  <c r="AK108" i="22"/>
  <c r="AK106" i="22"/>
  <c r="AK104" i="22"/>
  <c r="AK102" i="22"/>
  <c r="AK100" i="22"/>
  <c r="AK99" i="22"/>
  <c r="AK121" i="22"/>
  <c r="AK119" i="22"/>
  <c r="AK117" i="22"/>
  <c r="AK115" i="22"/>
  <c r="AK113" i="22"/>
  <c r="AK111" i="22"/>
  <c r="AK109" i="22"/>
  <c r="AK107" i="22"/>
  <c r="AK105" i="22"/>
  <c r="AK103" i="22"/>
  <c r="AK101" i="22"/>
  <c r="AS121" i="22"/>
  <c r="AS119" i="22"/>
  <c r="AS117" i="22"/>
  <c r="AS115" i="22"/>
  <c r="AS113" i="22"/>
  <c r="AS111" i="22"/>
  <c r="AS109" i="22"/>
  <c r="AS107" i="22"/>
  <c r="AS105" i="22"/>
  <c r="AS103" i="22"/>
  <c r="AS101" i="22"/>
  <c r="AS99" i="22"/>
  <c r="AS100" i="22"/>
  <c r="AS118" i="22"/>
  <c r="AS116" i="22"/>
  <c r="AS110" i="22"/>
  <c r="AS106" i="22"/>
  <c r="AS102" i="22"/>
  <c r="AS120" i="22"/>
  <c r="AS114" i="22"/>
  <c r="AS112" i="22"/>
  <c r="AS108" i="22"/>
  <c r="AS104" i="22"/>
  <c r="L11" i="20"/>
  <c r="D13" i="20"/>
  <c r="AB13" i="20" s="1"/>
  <c r="F13" i="20"/>
  <c r="AD13" i="20" s="1"/>
  <c r="N11" i="20"/>
  <c r="M11" i="20"/>
  <c r="E13" i="20"/>
  <c r="AC13" i="20" s="1"/>
  <c r="O11" i="20"/>
  <c r="G13" i="20"/>
  <c r="AE13" i="20" s="1"/>
  <c r="L68" i="18"/>
  <c r="L69" i="18"/>
  <c r="L70" i="18"/>
  <c r="L67" i="18"/>
  <c r="F48" i="18"/>
  <c r="E64" i="18"/>
  <c r="E69" i="18"/>
  <c r="E57" i="18"/>
  <c r="E65" i="18"/>
  <c r="E55" i="18"/>
  <c r="E52" i="18"/>
  <c r="E51" i="18"/>
  <c r="E49" i="18"/>
  <c r="E60" i="18"/>
  <c r="E58" i="18"/>
  <c r="E62" i="18"/>
  <c r="E50" i="18"/>
  <c r="E54" i="18"/>
  <c r="E67" i="18"/>
  <c r="E66" i="18"/>
  <c r="E63" i="18"/>
  <c r="J52" i="22" l="1"/>
  <c r="J55" i="22"/>
  <c r="J56" i="22"/>
  <c r="J43" i="22"/>
  <c r="J39" i="22"/>
  <c r="J51" i="22"/>
  <c r="J47" i="22"/>
  <c r="J49" i="22"/>
  <c r="J38" i="22"/>
  <c r="J40" i="22"/>
  <c r="J41" i="22"/>
  <c r="J44" i="22"/>
  <c r="J54" i="22"/>
  <c r="J46" i="22"/>
  <c r="J58" i="22"/>
  <c r="J53" i="22"/>
  <c r="E70" i="18"/>
  <c r="E56" i="18"/>
  <c r="E53" i="18"/>
  <c r="E59" i="18"/>
  <c r="E68" i="18"/>
  <c r="E61" i="18"/>
  <c r="J50" i="22" l="1"/>
  <c r="J57" i="22"/>
  <c r="J48" i="22"/>
  <c r="J42" i="22"/>
  <c r="J45" i="22"/>
  <c r="J59" i="22"/>
  <c r="R59" i="22"/>
  <c r="Q59" i="22"/>
  <c r="T59" i="22"/>
  <c r="S59" i="22"/>
  <c r="AF13" i="20"/>
  <c r="AB47" i="18"/>
  <c r="AO47" i="18" s="1"/>
  <c r="AQ47" i="18" s="1"/>
  <c r="AO46" i="18"/>
  <c r="AQ46" i="18" s="1"/>
  <c r="F14" i="20"/>
  <c r="AD14" i="20" s="1"/>
  <c r="N12" i="20"/>
  <c r="M12" i="20"/>
  <c r="E14" i="20"/>
  <c r="AC14" i="20" s="1"/>
  <c r="D14" i="20"/>
  <c r="AB14" i="20" s="1"/>
  <c r="AF14" i="20" s="1"/>
  <c r="L12" i="20"/>
  <c r="O12" i="20"/>
  <c r="G14" i="20"/>
  <c r="AE14" i="20" s="1"/>
  <c r="F70" i="18"/>
  <c r="F56" i="18"/>
  <c r="F49" i="18"/>
  <c r="F50" i="18"/>
  <c r="F53" i="18"/>
  <c r="F68" i="18"/>
  <c r="F55" i="18"/>
  <c r="F62" i="18"/>
  <c r="F65" i="18"/>
  <c r="F51" i="18"/>
  <c r="F61" i="18"/>
  <c r="F57" i="18"/>
  <c r="F54" i="18"/>
  <c r="F63" i="18"/>
  <c r="F67" i="18"/>
  <c r="F69" i="18"/>
  <c r="F60" i="18"/>
  <c r="F64" i="18"/>
  <c r="F52" i="18"/>
  <c r="F58" i="18"/>
  <c r="F66" i="18"/>
  <c r="F59" i="18"/>
  <c r="E15" i="20" l="1"/>
  <c r="AC15" i="20" s="1"/>
  <c r="M13" i="20"/>
  <c r="F15" i="20"/>
  <c r="AD15" i="20" s="1"/>
  <c r="N13" i="20"/>
  <c r="O13" i="20"/>
  <c r="G15" i="20"/>
  <c r="AE15" i="20" s="1"/>
  <c r="D15" i="20"/>
  <c r="AB15" i="20" s="1"/>
  <c r="AF15" i="20" s="1"/>
  <c r="L13" i="20"/>
  <c r="O14" i="20" l="1"/>
  <c r="G16" i="20"/>
  <c r="AE16" i="20" s="1"/>
  <c r="D16" i="20"/>
  <c r="AB16" i="20" s="1"/>
  <c r="L14" i="20"/>
  <c r="F16" i="20"/>
  <c r="AD16" i="20" s="1"/>
  <c r="N14" i="20"/>
  <c r="M14" i="20"/>
  <c r="E16" i="20"/>
  <c r="AC16" i="20" s="1"/>
  <c r="AF16" i="20" l="1"/>
  <c r="F17" i="20"/>
  <c r="AD17" i="20" s="1"/>
  <c r="N15" i="20"/>
  <c r="M15" i="20"/>
  <c r="E17" i="20"/>
  <c r="AC17" i="20" s="1"/>
  <c r="L15" i="20"/>
  <c r="D17" i="20"/>
  <c r="AB17" i="20" s="1"/>
  <c r="O15" i="20"/>
  <c r="G17" i="20"/>
  <c r="AE17" i="20" s="1"/>
  <c r="AF17" i="20" l="1"/>
  <c r="L16" i="20"/>
  <c r="D18" i="20"/>
  <c r="AB18" i="20" s="1"/>
  <c r="O16" i="20"/>
  <c r="G18" i="20"/>
  <c r="AE18" i="20" s="1"/>
  <c r="M16" i="20"/>
  <c r="E18" i="20"/>
  <c r="AC18" i="20" s="1"/>
  <c r="F18" i="20"/>
  <c r="AD18" i="20" s="1"/>
  <c r="N16" i="20"/>
  <c r="AF18" i="20" l="1"/>
  <c r="F19" i="20"/>
  <c r="AD19" i="20" s="1"/>
  <c r="N17" i="20"/>
  <c r="M17" i="20"/>
  <c r="E19" i="20"/>
  <c r="AC19" i="20" s="1"/>
  <c r="O17" i="20"/>
  <c r="G19" i="20"/>
  <c r="AE19" i="20" s="1"/>
  <c r="L17" i="20"/>
  <c r="D19" i="20"/>
  <c r="AB19" i="20" s="1"/>
  <c r="AF19" i="20" l="1"/>
  <c r="L18" i="20"/>
  <c r="D20" i="20"/>
  <c r="AB20" i="20" s="1"/>
  <c r="O18" i="20"/>
  <c r="G20" i="20"/>
  <c r="AE20" i="20" s="1"/>
  <c r="M18" i="20"/>
  <c r="E20" i="20"/>
  <c r="AC20" i="20" s="1"/>
  <c r="N18" i="20"/>
  <c r="F20" i="20"/>
  <c r="AD20" i="20" s="1"/>
  <c r="AF20" i="20" l="1"/>
  <c r="N19" i="20"/>
  <c r="F21" i="20"/>
  <c r="AD21" i="20" s="1"/>
  <c r="M19" i="20"/>
  <c r="E21" i="20"/>
  <c r="AC21" i="20" s="1"/>
  <c r="O19" i="20"/>
  <c r="G21" i="20"/>
  <c r="AE21" i="20" s="1"/>
  <c r="L19" i="20"/>
  <c r="D21" i="20"/>
  <c r="AB21" i="20" s="1"/>
  <c r="AF21" i="20" l="1"/>
  <c r="L20" i="20"/>
  <c r="D22" i="20"/>
  <c r="AB22" i="20" s="1"/>
  <c r="O20" i="20"/>
  <c r="G22" i="20"/>
  <c r="AE22" i="20" s="1"/>
  <c r="M20" i="20"/>
  <c r="E22" i="20"/>
  <c r="AC22" i="20" s="1"/>
  <c r="N20" i="20"/>
  <c r="F22" i="20"/>
  <c r="AD22" i="20" s="1"/>
  <c r="AF22" i="20" l="1"/>
  <c r="M21" i="20"/>
  <c r="E23" i="20"/>
  <c r="AC23" i="20" s="1"/>
  <c r="N21" i="20"/>
  <c r="F23" i="20"/>
  <c r="AD23" i="20" s="1"/>
  <c r="O21" i="20"/>
  <c r="G23" i="20"/>
  <c r="AE23" i="20" s="1"/>
  <c r="L21" i="20"/>
  <c r="D23" i="20"/>
  <c r="AB23" i="20" s="1"/>
  <c r="AF23" i="20" l="1"/>
  <c r="L22" i="20"/>
  <c r="D24" i="20"/>
  <c r="AB24" i="20" s="1"/>
  <c r="O22" i="20"/>
  <c r="G24" i="20"/>
  <c r="AE24" i="20" s="1"/>
  <c r="N22" i="20"/>
  <c r="F24" i="20"/>
  <c r="AD24" i="20" s="1"/>
  <c r="M22" i="20"/>
  <c r="E24" i="20"/>
  <c r="AC24" i="20" s="1"/>
  <c r="AF24" i="20" l="1"/>
  <c r="M23" i="20"/>
  <c r="E25" i="20"/>
  <c r="AC25" i="20" s="1"/>
  <c r="N23" i="20"/>
  <c r="F25" i="20"/>
  <c r="AD25" i="20" s="1"/>
  <c r="O23" i="20"/>
  <c r="G25" i="20"/>
  <c r="AE25" i="20" s="1"/>
  <c r="L23" i="20"/>
  <c r="D25" i="20"/>
  <c r="AB25" i="20" s="1"/>
  <c r="AF25" i="20" l="1"/>
  <c r="O24" i="20"/>
  <c r="G26" i="20"/>
  <c r="AE26" i="20" s="1"/>
  <c r="L24" i="20"/>
  <c r="D26" i="20"/>
  <c r="AB26" i="20" s="1"/>
  <c r="M24" i="20"/>
  <c r="E26" i="20"/>
  <c r="AC26" i="20" s="1"/>
  <c r="N24" i="20"/>
  <c r="F26" i="20"/>
  <c r="AD26" i="20" s="1"/>
  <c r="AF26" i="20" l="1"/>
  <c r="M25" i="20"/>
  <c r="E27" i="20"/>
  <c r="AC27" i="20" s="1"/>
  <c r="N25" i="20"/>
  <c r="F27" i="20"/>
  <c r="L25" i="20"/>
  <c r="D27" i="20"/>
  <c r="AB27" i="20" s="1"/>
  <c r="O25" i="20"/>
  <c r="G27" i="20"/>
  <c r="AE27" i="20" s="1"/>
  <c r="F28" i="20" l="1"/>
  <c r="AD28" i="20" s="1"/>
  <c r="AD27" i="20"/>
  <c r="AF27" i="20" s="1"/>
  <c r="L26" i="20"/>
  <c r="D28" i="20"/>
  <c r="AB28" i="20" s="1"/>
  <c r="M26" i="20"/>
  <c r="E28" i="20"/>
  <c r="AC28" i="20" s="1"/>
  <c r="O26" i="20"/>
  <c r="G28" i="20"/>
  <c r="AE28" i="20" s="1"/>
  <c r="N26" i="20"/>
  <c r="AF28" i="20" l="1"/>
  <c r="O27" i="20"/>
  <c r="G29" i="20"/>
  <c r="AE29" i="20" s="1"/>
  <c r="L27" i="20"/>
  <c r="D29" i="20"/>
  <c r="AB29" i="20" s="1"/>
  <c r="N27" i="20"/>
  <c r="F29" i="20"/>
  <c r="AD29" i="20" s="1"/>
  <c r="M27" i="20"/>
  <c r="E29" i="20"/>
  <c r="AC29" i="20" s="1"/>
  <c r="AF29" i="20" l="1"/>
  <c r="N28" i="20"/>
  <c r="F30" i="20"/>
  <c r="AD30" i="20" s="1"/>
  <c r="M28" i="20"/>
  <c r="E30" i="20"/>
  <c r="AC30" i="20" s="1"/>
  <c r="L28" i="20"/>
  <c r="D30" i="20"/>
  <c r="AB30" i="20" s="1"/>
  <c r="O28" i="20"/>
  <c r="G30" i="20"/>
  <c r="AE30" i="20" s="1"/>
  <c r="AF30" i="20" l="1"/>
  <c r="O29" i="20"/>
  <c r="G31" i="20"/>
  <c r="AE31" i="20" s="1"/>
  <c r="L29" i="20"/>
  <c r="D31" i="20"/>
  <c r="AB31" i="20" s="1"/>
  <c r="M29" i="20"/>
  <c r="E31" i="20"/>
  <c r="AC31" i="20" s="1"/>
  <c r="N29" i="20"/>
  <c r="F31" i="20"/>
  <c r="AD31" i="20" s="1"/>
  <c r="AF31" i="20" l="1"/>
  <c r="M30" i="20"/>
  <c r="E32" i="20"/>
  <c r="AC32" i="20" s="1"/>
  <c r="L30" i="20"/>
  <c r="D32" i="20"/>
  <c r="AB32" i="20" s="1"/>
  <c r="O30" i="20"/>
  <c r="G32" i="20"/>
  <c r="AE32" i="20" s="1"/>
  <c r="N30" i="20"/>
  <c r="F32" i="20"/>
  <c r="AD32" i="20" s="1"/>
  <c r="AF32" i="20" l="1"/>
  <c r="O31" i="20"/>
  <c r="G33" i="20"/>
  <c r="AE33" i="20" s="1"/>
  <c r="L31" i="20"/>
  <c r="D33" i="20"/>
  <c r="AB33" i="20" s="1"/>
  <c r="N31" i="20"/>
  <c r="F33" i="20"/>
  <c r="AD33" i="20" s="1"/>
  <c r="M31" i="20"/>
  <c r="E33" i="20"/>
  <c r="AC33" i="20" s="1"/>
  <c r="AF33" i="20" l="1"/>
  <c r="N32" i="20"/>
  <c r="F34" i="20"/>
  <c r="AD34" i="20" s="1"/>
  <c r="L32" i="20"/>
  <c r="D34" i="20"/>
  <c r="AB34" i="20" s="1"/>
  <c r="O32" i="20"/>
  <c r="G34" i="20"/>
  <c r="AE34" i="20" s="1"/>
  <c r="M32" i="20"/>
  <c r="E34" i="20"/>
  <c r="AC34" i="20" s="1"/>
  <c r="AF34" i="20" l="1"/>
  <c r="M33" i="20"/>
  <c r="E35" i="20"/>
  <c r="AC35" i="20" s="1"/>
  <c r="O33" i="20"/>
  <c r="G35" i="20"/>
  <c r="AE35" i="20" s="1"/>
  <c r="L33" i="20"/>
  <c r="D35" i="20"/>
  <c r="AB35" i="20" s="1"/>
  <c r="N33" i="20"/>
  <c r="F35" i="20"/>
  <c r="AD35" i="20" s="1"/>
  <c r="AF35" i="20" l="1"/>
  <c r="N34" i="20"/>
  <c r="F36" i="20"/>
  <c r="AD36" i="20" s="1"/>
  <c r="O34" i="20"/>
  <c r="G36" i="20"/>
  <c r="AE36" i="20" s="1"/>
  <c r="L34" i="20"/>
  <c r="D36" i="20"/>
  <c r="AB36" i="20" s="1"/>
  <c r="M34" i="20"/>
  <c r="E36" i="20"/>
  <c r="AC36" i="20" s="1"/>
  <c r="AF36" i="20" l="1"/>
  <c r="L35" i="20"/>
  <c r="D37" i="20"/>
  <c r="D38" i="20" s="1"/>
  <c r="M35" i="20"/>
  <c r="E37" i="20"/>
  <c r="O35" i="20"/>
  <c r="G37" i="20"/>
  <c r="N35" i="20"/>
  <c r="F37" i="20"/>
  <c r="G38" i="20" l="1"/>
  <c r="AE38" i="20" s="1"/>
  <c r="AE37" i="20"/>
  <c r="AB37" i="20"/>
  <c r="F38" i="20"/>
  <c r="AD37" i="20"/>
  <c r="E38" i="20"/>
  <c r="AC37" i="20"/>
  <c r="AC48" i="18"/>
  <c r="AP48" i="18" s="1"/>
  <c r="V48" i="18"/>
  <c r="M36" i="20"/>
  <c r="L36" i="20"/>
  <c r="N36" i="20"/>
  <c r="O36" i="20"/>
  <c r="AD38" i="20" l="1"/>
  <c r="AB48" i="18"/>
  <c r="AO48" i="18" s="1"/>
  <c r="AF37" i="20"/>
  <c r="U48" i="18"/>
  <c r="F39" i="20" s="1"/>
  <c r="U49" i="18" s="1"/>
  <c r="AA48" i="18"/>
  <c r="AN48" i="18" s="1"/>
  <c r="AC38" i="20"/>
  <c r="Z48" i="18"/>
  <c r="AM48" i="18" s="1"/>
  <c r="AB38" i="20"/>
  <c r="G39" i="20"/>
  <c r="N37" i="20"/>
  <c r="O37" i="20"/>
  <c r="M37" i="20"/>
  <c r="AQ48" i="18" l="1"/>
  <c r="AB49" i="18"/>
  <c r="AO49" i="18" s="1"/>
  <c r="AF38" i="20"/>
  <c r="AD39" i="20"/>
  <c r="V49" i="18"/>
  <c r="AE39" i="20"/>
  <c r="AC49" i="18"/>
  <c r="AP49" i="18" s="1"/>
  <c r="N38" i="20"/>
  <c r="O38" i="20"/>
  <c r="F40" i="20" l="1"/>
  <c r="AD40" i="20" s="1"/>
  <c r="G40" i="20"/>
  <c r="M40" i="19"/>
  <c r="W41" i="19" s="1"/>
  <c r="L37" i="20"/>
  <c r="O39" i="20" l="1"/>
  <c r="AE40" i="20"/>
  <c r="W39" i="20"/>
  <c r="AE43" i="19"/>
  <c r="V50" i="18" s="1"/>
  <c r="J40" i="19"/>
  <c r="V41" i="19" s="1"/>
  <c r="AD43" i="19" s="1"/>
  <c r="N39" i="20"/>
  <c r="AC50" i="18" l="1"/>
  <c r="AP50" i="18" s="1"/>
  <c r="U50" i="18"/>
  <c r="AB50" i="18"/>
  <c r="AO50" i="18" s="1"/>
  <c r="V39" i="20"/>
  <c r="F41" i="20" l="1"/>
  <c r="AD41" i="20" s="1"/>
  <c r="G41" i="20"/>
  <c r="J41" i="19" l="1"/>
  <c r="V42" i="19" s="1"/>
  <c r="AD44" i="19" s="1"/>
  <c r="O40" i="20"/>
  <c r="AE41" i="20"/>
  <c r="M41" i="19"/>
  <c r="W42" i="19" s="1"/>
  <c r="AE44" i="19" s="1"/>
  <c r="V51" i="18" s="1"/>
  <c r="N40" i="20"/>
  <c r="W40" i="20" l="1"/>
  <c r="AC51" i="18"/>
  <c r="AP51" i="18" s="1"/>
  <c r="U51" i="18"/>
  <c r="V40" i="20"/>
  <c r="AB51" i="18"/>
  <c r="AO51" i="18" s="1"/>
  <c r="G42" i="20" l="1"/>
  <c r="AE42" i="20" s="1"/>
  <c r="F42" i="20"/>
  <c r="AD42" i="20" s="1"/>
  <c r="M42" i="19" l="1"/>
  <c r="W43" i="19" s="1"/>
  <c r="AE45" i="19" s="1"/>
  <c r="V52" i="18" s="1"/>
  <c r="O41" i="20"/>
  <c r="J42" i="19"/>
  <c r="V43" i="19" s="1"/>
  <c r="V41" i="20" s="1"/>
  <c r="N41" i="20"/>
  <c r="W41" i="20" l="1"/>
  <c r="AC52" i="18"/>
  <c r="AP52" i="18" s="1"/>
  <c r="AD45" i="19"/>
  <c r="G43" i="20" l="1"/>
  <c r="AE43" i="20" s="1"/>
  <c r="U52" i="18"/>
  <c r="AB52" i="18"/>
  <c r="AO52" i="18" s="1"/>
  <c r="M43" i="19" l="1"/>
  <c r="W44" i="19" s="1"/>
  <c r="AE46" i="19" s="1"/>
  <c r="V53" i="18" s="1"/>
  <c r="O42" i="20"/>
  <c r="F43" i="20"/>
  <c r="AD43" i="20" s="1"/>
  <c r="W42" i="20" l="1"/>
  <c r="J43" i="19"/>
  <c r="V44" i="19" s="1"/>
  <c r="AD46" i="19" s="1"/>
  <c r="U53" i="18" s="1"/>
  <c r="N42" i="20"/>
  <c r="AC53" i="18"/>
  <c r="AP53" i="18" s="1"/>
  <c r="AB53" i="18" l="1"/>
  <c r="AO53" i="18" s="1"/>
  <c r="V42" i="20"/>
  <c r="G44" i="20"/>
  <c r="F44" i="20" l="1"/>
  <c r="AD44" i="20" s="1"/>
  <c r="O43" i="20"/>
  <c r="AE44" i="20"/>
  <c r="M44" i="19"/>
  <c r="W45" i="19" s="1"/>
  <c r="W43" i="20" s="1"/>
  <c r="N43" i="20" l="1"/>
  <c r="J44" i="19"/>
  <c r="V45" i="19" s="1"/>
  <c r="V43" i="20" s="1"/>
  <c r="AE47" i="19"/>
  <c r="V54" i="18" s="1"/>
  <c r="AC54" i="18"/>
  <c r="AP54" i="18" s="1"/>
  <c r="AD47" i="19" l="1"/>
  <c r="U54" i="18" s="1"/>
  <c r="G45" i="20"/>
  <c r="AE45" i="20" s="1"/>
  <c r="AB54" i="18" l="1"/>
  <c r="AO54" i="18" s="1"/>
  <c r="O44" i="20"/>
  <c r="M45" i="19"/>
  <c r="W46" i="19" s="1"/>
  <c r="W44" i="20" s="1"/>
  <c r="F45" i="20"/>
  <c r="AD45" i="20" s="1"/>
  <c r="AE48" i="19"/>
  <c r="V55" i="18" s="1"/>
  <c r="AC55" i="18" l="1"/>
  <c r="AP55" i="18" s="1"/>
  <c r="J45" i="19"/>
  <c r="V46" i="19" s="1"/>
  <c r="AD48" i="19" s="1"/>
  <c r="N44" i="20"/>
  <c r="G46" i="20" l="1"/>
  <c r="AB55" i="18"/>
  <c r="AO55" i="18" s="1"/>
  <c r="U55" i="18"/>
  <c r="V44" i="20"/>
  <c r="O45" i="20" l="1"/>
  <c r="AE46" i="20"/>
  <c r="M46" i="19"/>
  <c r="W47" i="19" s="1"/>
  <c r="AE49" i="19" s="1"/>
  <c r="V56" i="18" s="1"/>
  <c r="F46" i="20"/>
  <c r="N45" i="20" l="1"/>
  <c r="AD46" i="20"/>
  <c r="W45" i="20"/>
  <c r="J46" i="19"/>
  <c r="V47" i="19" s="1"/>
  <c r="AD49" i="19" s="1"/>
  <c r="U56" i="18" s="1"/>
  <c r="AC56" i="18"/>
  <c r="AP56" i="18" s="1"/>
  <c r="V45" i="20" l="1"/>
  <c r="AB56" i="18"/>
  <c r="AO56" i="18" s="1"/>
  <c r="G47" i="20"/>
  <c r="F47" i="20" l="1"/>
  <c r="AD47" i="20" s="1"/>
  <c r="M47" i="19"/>
  <c r="W48" i="19" s="1"/>
  <c r="AE50" i="19" s="1"/>
  <c r="V57" i="18" s="1"/>
  <c r="AE47" i="20"/>
  <c r="O46" i="20"/>
  <c r="J47" i="19"/>
  <c r="V48" i="19" s="1"/>
  <c r="N46" i="20"/>
  <c r="W46" i="20" l="1"/>
  <c r="AC57" i="18"/>
  <c r="AP57" i="18" s="1"/>
  <c r="V46" i="20"/>
  <c r="AD50" i="19"/>
  <c r="G48" i="20" l="1"/>
  <c r="AE48" i="20" s="1"/>
  <c r="M48" i="19"/>
  <c r="W49" i="19" s="1"/>
  <c r="U57" i="18"/>
  <c r="AB57" i="18"/>
  <c r="AO57" i="18" s="1"/>
  <c r="O47" i="20" l="1"/>
  <c r="F48" i="20"/>
  <c r="AD48" i="20" s="1"/>
  <c r="AE51" i="19"/>
  <c r="V58" i="18" s="1"/>
  <c r="W47" i="20"/>
  <c r="AC58" i="18" l="1"/>
  <c r="AP58" i="18" s="1"/>
  <c r="J48" i="19"/>
  <c r="V49" i="19" s="1"/>
  <c r="AD51" i="19" s="1"/>
  <c r="N47" i="20"/>
  <c r="G49" i="20" l="1"/>
  <c r="AE49" i="20" s="1"/>
  <c r="U58" i="18"/>
  <c r="AB58" i="18"/>
  <c r="AO58" i="18" s="1"/>
  <c r="V47" i="20"/>
  <c r="O48" i="20" l="1"/>
  <c r="M49" i="19"/>
  <c r="W50" i="19" s="1"/>
  <c r="W48" i="20" s="1"/>
  <c r="F49" i="20"/>
  <c r="AD49" i="20" s="1"/>
  <c r="J49" i="19"/>
  <c r="V50" i="19" s="1"/>
  <c r="AD52" i="19" s="1"/>
  <c r="AE52" i="19" l="1"/>
  <c r="V59" i="18" s="1"/>
  <c r="N48" i="20"/>
  <c r="AC59" i="18"/>
  <c r="AP59" i="18" s="1"/>
  <c r="U59" i="18"/>
  <c r="V48" i="20"/>
  <c r="AB59" i="18"/>
  <c r="AO59" i="18" s="1"/>
  <c r="G50" i="20" l="1"/>
  <c r="AE50" i="20" s="1"/>
  <c r="F50" i="20"/>
  <c r="O49" i="20" l="1"/>
  <c r="M50" i="19"/>
  <c r="W51" i="19" s="1"/>
  <c r="AE53" i="19" s="1"/>
  <c r="V60" i="18" s="1"/>
  <c r="N49" i="20"/>
  <c r="AD50" i="20"/>
  <c r="J50" i="19"/>
  <c r="V51" i="19" s="1"/>
  <c r="AD53" i="19" s="1"/>
  <c r="U60" i="18" s="1"/>
  <c r="W49" i="20"/>
  <c r="AB60" i="18" l="1"/>
  <c r="AO60" i="18" s="1"/>
  <c r="V49" i="20"/>
  <c r="AC60" i="18"/>
  <c r="AP60" i="18" s="1"/>
  <c r="F51" i="20" l="1"/>
  <c r="AD51" i="20" s="1"/>
  <c r="G51" i="20"/>
  <c r="AE51" i="20" s="1"/>
  <c r="O50" i="20" l="1"/>
  <c r="M51" i="19"/>
  <c r="W52" i="19" s="1"/>
  <c r="AE54" i="19" s="1"/>
  <c r="V61" i="18" s="1"/>
  <c r="J51" i="19"/>
  <c r="V52" i="19" s="1"/>
  <c r="AD54" i="19" s="1"/>
  <c r="AB61" i="18" s="1"/>
  <c r="AO61" i="18" s="1"/>
  <c r="N50" i="20"/>
  <c r="V50" i="20" l="1"/>
  <c r="W50" i="20"/>
  <c r="U61" i="18"/>
  <c r="F52" i="20" s="1"/>
  <c r="AD52" i="20" s="1"/>
  <c r="AC61" i="18"/>
  <c r="AP61" i="18" s="1"/>
  <c r="N51" i="20" l="1"/>
  <c r="J52" i="19"/>
  <c r="V53" i="19" s="1"/>
  <c r="AD55" i="19" s="1"/>
  <c r="U62" i="18" s="1"/>
  <c r="G52" i="20"/>
  <c r="AE52" i="20" s="1"/>
  <c r="V51" i="20" l="1"/>
  <c r="M52" i="19"/>
  <c r="W53" i="19" s="1"/>
  <c r="AE55" i="19" s="1"/>
  <c r="V62" i="18" s="1"/>
  <c r="AB62" i="18"/>
  <c r="AO62" i="18" s="1"/>
  <c r="O51" i="20"/>
  <c r="W51" i="20" l="1"/>
  <c r="F53" i="20"/>
  <c r="AD53" i="20" s="1"/>
  <c r="AC62" i="18"/>
  <c r="AP62" i="18" s="1"/>
  <c r="N52" i="20" l="1"/>
  <c r="J53" i="19"/>
  <c r="V54" i="19" s="1"/>
  <c r="AD56" i="19" s="1"/>
  <c r="U63" i="18" s="1"/>
  <c r="G53" i="20"/>
  <c r="AE53" i="20" s="1"/>
  <c r="O52" i="20" l="1"/>
  <c r="AB63" i="18"/>
  <c r="AO63" i="18" s="1"/>
  <c r="V52" i="20"/>
  <c r="M53" i="19"/>
  <c r="W54" i="19" s="1"/>
  <c r="AE56" i="19" s="1"/>
  <c r="V63" i="18" s="1"/>
  <c r="W52" i="20" l="1"/>
  <c r="F54" i="20"/>
  <c r="AD54" i="20" s="1"/>
  <c r="AC63" i="18"/>
  <c r="AP63" i="18" s="1"/>
  <c r="N53" i="20" l="1"/>
  <c r="J54" i="19"/>
  <c r="V55" i="19" s="1"/>
  <c r="G54" i="20"/>
  <c r="AE54" i="20" s="1"/>
  <c r="AD57" i="19" l="1"/>
  <c r="V53" i="20"/>
  <c r="O53" i="20"/>
  <c r="M54" i="19"/>
  <c r="W55" i="19" s="1"/>
  <c r="AE57" i="19" s="1"/>
  <c r="V64" i="18" s="1"/>
  <c r="W53" i="20" l="1"/>
  <c r="U64" i="18"/>
  <c r="AB64" i="18"/>
  <c r="AO64" i="18" s="1"/>
  <c r="AC64" i="18"/>
  <c r="AP64" i="18" s="1"/>
  <c r="F55" i="20" l="1"/>
  <c r="J55" i="19" s="1"/>
  <c r="V56" i="19" s="1"/>
  <c r="AD55" i="20"/>
  <c r="N54" i="20"/>
  <c r="G55" i="20"/>
  <c r="AE55" i="20" s="1"/>
  <c r="O54" i="20" l="1"/>
  <c r="M55" i="19"/>
  <c r="W56" i="19" s="1"/>
  <c r="AD58" i="19"/>
  <c r="V54" i="20"/>
  <c r="AE58" i="19"/>
  <c r="V65" i="18" s="1"/>
  <c r="W54" i="20"/>
  <c r="AB65" i="18" l="1"/>
  <c r="AO65" i="18" s="1"/>
  <c r="U65" i="18"/>
  <c r="F56" i="20" s="1"/>
  <c r="AC65" i="18"/>
  <c r="AP65" i="18" s="1"/>
  <c r="AD56" i="20" l="1"/>
  <c r="J56" i="19"/>
  <c r="V57" i="19" s="1"/>
  <c r="N55" i="20"/>
  <c r="G56" i="20"/>
  <c r="AE56" i="20" s="1"/>
  <c r="O55" i="20" l="1"/>
  <c r="M56" i="19"/>
  <c r="W57" i="19" s="1"/>
  <c r="AE59" i="19" s="1"/>
  <c r="V66" i="18" s="1"/>
  <c r="AD59" i="19"/>
  <c r="V55" i="20"/>
  <c r="W55" i="20" l="1"/>
  <c r="U66" i="18"/>
  <c r="AB66" i="18"/>
  <c r="AO66" i="18" s="1"/>
  <c r="AC66" i="18"/>
  <c r="AP66" i="18" s="1"/>
  <c r="F57" i="20" l="1"/>
  <c r="AD57" i="20" s="1"/>
  <c r="G57" i="20"/>
  <c r="AE57" i="20" s="1"/>
  <c r="N56" i="20" l="1"/>
  <c r="J57" i="19"/>
  <c r="V58" i="19" s="1"/>
  <c r="O56" i="20"/>
  <c r="M57" i="19"/>
  <c r="W58" i="19" s="1"/>
  <c r="W56" i="20" s="1"/>
  <c r="AD60" i="19"/>
  <c r="V56" i="20"/>
  <c r="S48" i="18"/>
  <c r="AE60" i="19" l="1"/>
  <c r="V67" i="18" s="1"/>
  <c r="AB67" i="18"/>
  <c r="AO67" i="18" s="1"/>
  <c r="U67" i="18"/>
  <c r="F58" i="20" s="1"/>
  <c r="AC67" i="18"/>
  <c r="AP67" i="18" s="1"/>
  <c r="D39" i="20"/>
  <c r="AD58" i="20" l="1"/>
  <c r="J58" i="19"/>
  <c r="V59" i="19" s="1"/>
  <c r="N57" i="20"/>
  <c r="L38" i="20"/>
  <c r="AB39" i="20"/>
  <c r="G58" i="20"/>
  <c r="AE58" i="20" s="1"/>
  <c r="Z49" i="18"/>
  <c r="AM49" i="18" s="1"/>
  <c r="AD61" i="19" l="1"/>
  <c r="V57" i="20"/>
  <c r="M58" i="19"/>
  <c r="W59" i="19" s="1"/>
  <c r="AE61" i="19" s="1"/>
  <c r="V68" i="18" s="1"/>
  <c r="O57" i="20"/>
  <c r="W57" i="20" l="1"/>
  <c r="AB68" i="18"/>
  <c r="AO68" i="18" s="1"/>
  <c r="U68" i="18"/>
  <c r="F59" i="20" s="1"/>
  <c r="AC68" i="18"/>
  <c r="AP68" i="18" s="1"/>
  <c r="J59" i="19" l="1"/>
  <c r="V60" i="19" s="1"/>
  <c r="N58" i="20"/>
  <c r="AD59" i="20"/>
  <c r="G59" i="20"/>
  <c r="AD62" i="19" l="1"/>
  <c r="V58" i="20"/>
  <c r="O58" i="20"/>
  <c r="AE59" i="20"/>
  <c r="M59" i="19"/>
  <c r="W60" i="19" s="1"/>
  <c r="AE62" i="19" s="1"/>
  <c r="V69" i="18" s="1"/>
  <c r="AB69" i="18" l="1"/>
  <c r="AO69" i="18" s="1"/>
  <c r="U69" i="18"/>
  <c r="W58" i="20"/>
  <c r="AC69" i="18"/>
  <c r="AP69" i="18" s="1"/>
  <c r="T48" i="18"/>
  <c r="F60" i="20" l="1"/>
  <c r="AD60" i="20"/>
  <c r="J60" i="19"/>
  <c r="V61" i="19" s="1"/>
  <c r="N59" i="20"/>
  <c r="G60" i="20"/>
  <c r="AE60" i="20" s="1"/>
  <c r="E39" i="20"/>
  <c r="O59" i="20" l="1"/>
  <c r="M60" i="19"/>
  <c r="W61" i="19" s="1"/>
  <c r="AE63" i="19" s="1"/>
  <c r="AD63" i="19"/>
  <c r="V59" i="20"/>
  <c r="M38" i="20"/>
  <c r="AC39" i="20"/>
  <c r="AF39" i="20" s="1"/>
  <c r="AA49" i="18"/>
  <c r="AN49" i="18" s="1"/>
  <c r="W59" i="20" l="1"/>
  <c r="U70" i="18"/>
  <c r="E21" i="23" s="1"/>
  <c r="E22" i="23" s="1"/>
  <c r="AB70" i="18"/>
  <c r="T49" i="18"/>
  <c r="E40" i="20" s="1"/>
  <c r="AC40" i="20" s="1"/>
  <c r="AQ49" i="18"/>
  <c r="AC70" i="18"/>
  <c r="AP70" i="18" s="1"/>
  <c r="V70" i="18"/>
  <c r="F21" i="23" s="1"/>
  <c r="F22" i="23" s="1"/>
  <c r="G40" i="19"/>
  <c r="U41" i="19" s="1"/>
  <c r="U39" i="20" s="1"/>
  <c r="M39" i="20" l="1"/>
  <c r="AO70" i="18"/>
  <c r="J61" i="19"/>
  <c r="V62" i="19" s="1"/>
  <c r="V60" i="20" s="1"/>
  <c r="M61" i="19"/>
  <c r="W62" i="19" s="1"/>
  <c r="W60" i="20" s="1"/>
  <c r="AC43" i="19"/>
  <c r="AA50" i="18" s="1"/>
  <c r="AN50" i="18" s="1"/>
  <c r="T50" i="18" l="1"/>
  <c r="E41" i="20" s="1"/>
  <c r="AC41" i="20" s="1"/>
  <c r="G41" i="19" l="1"/>
  <c r="U42" i="19" s="1"/>
  <c r="U40" i="20" s="1"/>
  <c r="M40" i="20"/>
  <c r="AC44" i="19" l="1"/>
  <c r="AA51" i="18"/>
  <c r="AN51" i="18" s="1"/>
  <c r="T51" i="18"/>
  <c r="E42" i="20" s="1"/>
  <c r="AC42" i="20" s="1"/>
  <c r="G42" i="19" l="1"/>
  <c r="U43" i="19" s="1"/>
  <c r="M41" i="20"/>
  <c r="AC45" i="19" l="1"/>
  <c r="U41" i="20"/>
  <c r="AA52" i="18" l="1"/>
  <c r="AN52" i="18" s="1"/>
  <c r="T52" i="18" l="1"/>
  <c r="E43" i="20" s="1"/>
  <c r="AC43" i="20" s="1"/>
  <c r="M42" i="20"/>
  <c r="G43" i="19"/>
  <c r="U44" i="19" s="1"/>
  <c r="AC46" i="19" l="1"/>
  <c r="U42" i="20"/>
  <c r="AA53" i="18" l="1"/>
  <c r="AN53" i="18" s="1"/>
  <c r="T53" i="18" l="1"/>
  <c r="E44" i="20" s="1"/>
  <c r="AC44" i="20" s="1"/>
  <c r="M43" i="20"/>
  <c r="G44" i="19" l="1"/>
  <c r="U45" i="19" s="1"/>
  <c r="AC47" i="19" s="1"/>
  <c r="U43" i="20" l="1"/>
  <c r="AA54" i="18"/>
  <c r="AN54" i="18" s="1"/>
  <c r="T54" i="18"/>
  <c r="E45" i="20" s="1"/>
  <c r="AC45" i="20" s="1"/>
  <c r="G45" i="19" l="1"/>
  <c r="U46" i="19" s="1"/>
  <c r="M44" i="20"/>
  <c r="AC48" i="19" l="1"/>
  <c r="U44" i="20"/>
  <c r="AA55" i="18" l="1"/>
  <c r="AN55" i="18" s="1"/>
  <c r="T55" i="18" l="1"/>
  <c r="E46" i="20" s="1"/>
  <c r="M45" i="20" l="1"/>
  <c r="AC46" i="20"/>
  <c r="G46" i="19"/>
  <c r="U47" i="19" s="1"/>
  <c r="AC49" i="19" s="1"/>
  <c r="U45" i="20" l="1"/>
  <c r="AA56" i="18"/>
  <c r="AN56" i="18" s="1"/>
  <c r="T56" i="18" l="1"/>
  <c r="E47" i="20" s="1"/>
  <c r="AC47" i="20" s="1"/>
  <c r="M46" i="20" l="1"/>
  <c r="G47" i="19"/>
  <c r="U48" i="19" s="1"/>
  <c r="U46" i="20" s="1"/>
  <c r="AC50" i="19" l="1"/>
  <c r="AA57" i="18"/>
  <c r="AN57" i="18" s="1"/>
  <c r="T57" i="18" l="1"/>
  <c r="E48" i="20" s="1"/>
  <c r="AC48" i="20" s="1"/>
  <c r="G48" i="19" l="1"/>
  <c r="U49" i="19" s="1"/>
  <c r="U47" i="20" s="1"/>
  <c r="M47" i="20"/>
  <c r="AC51" i="19"/>
  <c r="AA58" i="18" l="1"/>
  <c r="AN58" i="18" s="1"/>
  <c r="T58" i="18" l="1"/>
  <c r="E49" i="20" s="1"/>
  <c r="AC49" i="20" s="1"/>
  <c r="G49" i="19" l="1"/>
  <c r="U50" i="19" s="1"/>
  <c r="AC52" i="19" s="1"/>
  <c r="M48" i="20"/>
  <c r="U48" i="20"/>
  <c r="AA59" i="18" l="1"/>
  <c r="AN59" i="18" s="1"/>
  <c r="T59" i="18" l="1"/>
  <c r="E50" i="20" s="1"/>
  <c r="AC50" i="20" s="1"/>
  <c r="G50" i="19" l="1"/>
  <c r="U51" i="19" s="1"/>
  <c r="AC53" i="19" s="1"/>
  <c r="M49" i="20"/>
  <c r="U49" i="20" l="1"/>
  <c r="AA60" i="18"/>
  <c r="AN60" i="18" s="1"/>
  <c r="T60" i="18" l="1"/>
  <c r="E51" i="20" s="1"/>
  <c r="AC51" i="20" s="1"/>
  <c r="G51" i="19" l="1"/>
  <c r="U52" i="19" s="1"/>
  <c r="U50" i="20" s="1"/>
  <c r="M50" i="20"/>
  <c r="AC54" i="19" l="1"/>
  <c r="AA61" i="18" s="1"/>
  <c r="AN61" i="18" l="1"/>
  <c r="T61" i="18"/>
  <c r="E52" i="20" s="1"/>
  <c r="AC52" i="20" s="1"/>
  <c r="G52" i="19" l="1"/>
  <c r="U53" i="19" s="1"/>
  <c r="M51" i="20"/>
  <c r="AC55" i="19"/>
  <c r="U51" i="20"/>
  <c r="AA62" i="18" l="1"/>
  <c r="AN62" i="18" s="1"/>
  <c r="T62" i="18"/>
  <c r="E53" i="20" s="1"/>
  <c r="AC53" i="20" s="1"/>
  <c r="G53" i="19" l="1"/>
  <c r="U54" i="19" s="1"/>
  <c r="M52" i="20"/>
  <c r="AC56" i="19" l="1"/>
  <c r="U52" i="20"/>
  <c r="AA63" i="18" l="1"/>
  <c r="AN63" i="18" s="1"/>
  <c r="T63" i="18" l="1"/>
  <c r="E54" i="20" s="1"/>
  <c r="AC54" i="20" s="1"/>
  <c r="G54" i="19"/>
  <c r="U55" i="19" s="1"/>
  <c r="M53" i="20"/>
  <c r="AC57" i="19" l="1"/>
  <c r="U53" i="20"/>
  <c r="AA64" i="18" l="1"/>
  <c r="AN64" i="18" s="1"/>
  <c r="T64" i="18" l="1"/>
  <c r="E55" i="20" s="1"/>
  <c r="AC55" i="20" s="1"/>
  <c r="M54" i="20" l="1"/>
  <c r="G55" i="19"/>
  <c r="U56" i="19" s="1"/>
  <c r="AC58" i="19"/>
  <c r="U54" i="20"/>
  <c r="AA65" i="18" l="1"/>
  <c r="AN65" i="18" s="1"/>
  <c r="T65" i="18"/>
  <c r="E56" i="20" s="1"/>
  <c r="AC56" i="20" s="1"/>
  <c r="M55" i="20" l="1"/>
  <c r="G56" i="19"/>
  <c r="U57" i="19" s="1"/>
  <c r="AC59" i="19" l="1"/>
  <c r="U55" i="20"/>
  <c r="AA66" i="18" l="1"/>
  <c r="AN66" i="18" s="1"/>
  <c r="T66" i="18"/>
  <c r="E57" i="20" s="1"/>
  <c r="AC57" i="20" s="1"/>
  <c r="G57" i="19" l="1"/>
  <c r="U58" i="19" s="1"/>
  <c r="M56" i="20"/>
  <c r="AC60" i="19" l="1"/>
  <c r="U56" i="20"/>
  <c r="AA67" i="18" l="1"/>
  <c r="AN67" i="18" s="1"/>
  <c r="T67" i="18"/>
  <c r="E58" i="20" s="1"/>
  <c r="AC58" i="20" s="1"/>
  <c r="G58" i="19" l="1"/>
  <c r="U59" i="19" s="1"/>
  <c r="M57" i="20"/>
  <c r="AC61" i="19" l="1"/>
  <c r="U57" i="20"/>
  <c r="AA68" i="18" l="1"/>
  <c r="AN68" i="18" s="1"/>
  <c r="T68" i="18" l="1"/>
  <c r="E59" i="20" s="1"/>
  <c r="AC59" i="20" s="1"/>
  <c r="G59" i="19" l="1"/>
  <c r="U60" i="19" s="1"/>
  <c r="M58" i="20"/>
  <c r="AC62" i="19"/>
  <c r="U58" i="20"/>
  <c r="AA69" i="18" l="1"/>
  <c r="AN69" i="18" s="1"/>
  <c r="T69" i="18" l="1"/>
  <c r="E60" i="20" s="1"/>
  <c r="G60" i="19" l="1"/>
  <c r="U61" i="19" s="1"/>
  <c r="AC63" i="19" s="1"/>
  <c r="AA70" i="18" s="1"/>
  <c r="AN70" i="18" s="1"/>
  <c r="AC60" i="20"/>
  <c r="M59" i="20"/>
  <c r="U59" i="20" l="1"/>
  <c r="G61" i="19"/>
  <c r="U62" i="19" s="1"/>
  <c r="U60" i="20" l="1"/>
  <c r="T70" i="18"/>
  <c r="D21" i="23" s="1"/>
  <c r="D22" i="23" s="1"/>
  <c r="S49" i="18"/>
  <c r="D40" i="20" s="1"/>
  <c r="AB40" i="20" s="1"/>
  <c r="AF40" i="20" s="1"/>
  <c r="L39" i="20" l="1"/>
  <c r="D40" i="19"/>
  <c r="T41" i="19" s="1"/>
  <c r="F37" i="22" l="1"/>
  <c r="C37" i="22"/>
  <c r="D37" i="22"/>
  <c r="E37" i="22"/>
  <c r="AB43" i="19"/>
  <c r="T39" i="20"/>
  <c r="Z50" i="18" l="1"/>
  <c r="AM50" i="18" s="1"/>
  <c r="S50" i="18" l="1"/>
  <c r="D41" i="20" s="1"/>
  <c r="AQ50" i="18"/>
  <c r="L40" i="20"/>
  <c r="D41" i="19" l="1"/>
  <c r="T42" i="19" s="1"/>
  <c r="AB41" i="20"/>
  <c r="AF41" i="20" s="1"/>
  <c r="AB44" i="19"/>
  <c r="Z51" i="18" s="1"/>
  <c r="E38" i="22"/>
  <c r="D38" i="22"/>
  <c r="C38" i="22"/>
  <c r="F38" i="22"/>
  <c r="T40" i="20"/>
  <c r="AM51" i="18" l="1"/>
  <c r="AQ51" i="18" s="1"/>
  <c r="S51" i="18"/>
  <c r="D42" i="20" s="1"/>
  <c r="AB42" i="20" s="1"/>
  <c r="AF42" i="20" s="1"/>
  <c r="D42" i="19" l="1"/>
  <c r="T43" i="19" s="1"/>
  <c r="D39" i="22" s="1"/>
  <c r="L41" i="20"/>
  <c r="F39" i="22" l="1"/>
  <c r="C39" i="22"/>
  <c r="E39" i="22"/>
  <c r="T41" i="20"/>
  <c r="AB45" i="19"/>
  <c r="Z52" i="18"/>
  <c r="AM52" i="18" s="1"/>
  <c r="S52" i="18" l="1"/>
  <c r="D43" i="20" s="1"/>
  <c r="AB43" i="20" s="1"/>
  <c r="AF43" i="20" s="1"/>
  <c r="AQ52" i="18"/>
  <c r="D43" i="19" l="1"/>
  <c r="T44" i="19" s="1"/>
  <c r="L42" i="20"/>
  <c r="D40" i="22"/>
  <c r="F40" i="22"/>
  <c r="Q40" i="22"/>
  <c r="T40" i="22"/>
  <c r="S40" i="22"/>
  <c r="E40" i="22"/>
  <c r="C40" i="22"/>
  <c r="R40" i="22"/>
  <c r="AB46" i="19"/>
  <c r="T42" i="20"/>
  <c r="Z53" i="18" l="1"/>
  <c r="AM53" i="18" s="1"/>
  <c r="S53" i="18" l="1"/>
  <c r="D44" i="20" s="1"/>
  <c r="AB44" i="20" s="1"/>
  <c r="AF44" i="20" s="1"/>
  <c r="AQ53" i="18"/>
  <c r="L43" i="20"/>
  <c r="D44" i="19"/>
  <c r="T45" i="19" s="1"/>
  <c r="E41" i="22" s="1"/>
  <c r="T41" i="22" l="1"/>
  <c r="S41" i="22"/>
  <c r="R41" i="22"/>
  <c r="F41" i="22"/>
  <c r="C41" i="22"/>
  <c r="D41" i="22"/>
  <c r="AB47" i="19"/>
  <c r="T43" i="20"/>
  <c r="Z54" i="18" l="1"/>
  <c r="AM54" i="18" s="1"/>
  <c r="S54" i="18" l="1"/>
  <c r="D45" i="20" s="1"/>
  <c r="AB45" i="20" s="1"/>
  <c r="AF45" i="20" s="1"/>
  <c r="AQ54" i="18"/>
  <c r="D45" i="19"/>
  <c r="T46" i="19" s="1"/>
  <c r="L44" i="20" l="1"/>
  <c r="E42" i="22"/>
  <c r="D42" i="22"/>
  <c r="F42" i="22"/>
  <c r="T42" i="22"/>
  <c r="C42" i="22"/>
  <c r="S42" i="22"/>
  <c r="R42" i="22"/>
  <c r="Q42" i="22"/>
  <c r="AB48" i="19"/>
  <c r="T44" i="20"/>
  <c r="Z55" i="18" l="1"/>
  <c r="AM55" i="18" s="1"/>
  <c r="S55" i="18" l="1"/>
  <c r="D46" i="20" s="1"/>
  <c r="AB46" i="20" s="1"/>
  <c r="AF46" i="20" s="1"/>
  <c r="AQ55" i="18"/>
  <c r="L45" i="20"/>
  <c r="D46" i="19"/>
  <c r="T47" i="19" s="1"/>
  <c r="T43" i="22" l="1"/>
  <c r="C43" i="22"/>
  <c r="R43" i="22"/>
  <c r="Q43" i="22"/>
  <c r="F43" i="22"/>
  <c r="E43" i="22"/>
  <c r="D43" i="22"/>
  <c r="S43" i="22"/>
  <c r="AB49" i="19"/>
  <c r="T45" i="20"/>
  <c r="Z56" i="18" l="1"/>
  <c r="S56" i="18"/>
  <c r="D47" i="20" s="1"/>
  <c r="AB47" i="20" s="1"/>
  <c r="AF47" i="20" s="1"/>
  <c r="AM56" i="18" l="1"/>
  <c r="AQ56" i="18" s="1"/>
  <c r="D47" i="19"/>
  <c r="T48" i="19" s="1"/>
  <c r="L46" i="20"/>
  <c r="F44" i="22" l="1"/>
  <c r="E44" i="22"/>
  <c r="D44" i="22"/>
  <c r="T44" i="22"/>
  <c r="C44" i="22"/>
  <c r="Q44" i="22"/>
  <c r="S44" i="22"/>
  <c r="AB50" i="19"/>
  <c r="T46" i="20"/>
  <c r="Z57" i="18" l="1"/>
  <c r="AM57" i="18" s="1"/>
  <c r="S57" i="18" l="1"/>
  <c r="D48" i="20" s="1"/>
  <c r="AB48" i="20" s="1"/>
  <c r="AF48" i="20" s="1"/>
  <c r="AQ57" i="18"/>
  <c r="D48" i="19"/>
  <c r="T49" i="19" s="1"/>
  <c r="L47" i="20"/>
  <c r="T45" i="22" l="1"/>
  <c r="C45" i="22"/>
  <c r="S45" i="22"/>
  <c r="R45" i="22"/>
  <c r="Q45" i="22"/>
  <c r="F45" i="22"/>
  <c r="D45" i="22"/>
  <c r="E45" i="22"/>
  <c r="AB51" i="19"/>
  <c r="T47" i="20"/>
  <c r="Z58" i="18" l="1"/>
  <c r="AM58" i="18" s="1"/>
  <c r="S58" i="18" l="1"/>
  <c r="D49" i="20" s="1"/>
  <c r="AB49" i="20" s="1"/>
  <c r="AF49" i="20" s="1"/>
  <c r="AQ58" i="18"/>
  <c r="L48" i="20"/>
  <c r="D49" i="19"/>
  <c r="T50" i="19" s="1"/>
  <c r="E46" i="22" l="1"/>
  <c r="D46" i="22"/>
  <c r="F46" i="22"/>
  <c r="T46" i="22"/>
  <c r="C46" i="22"/>
  <c r="S46" i="22"/>
  <c r="R46" i="22"/>
  <c r="Q46" i="22"/>
  <c r="AB52" i="19"/>
  <c r="T48" i="20"/>
  <c r="Z59" i="18" l="1"/>
  <c r="AM59" i="18" s="1"/>
  <c r="S59" i="18" l="1"/>
  <c r="D50" i="20" s="1"/>
  <c r="AB50" i="20" s="1"/>
  <c r="AF50" i="20" s="1"/>
  <c r="AQ59" i="18"/>
  <c r="L49" i="20"/>
  <c r="D50" i="19"/>
  <c r="T51" i="19" s="1"/>
  <c r="T47" i="22" l="1"/>
  <c r="R47" i="22"/>
  <c r="Q47" i="22"/>
  <c r="E47" i="22"/>
  <c r="D47" i="22"/>
  <c r="C47" i="22"/>
  <c r="S47" i="22"/>
  <c r="F47" i="22"/>
  <c r="AB53" i="19"/>
  <c r="T49" i="20"/>
  <c r="Z60" i="18" l="1"/>
  <c r="AM60" i="18" s="1"/>
  <c r="S60" i="18" l="1"/>
  <c r="D51" i="20" s="1"/>
  <c r="AB51" i="20" s="1"/>
  <c r="AF51" i="20" s="1"/>
  <c r="AQ60" i="18"/>
  <c r="L50" i="20"/>
  <c r="D51" i="19"/>
  <c r="T52" i="19" s="1"/>
  <c r="F48" i="22" l="1"/>
  <c r="E48" i="22"/>
  <c r="D48" i="22"/>
  <c r="T48" i="22"/>
  <c r="C48" i="22"/>
  <c r="S48" i="22"/>
  <c r="R48" i="22"/>
  <c r="Q48" i="22"/>
  <c r="AB54" i="19"/>
  <c r="T50" i="20"/>
  <c r="Z61" i="18" l="1"/>
  <c r="AM61" i="18" s="1"/>
  <c r="S61" i="18" l="1"/>
  <c r="D52" i="20" s="1"/>
  <c r="AB52" i="20" s="1"/>
  <c r="AF52" i="20" s="1"/>
  <c r="AQ61" i="18"/>
  <c r="D52" i="19"/>
  <c r="T53" i="19" s="1"/>
  <c r="L51" i="20"/>
  <c r="T49" i="22" l="1"/>
  <c r="C49" i="22"/>
  <c r="S49" i="22"/>
  <c r="R49" i="22"/>
  <c r="Q49" i="22"/>
  <c r="F49" i="22"/>
  <c r="E49" i="22"/>
  <c r="D49" i="22"/>
  <c r="AB55" i="19"/>
  <c r="T51" i="20"/>
  <c r="Z62" i="18" l="1"/>
  <c r="S62" i="18"/>
  <c r="D53" i="20" s="1"/>
  <c r="AB53" i="20" s="1"/>
  <c r="AF53" i="20" s="1"/>
  <c r="AM62" i="18" l="1"/>
  <c r="AQ62" i="18" s="1"/>
  <c r="D53" i="19"/>
  <c r="T54" i="19" s="1"/>
  <c r="L52" i="20"/>
  <c r="E50" i="22" l="1"/>
  <c r="D50" i="22"/>
  <c r="F50" i="22"/>
  <c r="C50" i="22"/>
  <c r="S50" i="22"/>
  <c r="R50" i="22"/>
  <c r="Q50" i="22"/>
  <c r="T50" i="22"/>
  <c r="AB56" i="19"/>
  <c r="T52" i="20"/>
  <c r="Z63" i="18" l="1"/>
  <c r="AM63" i="18" s="1"/>
  <c r="S63" i="18" l="1"/>
  <c r="D54" i="20" s="1"/>
  <c r="AB54" i="20" s="1"/>
  <c r="AF54" i="20" s="1"/>
  <c r="AQ63" i="18"/>
  <c r="L53" i="20" l="1"/>
  <c r="D54" i="19"/>
  <c r="T55" i="19" s="1"/>
  <c r="D51" i="22" s="1"/>
  <c r="T51" i="22"/>
  <c r="R51" i="22"/>
  <c r="S51" i="22"/>
  <c r="Q51" i="22"/>
  <c r="E51" i="22" l="1"/>
  <c r="T53" i="20"/>
  <c r="C51" i="22"/>
  <c r="AB57" i="19"/>
  <c r="F51" i="22"/>
  <c r="Z64" i="18" l="1"/>
  <c r="S64" i="18" s="1"/>
  <c r="D55" i="20" s="1"/>
  <c r="AB55" i="20" l="1"/>
  <c r="AF55" i="20" s="1"/>
  <c r="D55" i="19"/>
  <c r="T56" i="19" s="1"/>
  <c r="F52" i="22" s="1"/>
  <c r="L54" i="20"/>
  <c r="AM64" i="18"/>
  <c r="AQ64" i="18" s="1"/>
  <c r="T52" i="22"/>
  <c r="S52" i="22"/>
  <c r="R52" i="22"/>
  <c r="Q52" i="22"/>
  <c r="D52" i="22" l="1"/>
  <c r="T54" i="20"/>
  <c r="E52" i="22"/>
  <c r="AB58" i="19"/>
  <c r="Z65" i="18" s="1"/>
  <c r="AM65" i="18" s="1"/>
  <c r="C52" i="22"/>
  <c r="S65" i="18" l="1"/>
  <c r="D56" i="20" s="1"/>
  <c r="AB56" i="20" s="1"/>
  <c r="AF56" i="20" s="1"/>
  <c r="AQ65" i="18"/>
  <c r="D56" i="19" l="1"/>
  <c r="T57" i="19" s="1"/>
  <c r="T53" i="22" s="1"/>
  <c r="L55" i="20"/>
  <c r="C53" i="22"/>
  <c r="S53" i="22"/>
  <c r="R53" i="22"/>
  <c r="Q53" i="22"/>
  <c r="F53" i="22"/>
  <c r="D53" i="22"/>
  <c r="E53" i="22"/>
  <c r="AB59" i="19"/>
  <c r="T55" i="20"/>
  <c r="Z66" i="18" l="1"/>
  <c r="AM66" i="18" s="1"/>
  <c r="S66" i="18" l="1"/>
  <c r="D57" i="20" s="1"/>
  <c r="AB57" i="20" s="1"/>
  <c r="AF57" i="20" s="1"/>
  <c r="AQ66" i="18"/>
  <c r="D57" i="19"/>
  <c r="T58" i="19" s="1"/>
  <c r="L56" i="20" l="1"/>
  <c r="E54" i="22"/>
  <c r="D54" i="22"/>
  <c r="F54" i="22"/>
  <c r="T54" i="22"/>
  <c r="C54" i="22"/>
  <c r="R54" i="22"/>
  <c r="Q54" i="22"/>
  <c r="S54" i="22"/>
  <c r="AB60" i="19"/>
  <c r="T56" i="20"/>
  <c r="Z67" i="18" l="1"/>
  <c r="S67" i="18"/>
  <c r="D58" i="20" s="1"/>
  <c r="AB58" i="20" s="1"/>
  <c r="AF58" i="20" s="1"/>
  <c r="AM67" i="18" l="1"/>
  <c r="AQ67" i="18" s="1"/>
  <c r="L57" i="20"/>
  <c r="D58" i="19"/>
  <c r="T59" i="19" s="1"/>
  <c r="T55" i="22" l="1"/>
  <c r="C55" i="22"/>
  <c r="R55" i="22"/>
  <c r="S55" i="22"/>
  <c r="F55" i="22"/>
  <c r="E55" i="22"/>
  <c r="D55" i="22"/>
  <c r="Q55" i="22"/>
  <c r="AB61" i="19"/>
  <c r="T57" i="20"/>
  <c r="Z68" i="18" l="1"/>
  <c r="AM68" i="18" s="1"/>
  <c r="S68" i="18" l="1"/>
  <c r="D59" i="20" s="1"/>
  <c r="AB59" i="20" s="1"/>
  <c r="AF59" i="20" s="1"/>
  <c r="AQ68" i="18"/>
  <c r="L58" i="20"/>
  <c r="D59" i="19"/>
  <c r="T60" i="19" s="1"/>
  <c r="E56" i="22" l="1"/>
  <c r="F56" i="22"/>
  <c r="D56" i="22"/>
  <c r="T56" i="22"/>
  <c r="C56" i="22"/>
  <c r="S56" i="22"/>
  <c r="Q56" i="22"/>
  <c r="R56" i="22"/>
  <c r="AB62" i="19"/>
  <c r="T58" i="20"/>
  <c r="Z69" i="18" l="1"/>
  <c r="S69" i="18"/>
  <c r="D60" i="20" s="1"/>
  <c r="AB60" i="20" s="1"/>
  <c r="AF60" i="20" s="1"/>
  <c r="L7" i="23" s="1"/>
  <c r="AM69" i="18" l="1"/>
  <c r="AQ69" i="18" s="1"/>
  <c r="L59" i="20"/>
  <c r="D60" i="19"/>
  <c r="T61" i="19" s="1"/>
  <c r="Q57" i="22" l="1"/>
  <c r="C57" i="22"/>
  <c r="R57" i="22"/>
  <c r="T57" i="22"/>
  <c r="S57" i="22"/>
  <c r="F57" i="22"/>
  <c r="D57" i="22"/>
  <c r="E57" i="22"/>
  <c r="AB63" i="19"/>
  <c r="Z70" i="18" s="1"/>
  <c r="T59" i="20"/>
  <c r="AM70" i="18" l="1"/>
  <c r="AQ70" i="18" s="1"/>
  <c r="K7" i="23" s="1"/>
  <c r="M7" i="23" s="1"/>
  <c r="F24" i="23" s="1"/>
  <c r="D61" i="19"/>
  <c r="T62" i="19" s="1"/>
  <c r="T60" i="20" l="1"/>
  <c r="R58" i="22"/>
  <c r="Q58" i="22"/>
  <c r="D58" i="22"/>
  <c r="F58" i="22"/>
  <c r="E58" i="22"/>
  <c r="C58" i="22"/>
  <c r="S58" i="22"/>
  <c r="T58" i="22"/>
  <c r="S70" i="18"/>
  <c r="C21" i="23" s="1"/>
  <c r="C22" i="23" s="1"/>
  <c r="F23" i="23" s="1"/>
  <c r="F25"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22" authorId="0" shapeId="0" xr:uid="{D1B961A1-B28F-7941-ACAE-6082DE8BF81A}">
      <text>
        <r>
          <rPr>
            <b/>
            <sz val="10"/>
            <color rgb="FF000000"/>
            <rFont val="Tahoma"/>
            <family val="2"/>
          </rPr>
          <t xml:space="preserve">Zeena Jaber:
</t>
        </r>
        <r>
          <rPr>
            <sz val="10"/>
            <color rgb="FF000000"/>
            <rFont val="Tahoma"/>
            <family val="2"/>
          </rPr>
          <t xml:space="preserve">Numbers differ from those on website
</t>
        </r>
        <r>
          <rPr>
            <sz val="10"/>
            <color rgb="FF000000"/>
            <rFont val="Tahoma"/>
            <family val="2"/>
          </rPr>
          <t xml:space="preserve">
</t>
        </r>
      </text>
    </comment>
    <comment ref="F24" authorId="0" shapeId="0" xr:uid="{6E693D00-276C-794C-8E44-D4F9690FC4B4}">
      <text>
        <r>
          <rPr>
            <b/>
            <sz val="10"/>
            <color rgb="FF000000"/>
            <rFont val="Tahoma"/>
            <family val="2"/>
          </rPr>
          <t>Zeena Jaber:</t>
        </r>
        <r>
          <rPr>
            <sz val="10"/>
            <color rgb="FF000000"/>
            <rFont val="Tahoma"/>
            <family val="2"/>
          </rPr>
          <t xml:space="preserve">
</t>
        </r>
        <r>
          <rPr>
            <sz val="10"/>
            <color rgb="FF000000"/>
            <rFont val="Tahoma"/>
            <family val="2"/>
          </rPr>
          <t xml:space="preserve">Where does this number come from?
</t>
        </r>
      </text>
    </comment>
  </commentList>
</comments>
</file>

<file path=xl/sharedStrings.xml><?xml version="1.0" encoding="utf-8"?>
<sst xmlns="http://schemas.openxmlformats.org/spreadsheetml/2006/main" count="879" uniqueCount="126">
  <si>
    <t>P1</t>
  </si>
  <si>
    <t>P2</t>
  </si>
  <si>
    <t>P3</t>
  </si>
  <si>
    <t>P4</t>
  </si>
  <si>
    <t>Workdays per month</t>
  </si>
  <si>
    <t>Minutes per hour</t>
  </si>
  <si>
    <t>Stage</t>
  </si>
  <si>
    <t>Max No of Shifts per Workday [shifts/day]</t>
  </si>
  <si>
    <t>Max net working hours per shift 
[h/(resource*day)]</t>
  </si>
  <si>
    <t>No of resources [resources]</t>
  </si>
  <si>
    <t>Max net working hours per day 
[h/day]</t>
  </si>
  <si>
    <t>Maximum net working hours per month 
[h/month]</t>
  </si>
  <si>
    <t>Granulation</t>
  </si>
  <si>
    <t>Blending</t>
  </si>
  <si>
    <t>Tableting</t>
  </si>
  <si>
    <t>Packaging</t>
  </si>
  <si>
    <t>1000 (Purchasing)</t>
  </si>
  <si>
    <t>2000 (Material)</t>
  </si>
  <si>
    <t>4000 (Quality Control)</t>
  </si>
  <si>
    <t>5000 (Sales)</t>
  </si>
  <si>
    <t>6000 (Admin)</t>
  </si>
  <si>
    <t>3100 (Granulation)</t>
  </si>
  <si>
    <t>3200 (Blending)</t>
  </si>
  <si>
    <t>3300 (Tableting)</t>
  </si>
  <si>
    <t>3400 (Packaging)</t>
  </si>
  <si>
    <t>Product</t>
  </si>
  <si>
    <t>[PU/Month]</t>
  </si>
  <si>
    <t>x</t>
  </si>
  <si>
    <t>Planned production capacity</t>
  </si>
  <si>
    <t>-</t>
  </si>
  <si>
    <t>Incoming Order Quantity Forecast</t>
  </si>
  <si>
    <t>Historical</t>
  </si>
  <si>
    <t>Forecast</t>
  </si>
  <si>
    <t>PRODUCT 1</t>
  </si>
  <si>
    <t>PRODUCT 2</t>
  </si>
  <si>
    <t>PRODUCT 3</t>
  </si>
  <si>
    <t>PRODUCT 4</t>
  </si>
  <si>
    <t>Difference</t>
  </si>
  <si>
    <t>Assumptions</t>
  </si>
  <si>
    <t>Released production quantity</t>
  </si>
  <si>
    <t>Planned production quantity</t>
  </si>
  <si>
    <t>Inventory inflow</t>
  </si>
  <si>
    <t>Inventory level (end of month)</t>
  </si>
  <si>
    <t>Inventory level (beginning of month)</t>
  </si>
  <si>
    <t>Delivered Orders</t>
  </si>
  <si>
    <t>Backlog quantity</t>
  </si>
  <si>
    <t>Backlog order cancellations</t>
  </si>
  <si>
    <t>P1:</t>
  </si>
  <si>
    <t>P2:</t>
  </si>
  <si>
    <t>P3:</t>
  </si>
  <si>
    <t>P4:</t>
  </si>
  <si>
    <t>Production capacity</t>
  </si>
  <si>
    <t>Agreement on Working Time</t>
  </si>
  <si>
    <t>Standard net working hours per shift
[h/(shift*resource)]</t>
  </si>
  <si>
    <t>WIP Inventory</t>
  </si>
  <si>
    <t>Inventory buffer P1 (%)</t>
  </si>
  <si>
    <t>Implied Workload Granulating</t>
  </si>
  <si>
    <t>Implied Workload Blending</t>
  </si>
  <si>
    <t>Implied Workload Tableting</t>
  </si>
  <si>
    <t>Implied Workload Packaging</t>
  </si>
  <si>
    <t>Processing time Granulating</t>
  </si>
  <si>
    <t>Inventory buffer P2 (%)</t>
  </si>
  <si>
    <t>Inventory buffer P3 (%)</t>
  </si>
  <si>
    <t>Inventory buffer P4 (%)</t>
  </si>
  <si>
    <t>Processing time Blending</t>
  </si>
  <si>
    <t>Processing time Tableting</t>
  </si>
  <si>
    <t>Processing time Packaging</t>
  </si>
  <si>
    <t>Max.</t>
  </si>
  <si>
    <t>Feasability test</t>
  </si>
  <si>
    <t>Used in month</t>
  </si>
  <si>
    <t xml:space="preserve">Price per PU </t>
  </si>
  <si>
    <t>Operating Income</t>
  </si>
  <si>
    <t>Sales Price (€/PU)</t>
  </si>
  <si>
    <t>OUSTANDING</t>
  </si>
  <si>
    <t>Fixed costs [€/month]</t>
  </si>
  <si>
    <t>Fixed capacity costs [€/hour]</t>
  </si>
  <si>
    <t>GIVEN - Processing times PU</t>
  </si>
  <si>
    <t>Product 1</t>
  </si>
  <si>
    <t>Product 2</t>
  </si>
  <si>
    <t>Product 3</t>
  </si>
  <si>
    <t>Product 4</t>
  </si>
  <si>
    <t>Tablets</t>
  </si>
  <si>
    <t>Blister</t>
  </si>
  <si>
    <t>Leaflet</t>
  </si>
  <si>
    <t>Folding Box</t>
  </si>
  <si>
    <t>Fixed production capacity costs</t>
  </si>
  <si>
    <t>Fixed Production Capacity Costs per Hour in Granulation</t>
  </si>
  <si>
    <t>Fixed Production Capacity Costs per Hour in Blending</t>
  </si>
  <si>
    <t>Fixed Production Capacity Costs per Hour in Tableting</t>
  </si>
  <si>
    <t>Fixed Production Capacity Costs per Hour in Packaging</t>
  </si>
  <si>
    <t>Backorder Costs &amp; Inventory Holding Costs</t>
  </si>
  <si>
    <t>Backorder Costs per Unit and Month for Product 1</t>
  </si>
  <si>
    <t>Backorder Costs per Unit and Month for Product 2</t>
  </si>
  <si>
    <t>Backorder Costs per Unit and Month for Product 3</t>
  </si>
  <si>
    <t>Backorder Costs per Unit and Month for Product 4</t>
  </si>
  <si>
    <t>Inventory Holding Costs per Unit and Month for Product 1</t>
  </si>
  <si>
    <t>Inventory Holding Costs per Unit and Month for Product 2</t>
  </si>
  <si>
    <t>Inventory Holding Costs per Unit and Month for Product 3</t>
  </si>
  <si>
    <t>Inventory Holding Costs per Unit and Month for Product 4</t>
  </si>
  <si>
    <t xml:space="preserve">Maximum capacity is set, but we can adjust flexibly within that range </t>
  </si>
  <si>
    <t>Fixed costs are not necessarily constant over time. This is obvious for the fixed production capacity costs. If production capacity is increased (e.g., by changing the shift model), fixed production capacity costs also increase. Your decision to change production capacity results in changes of fixed production capacity costs. The hourly fixed cost rates per production hour are shown below.
Similarly, inventory holding costs and backlog costs usually vary over time because inventory and backlog levels are not constant.</t>
  </si>
  <si>
    <t>Month</t>
  </si>
  <si>
    <t>Cumulated Operating Income</t>
  </si>
  <si>
    <t>Variable Costing Statement for Current Period</t>
  </si>
  <si>
    <t>(-) Variable cost (€/PU)</t>
  </si>
  <si>
    <t>(=) Contribution Margin (€/PU)</t>
  </si>
  <si>
    <t>Sales volume (PU/month)</t>
  </si>
  <si>
    <t>(*) Contribution Margin (€/month)</t>
  </si>
  <si>
    <t>Total Contribution Margin (€/month)</t>
  </si>
  <si>
    <t>(-) Fixed Company Costs  (€/month)</t>
  </si>
  <si>
    <t>(=) Operating Income (€/month)</t>
  </si>
  <si>
    <t>FIXED COST COMPOSITION ANALYSIS</t>
  </si>
  <si>
    <t>Fixed material and purchasing costs in month specified above:</t>
  </si>
  <si>
    <t>Month:</t>
  </si>
  <si>
    <t>Fixed production costs in month specified above:</t>
  </si>
  <si>
    <t>Fixed quality costs in month specified above:</t>
  </si>
  <si>
    <t>Backorder costs in month specified above:</t>
  </si>
  <si>
    <t>Inventory holding cost in month specified above:</t>
  </si>
  <si>
    <t>Total fixed costs  month specified above</t>
  </si>
  <si>
    <t>Inventory Holding Costs</t>
  </si>
  <si>
    <t>Backlog Costs</t>
  </si>
  <si>
    <t>Total</t>
  </si>
  <si>
    <t>TOTAL</t>
  </si>
  <si>
    <r>
      <t>Fixed sales and administration costs in in month specified above</t>
    </r>
    <r>
      <rPr>
        <u/>
        <sz val="12"/>
        <color theme="1"/>
        <rFont val="Times New Roman"/>
        <family val="1"/>
      </rPr>
      <t> (excluding backorder and inventory holding costs):</t>
    </r>
  </si>
  <si>
    <t>MANUALLY ENTER HERE</t>
  </si>
  <si>
    <t>Released production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</si>
</sst>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0000"/>
    <numFmt numFmtId="165" formatCode="0.0%"/>
    <numFmt numFmtId="166" formatCode="0.000000"/>
    <numFmt numFmtId="167" formatCode="#,##0.000000000"/>
    <numFmt numFmtId="168" formatCode="#,##0.00\ &quot;€&quot;"/>
    <numFmt numFmtId="169" formatCode="#,##0\ &quot;€&quot;"/>
    <numFmt numFmtId="170" formatCode="_-* #,##0_-;\-* #,##0_-;_-* &quot;-&quot;??_-;_-@_-"/>
  </numFmts>
  <fonts count="24" x14ac:knownFonts="1">
    <font>
      <sz val="12"/>
      <color theme="1"/>
      <name val="Calibri"/>
      <family val="2"/>
      <scheme val="minor"/>
    </font>
    <font>
      <sz val="10"/>
      <name val="Arial"/>
      <family val="2"/>
    </font>
    <font>
      <sz val="11"/>
      <color theme="1"/>
      <name val="Calibri"/>
      <family val="2"/>
      <scheme val="minor"/>
    </font>
    <font>
      <sz val="12"/>
      <color theme="1"/>
      <name val="Calibri"/>
      <family val="2"/>
      <scheme val="minor"/>
    </font>
    <font>
      <sz val="12"/>
      <color theme="1"/>
      <name val="Times New Roman"/>
      <family val="1"/>
    </font>
    <font>
      <b/>
      <sz val="12"/>
      <color theme="1"/>
      <name val="Times New Roman"/>
      <family val="1"/>
    </font>
    <font>
      <b/>
      <sz val="12"/>
      <color theme="0"/>
      <name val="Times New Roman"/>
      <family val="1"/>
    </font>
    <font>
      <b/>
      <sz val="16"/>
      <color theme="0"/>
      <name val="Times New Roman"/>
      <family val="1"/>
    </font>
    <font>
      <sz val="12"/>
      <name val="Times New Roman"/>
      <family val="1"/>
    </font>
    <font>
      <b/>
      <sz val="14"/>
      <color theme="0"/>
      <name val="Times New Roman"/>
      <family val="1"/>
    </font>
    <font>
      <b/>
      <sz val="12"/>
      <name val="Times New Roman"/>
      <family val="1"/>
    </font>
    <font>
      <b/>
      <sz val="16"/>
      <color theme="1"/>
      <name val="Times New Roman"/>
      <family val="1"/>
    </font>
    <font>
      <sz val="12"/>
      <color theme="0"/>
      <name val="Times New Roman"/>
      <family val="1"/>
    </font>
    <font>
      <sz val="14"/>
      <color theme="0"/>
      <name val="Times New Roman"/>
      <family val="1"/>
    </font>
    <font>
      <sz val="22"/>
      <color theme="0"/>
      <name val="Times New Roman"/>
      <family val="1"/>
    </font>
    <font>
      <b/>
      <sz val="20"/>
      <color theme="0"/>
      <name val="Times New Roman"/>
      <family val="1"/>
    </font>
    <font>
      <b/>
      <sz val="14"/>
      <color theme="3"/>
      <name val="Times New Roman"/>
      <family val="1"/>
    </font>
    <font>
      <b/>
      <sz val="10"/>
      <color rgb="FF000000"/>
      <name val="Tahoma"/>
      <family val="2"/>
    </font>
    <font>
      <sz val="10"/>
      <color rgb="FF000000"/>
      <name val="Tahoma"/>
      <family val="2"/>
    </font>
    <font>
      <u/>
      <sz val="12"/>
      <color theme="1"/>
      <name val="Times New Roman"/>
      <family val="1"/>
    </font>
    <font>
      <b/>
      <sz val="14"/>
      <color theme="1"/>
      <name val="Times New Roman"/>
      <family val="1"/>
    </font>
    <font>
      <b/>
      <sz val="20"/>
      <color theme="1"/>
      <name val="Times New Roman"/>
      <family val="1"/>
    </font>
    <font>
      <sz val="20"/>
      <color theme="1"/>
      <name val="Times New Roman"/>
      <family val="1"/>
    </font>
    <font>
      <sz val="8"/>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611036"/>
        <bgColor indexed="64"/>
      </patternFill>
    </fill>
    <fill>
      <patternFill patternType="solid">
        <fgColor rgb="FF750605"/>
        <bgColor indexed="64"/>
      </patternFill>
    </fill>
    <fill>
      <patternFill patternType="solid">
        <fgColor theme="6" tint="-0.249977111117893"/>
        <bgColor indexed="64"/>
      </patternFill>
    </fill>
    <fill>
      <patternFill patternType="solid">
        <fgColor theme="8"/>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4"/>
        <bgColor indexed="64"/>
      </patternFill>
    </fill>
  </fills>
  <borders count="1">
    <border>
      <left/>
      <right/>
      <top/>
      <bottom/>
      <diagonal/>
    </border>
  </borders>
  <cellStyleXfs count="5">
    <xf numFmtId="0" fontId="0" fillId="0" borderId="0"/>
    <xf numFmtId="0" fontId="2" fillId="0" borderId="0"/>
    <xf numFmtId="0" fontId="1" fillId="0" borderId="0"/>
    <xf numFmtId="9" fontId="3" fillId="0" borderId="0" applyFont="0" applyFill="0" applyBorder="0" applyAlignment="0" applyProtection="0"/>
    <xf numFmtId="43" fontId="3" fillId="0" borderId="0" applyFont="0" applyFill="0" applyBorder="0" applyAlignment="0" applyProtection="0"/>
  </cellStyleXfs>
  <cellXfs count="118">
    <xf numFmtId="0" fontId="0" fillId="0" borderId="0" xfId="0"/>
    <xf numFmtId="0" fontId="4" fillId="0" borderId="0" xfId="0" applyFont="1"/>
    <xf numFmtId="0" fontId="4" fillId="0" borderId="0" xfId="0" applyFont="1" applyFill="1"/>
    <xf numFmtId="3" fontId="4" fillId="0" borderId="0" xfId="0" applyNumberFormat="1" applyFont="1"/>
    <xf numFmtId="3" fontId="4" fillId="4" borderId="0" xfId="0" applyNumberFormat="1" applyFont="1" applyFill="1" applyBorder="1" applyAlignment="1">
      <alignment horizontal="center"/>
    </xf>
    <xf numFmtId="0" fontId="4" fillId="5" borderId="0" xfId="0" applyFont="1" applyFill="1" applyBorder="1" applyAlignment="1">
      <alignment horizontal="center"/>
    </xf>
    <xf numFmtId="0" fontId="4" fillId="0" borderId="0" xfId="0" applyFont="1" applyBorder="1" applyAlignment="1">
      <alignment horizontal="center"/>
    </xf>
    <xf numFmtId="3" fontId="4" fillId="2" borderId="0" xfId="0" applyNumberFormat="1" applyFont="1" applyFill="1" applyBorder="1" applyAlignment="1">
      <alignment horizontal="center"/>
    </xf>
    <xf numFmtId="3" fontId="4" fillId="0" borderId="0" xfId="0" applyNumberFormat="1" applyFont="1" applyBorder="1" applyAlignment="1">
      <alignment horizontal="center"/>
    </xf>
    <xf numFmtId="0" fontId="4" fillId="5" borderId="0" xfId="0" applyFont="1" applyFill="1" applyBorder="1"/>
    <xf numFmtId="3" fontId="4" fillId="2" borderId="0" xfId="0" applyNumberFormat="1" applyFont="1" applyFill="1" applyBorder="1" applyAlignment="1">
      <alignment horizontal="center" vertical="center"/>
    </xf>
    <xf numFmtId="164" fontId="4" fillId="4" borderId="0" xfId="0" applyNumberFormat="1" applyFont="1" applyFill="1" applyBorder="1" applyAlignment="1">
      <alignment horizontal="right" vertical="center"/>
    </xf>
    <xf numFmtId="3" fontId="4" fillId="0" borderId="0" xfId="0" applyNumberFormat="1" applyFont="1" applyFill="1" applyBorder="1" applyAlignment="1">
      <alignment horizontal="center" vertical="center"/>
    </xf>
    <xf numFmtId="164" fontId="4" fillId="2" borderId="0" xfId="0" applyNumberFormat="1" applyFont="1" applyFill="1" applyBorder="1" applyAlignment="1">
      <alignment horizontal="center"/>
    </xf>
    <xf numFmtId="164" fontId="4" fillId="0" borderId="0" xfId="0" applyNumberFormat="1" applyFont="1" applyBorder="1" applyAlignment="1">
      <alignment horizontal="center"/>
    </xf>
    <xf numFmtId="0" fontId="4" fillId="3" borderId="0" xfId="0" applyFont="1" applyFill="1" applyBorder="1"/>
    <xf numFmtId="3" fontId="4" fillId="5" borderId="0" xfId="0" applyNumberFormat="1" applyFont="1" applyFill="1" applyBorder="1" applyAlignment="1">
      <alignment horizontal="center"/>
    </xf>
    <xf numFmtId="167" fontId="4" fillId="0" borderId="0" xfId="0" applyNumberFormat="1" applyFont="1"/>
    <xf numFmtId="0" fontId="4" fillId="11" borderId="0" xfId="0" applyFont="1" applyFill="1" applyBorder="1"/>
    <xf numFmtId="0" fontId="4" fillId="0" borderId="0" xfId="0" applyFont="1" applyBorder="1"/>
    <xf numFmtId="3" fontId="8" fillId="12" borderId="0" xfId="0" applyNumberFormat="1" applyFont="1" applyFill="1" applyBorder="1" applyAlignment="1">
      <alignment horizontal="center"/>
    </xf>
    <xf numFmtId="3" fontId="4" fillId="12" borderId="0" xfId="0" applyNumberFormat="1" applyFont="1" applyFill="1" applyBorder="1" applyAlignment="1">
      <alignment horizontal="center"/>
    </xf>
    <xf numFmtId="3" fontId="8" fillId="3" borderId="0" xfId="0" applyNumberFormat="1" applyFont="1" applyFill="1" applyBorder="1" applyAlignment="1">
      <alignment horizontal="center"/>
    </xf>
    <xf numFmtId="3" fontId="5" fillId="8" borderId="0" xfId="0" applyNumberFormat="1" applyFont="1" applyFill="1" applyBorder="1" applyAlignment="1">
      <alignment horizontal="centerContinuous"/>
    </xf>
    <xf numFmtId="3" fontId="6" fillId="7" borderId="0" xfId="0" applyNumberFormat="1" applyFont="1" applyFill="1" applyBorder="1" applyAlignment="1">
      <alignment horizontal="left" vertical="center"/>
    </xf>
    <xf numFmtId="3" fontId="6" fillId="7" borderId="0" xfId="0" applyNumberFormat="1" applyFont="1" applyFill="1" applyBorder="1" applyAlignment="1">
      <alignment horizontal="center" vertical="center"/>
    </xf>
    <xf numFmtId="3" fontId="4" fillId="3" borderId="0" xfId="0" applyNumberFormat="1" applyFont="1" applyFill="1" applyBorder="1" applyAlignment="1">
      <alignment horizontal="center"/>
    </xf>
    <xf numFmtId="0" fontId="4" fillId="12" borderId="0" xfId="0" applyFont="1" applyFill="1" applyBorder="1" applyAlignment="1">
      <alignment horizontal="center"/>
    </xf>
    <xf numFmtId="0" fontId="5" fillId="3" borderId="0" xfId="0" applyFont="1" applyFill="1" applyBorder="1" applyAlignment="1">
      <alignment horizontal="left" vertical="center"/>
    </xf>
    <xf numFmtId="0" fontId="5" fillId="3" borderId="0" xfId="0" applyFont="1" applyFill="1" applyBorder="1"/>
    <xf numFmtId="9" fontId="4" fillId="12" borderId="0" xfId="3" applyFont="1" applyFill="1" applyBorder="1" applyAlignment="1">
      <alignment horizontal="center" vertical="center"/>
    </xf>
    <xf numFmtId="9" fontId="4" fillId="12" borderId="0" xfId="3" applyFont="1" applyFill="1" applyBorder="1" applyAlignment="1">
      <alignment horizontal="center"/>
    </xf>
    <xf numFmtId="3" fontId="4" fillId="0" borderId="0" xfId="0" applyNumberFormat="1" applyFont="1" applyBorder="1"/>
    <xf numFmtId="3" fontId="4" fillId="8" borderId="0" xfId="0" applyNumberFormat="1" applyFont="1" applyFill="1" applyBorder="1" applyAlignment="1">
      <alignment horizontal="centerContinuous"/>
    </xf>
    <xf numFmtId="3" fontId="8"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65" fontId="4" fillId="0" borderId="0" xfId="3" applyNumberFormat="1" applyFont="1" applyFill="1" applyBorder="1" applyAlignment="1">
      <alignment horizontal="center"/>
    </xf>
    <xf numFmtId="10" fontId="4" fillId="0" borderId="0" xfId="3" applyNumberFormat="1" applyFont="1" applyFill="1" applyBorder="1" applyAlignment="1">
      <alignment horizontal="center"/>
    </xf>
    <xf numFmtId="3" fontId="12" fillId="15" borderId="0" xfId="0" applyNumberFormat="1" applyFont="1" applyFill="1" applyBorder="1" applyAlignment="1">
      <alignment horizontal="center"/>
    </xf>
    <xf numFmtId="3" fontId="8" fillId="4" borderId="0" xfId="0" applyNumberFormat="1" applyFont="1" applyFill="1" applyBorder="1" applyAlignment="1">
      <alignment horizontal="center"/>
    </xf>
    <xf numFmtId="0" fontId="12" fillId="0" borderId="0" xfId="0" applyFont="1"/>
    <xf numFmtId="3" fontId="4" fillId="17" borderId="0" xfId="0" applyNumberFormat="1" applyFont="1" applyFill="1" applyBorder="1" applyAlignment="1">
      <alignment horizontal="center"/>
    </xf>
    <xf numFmtId="0" fontId="4" fillId="2" borderId="0" xfId="0" applyFont="1" applyFill="1" applyBorder="1"/>
    <xf numFmtId="3" fontId="4" fillId="2" borderId="0" xfId="0" applyNumberFormat="1" applyFont="1" applyFill="1" applyBorder="1"/>
    <xf numFmtId="4" fontId="4" fillId="0" borderId="0" xfId="0" applyNumberFormat="1" applyFont="1" applyBorder="1" applyAlignment="1">
      <alignment horizontal="left" vertical="center"/>
    </xf>
    <xf numFmtId="4" fontId="4" fillId="0" borderId="0" xfId="0" applyNumberFormat="1" applyFont="1" applyBorder="1" applyAlignment="1">
      <alignment horizontal="right" vertical="center"/>
    </xf>
    <xf numFmtId="4" fontId="5" fillId="5" borderId="0" xfId="0" applyNumberFormat="1" applyFont="1" applyFill="1" applyBorder="1" applyAlignment="1">
      <alignment horizontal="left" vertical="center" wrapText="1"/>
    </xf>
    <xf numFmtId="4" fontId="4" fillId="3" borderId="0" xfId="0" applyNumberFormat="1" applyFont="1" applyFill="1" applyBorder="1" applyAlignment="1">
      <alignment horizontal="left" vertical="center"/>
    </xf>
    <xf numFmtId="4" fontId="4" fillId="2" borderId="0" xfId="0" applyNumberFormat="1" applyFont="1" applyFill="1" applyBorder="1" applyAlignment="1">
      <alignment horizontal="right" vertical="center"/>
    </xf>
    <xf numFmtId="4" fontId="4" fillId="2" borderId="0" xfId="0" applyNumberFormat="1" applyFont="1" applyFill="1" applyBorder="1" applyAlignment="1">
      <alignment horizontal="left" vertical="center"/>
    </xf>
    <xf numFmtId="0" fontId="4" fillId="2" borderId="0" xfId="0" applyFont="1" applyFill="1" applyBorder="1" applyAlignment="1">
      <alignment horizontal="center"/>
    </xf>
    <xf numFmtId="0" fontId="4" fillId="0" borderId="0" xfId="0" applyFont="1" applyFill="1" applyBorder="1" applyAlignment="1">
      <alignment horizontal="center"/>
    </xf>
    <xf numFmtId="4" fontId="10" fillId="9" borderId="0" xfId="0" applyNumberFormat="1" applyFont="1" applyFill="1" applyBorder="1" applyAlignment="1">
      <alignment horizontal="left" vertical="center"/>
    </xf>
    <xf numFmtId="4" fontId="10" fillId="9" borderId="0" xfId="0" applyNumberFormat="1" applyFont="1" applyFill="1" applyBorder="1" applyAlignment="1">
      <alignment horizontal="right" vertical="center"/>
    </xf>
    <xf numFmtId="4" fontId="5" fillId="0" borderId="0" xfId="0" applyNumberFormat="1" applyFont="1" applyBorder="1" applyAlignment="1">
      <alignment horizontal="left" vertical="center"/>
    </xf>
    <xf numFmtId="4" fontId="5" fillId="10" borderId="0" xfId="0" applyNumberFormat="1" applyFont="1" applyFill="1" applyBorder="1" applyAlignment="1">
      <alignment horizontal="right" vertical="center"/>
    </xf>
    <xf numFmtId="4" fontId="5" fillId="0" borderId="0" xfId="0" applyNumberFormat="1" applyFont="1" applyBorder="1"/>
    <xf numFmtId="164" fontId="4" fillId="4" borderId="0" xfId="0" applyNumberFormat="1" applyFont="1" applyFill="1" applyBorder="1"/>
    <xf numFmtId="164" fontId="4" fillId="0" borderId="0" xfId="0" applyNumberFormat="1" applyFont="1" applyBorder="1"/>
    <xf numFmtId="166" fontId="4" fillId="2" borderId="0" xfId="0" applyNumberFormat="1" applyFont="1" applyFill="1" applyBorder="1" applyAlignment="1">
      <alignment horizontal="center"/>
    </xf>
    <xf numFmtId="3" fontId="8" fillId="5" borderId="0" xfId="0" applyNumberFormat="1" applyFont="1" applyFill="1" applyBorder="1" applyAlignment="1">
      <alignment horizontal="center"/>
    </xf>
    <xf numFmtId="0" fontId="5" fillId="0" borderId="0" xfId="0" applyFont="1"/>
    <xf numFmtId="168" fontId="4" fillId="2" borderId="0" xfId="0" applyNumberFormat="1" applyFont="1" applyFill="1" applyBorder="1"/>
    <xf numFmtId="0" fontId="5" fillId="5" borderId="0" xfId="0" applyFont="1" applyFill="1" applyBorder="1" applyAlignment="1">
      <alignment wrapText="1"/>
    </xf>
    <xf numFmtId="168" fontId="4" fillId="11" borderId="0" xfId="0" applyNumberFormat="1" applyFont="1" applyFill="1" applyBorder="1"/>
    <xf numFmtId="3" fontId="8" fillId="13" borderId="0" xfId="0" applyNumberFormat="1" applyFont="1" applyFill="1" applyBorder="1" applyAlignment="1">
      <alignment horizontal="center"/>
    </xf>
    <xf numFmtId="168" fontId="4" fillId="19" borderId="0" xfId="0" applyNumberFormat="1" applyFont="1" applyFill="1" applyBorder="1"/>
    <xf numFmtId="0" fontId="0" fillId="11" borderId="0" xfId="0" applyFill="1" applyBorder="1"/>
    <xf numFmtId="0" fontId="4" fillId="22" borderId="0" xfId="0" applyFont="1" applyFill="1" applyBorder="1"/>
    <xf numFmtId="0" fontId="4" fillId="23" borderId="0" xfId="0" applyFont="1" applyFill="1" applyBorder="1"/>
    <xf numFmtId="0" fontId="5" fillId="11" borderId="0" xfId="0" applyFont="1" applyFill="1" applyBorder="1" applyAlignment="1">
      <alignment horizontal="center" vertical="center" wrapText="1"/>
    </xf>
    <xf numFmtId="169" fontId="4" fillId="21" borderId="0" xfId="0" applyNumberFormat="1" applyFont="1" applyFill="1" applyBorder="1"/>
    <xf numFmtId="0" fontId="4" fillId="21" borderId="0" xfId="0" applyFont="1" applyFill="1" applyBorder="1" applyAlignment="1">
      <alignment horizontal="center"/>
    </xf>
    <xf numFmtId="0" fontId="0" fillId="12" borderId="0" xfId="0" applyFill="1" applyBorder="1"/>
    <xf numFmtId="0" fontId="4" fillId="19" borderId="0" xfId="0" applyFont="1" applyFill="1" applyBorder="1" applyAlignment="1">
      <alignment horizontal="center"/>
    </xf>
    <xf numFmtId="0" fontId="5" fillId="12" borderId="0" xfId="0" applyFont="1" applyFill="1" applyBorder="1"/>
    <xf numFmtId="0" fontId="4" fillId="11" borderId="0" xfId="0" applyFont="1" applyFill="1" applyBorder="1" applyAlignment="1">
      <alignment horizontal="center"/>
    </xf>
    <xf numFmtId="0" fontId="4" fillId="12" borderId="0" xfId="0" applyFont="1" applyFill="1" applyBorder="1"/>
    <xf numFmtId="0" fontId="20" fillId="8" borderId="0" xfId="0" applyFont="1" applyFill="1" applyBorder="1"/>
    <xf numFmtId="3" fontId="14" fillId="16" borderId="0" xfId="0" applyNumberFormat="1" applyFont="1" applyFill="1" applyBorder="1" applyAlignment="1">
      <alignment vertical="center"/>
    </xf>
    <xf numFmtId="3" fontId="4" fillId="14" borderId="0" xfId="0" applyNumberFormat="1" applyFont="1" applyFill="1"/>
    <xf numFmtId="168" fontId="4" fillId="23" borderId="0" xfId="0" applyNumberFormat="1" applyFont="1" applyFill="1" applyBorder="1"/>
    <xf numFmtId="0" fontId="5" fillId="8" borderId="0" xfId="0" applyFont="1" applyFill="1" applyBorder="1" applyAlignment="1">
      <alignment horizontal="center" vertical="center" wrapText="1"/>
    </xf>
    <xf numFmtId="0" fontId="16" fillId="18" borderId="0" xfId="0" applyFont="1" applyFill="1" applyAlignment="1">
      <alignment horizontal="center" vertical="center" wrapText="1"/>
    </xf>
    <xf numFmtId="0" fontId="4" fillId="18" borderId="0" xfId="0" applyFont="1" applyFill="1" applyAlignment="1">
      <alignment horizontal="center" vertical="center" wrapText="1"/>
    </xf>
    <xf numFmtId="0" fontId="5" fillId="8" borderId="0" xfId="0" applyFont="1" applyFill="1" applyBorder="1" applyAlignment="1">
      <alignment horizontal="center" vertical="center"/>
    </xf>
    <xf numFmtId="0" fontId="5" fillId="5" borderId="0" xfId="0" applyFont="1" applyFill="1" applyBorder="1" applyAlignment="1">
      <alignment horizontal="center"/>
    </xf>
    <xf numFmtId="4" fontId="5" fillId="5" borderId="0" xfId="0" applyNumberFormat="1" applyFont="1" applyFill="1" applyBorder="1" applyAlignment="1">
      <alignment horizontal="center" vertical="center"/>
    </xf>
    <xf numFmtId="4" fontId="5" fillId="5" borderId="0" xfId="0" applyNumberFormat="1" applyFont="1" applyFill="1" applyBorder="1" applyAlignment="1">
      <alignment horizontal="center" vertical="center" wrapText="1"/>
    </xf>
    <xf numFmtId="3" fontId="15" fillId="6" borderId="0" xfId="0" applyNumberFormat="1" applyFont="1" applyFill="1" applyBorder="1" applyAlignment="1">
      <alignment horizontal="center" vertical="center"/>
    </xf>
    <xf numFmtId="0" fontId="6" fillId="7" borderId="0" xfId="0" applyFont="1" applyFill="1" applyBorder="1" applyAlignment="1">
      <alignment horizontal="center" vertical="center"/>
    </xf>
    <xf numFmtId="3" fontId="6" fillId="6" borderId="0" xfId="0" applyNumberFormat="1" applyFont="1" applyFill="1" applyBorder="1" applyAlignment="1">
      <alignment horizontal="center" vertical="center"/>
    </xf>
    <xf numFmtId="3" fontId="7" fillId="6" borderId="0" xfId="0" applyNumberFormat="1" applyFont="1" applyFill="1" applyBorder="1" applyAlignment="1">
      <alignment horizontal="center" vertical="center"/>
    </xf>
    <xf numFmtId="0" fontId="5" fillId="8" borderId="0" xfId="0" applyFont="1" applyFill="1" applyAlignment="1">
      <alignment horizontal="center" vertical="center"/>
    </xf>
    <xf numFmtId="0" fontId="13" fillId="16" borderId="0" xfId="0" applyFont="1" applyFill="1" applyAlignment="1">
      <alignment horizontal="center" vertical="center"/>
    </xf>
    <xf numFmtId="0" fontId="11" fillId="14" borderId="0" xfId="0" applyFont="1" applyFill="1" applyBorder="1" applyAlignment="1">
      <alignment horizontal="center" vertical="center"/>
    </xf>
    <xf numFmtId="3" fontId="9" fillId="6" borderId="0" xfId="0" applyNumberFormat="1" applyFont="1" applyFill="1" applyBorder="1" applyAlignment="1">
      <alignment horizontal="center" vertical="center"/>
    </xf>
    <xf numFmtId="3" fontId="11" fillId="14" borderId="0" xfId="0" applyNumberFormat="1" applyFont="1" applyFill="1" applyBorder="1" applyAlignment="1">
      <alignment horizontal="center" vertical="center"/>
    </xf>
    <xf numFmtId="0" fontId="4" fillId="12" borderId="0" xfId="0" applyFont="1" applyFill="1" applyBorder="1" applyAlignment="1">
      <alignment horizontal="center" wrapText="1"/>
    </xf>
    <xf numFmtId="0" fontId="12" fillId="16" borderId="0" xfId="0" applyFont="1" applyFill="1" applyBorder="1" applyAlignment="1">
      <alignment horizontal="center" vertical="center" wrapText="1"/>
    </xf>
    <xf numFmtId="0" fontId="11" fillId="5" borderId="0" xfId="0" applyFont="1" applyFill="1" applyBorder="1" applyAlignment="1">
      <alignment horizontal="center" vertical="center"/>
    </xf>
    <xf numFmtId="0" fontId="5" fillId="12" borderId="0" xfId="0" applyFont="1" applyFill="1" applyBorder="1" applyAlignment="1">
      <alignment horizontal="center" vertical="center" wrapText="1"/>
    </xf>
    <xf numFmtId="0" fontId="5" fillId="20" borderId="0" xfId="0" applyFont="1" applyFill="1" applyBorder="1" applyAlignment="1">
      <alignment horizontal="center" vertical="center" wrapText="1"/>
    </xf>
    <xf numFmtId="0" fontId="5" fillId="20" borderId="0" xfId="0" applyFont="1" applyFill="1" applyBorder="1" applyAlignment="1">
      <alignment horizontal="center" vertical="center"/>
    </xf>
    <xf numFmtId="0" fontId="21" fillId="0" borderId="0" xfId="0" applyFont="1" applyAlignment="1">
      <alignment horizontal="center"/>
    </xf>
    <xf numFmtId="0" fontId="4" fillId="11" borderId="0" xfId="0" applyFont="1" applyFill="1"/>
    <xf numFmtId="3" fontId="4" fillId="11" borderId="0" xfId="0" applyNumberFormat="1" applyFont="1" applyFill="1"/>
    <xf numFmtId="170" fontId="4" fillId="11" borderId="0" xfId="4" applyNumberFormat="1" applyFont="1" applyFill="1"/>
    <xf numFmtId="3" fontId="6" fillId="11" borderId="0" xfId="0" applyNumberFormat="1" applyFont="1" applyFill="1" applyBorder="1" applyAlignment="1">
      <alignment horizontal="center" vertical="center"/>
    </xf>
    <xf numFmtId="3" fontId="4" fillId="11" borderId="0" xfId="0" applyNumberFormat="1" applyFont="1" applyFill="1" applyBorder="1"/>
    <xf numFmtId="3" fontId="5" fillId="11" borderId="0" xfId="0" applyNumberFormat="1" applyFont="1" applyFill="1" applyBorder="1" applyAlignment="1">
      <alignment horizontal="centerContinuous"/>
    </xf>
    <xf numFmtId="3" fontId="6" fillId="11" borderId="0" xfId="0" applyNumberFormat="1" applyFont="1" applyFill="1" applyBorder="1" applyAlignment="1">
      <alignment horizontal="left" vertical="center"/>
    </xf>
    <xf numFmtId="3" fontId="6" fillId="11" borderId="0" xfId="0" applyNumberFormat="1" applyFont="1" applyFill="1" applyBorder="1" applyAlignment="1">
      <alignment horizontal="center" vertical="center"/>
    </xf>
    <xf numFmtId="3" fontId="8" fillId="11" borderId="0" xfId="0" applyNumberFormat="1" applyFont="1" applyFill="1" applyBorder="1" applyAlignment="1">
      <alignment horizontal="center"/>
    </xf>
    <xf numFmtId="3" fontId="4" fillId="11" borderId="0" xfId="0" applyNumberFormat="1" applyFont="1" applyFill="1" applyBorder="1" applyAlignment="1">
      <alignment horizontal="center"/>
    </xf>
    <xf numFmtId="0" fontId="21" fillId="11" borderId="0" xfId="0" applyFont="1" applyFill="1" applyAlignment="1">
      <alignment horizontal="center"/>
    </xf>
    <xf numFmtId="3" fontId="4" fillId="11" borderId="0" xfId="0" applyNumberFormat="1" applyFont="1" applyFill="1" applyBorder="1" applyAlignment="1">
      <alignment horizontal="center" vertical="center"/>
    </xf>
    <xf numFmtId="0" fontId="22" fillId="11" borderId="0" xfId="0" applyFont="1" applyFill="1" applyAlignment="1">
      <alignment horizontal="center"/>
    </xf>
  </cellXfs>
  <cellStyles count="5">
    <cellStyle name="Comma" xfId="4" builtinId="3"/>
    <cellStyle name="Normal" xfId="0" builtinId="0"/>
    <cellStyle name="Normal 3" xfId="1" xr:uid="{00000000-0005-0000-0000-000001000000}"/>
    <cellStyle name="Normal 4" xfId="2" xr:uid="{00000000-0005-0000-0000-000002000000}"/>
    <cellStyle name="Per cent" xfId="3" builtinId="5"/>
  </cellStyles>
  <dxfs count="2">
    <dxf>
      <fill>
        <patternFill>
          <bgColor rgb="FFFFC000"/>
        </patternFill>
      </fill>
    </dxf>
    <dxf>
      <fill>
        <patternFill>
          <fgColor theme="5" tint="0.39994506668294322"/>
          <bgColor theme="5" tint="0.39994506668294322"/>
        </patternFill>
      </fill>
    </dxf>
  </dxfs>
  <tableStyles count="0" defaultTableStyle="TableStyleMedium2" defaultPivotStyle="PivotStyleLight16"/>
  <colors>
    <mruColors>
      <color rgb="FF750605"/>
      <color rgb="FF611036"/>
      <color rgb="FF82BE00"/>
      <color rgb="FF430942"/>
      <color rgb="FF00A5A0"/>
      <color rgb="FF0091DC"/>
      <color rgb="FF00328C"/>
      <color rgb="FF001F60"/>
      <color rgb="FF022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15CB-547A-6C49-8C2B-BAC30B7EA78A}">
  <dimension ref="A1:E5"/>
  <sheetViews>
    <sheetView workbookViewId="0">
      <selection activeCell="G12" sqref="G12"/>
    </sheetView>
  </sheetViews>
  <sheetFormatPr baseColWidth="10" defaultRowHeight="16" x14ac:dyDescent="0.2"/>
  <sheetData>
    <row r="1" spans="1:5" x14ac:dyDescent="0.2">
      <c r="A1" s="1"/>
      <c r="B1" s="61" t="s">
        <v>77</v>
      </c>
      <c r="C1" s="61" t="s">
        <v>78</v>
      </c>
      <c r="D1" s="61" t="s">
        <v>79</v>
      </c>
      <c r="E1" s="61" t="s">
        <v>80</v>
      </c>
    </row>
    <row r="2" spans="1:5" x14ac:dyDescent="0.2">
      <c r="A2" s="61" t="s">
        <v>81</v>
      </c>
      <c r="B2" s="1">
        <v>20</v>
      </c>
      <c r="C2" s="1">
        <v>7</v>
      </c>
      <c r="D2" s="1">
        <v>20</v>
      </c>
      <c r="E2" s="1">
        <v>10</v>
      </c>
    </row>
    <row r="3" spans="1:5" x14ac:dyDescent="0.2">
      <c r="A3" s="61" t="s">
        <v>82</v>
      </c>
      <c r="B3" s="1">
        <v>2</v>
      </c>
      <c r="C3" s="1">
        <v>1</v>
      </c>
      <c r="D3" s="1">
        <v>2</v>
      </c>
      <c r="E3" s="1">
        <v>1</v>
      </c>
    </row>
    <row r="4" spans="1:5" x14ac:dyDescent="0.2">
      <c r="A4" s="61" t="s">
        <v>83</v>
      </c>
      <c r="B4" s="1">
        <v>1</v>
      </c>
      <c r="C4" s="1">
        <v>1</v>
      </c>
      <c r="D4" s="1">
        <v>1</v>
      </c>
      <c r="E4" s="1">
        <v>1</v>
      </c>
    </row>
    <row r="5" spans="1:5" x14ac:dyDescent="0.2">
      <c r="A5" s="61" t="s">
        <v>84</v>
      </c>
      <c r="B5" s="1">
        <v>1</v>
      </c>
      <c r="C5" s="1">
        <v>1</v>
      </c>
      <c r="D5" s="1">
        <v>1</v>
      </c>
      <c r="E5"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30"/>
  <sheetViews>
    <sheetView showGridLines="0" zoomScale="75" workbookViewId="0">
      <selection activeCell="O13" sqref="O13"/>
    </sheetView>
  </sheetViews>
  <sheetFormatPr baseColWidth="10" defaultColWidth="8.83203125" defaultRowHeight="16" x14ac:dyDescent="0.2"/>
  <cols>
    <col min="1" max="1" width="8.83203125" style="1"/>
    <col min="2" max="2" width="28.6640625" style="1" customWidth="1"/>
    <col min="3" max="4" width="10.5" style="1" customWidth="1"/>
    <col min="5" max="5" width="15.5" style="1" customWidth="1"/>
    <col min="6" max="6" width="20.5" style="1" customWidth="1"/>
    <col min="7" max="7" width="15.5" style="1" customWidth="1"/>
    <col min="8" max="8" width="19.5" style="1" customWidth="1"/>
    <col min="9" max="11" width="15.5" style="1" customWidth="1"/>
    <col min="12" max="13" width="8.83203125" style="1"/>
    <col min="14" max="14" width="20.83203125" style="1" customWidth="1"/>
    <col min="15" max="15" width="15.6640625" style="1" customWidth="1"/>
    <col min="16" max="16384" width="8.83203125" style="1"/>
  </cols>
  <sheetData>
    <row r="3" spans="2:20" x14ac:dyDescent="0.2">
      <c r="N3"/>
      <c r="O3"/>
    </row>
    <row r="4" spans="2:20" x14ac:dyDescent="0.2">
      <c r="B4" s="85" t="s">
        <v>70</v>
      </c>
      <c r="C4" s="85"/>
      <c r="D4" s="85"/>
      <c r="F4" s="85" t="s">
        <v>74</v>
      </c>
      <c r="G4" s="85"/>
      <c r="H4" s="85"/>
      <c r="J4" s="85" t="s">
        <v>75</v>
      </c>
      <c r="K4" s="85"/>
      <c r="L4" s="85"/>
      <c r="N4"/>
      <c r="O4"/>
    </row>
    <row r="5" spans="2:20" x14ac:dyDescent="0.2">
      <c r="B5" s="85"/>
      <c r="C5" s="85"/>
      <c r="D5" s="85"/>
      <c r="E5" s="2"/>
      <c r="F5" s="85"/>
      <c r="G5" s="85"/>
      <c r="H5" s="85"/>
      <c r="I5" s="2"/>
      <c r="J5" s="85"/>
      <c r="K5" s="85"/>
      <c r="L5" s="85"/>
      <c r="N5"/>
      <c r="O5"/>
    </row>
    <row r="6" spans="2:20" x14ac:dyDescent="0.2">
      <c r="B6" s="85"/>
      <c r="C6" s="85"/>
      <c r="D6" s="85"/>
      <c r="F6" s="85"/>
      <c r="G6" s="85"/>
      <c r="H6" s="85"/>
      <c r="J6" s="85"/>
      <c r="K6" s="85"/>
      <c r="L6" s="85"/>
      <c r="N6"/>
      <c r="O6"/>
    </row>
    <row r="7" spans="2:20" x14ac:dyDescent="0.2">
      <c r="B7" s="86" t="s">
        <v>47</v>
      </c>
      <c r="C7" s="86"/>
      <c r="D7" s="42">
        <v>6.08</v>
      </c>
      <c r="F7" s="87" t="s">
        <v>16</v>
      </c>
      <c r="G7" s="87"/>
      <c r="H7" s="43">
        <v>21510</v>
      </c>
      <c r="J7" s="87" t="s">
        <v>21</v>
      </c>
      <c r="K7" s="87"/>
      <c r="L7" s="42">
        <v>230.82</v>
      </c>
      <c r="N7"/>
      <c r="O7"/>
    </row>
    <row r="8" spans="2:20" x14ac:dyDescent="0.2">
      <c r="B8" s="86" t="s">
        <v>48</v>
      </c>
      <c r="C8" s="86"/>
      <c r="D8" s="42">
        <v>8.73</v>
      </c>
      <c r="F8" s="87" t="s">
        <v>17</v>
      </c>
      <c r="G8" s="87"/>
      <c r="H8" s="43">
        <v>90200</v>
      </c>
      <c r="J8" s="87" t="s">
        <v>22</v>
      </c>
      <c r="K8" s="87"/>
      <c r="L8" s="42">
        <v>225.46</v>
      </c>
      <c r="N8"/>
      <c r="O8"/>
      <c r="Q8" s="84" t="s">
        <v>100</v>
      </c>
      <c r="R8" s="84"/>
      <c r="S8" s="84"/>
      <c r="T8" s="84"/>
    </row>
    <row r="9" spans="2:20" x14ac:dyDescent="0.2">
      <c r="B9" s="86" t="s">
        <v>49</v>
      </c>
      <c r="C9" s="86"/>
      <c r="D9" s="42">
        <v>15.35</v>
      </c>
      <c r="F9" s="87" t="s">
        <v>18</v>
      </c>
      <c r="G9" s="87"/>
      <c r="H9" s="43">
        <v>73100</v>
      </c>
      <c r="J9" s="87" t="s">
        <v>23</v>
      </c>
      <c r="K9" s="87"/>
      <c r="L9" s="42">
        <v>250.05</v>
      </c>
      <c r="N9"/>
      <c r="O9"/>
      <c r="Q9" s="84"/>
      <c r="R9" s="84"/>
      <c r="S9" s="84"/>
      <c r="T9" s="84"/>
    </row>
    <row r="10" spans="2:20" x14ac:dyDescent="0.2">
      <c r="B10" s="86" t="s">
        <v>50</v>
      </c>
      <c r="C10" s="86"/>
      <c r="D10" s="42">
        <v>22.99</v>
      </c>
      <c r="F10" s="87" t="s">
        <v>19</v>
      </c>
      <c r="G10" s="87"/>
      <c r="H10" s="43">
        <v>300200</v>
      </c>
      <c r="J10" s="87" t="s">
        <v>24</v>
      </c>
      <c r="K10" s="87"/>
      <c r="L10" s="42">
        <v>120</v>
      </c>
      <c r="N10" s="85" t="s">
        <v>85</v>
      </c>
      <c r="O10" s="85"/>
      <c r="Q10" s="84"/>
      <c r="R10" s="84"/>
      <c r="S10" s="84"/>
      <c r="T10" s="84"/>
    </row>
    <row r="11" spans="2:20" x14ac:dyDescent="0.2">
      <c r="F11" s="87" t="s">
        <v>20</v>
      </c>
      <c r="G11" s="87"/>
      <c r="H11" s="43">
        <v>310000</v>
      </c>
      <c r="N11" s="85"/>
      <c r="O11" s="85"/>
      <c r="Q11" s="84"/>
      <c r="R11" s="84"/>
      <c r="S11" s="84"/>
      <c r="T11" s="84"/>
    </row>
    <row r="12" spans="2:20" x14ac:dyDescent="0.2">
      <c r="N12" s="85"/>
      <c r="O12" s="85"/>
      <c r="Q12" s="84"/>
      <c r="R12" s="84"/>
      <c r="S12" s="84"/>
      <c r="T12" s="84"/>
    </row>
    <row r="13" spans="2:20" ht="51" x14ac:dyDescent="0.2">
      <c r="B13" s="85" t="s">
        <v>51</v>
      </c>
      <c r="C13" s="85"/>
      <c r="D13" s="85"/>
      <c r="E13" s="85"/>
      <c r="F13" s="85"/>
      <c r="G13" s="85"/>
      <c r="H13" s="85"/>
      <c r="I13" s="85"/>
      <c r="J13" s="85"/>
      <c r="K13" s="85"/>
      <c r="N13" s="46" t="s">
        <v>86</v>
      </c>
      <c r="O13" s="62">
        <v>230.82</v>
      </c>
      <c r="Q13" s="84"/>
      <c r="R13" s="84"/>
      <c r="S13" s="84"/>
      <c r="T13" s="84"/>
    </row>
    <row r="14" spans="2:20" ht="51" x14ac:dyDescent="0.2">
      <c r="B14" s="85"/>
      <c r="C14" s="85"/>
      <c r="D14" s="85"/>
      <c r="E14" s="85"/>
      <c r="F14" s="85"/>
      <c r="G14" s="85"/>
      <c r="H14" s="85"/>
      <c r="I14" s="85"/>
      <c r="J14" s="85"/>
      <c r="K14" s="85"/>
      <c r="N14" s="46" t="s">
        <v>87</v>
      </c>
      <c r="O14" s="62">
        <v>225.46</v>
      </c>
      <c r="Q14" s="84"/>
      <c r="R14" s="84"/>
      <c r="S14" s="84"/>
      <c r="T14" s="84"/>
    </row>
    <row r="15" spans="2:20" ht="84" customHeight="1" x14ac:dyDescent="0.2">
      <c r="B15" s="88" t="s">
        <v>52</v>
      </c>
      <c r="C15" s="88"/>
      <c r="D15" s="44"/>
      <c r="E15" s="46" t="s">
        <v>6</v>
      </c>
      <c r="F15" s="46" t="s">
        <v>53</v>
      </c>
      <c r="G15" s="46" t="s">
        <v>7</v>
      </c>
      <c r="H15" s="46" t="s">
        <v>8</v>
      </c>
      <c r="I15" s="46" t="s">
        <v>9</v>
      </c>
      <c r="J15" s="46" t="s">
        <v>10</v>
      </c>
      <c r="K15" s="46" t="s">
        <v>11</v>
      </c>
      <c r="N15" s="46" t="s">
        <v>88</v>
      </c>
      <c r="O15" s="62">
        <v>250.05</v>
      </c>
      <c r="Q15" s="84"/>
      <c r="R15" s="84"/>
      <c r="S15" s="84"/>
      <c r="T15" s="84"/>
    </row>
    <row r="16" spans="2:20" ht="51" x14ac:dyDescent="0.2">
      <c r="B16" s="47" t="s">
        <v>4</v>
      </c>
      <c r="C16" s="48">
        <v>21</v>
      </c>
      <c r="D16" s="44"/>
      <c r="E16" s="47" t="s">
        <v>12</v>
      </c>
      <c r="F16" s="49">
        <v>6</v>
      </c>
      <c r="G16" s="49">
        <v>3</v>
      </c>
      <c r="H16" s="49">
        <v>18</v>
      </c>
      <c r="I16" s="49">
        <v>6</v>
      </c>
      <c r="J16" s="49">
        <v>108</v>
      </c>
      <c r="K16" s="49">
        <v>2268</v>
      </c>
      <c r="N16" s="46" t="s">
        <v>89</v>
      </c>
      <c r="O16" s="62">
        <v>120</v>
      </c>
      <c r="Q16" s="84"/>
      <c r="R16" s="84"/>
      <c r="S16" s="84"/>
      <c r="T16" s="84"/>
    </row>
    <row r="17" spans="2:20" x14ac:dyDescent="0.2">
      <c r="B17" s="47" t="s">
        <v>5</v>
      </c>
      <c r="C17" s="48">
        <v>60</v>
      </c>
      <c r="D17" s="44"/>
      <c r="E17" s="47" t="s">
        <v>13</v>
      </c>
      <c r="F17" s="49">
        <v>6</v>
      </c>
      <c r="G17" s="49">
        <v>3</v>
      </c>
      <c r="H17" s="49">
        <v>18</v>
      </c>
      <c r="I17" s="49">
        <v>6</v>
      </c>
      <c r="J17" s="49">
        <v>108</v>
      </c>
      <c r="K17" s="49">
        <v>2268</v>
      </c>
      <c r="M17"/>
      <c r="N17"/>
      <c r="O17"/>
      <c r="P17"/>
      <c r="Q17" s="84"/>
      <c r="R17" s="84"/>
      <c r="S17" s="84"/>
      <c r="T17" s="84"/>
    </row>
    <row r="18" spans="2:20" x14ac:dyDescent="0.2">
      <c r="B18" s="44"/>
      <c r="C18" s="45"/>
      <c r="D18" s="44"/>
      <c r="E18" s="47" t="s">
        <v>14</v>
      </c>
      <c r="F18" s="49">
        <v>6</v>
      </c>
      <c r="G18" s="49">
        <v>3</v>
      </c>
      <c r="H18" s="49">
        <v>18</v>
      </c>
      <c r="I18" s="49">
        <v>8</v>
      </c>
      <c r="J18" s="49">
        <v>144</v>
      </c>
      <c r="K18" s="49">
        <v>3024</v>
      </c>
      <c r="M18"/>
      <c r="N18"/>
      <c r="O18"/>
      <c r="P18"/>
      <c r="Q18" s="84"/>
      <c r="R18" s="84"/>
      <c r="S18" s="84"/>
      <c r="T18" s="84"/>
    </row>
    <row r="19" spans="2:20" ht="29" customHeight="1" x14ac:dyDescent="0.2">
      <c r="B19" s="44"/>
      <c r="C19" s="45"/>
      <c r="D19" s="44"/>
      <c r="E19" s="47" t="s">
        <v>15</v>
      </c>
      <c r="F19" s="49">
        <v>6</v>
      </c>
      <c r="G19" s="49">
        <v>3</v>
      </c>
      <c r="H19" s="49">
        <v>18</v>
      </c>
      <c r="I19" s="49">
        <v>8</v>
      </c>
      <c r="J19" s="49">
        <v>144</v>
      </c>
      <c r="K19" s="49">
        <v>3024</v>
      </c>
      <c r="M19"/>
      <c r="N19"/>
      <c r="O19"/>
      <c r="P19"/>
      <c r="Q19" s="83" t="s">
        <v>99</v>
      </c>
      <c r="R19" s="83"/>
      <c r="S19" s="83"/>
      <c r="T19" s="83"/>
    </row>
    <row r="20" spans="2:20" ht="29" customHeight="1" x14ac:dyDescent="0.2">
      <c r="M20"/>
      <c r="N20"/>
      <c r="O20"/>
      <c r="P20"/>
      <c r="Q20" s="83"/>
      <c r="R20" s="83"/>
      <c r="S20" s="83"/>
      <c r="T20" s="83"/>
    </row>
    <row r="21" spans="2:20" ht="109" customHeight="1" x14ac:dyDescent="0.2">
      <c r="B21" s="82" t="s">
        <v>90</v>
      </c>
      <c r="C21" s="63" t="s">
        <v>91</v>
      </c>
      <c r="D21" s="63" t="s">
        <v>92</v>
      </c>
      <c r="E21" s="63" t="s">
        <v>93</v>
      </c>
      <c r="F21" s="63" t="s">
        <v>94</v>
      </c>
      <c r="G21" s="63" t="s">
        <v>95</v>
      </c>
      <c r="H21" s="63" t="s">
        <v>96</v>
      </c>
      <c r="I21" s="63" t="s">
        <v>97</v>
      </c>
      <c r="J21" s="63" t="s">
        <v>98</v>
      </c>
      <c r="M21"/>
      <c r="N21"/>
      <c r="O21"/>
      <c r="P21"/>
    </row>
    <row r="22" spans="2:20" ht="79" customHeight="1" x14ac:dyDescent="0.2">
      <c r="B22" s="82"/>
      <c r="C22" s="62">
        <v>0.28000000000000003</v>
      </c>
      <c r="D22" s="62">
        <v>0.87</v>
      </c>
      <c r="E22" s="62">
        <v>1.1100000000000001</v>
      </c>
      <c r="F22" s="62">
        <v>2.09</v>
      </c>
      <c r="G22" s="62">
        <v>0.15</v>
      </c>
      <c r="H22" s="62">
        <v>0.57999999999999996</v>
      </c>
      <c r="I22" s="62">
        <v>2.21</v>
      </c>
      <c r="J22" s="62">
        <v>3.28</v>
      </c>
      <c r="M22"/>
      <c r="N22"/>
      <c r="O22"/>
      <c r="P22"/>
    </row>
    <row r="23" spans="2:20" x14ac:dyDescent="0.2">
      <c r="M23"/>
      <c r="N23"/>
      <c r="O23"/>
      <c r="P23"/>
    </row>
    <row r="24" spans="2:20" x14ac:dyDescent="0.2">
      <c r="M24"/>
      <c r="N24"/>
      <c r="O24"/>
      <c r="P24"/>
    </row>
    <row r="25" spans="2:20" x14ac:dyDescent="0.2">
      <c r="M25"/>
      <c r="N25"/>
      <c r="O25"/>
      <c r="P25"/>
    </row>
    <row r="26" spans="2:20" x14ac:dyDescent="0.2">
      <c r="M26"/>
      <c r="N26"/>
      <c r="O26"/>
      <c r="P26"/>
    </row>
    <row r="27" spans="2:20" x14ac:dyDescent="0.2">
      <c r="M27"/>
      <c r="N27"/>
      <c r="O27"/>
      <c r="P27"/>
    </row>
    <row r="28" spans="2:20" x14ac:dyDescent="0.2">
      <c r="M28"/>
      <c r="N28"/>
      <c r="O28"/>
      <c r="P28"/>
    </row>
    <row r="29" spans="2:20" x14ac:dyDescent="0.2">
      <c r="M29"/>
      <c r="N29"/>
      <c r="O29"/>
      <c r="P29"/>
    </row>
    <row r="30" spans="2:20" x14ac:dyDescent="0.2">
      <c r="M30"/>
      <c r="N30"/>
      <c r="O30"/>
      <c r="P30"/>
    </row>
  </sheetData>
  <mergeCells count="22">
    <mergeCell ref="B15:C15"/>
    <mergeCell ref="F11:G11"/>
    <mergeCell ref="J7:K7"/>
    <mergeCell ref="J8:K8"/>
    <mergeCell ref="J9:K9"/>
    <mergeCell ref="J10:K10"/>
    <mergeCell ref="B21:B22"/>
    <mergeCell ref="Q19:T20"/>
    <mergeCell ref="Q8:T18"/>
    <mergeCell ref="N10:O12"/>
    <mergeCell ref="B4:D6"/>
    <mergeCell ref="F4:H6"/>
    <mergeCell ref="J4:L6"/>
    <mergeCell ref="B13:K14"/>
    <mergeCell ref="B7:C7"/>
    <mergeCell ref="B10:C10"/>
    <mergeCell ref="B9:C9"/>
    <mergeCell ref="B8:C8"/>
    <mergeCell ref="F7:G7"/>
    <mergeCell ref="F8:G8"/>
    <mergeCell ref="F9:G9"/>
    <mergeCell ref="F10:G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AE64"/>
  <sheetViews>
    <sheetView showGridLines="0" topLeftCell="H3" zoomScale="64" workbookViewId="0">
      <selection activeCell="Q43" sqref="Q43"/>
    </sheetView>
  </sheetViews>
  <sheetFormatPr baseColWidth="10" defaultColWidth="14.1640625" defaultRowHeight="16" x14ac:dyDescent="0.2"/>
  <cols>
    <col min="1" max="16384" width="14.1640625" style="1"/>
  </cols>
  <sheetData>
    <row r="6" spans="3:31" ht="27" customHeight="1" x14ac:dyDescent="0.2">
      <c r="C6" s="89" t="s">
        <v>40</v>
      </c>
      <c r="D6" s="89"/>
      <c r="E6" s="89"/>
      <c r="F6" s="89"/>
      <c r="G6" s="89"/>
      <c r="H6" s="89"/>
      <c r="I6" s="89"/>
      <c r="J6" s="89"/>
      <c r="K6" s="89"/>
      <c r="L6" s="89"/>
      <c r="M6" s="89"/>
      <c r="N6" s="89"/>
      <c r="O6" s="89"/>
      <c r="S6" s="89" t="s">
        <v>39</v>
      </c>
      <c r="T6" s="89"/>
      <c r="U6" s="89"/>
      <c r="V6" s="89"/>
      <c r="W6" s="89"/>
      <c r="AA6" s="89" t="s">
        <v>41</v>
      </c>
      <c r="AB6" s="89"/>
      <c r="AC6" s="89"/>
      <c r="AD6" s="89"/>
      <c r="AE6" s="89"/>
    </row>
    <row r="7" spans="3:31" ht="26" customHeight="1" x14ac:dyDescent="0.2">
      <c r="C7" s="89"/>
      <c r="D7" s="89"/>
      <c r="E7" s="89"/>
      <c r="F7" s="89"/>
      <c r="G7" s="89"/>
      <c r="H7" s="89"/>
      <c r="I7" s="89"/>
      <c r="J7" s="89"/>
      <c r="K7" s="89"/>
      <c r="L7" s="89"/>
      <c r="M7" s="89"/>
      <c r="N7" s="89"/>
      <c r="O7" s="89"/>
      <c r="S7" s="89"/>
      <c r="T7" s="89"/>
      <c r="U7" s="89"/>
      <c r="V7" s="89"/>
      <c r="W7" s="89"/>
      <c r="AA7" s="89"/>
      <c r="AB7" s="89"/>
      <c r="AC7" s="89"/>
      <c r="AD7" s="89"/>
      <c r="AE7" s="89"/>
    </row>
    <row r="8" spans="3:31" ht="26" customHeight="1" x14ac:dyDescent="0.2">
      <c r="C8" s="89"/>
      <c r="D8" s="89"/>
      <c r="E8" s="89"/>
      <c r="F8" s="89"/>
      <c r="G8" s="89"/>
      <c r="H8" s="89"/>
      <c r="I8" s="89"/>
      <c r="J8" s="89"/>
      <c r="K8" s="89"/>
      <c r="L8" s="89"/>
      <c r="M8" s="89"/>
      <c r="N8" s="89"/>
      <c r="O8" s="89"/>
      <c r="S8" s="89"/>
      <c r="T8" s="89"/>
      <c r="U8" s="89"/>
      <c r="V8" s="89"/>
      <c r="W8" s="89"/>
      <c r="AA8" s="89"/>
      <c r="AB8" s="89"/>
      <c r="AC8" s="89"/>
      <c r="AD8" s="89"/>
      <c r="AE8" s="89"/>
    </row>
    <row r="9" spans="3:31" x14ac:dyDescent="0.2">
      <c r="C9" s="32"/>
      <c r="D9" s="23" t="s">
        <v>33</v>
      </c>
      <c r="E9" s="33"/>
      <c r="F9" s="33"/>
      <c r="G9" s="23" t="s">
        <v>34</v>
      </c>
      <c r="H9" s="33"/>
      <c r="I9" s="33"/>
      <c r="J9" s="23" t="s">
        <v>35</v>
      </c>
      <c r="K9" s="33"/>
      <c r="L9" s="33"/>
      <c r="M9" s="23" t="s">
        <v>36</v>
      </c>
      <c r="N9" s="33"/>
      <c r="O9" s="33"/>
      <c r="S9" s="32"/>
      <c r="T9" s="23" t="s">
        <v>33</v>
      </c>
      <c r="U9" s="23" t="s">
        <v>34</v>
      </c>
      <c r="V9" s="23" t="s">
        <v>35</v>
      </c>
      <c r="W9" s="23" t="s">
        <v>36</v>
      </c>
      <c r="AA9" s="32"/>
      <c r="AB9" s="23" t="s">
        <v>33</v>
      </c>
      <c r="AC9" s="23" t="s">
        <v>34</v>
      </c>
      <c r="AD9" s="23" t="s">
        <v>35</v>
      </c>
      <c r="AE9" s="23" t="s">
        <v>36</v>
      </c>
    </row>
    <row r="10" spans="3:31" x14ac:dyDescent="0.2">
      <c r="C10" s="24" t="s">
        <v>26</v>
      </c>
      <c r="D10" s="25" t="s">
        <v>31</v>
      </c>
      <c r="E10" s="25" t="s">
        <v>32</v>
      </c>
      <c r="F10" s="25" t="s">
        <v>37</v>
      </c>
      <c r="G10" s="25" t="s">
        <v>31</v>
      </c>
      <c r="H10" s="25" t="s">
        <v>32</v>
      </c>
      <c r="I10" s="25" t="s">
        <v>37</v>
      </c>
      <c r="J10" s="25" t="s">
        <v>31</v>
      </c>
      <c r="K10" s="25" t="s">
        <v>32</v>
      </c>
      <c r="L10" s="25" t="s">
        <v>37</v>
      </c>
      <c r="M10" s="25" t="s">
        <v>31</v>
      </c>
      <c r="N10" s="25" t="s">
        <v>32</v>
      </c>
      <c r="O10" s="25" t="s">
        <v>37</v>
      </c>
      <c r="S10" s="24" t="s">
        <v>26</v>
      </c>
      <c r="T10" s="25" t="s">
        <v>31</v>
      </c>
      <c r="U10" s="25" t="s">
        <v>31</v>
      </c>
      <c r="V10" s="25" t="s">
        <v>31</v>
      </c>
      <c r="W10" s="25" t="s">
        <v>31</v>
      </c>
      <c r="AA10" s="24" t="s">
        <v>26</v>
      </c>
      <c r="AB10" s="25" t="s">
        <v>31</v>
      </c>
      <c r="AC10" s="25" t="s">
        <v>31</v>
      </c>
      <c r="AD10" s="25" t="s">
        <v>31</v>
      </c>
      <c r="AE10" s="25" t="s">
        <v>31</v>
      </c>
    </row>
    <row r="11" spans="3:31" x14ac:dyDescent="0.2">
      <c r="C11" s="34">
        <v>7</v>
      </c>
      <c r="D11" s="4">
        <v>181838</v>
      </c>
      <c r="E11" s="5" t="s">
        <v>29</v>
      </c>
      <c r="F11" s="6"/>
      <c r="G11" s="4">
        <v>160158</v>
      </c>
      <c r="H11" s="5" t="s">
        <v>29</v>
      </c>
      <c r="I11" s="6"/>
      <c r="J11" s="4">
        <v>87929</v>
      </c>
      <c r="K11" s="5" t="s">
        <v>29</v>
      </c>
      <c r="L11" s="6"/>
      <c r="M11" s="4">
        <v>45842</v>
      </c>
      <c r="N11" s="5" t="s">
        <v>29</v>
      </c>
      <c r="O11" s="6"/>
      <c r="P11" s="6"/>
      <c r="S11" s="34">
        <v>7</v>
      </c>
      <c r="T11" s="50" t="s">
        <v>29</v>
      </c>
      <c r="U11" s="50" t="s">
        <v>29</v>
      </c>
      <c r="V11" s="50" t="s">
        <v>29</v>
      </c>
      <c r="W11" s="50" t="s">
        <v>29</v>
      </c>
      <c r="AA11" s="34">
        <v>7</v>
      </c>
      <c r="AB11" s="6" t="s">
        <v>29</v>
      </c>
      <c r="AC11" s="6" t="s">
        <v>29</v>
      </c>
      <c r="AD11" s="6" t="s">
        <v>29</v>
      </c>
      <c r="AE11" s="51" t="s">
        <v>29</v>
      </c>
    </row>
    <row r="12" spans="3:31" x14ac:dyDescent="0.2">
      <c r="C12" s="34">
        <v>8</v>
      </c>
      <c r="D12" s="4">
        <v>178821</v>
      </c>
      <c r="E12" s="5" t="s">
        <v>29</v>
      </c>
      <c r="F12" s="6"/>
      <c r="G12" s="4">
        <v>159152</v>
      </c>
      <c r="H12" s="5" t="s">
        <v>29</v>
      </c>
      <c r="I12" s="6"/>
      <c r="J12" s="4">
        <v>90007</v>
      </c>
      <c r="K12" s="5" t="s">
        <v>29</v>
      </c>
      <c r="L12" s="6"/>
      <c r="M12" s="4">
        <v>46471</v>
      </c>
      <c r="N12" s="5" t="s">
        <v>29</v>
      </c>
      <c r="O12" s="6"/>
      <c r="P12" s="6"/>
      <c r="S12" s="34">
        <v>8</v>
      </c>
      <c r="T12" s="7">
        <f>$D11</f>
        <v>181838</v>
      </c>
      <c r="U12" s="7">
        <f>$G11</f>
        <v>160158</v>
      </c>
      <c r="V12" s="7">
        <f>$J11</f>
        <v>87929</v>
      </c>
      <c r="W12" s="7">
        <f>$M11</f>
        <v>45842</v>
      </c>
      <c r="AA12" s="34">
        <v>8</v>
      </c>
      <c r="AB12" s="8" t="s">
        <v>29</v>
      </c>
      <c r="AC12" s="8" t="s">
        <v>29</v>
      </c>
      <c r="AD12" s="8" t="s">
        <v>29</v>
      </c>
      <c r="AE12" s="35" t="s">
        <v>29</v>
      </c>
    </row>
    <row r="13" spans="3:31" x14ac:dyDescent="0.2">
      <c r="C13" s="34">
        <v>9</v>
      </c>
      <c r="D13" s="4">
        <v>178753</v>
      </c>
      <c r="E13" s="5" t="s">
        <v>29</v>
      </c>
      <c r="F13" s="6"/>
      <c r="G13" s="4">
        <v>158054</v>
      </c>
      <c r="H13" s="5" t="s">
        <v>29</v>
      </c>
      <c r="I13" s="6"/>
      <c r="J13" s="4">
        <v>91029</v>
      </c>
      <c r="K13" s="5" t="s">
        <v>29</v>
      </c>
      <c r="L13" s="6"/>
      <c r="M13" s="4">
        <v>47025</v>
      </c>
      <c r="N13" s="5" t="s">
        <v>29</v>
      </c>
      <c r="O13" s="6"/>
      <c r="P13" s="6"/>
      <c r="S13" s="34">
        <v>9</v>
      </c>
      <c r="T13" s="7">
        <f t="shared" ref="T13:T63" si="0">$D12</f>
        <v>178821</v>
      </c>
      <c r="U13" s="7">
        <f t="shared" ref="U13:U36" si="1">$G12</f>
        <v>159152</v>
      </c>
      <c r="V13" s="7">
        <f t="shared" ref="V13:V39" si="2">$J12</f>
        <v>90007</v>
      </c>
      <c r="W13" s="7">
        <f t="shared" ref="W13:W38" si="3">$M12</f>
        <v>46471</v>
      </c>
      <c r="AA13" s="34">
        <v>9</v>
      </c>
      <c r="AB13" s="8" t="s">
        <v>29</v>
      </c>
      <c r="AC13" s="8" t="s">
        <v>29</v>
      </c>
      <c r="AD13" s="8" t="s">
        <v>29</v>
      </c>
      <c r="AE13" s="35" t="s">
        <v>29</v>
      </c>
    </row>
    <row r="14" spans="3:31" x14ac:dyDescent="0.2">
      <c r="C14" s="34">
        <v>10</v>
      </c>
      <c r="D14" s="4">
        <v>177360</v>
      </c>
      <c r="E14" s="5" t="s">
        <v>29</v>
      </c>
      <c r="F14" s="6"/>
      <c r="G14" s="4">
        <v>157980</v>
      </c>
      <c r="H14" s="5" t="s">
        <v>29</v>
      </c>
      <c r="I14" s="6"/>
      <c r="J14" s="4">
        <v>91606</v>
      </c>
      <c r="K14" s="5" t="s">
        <v>29</v>
      </c>
      <c r="L14" s="6"/>
      <c r="M14" s="4">
        <v>48332</v>
      </c>
      <c r="N14" s="5" t="s">
        <v>29</v>
      </c>
      <c r="O14" s="6"/>
      <c r="P14" s="6"/>
      <c r="S14" s="34">
        <v>10</v>
      </c>
      <c r="T14" s="7">
        <f t="shared" si="0"/>
        <v>178753</v>
      </c>
      <c r="U14" s="7">
        <f t="shared" si="1"/>
        <v>158054</v>
      </c>
      <c r="V14" s="7">
        <f t="shared" si="2"/>
        <v>91029</v>
      </c>
      <c r="W14" s="7">
        <f t="shared" si="3"/>
        <v>47025</v>
      </c>
      <c r="AA14" s="34">
        <v>10</v>
      </c>
      <c r="AB14" s="8">
        <f>$T12</f>
        <v>181838</v>
      </c>
      <c r="AC14" s="8">
        <f t="shared" ref="AC14:AC45" si="4">$U12</f>
        <v>160158</v>
      </c>
      <c r="AD14" s="8">
        <f>$V12</f>
        <v>87929</v>
      </c>
      <c r="AE14" s="8">
        <f>$W12</f>
        <v>45842</v>
      </c>
    </row>
    <row r="15" spans="3:31" x14ac:dyDescent="0.2">
      <c r="C15" s="34">
        <v>11</v>
      </c>
      <c r="D15" s="4">
        <v>177174</v>
      </c>
      <c r="E15" s="5" t="s">
        <v>29</v>
      </c>
      <c r="F15" s="6"/>
      <c r="G15" s="4">
        <v>156300</v>
      </c>
      <c r="H15" s="5" t="s">
        <v>29</v>
      </c>
      <c r="I15" s="6"/>
      <c r="J15" s="4">
        <v>93874</v>
      </c>
      <c r="K15" s="5" t="s">
        <v>29</v>
      </c>
      <c r="L15" s="6"/>
      <c r="M15" s="4">
        <v>48924</v>
      </c>
      <c r="N15" s="5" t="s">
        <v>29</v>
      </c>
      <c r="O15" s="6"/>
      <c r="P15" s="6"/>
      <c r="S15" s="34">
        <v>11</v>
      </c>
      <c r="T15" s="7">
        <f t="shared" si="0"/>
        <v>177360</v>
      </c>
      <c r="U15" s="7">
        <f>$G14</f>
        <v>157980</v>
      </c>
      <c r="V15" s="7">
        <f t="shared" si="2"/>
        <v>91606</v>
      </c>
      <c r="W15" s="7">
        <f t="shared" si="3"/>
        <v>48332</v>
      </c>
      <c r="AA15" s="34">
        <v>11</v>
      </c>
      <c r="AB15" s="8">
        <f t="shared" ref="AB15:AB63" si="5">$T13</f>
        <v>178821</v>
      </c>
      <c r="AC15" s="8">
        <f t="shared" si="4"/>
        <v>159152</v>
      </c>
      <c r="AD15" s="8">
        <f t="shared" ref="AD15:AD63" si="6">$V13</f>
        <v>90007</v>
      </c>
      <c r="AE15" s="8">
        <f t="shared" ref="AE15:AE63" si="7">$W13</f>
        <v>46471</v>
      </c>
    </row>
    <row r="16" spans="3:31" x14ac:dyDescent="0.2">
      <c r="C16" s="34">
        <v>12</v>
      </c>
      <c r="D16" s="4">
        <v>176330</v>
      </c>
      <c r="E16" s="5" t="s">
        <v>29</v>
      </c>
      <c r="F16" s="6"/>
      <c r="G16" s="4">
        <v>156280</v>
      </c>
      <c r="H16" s="5" t="s">
        <v>29</v>
      </c>
      <c r="I16" s="6"/>
      <c r="J16" s="4">
        <v>95595</v>
      </c>
      <c r="K16" s="5" t="s">
        <v>29</v>
      </c>
      <c r="L16" s="6"/>
      <c r="M16" s="4">
        <v>49833</v>
      </c>
      <c r="N16" s="5" t="s">
        <v>29</v>
      </c>
      <c r="O16" s="6"/>
      <c r="P16" s="6"/>
      <c r="S16" s="34">
        <v>12</v>
      </c>
      <c r="T16" s="7">
        <f t="shared" si="0"/>
        <v>177174</v>
      </c>
      <c r="U16" s="7">
        <f>$G15</f>
        <v>156300</v>
      </c>
      <c r="V16" s="7">
        <f t="shared" si="2"/>
        <v>93874</v>
      </c>
      <c r="W16" s="7">
        <f t="shared" si="3"/>
        <v>48924</v>
      </c>
      <c r="AA16" s="34">
        <v>12</v>
      </c>
      <c r="AB16" s="8">
        <f t="shared" si="5"/>
        <v>178753</v>
      </c>
      <c r="AC16" s="8">
        <f t="shared" si="4"/>
        <v>158054</v>
      </c>
      <c r="AD16" s="8">
        <f t="shared" si="6"/>
        <v>91029</v>
      </c>
      <c r="AE16" s="8">
        <f t="shared" si="7"/>
        <v>47025</v>
      </c>
    </row>
    <row r="17" spans="3:31" x14ac:dyDescent="0.2">
      <c r="C17" s="34">
        <v>13</v>
      </c>
      <c r="D17" s="4">
        <v>177332</v>
      </c>
      <c r="E17" s="5" t="s">
        <v>29</v>
      </c>
      <c r="F17" s="6"/>
      <c r="G17" s="4">
        <v>155503</v>
      </c>
      <c r="H17" s="5" t="s">
        <v>29</v>
      </c>
      <c r="I17" s="6"/>
      <c r="J17" s="4">
        <v>96994</v>
      </c>
      <c r="K17" s="5" t="s">
        <v>29</v>
      </c>
      <c r="L17" s="6"/>
      <c r="M17" s="4">
        <v>49814</v>
      </c>
      <c r="N17" s="5" t="s">
        <v>29</v>
      </c>
      <c r="O17" s="6"/>
      <c r="P17" s="6"/>
      <c r="S17" s="34">
        <v>13</v>
      </c>
      <c r="T17" s="7">
        <f t="shared" si="0"/>
        <v>176330</v>
      </c>
      <c r="U17" s="7">
        <f>$G16</f>
        <v>156280</v>
      </c>
      <c r="V17" s="7">
        <f t="shared" si="2"/>
        <v>95595</v>
      </c>
      <c r="W17" s="7">
        <f t="shared" si="3"/>
        <v>49833</v>
      </c>
      <c r="AA17" s="34">
        <v>13</v>
      </c>
      <c r="AB17" s="8">
        <f t="shared" si="5"/>
        <v>177360</v>
      </c>
      <c r="AC17" s="8">
        <f t="shared" si="4"/>
        <v>157980</v>
      </c>
      <c r="AD17" s="8">
        <f t="shared" si="6"/>
        <v>91606</v>
      </c>
      <c r="AE17" s="8">
        <f t="shared" si="7"/>
        <v>48332</v>
      </c>
    </row>
    <row r="18" spans="3:31" x14ac:dyDescent="0.2">
      <c r="C18" s="34">
        <v>14</v>
      </c>
      <c r="D18" s="4">
        <v>180432</v>
      </c>
      <c r="E18" s="5" t="s">
        <v>29</v>
      </c>
      <c r="F18" s="6"/>
      <c r="G18" s="4">
        <v>155980</v>
      </c>
      <c r="H18" s="5" t="s">
        <v>29</v>
      </c>
      <c r="I18" s="6"/>
      <c r="J18" s="4">
        <v>97130</v>
      </c>
      <c r="K18" s="5" t="s">
        <v>29</v>
      </c>
      <c r="L18" s="6"/>
      <c r="M18" s="4">
        <v>50369</v>
      </c>
      <c r="N18" s="5" t="s">
        <v>29</v>
      </c>
      <c r="O18" s="6"/>
      <c r="P18" s="6"/>
      <c r="S18" s="34">
        <v>14</v>
      </c>
      <c r="T18" s="7">
        <f t="shared" si="0"/>
        <v>177332</v>
      </c>
      <c r="U18" s="7">
        <f>$G17</f>
        <v>155503</v>
      </c>
      <c r="V18" s="7">
        <f t="shared" si="2"/>
        <v>96994</v>
      </c>
      <c r="W18" s="7">
        <f t="shared" si="3"/>
        <v>49814</v>
      </c>
      <c r="AA18" s="34">
        <v>14</v>
      </c>
      <c r="AB18" s="8">
        <f t="shared" si="5"/>
        <v>177174</v>
      </c>
      <c r="AC18" s="8">
        <f t="shared" si="4"/>
        <v>156300</v>
      </c>
      <c r="AD18" s="8">
        <f t="shared" si="6"/>
        <v>93874</v>
      </c>
      <c r="AE18" s="8">
        <f t="shared" si="7"/>
        <v>48924</v>
      </c>
    </row>
    <row r="19" spans="3:31" x14ac:dyDescent="0.2">
      <c r="C19" s="34">
        <v>15</v>
      </c>
      <c r="D19" s="4">
        <v>183586</v>
      </c>
      <c r="E19" s="5" t="s">
        <v>29</v>
      </c>
      <c r="F19" s="6"/>
      <c r="G19" s="4">
        <v>155212</v>
      </c>
      <c r="H19" s="5" t="s">
        <v>29</v>
      </c>
      <c r="I19" s="6"/>
      <c r="J19" s="4">
        <v>94974</v>
      </c>
      <c r="K19" s="5" t="s">
        <v>29</v>
      </c>
      <c r="L19" s="6"/>
      <c r="M19" s="4">
        <v>51577</v>
      </c>
      <c r="N19" s="5" t="s">
        <v>29</v>
      </c>
      <c r="O19" s="6"/>
      <c r="P19" s="6"/>
      <c r="S19" s="34">
        <v>15</v>
      </c>
      <c r="T19" s="7">
        <f t="shared" si="0"/>
        <v>180432</v>
      </c>
      <c r="U19" s="7">
        <f>$G18</f>
        <v>155980</v>
      </c>
      <c r="V19" s="7">
        <f t="shared" si="2"/>
        <v>97130</v>
      </c>
      <c r="W19" s="7">
        <f t="shared" si="3"/>
        <v>50369</v>
      </c>
      <c r="AA19" s="34">
        <v>15</v>
      </c>
      <c r="AB19" s="8">
        <f t="shared" si="5"/>
        <v>176330</v>
      </c>
      <c r="AC19" s="8">
        <f t="shared" si="4"/>
        <v>156280</v>
      </c>
      <c r="AD19" s="8">
        <f t="shared" si="6"/>
        <v>95595</v>
      </c>
      <c r="AE19" s="8">
        <f t="shared" si="7"/>
        <v>49833</v>
      </c>
    </row>
    <row r="20" spans="3:31" x14ac:dyDescent="0.2">
      <c r="C20" s="34">
        <v>16</v>
      </c>
      <c r="D20" s="4">
        <v>183371</v>
      </c>
      <c r="E20" s="5" t="s">
        <v>29</v>
      </c>
      <c r="F20" s="6"/>
      <c r="G20" s="4">
        <v>155224</v>
      </c>
      <c r="H20" s="5" t="s">
        <v>29</v>
      </c>
      <c r="I20" s="6"/>
      <c r="J20" s="4">
        <v>93333</v>
      </c>
      <c r="K20" s="5" t="s">
        <v>29</v>
      </c>
      <c r="L20" s="6"/>
      <c r="M20" s="4">
        <v>51461</v>
      </c>
      <c r="N20" s="5" t="s">
        <v>29</v>
      </c>
      <c r="O20" s="6"/>
      <c r="P20" s="6"/>
      <c r="S20" s="34">
        <v>16</v>
      </c>
      <c r="T20" s="7">
        <f t="shared" si="0"/>
        <v>183586</v>
      </c>
      <c r="U20" s="7">
        <f t="shared" si="1"/>
        <v>155212</v>
      </c>
      <c r="V20" s="7">
        <f t="shared" si="2"/>
        <v>94974</v>
      </c>
      <c r="W20" s="7">
        <f t="shared" si="3"/>
        <v>51577</v>
      </c>
      <c r="AA20" s="34">
        <v>16</v>
      </c>
      <c r="AB20" s="8">
        <f t="shared" si="5"/>
        <v>177332</v>
      </c>
      <c r="AC20" s="8">
        <f t="shared" si="4"/>
        <v>155503</v>
      </c>
      <c r="AD20" s="8">
        <f t="shared" si="6"/>
        <v>96994</v>
      </c>
      <c r="AE20" s="8">
        <f t="shared" si="7"/>
        <v>49814</v>
      </c>
    </row>
    <row r="21" spans="3:31" x14ac:dyDescent="0.2">
      <c r="C21" s="34">
        <v>17</v>
      </c>
      <c r="D21" s="4">
        <v>184533</v>
      </c>
      <c r="E21" s="5" t="s">
        <v>29</v>
      </c>
      <c r="F21" s="6"/>
      <c r="G21" s="4">
        <v>154938</v>
      </c>
      <c r="H21" s="5" t="s">
        <v>29</v>
      </c>
      <c r="I21" s="6"/>
      <c r="J21" s="4">
        <v>91427</v>
      </c>
      <c r="K21" s="5" t="s">
        <v>29</v>
      </c>
      <c r="L21" s="6"/>
      <c r="M21" s="4">
        <v>52650</v>
      </c>
      <c r="N21" s="5" t="s">
        <v>29</v>
      </c>
      <c r="O21" s="6"/>
      <c r="P21" s="6"/>
      <c r="S21" s="34">
        <v>17</v>
      </c>
      <c r="T21" s="7">
        <f t="shared" si="0"/>
        <v>183371</v>
      </c>
      <c r="U21" s="7">
        <f t="shared" ref="U21:U27" si="8">$G20</f>
        <v>155224</v>
      </c>
      <c r="V21" s="7">
        <f t="shared" si="2"/>
        <v>93333</v>
      </c>
      <c r="W21" s="7">
        <f t="shared" si="3"/>
        <v>51461</v>
      </c>
      <c r="AA21" s="34">
        <v>17</v>
      </c>
      <c r="AB21" s="8">
        <f t="shared" si="5"/>
        <v>180432</v>
      </c>
      <c r="AC21" s="8">
        <f t="shared" si="4"/>
        <v>155980</v>
      </c>
      <c r="AD21" s="8">
        <f t="shared" si="6"/>
        <v>97130</v>
      </c>
      <c r="AE21" s="8">
        <f t="shared" si="7"/>
        <v>50369</v>
      </c>
    </row>
    <row r="22" spans="3:31" x14ac:dyDescent="0.2">
      <c r="C22" s="34">
        <v>18</v>
      </c>
      <c r="D22" s="4">
        <v>182805</v>
      </c>
      <c r="E22" s="5" t="s">
        <v>29</v>
      </c>
      <c r="F22" s="6"/>
      <c r="G22" s="4">
        <v>153129</v>
      </c>
      <c r="H22" s="5" t="s">
        <v>29</v>
      </c>
      <c r="I22" s="6"/>
      <c r="J22" s="4">
        <v>91470</v>
      </c>
      <c r="K22" s="5" t="s">
        <v>29</v>
      </c>
      <c r="L22" s="6"/>
      <c r="M22" s="4">
        <v>53805</v>
      </c>
      <c r="N22" s="5" t="s">
        <v>29</v>
      </c>
      <c r="O22" s="6"/>
      <c r="P22" s="6"/>
      <c r="S22" s="34">
        <v>18</v>
      </c>
      <c r="T22" s="7">
        <f t="shared" si="0"/>
        <v>184533</v>
      </c>
      <c r="U22" s="7">
        <f t="shared" si="8"/>
        <v>154938</v>
      </c>
      <c r="V22" s="7">
        <f t="shared" si="2"/>
        <v>91427</v>
      </c>
      <c r="W22" s="7">
        <f t="shared" si="3"/>
        <v>52650</v>
      </c>
      <c r="AA22" s="34">
        <v>18</v>
      </c>
      <c r="AB22" s="8">
        <f t="shared" si="5"/>
        <v>183586</v>
      </c>
      <c r="AC22" s="8">
        <f t="shared" si="4"/>
        <v>155212</v>
      </c>
      <c r="AD22" s="8">
        <f t="shared" si="6"/>
        <v>94974</v>
      </c>
      <c r="AE22" s="8">
        <f t="shared" si="7"/>
        <v>51577</v>
      </c>
    </row>
    <row r="23" spans="3:31" x14ac:dyDescent="0.2">
      <c r="C23" s="34">
        <v>19</v>
      </c>
      <c r="D23" s="4">
        <v>180781</v>
      </c>
      <c r="E23" s="5" t="s">
        <v>29</v>
      </c>
      <c r="F23" s="6"/>
      <c r="G23" s="4">
        <v>152334</v>
      </c>
      <c r="H23" s="5" t="s">
        <v>29</v>
      </c>
      <c r="I23" s="6"/>
      <c r="J23" s="4">
        <v>92949</v>
      </c>
      <c r="K23" s="5" t="s">
        <v>29</v>
      </c>
      <c r="L23" s="6"/>
      <c r="M23" s="4">
        <v>54901</v>
      </c>
      <c r="N23" s="5" t="s">
        <v>29</v>
      </c>
      <c r="O23" s="6"/>
      <c r="P23" s="6"/>
      <c r="S23" s="34">
        <v>19</v>
      </c>
      <c r="T23" s="7">
        <f t="shared" si="0"/>
        <v>182805</v>
      </c>
      <c r="U23" s="7">
        <f t="shared" si="8"/>
        <v>153129</v>
      </c>
      <c r="V23" s="7">
        <f t="shared" si="2"/>
        <v>91470</v>
      </c>
      <c r="W23" s="7">
        <f t="shared" si="3"/>
        <v>53805</v>
      </c>
      <c r="AA23" s="34">
        <v>19</v>
      </c>
      <c r="AB23" s="8">
        <f t="shared" si="5"/>
        <v>183371</v>
      </c>
      <c r="AC23" s="8">
        <f t="shared" si="4"/>
        <v>155224</v>
      </c>
      <c r="AD23" s="8">
        <f t="shared" si="6"/>
        <v>93333</v>
      </c>
      <c r="AE23" s="8">
        <f t="shared" si="7"/>
        <v>51461</v>
      </c>
    </row>
    <row r="24" spans="3:31" x14ac:dyDescent="0.2">
      <c r="C24" s="34">
        <v>20</v>
      </c>
      <c r="D24" s="4">
        <v>177597</v>
      </c>
      <c r="E24" s="5" t="s">
        <v>29</v>
      </c>
      <c r="F24" s="6"/>
      <c r="G24" s="4">
        <v>152193</v>
      </c>
      <c r="H24" s="5" t="s">
        <v>29</v>
      </c>
      <c r="I24" s="6"/>
      <c r="J24" s="4">
        <v>93553</v>
      </c>
      <c r="K24" s="5" t="s">
        <v>29</v>
      </c>
      <c r="L24" s="6"/>
      <c r="M24" s="4">
        <v>55806</v>
      </c>
      <c r="N24" s="5" t="s">
        <v>29</v>
      </c>
      <c r="O24" s="6"/>
      <c r="P24" s="6"/>
      <c r="S24" s="34">
        <v>20</v>
      </c>
      <c r="T24" s="7">
        <f t="shared" si="0"/>
        <v>180781</v>
      </c>
      <c r="U24" s="7">
        <f t="shared" si="8"/>
        <v>152334</v>
      </c>
      <c r="V24" s="7">
        <f t="shared" si="2"/>
        <v>92949</v>
      </c>
      <c r="W24" s="7">
        <f t="shared" si="3"/>
        <v>54901</v>
      </c>
      <c r="AA24" s="34">
        <v>20</v>
      </c>
      <c r="AB24" s="8">
        <f t="shared" si="5"/>
        <v>184533</v>
      </c>
      <c r="AC24" s="8">
        <f t="shared" si="4"/>
        <v>154938</v>
      </c>
      <c r="AD24" s="8">
        <f t="shared" si="6"/>
        <v>91427</v>
      </c>
      <c r="AE24" s="8">
        <f t="shared" si="7"/>
        <v>52650</v>
      </c>
    </row>
    <row r="25" spans="3:31" x14ac:dyDescent="0.2">
      <c r="C25" s="34">
        <v>21</v>
      </c>
      <c r="D25" s="4">
        <v>174899</v>
      </c>
      <c r="E25" s="5" t="s">
        <v>29</v>
      </c>
      <c r="F25" s="6"/>
      <c r="G25" s="4">
        <v>150716</v>
      </c>
      <c r="H25" s="5" t="s">
        <v>29</v>
      </c>
      <c r="I25" s="6"/>
      <c r="J25" s="4">
        <v>94079</v>
      </c>
      <c r="K25" s="5" t="s">
        <v>29</v>
      </c>
      <c r="L25" s="6"/>
      <c r="M25" s="4">
        <v>56548</v>
      </c>
      <c r="N25" s="5" t="s">
        <v>29</v>
      </c>
      <c r="O25" s="6"/>
      <c r="P25" s="6"/>
      <c r="S25" s="34">
        <v>21</v>
      </c>
      <c r="T25" s="7">
        <f t="shared" si="0"/>
        <v>177597</v>
      </c>
      <c r="U25" s="7">
        <f t="shared" si="8"/>
        <v>152193</v>
      </c>
      <c r="V25" s="7">
        <f t="shared" si="2"/>
        <v>93553</v>
      </c>
      <c r="W25" s="7">
        <f t="shared" si="3"/>
        <v>55806</v>
      </c>
      <c r="AA25" s="34">
        <v>21</v>
      </c>
      <c r="AB25" s="8">
        <f t="shared" si="5"/>
        <v>182805</v>
      </c>
      <c r="AC25" s="8">
        <f t="shared" si="4"/>
        <v>153129</v>
      </c>
      <c r="AD25" s="8">
        <f t="shared" si="6"/>
        <v>91470</v>
      </c>
      <c r="AE25" s="8">
        <f t="shared" si="7"/>
        <v>53805</v>
      </c>
    </row>
    <row r="26" spans="3:31" x14ac:dyDescent="0.2">
      <c r="C26" s="34">
        <v>22</v>
      </c>
      <c r="D26" s="4">
        <v>175939</v>
      </c>
      <c r="E26" s="5" t="s">
        <v>29</v>
      </c>
      <c r="F26" s="6"/>
      <c r="G26" s="4">
        <v>149374</v>
      </c>
      <c r="H26" s="5" t="s">
        <v>29</v>
      </c>
      <c r="I26" s="6"/>
      <c r="J26" s="4">
        <v>97019</v>
      </c>
      <c r="K26" s="5" t="s">
        <v>29</v>
      </c>
      <c r="L26" s="6"/>
      <c r="M26" s="4">
        <v>58046</v>
      </c>
      <c r="N26" s="5" t="s">
        <v>29</v>
      </c>
      <c r="O26" s="6"/>
      <c r="P26" s="6"/>
      <c r="S26" s="34">
        <v>22</v>
      </c>
      <c r="T26" s="7">
        <f t="shared" si="0"/>
        <v>174899</v>
      </c>
      <c r="U26" s="7">
        <f t="shared" si="8"/>
        <v>150716</v>
      </c>
      <c r="V26" s="7">
        <f t="shared" si="2"/>
        <v>94079</v>
      </c>
      <c r="W26" s="7">
        <f t="shared" si="3"/>
        <v>56548</v>
      </c>
      <c r="AA26" s="34">
        <v>22</v>
      </c>
      <c r="AB26" s="8">
        <f t="shared" si="5"/>
        <v>180781</v>
      </c>
      <c r="AC26" s="8">
        <f t="shared" si="4"/>
        <v>152334</v>
      </c>
      <c r="AD26" s="8">
        <f t="shared" si="6"/>
        <v>92949</v>
      </c>
      <c r="AE26" s="8">
        <f t="shared" si="7"/>
        <v>54901</v>
      </c>
    </row>
    <row r="27" spans="3:31" x14ac:dyDescent="0.2">
      <c r="C27" s="34">
        <v>23</v>
      </c>
      <c r="D27" s="4">
        <v>176465</v>
      </c>
      <c r="E27" s="5" t="s">
        <v>29</v>
      </c>
      <c r="F27" s="6"/>
      <c r="G27" s="4">
        <v>148290</v>
      </c>
      <c r="H27" s="5" t="s">
        <v>29</v>
      </c>
      <c r="I27" s="6"/>
      <c r="J27" s="4">
        <v>97606</v>
      </c>
      <c r="K27" s="5" t="s">
        <v>29</v>
      </c>
      <c r="L27" s="6"/>
      <c r="M27" s="4">
        <v>58206</v>
      </c>
      <c r="N27" s="5" t="s">
        <v>29</v>
      </c>
      <c r="O27" s="6"/>
      <c r="P27" s="6"/>
      <c r="S27" s="34">
        <v>23</v>
      </c>
      <c r="T27" s="7">
        <f t="shared" si="0"/>
        <v>175939</v>
      </c>
      <c r="U27" s="7">
        <f t="shared" si="8"/>
        <v>149374</v>
      </c>
      <c r="V27" s="7">
        <f t="shared" si="2"/>
        <v>97019</v>
      </c>
      <c r="W27" s="7">
        <f t="shared" si="3"/>
        <v>58046</v>
      </c>
      <c r="AA27" s="34">
        <v>23</v>
      </c>
      <c r="AB27" s="8">
        <f t="shared" si="5"/>
        <v>177597</v>
      </c>
      <c r="AC27" s="8">
        <f t="shared" si="4"/>
        <v>152193</v>
      </c>
      <c r="AD27" s="8">
        <f t="shared" si="6"/>
        <v>93553</v>
      </c>
      <c r="AE27" s="8">
        <f t="shared" si="7"/>
        <v>55806</v>
      </c>
    </row>
    <row r="28" spans="3:31" x14ac:dyDescent="0.2">
      <c r="C28" s="34">
        <v>24</v>
      </c>
      <c r="D28" s="4">
        <v>177497</v>
      </c>
      <c r="E28" s="5" t="s">
        <v>29</v>
      </c>
      <c r="F28" s="6"/>
      <c r="G28" s="4">
        <v>147632</v>
      </c>
      <c r="H28" s="5" t="s">
        <v>29</v>
      </c>
      <c r="I28" s="6"/>
      <c r="J28" s="4">
        <v>97743</v>
      </c>
      <c r="K28" s="5" t="s">
        <v>29</v>
      </c>
      <c r="L28" s="6"/>
      <c r="M28" s="4">
        <v>59620</v>
      </c>
      <c r="N28" s="5" t="s">
        <v>29</v>
      </c>
      <c r="O28" s="6"/>
      <c r="P28" s="6"/>
      <c r="S28" s="34">
        <v>24</v>
      </c>
      <c r="T28" s="7">
        <f t="shared" si="0"/>
        <v>176465</v>
      </c>
      <c r="U28" s="7">
        <f t="shared" si="1"/>
        <v>148290</v>
      </c>
      <c r="V28" s="7">
        <f t="shared" si="2"/>
        <v>97606</v>
      </c>
      <c r="W28" s="7">
        <f t="shared" si="3"/>
        <v>58206</v>
      </c>
      <c r="AA28" s="34">
        <v>24</v>
      </c>
      <c r="AB28" s="8">
        <f t="shared" si="5"/>
        <v>174899</v>
      </c>
      <c r="AC28" s="8">
        <f t="shared" si="4"/>
        <v>150716</v>
      </c>
      <c r="AD28" s="8">
        <f t="shared" si="6"/>
        <v>94079</v>
      </c>
      <c r="AE28" s="8">
        <f t="shared" si="7"/>
        <v>56548</v>
      </c>
    </row>
    <row r="29" spans="3:31" x14ac:dyDescent="0.2">
      <c r="C29" s="34">
        <v>25</v>
      </c>
      <c r="D29" s="4">
        <v>179161</v>
      </c>
      <c r="E29" s="5" t="s">
        <v>29</v>
      </c>
      <c r="F29" s="6"/>
      <c r="G29" s="4">
        <v>147115</v>
      </c>
      <c r="H29" s="5" t="s">
        <v>29</v>
      </c>
      <c r="I29" s="6"/>
      <c r="J29" s="4">
        <v>98020</v>
      </c>
      <c r="K29" s="5" t="s">
        <v>29</v>
      </c>
      <c r="L29" s="6"/>
      <c r="M29" s="4">
        <v>61252</v>
      </c>
      <c r="N29" s="5" t="s">
        <v>29</v>
      </c>
      <c r="O29" s="6"/>
      <c r="P29" s="6"/>
      <c r="S29" s="34">
        <v>25</v>
      </c>
      <c r="T29" s="7">
        <f t="shared" si="0"/>
        <v>177497</v>
      </c>
      <c r="U29" s="7">
        <f t="shared" ref="U29:U35" si="9">$G28</f>
        <v>147632</v>
      </c>
      <c r="V29" s="7">
        <f>$J28</f>
        <v>97743</v>
      </c>
      <c r="W29" s="7">
        <f t="shared" si="3"/>
        <v>59620</v>
      </c>
      <c r="AA29" s="34">
        <v>25</v>
      </c>
      <c r="AB29" s="8">
        <f t="shared" si="5"/>
        <v>175939</v>
      </c>
      <c r="AC29" s="8">
        <f t="shared" si="4"/>
        <v>149374</v>
      </c>
      <c r="AD29" s="8">
        <f t="shared" si="6"/>
        <v>97019</v>
      </c>
      <c r="AE29" s="8">
        <f t="shared" si="7"/>
        <v>58046</v>
      </c>
    </row>
    <row r="30" spans="3:31" x14ac:dyDescent="0.2">
      <c r="C30" s="34">
        <v>26</v>
      </c>
      <c r="D30" s="4">
        <v>180597</v>
      </c>
      <c r="E30" s="5" t="s">
        <v>29</v>
      </c>
      <c r="F30" s="6"/>
      <c r="G30" s="4">
        <v>148166</v>
      </c>
      <c r="H30" s="5" t="s">
        <v>29</v>
      </c>
      <c r="I30" s="6"/>
      <c r="J30" s="4">
        <v>98348</v>
      </c>
      <c r="K30" s="5" t="s">
        <v>29</v>
      </c>
      <c r="L30" s="6"/>
      <c r="M30" s="4">
        <v>61505</v>
      </c>
      <c r="N30" s="5" t="s">
        <v>29</v>
      </c>
      <c r="O30" s="6"/>
      <c r="P30" s="6"/>
      <c r="S30" s="34">
        <v>26</v>
      </c>
      <c r="T30" s="7">
        <f t="shared" si="0"/>
        <v>179161</v>
      </c>
      <c r="U30" s="7">
        <f t="shared" si="9"/>
        <v>147115</v>
      </c>
      <c r="V30" s="7">
        <f>$J29</f>
        <v>98020</v>
      </c>
      <c r="W30" s="7">
        <f t="shared" si="3"/>
        <v>61252</v>
      </c>
      <c r="AA30" s="34">
        <v>26</v>
      </c>
      <c r="AB30" s="8">
        <f t="shared" si="5"/>
        <v>176465</v>
      </c>
      <c r="AC30" s="8">
        <f t="shared" si="4"/>
        <v>148290</v>
      </c>
      <c r="AD30" s="8">
        <f t="shared" si="6"/>
        <v>97606</v>
      </c>
      <c r="AE30" s="8">
        <f t="shared" si="7"/>
        <v>58206</v>
      </c>
    </row>
    <row r="31" spans="3:31" x14ac:dyDescent="0.2">
      <c r="C31" s="34">
        <v>27</v>
      </c>
      <c r="D31" s="4">
        <v>183993</v>
      </c>
      <c r="E31" s="5" t="s">
        <v>29</v>
      </c>
      <c r="F31" s="6"/>
      <c r="G31" s="4">
        <v>147401</v>
      </c>
      <c r="H31" s="5" t="s">
        <v>29</v>
      </c>
      <c r="I31" s="6"/>
      <c r="J31" s="4">
        <v>97144</v>
      </c>
      <c r="K31" s="5" t="s">
        <v>29</v>
      </c>
      <c r="L31" s="6"/>
      <c r="M31" s="4">
        <v>63093</v>
      </c>
      <c r="N31" s="5" t="s">
        <v>29</v>
      </c>
      <c r="O31" s="6"/>
      <c r="P31" s="6"/>
      <c r="S31" s="34">
        <v>27</v>
      </c>
      <c r="T31" s="7">
        <f t="shared" si="0"/>
        <v>180597</v>
      </c>
      <c r="U31" s="7">
        <f t="shared" si="9"/>
        <v>148166</v>
      </c>
      <c r="V31" s="7">
        <f>$J30</f>
        <v>98348</v>
      </c>
      <c r="W31" s="7">
        <f t="shared" si="3"/>
        <v>61505</v>
      </c>
      <c r="AA31" s="34">
        <v>27</v>
      </c>
      <c r="AB31" s="8">
        <f t="shared" si="5"/>
        <v>177497</v>
      </c>
      <c r="AC31" s="8">
        <f t="shared" si="4"/>
        <v>147632</v>
      </c>
      <c r="AD31" s="8">
        <f t="shared" si="6"/>
        <v>97743</v>
      </c>
      <c r="AE31" s="8">
        <f t="shared" si="7"/>
        <v>59620</v>
      </c>
    </row>
    <row r="32" spans="3:31" x14ac:dyDescent="0.2">
      <c r="C32" s="34">
        <v>28</v>
      </c>
      <c r="D32" s="4">
        <v>184984</v>
      </c>
      <c r="E32" s="5" t="s">
        <v>29</v>
      </c>
      <c r="F32" s="6"/>
      <c r="G32" s="4">
        <v>146867</v>
      </c>
      <c r="H32" s="5" t="s">
        <v>29</v>
      </c>
      <c r="I32" s="6"/>
      <c r="J32" s="4">
        <v>97354</v>
      </c>
      <c r="K32" s="5" t="s">
        <v>29</v>
      </c>
      <c r="L32" s="6"/>
      <c r="M32" s="4">
        <v>64016</v>
      </c>
      <c r="N32" s="5" t="s">
        <v>29</v>
      </c>
      <c r="O32" s="6"/>
      <c r="P32" s="6"/>
      <c r="S32" s="34">
        <v>28</v>
      </c>
      <c r="T32" s="7">
        <f t="shared" si="0"/>
        <v>183993</v>
      </c>
      <c r="U32" s="7">
        <f t="shared" si="9"/>
        <v>147401</v>
      </c>
      <c r="V32" s="7">
        <f>$J31</f>
        <v>97144</v>
      </c>
      <c r="W32" s="7">
        <f t="shared" si="3"/>
        <v>63093</v>
      </c>
      <c r="AA32" s="34">
        <v>28</v>
      </c>
      <c r="AB32" s="8">
        <f t="shared" si="5"/>
        <v>179161</v>
      </c>
      <c r="AC32" s="8">
        <f t="shared" si="4"/>
        <v>147115</v>
      </c>
      <c r="AD32" s="8">
        <f t="shared" si="6"/>
        <v>98020</v>
      </c>
      <c r="AE32" s="8">
        <f t="shared" si="7"/>
        <v>61252</v>
      </c>
    </row>
    <row r="33" spans="3:31" x14ac:dyDescent="0.2">
      <c r="C33" s="34">
        <v>29</v>
      </c>
      <c r="D33" s="4">
        <v>184201</v>
      </c>
      <c r="E33" s="5" t="s">
        <v>29</v>
      </c>
      <c r="F33" s="6"/>
      <c r="G33" s="4">
        <v>146540</v>
      </c>
      <c r="H33" s="5" t="s">
        <v>29</v>
      </c>
      <c r="I33" s="6"/>
      <c r="J33" s="4">
        <v>96215</v>
      </c>
      <c r="K33" s="5" t="s">
        <v>29</v>
      </c>
      <c r="L33" s="6"/>
      <c r="M33" s="4">
        <v>65064</v>
      </c>
      <c r="N33" s="5" t="s">
        <v>29</v>
      </c>
      <c r="O33" s="6"/>
      <c r="P33" s="6"/>
      <c r="S33" s="34">
        <v>29</v>
      </c>
      <c r="T33" s="7">
        <f t="shared" si="0"/>
        <v>184984</v>
      </c>
      <c r="U33" s="7">
        <f t="shared" si="9"/>
        <v>146867</v>
      </c>
      <c r="V33" s="7">
        <f>$J32</f>
        <v>97354</v>
      </c>
      <c r="W33" s="7">
        <f t="shared" si="3"/>
        <v>64016</v>
      </c>
      <c r="AA33" s="34">
        <v>29</v>
      </c>
      <c r="AB33" s="8">
        <f t="shared" si="5"/>
        <v>180597</v>
      </c>
      <c r="AC33" s="8">
        <f t="shared" si="4"/>
        <v>148166</v>
      </c>
      <c r="AD33" s="8">
        <f t="shared" si="6"/>
        <v>98348</v>
      </c>
      <c r="AE33" s="8">
        <f t="shared" si="7"/>
        <v>61505</v>
      </c>
    </row>
    <row r="34" spans="3:31" x14ac:dyDescent="0.2">
      <c r="C34" s="34">
        <v>30</v>
      </c>
      <c r="D34" s="4">
        <v>183840</v>
      </c>
      <c r="E34" s="5" t="s">
        <v>29</v>
      </c>
      <c r="F34" s="6"/>
      <c r="G34" s="4">
        <v>147002</v>
      </c>
      <c r="H34" s="5" t="s">
        <v>29</v>
      </c>
      <c r="I34" s="6"/>
      <c r="J34" s="4">
        <v>95330</v>
      </c>
      <c r="K34" s="5" t="s">
        <v>29</v>
      </c>
      <c r="L34" s="6"/>
      <c r="M34" s="4">
        <v>66396</v>
      </c>
      <c r="N34" s="5" t="s">
        <v>29</v>
      </c>
      <c r="O34" s="6"/>
      <c r="P34" s="6"/>
      <c r="S34" s="34">
        <v>30</v>
      </c>
      <c r="T34" s="7">
        <f t="shared" si="0"/>
        <v>184201</v>
      </c>
      <c r="U34" s="7">
        <f t="shared" si="9"/>
        <v>146540</v>
      </c>
      <c r="V34" s="7">
        <f t="shared" si="2"/>
        <v>96215</v>
      </c>
      <c r="W34" s="7">
        <f t="shared" si="3"/>
        <v>65064</v>
      </c>
      <c r="AA34" s="34">
        <v>30</v>
      </c>
      <c r="AB34" s="8">
        <f t="shared" si="5"/>
        <v>183993</v>
      </c>
      <c r="AC34" s="8">
        <f t="shared" si="4"/>
        <v>147401</v>
      </c>
      <c r="AD34" s="8">
        <f t="shared" si="6"/>
        <v>97144</v>
      </c>
      <c r="AE34" s="8">
        <f t="shared" si="7"/>
        <v>63093</v>
      </c>
    </row>
    <row r="35" spans="3:31" x14ac:dyDescent="0.2">
      <c r="C35" s="34">
        <v>31</v>
      </c>
      <c r="D35" s="4">
        <v>181798</v>
      </c>
      <c r="E35" s="5" t="s">
        <v>29</v>
      </c>
      <c r="F35" s="6"/>
      <c r="G35" s="4">
        <v>147174</v>
      </c>
      <c r="H35" s="5" t="s">
        <v>29</v>
      </c>
      <c r="I35" s="6"/>
      <c r="J35" s="4">
        <v>97070</v>
      </c>
      <c r="K35" s="5" t="s">
        <v>29</v>
      </c>
      <c r="L35" s="6"/>
      <c r="M35" s="4">
        <v>67440</v>
      </c>
      <c r="N35" s="5" t="s">
        <v>29</v>
      </c>
      <c r="O35" s="6"/>
      <c r="P35" s="6"/>
      <c r="S35" s="34">
        <v>31</v>
      </c>
      <c r="T35" s="7">
        <f t="shared" si="0"/>
        <v>183840</v>
      </c>
      <c r="U35" s="7">
        <f t="shared" si="9"/>
        <v>147002</v>
      </c>
      <c r="V35" s="7">
        <f t="shared" si="2"/>
        <v>95330</v>
      </c>
      <c r="W35" s="7">
        <f t="shared" si="3"/>
        <v>66396</v>
      </c>
      <c r="AA35" s="34">
        <v>31</v>
      </c>
      <c r="AB35" s="8">
        <f t="shared" si="5"/>
        <v>184984</v>
      </c>
      <c r="AC35" s="8">
        <f t="shared" si="4"/>
        <v>146867</v>
      </c>
      <c r="AD35" s="8">
        <f t="shared" si="6"/>
        <v>97354</v>
      </c>
      <c r="AE35" s="8">
        <f t="shared" si="7"/>
        <v>64016</v>
      </c>
    </row>
    <row r="36" spans="3:31" x14ac:dyDescent="0.2">
      <c r="C36" s="34">
        <v>32</v>
      </c>
      <c r="D36" s="4">
        <v>181697</v>
      </c>
      <c r="E36" s="5" t="s">
        <v>29</v>
      </c>
      <c r="F36" s="6"/>
      <c r="G36" s="4">
        <v>146795</v>
      </c>
      <c r="H36" s="5" t="s">
        <v>29</v>
      </c>
      <c r="I36" s="6"/>
      <c r="J36" s="4">
        <v>98359</v>
      </c>
      <c r="K36" s="5" t="s">
        <v>29</v>
      </c>
      <c r="L36" s="6"/>
      <c r="M36" s="4">
        <v>68416</v>
      </c>
      <c r="N36" s="5" t="s">
        <v>29</v>
      </c>
      <c r="O36" s="6"/>
      <c r="P36" s="6"/>
      <c r="S36" s="34">
        <v>32</v>
      </c>
      <c r="T36" s="7">
        <f t="shared" si="0"/>
        <v>181798</v>
      </c>
      <c r="U36" s="7">
        <f t="shared" si="1"/>
        <v>147174</v>
      </c>
      <c r="V36" s="7">
        <f t="shared" si="2"/>
        <v>97070</v>
      </c>
      <c r="W36" s="7">
        <f t="shared" si="3"/>
        <v>67440</v>
      </c>
      <c r="AA36" s="34">
        <v>32</v>
      </c>
      <c r="AB36" s="8">
        <f t="shared" si="5"/>
        <v>184201</v>
      </c>
      <c r="AC36" s="8">
        <f t="shared" si="4"/>
        <v>146540</v>
      </c>
      <c r="AD36" s="8">
        <f t="shared" si="6"/>
        <v>96215</v>
      </c>
      <c r="AE36" s="8">
        <f t="shared" si="7"/>
        <v>65064</v>
      </c>
    </row>
    <row r="37" spans="3:31" x14ac:dyDescent="0.2">
      <c r="C37" s="34">
        <v>33</v>
      </c>
      <c r="D37" s="4">
        <v>179387</v>
      </c>
      <c r="E37" s="5" t="s">
        <v>29</v>
      </c>
      <c r="F37" s="6"/>
      <c r="G37" s="4">
        <v>145118</v>
      </c>
      <c r="H37" s="5" t="s">
        <v>29</v>
      </c>
      <c r="I37" s="6"/>
      <c r="J37" s="4">
        <v>99799</v>
      </c>
      <c r="K37" s="5" t="s">
        <v>29</v>
      </c>
      <c r="L37" s="6"/>
      <c r="M37" s="4">
        <v>69680</v>
      </c>
      <c r="N37" s="5" t="s">
        <v>29</v>
      </c>
      <c r="O37" s="6"/>
      <c r="P37" s="6"/>
      <c r="S37" s="34">
        <v>33</v>
      </c>
      <c r="T37" s="7">
        <f t="shared" si="0"/>
        <v>181697</v>
      </c>
      <c r="U37" s="7">
        <f>$G36</f>
        <v>146795</v>
      </c>
      <c r="V37" s="7">
        <f t="shared" si="2"/>
        <v>98359</v>
      </c>
      <c r="W37" s="7">
        <f t="shared" si="3"/>
        <v>68416</v>
      </c>
      <c r="AA37" s="34">
        <v>33</v>
      </c>
      <c r="AB37" s="8">
        <f t="shared" si="5"/>
        <v>183840</v>
      </c>
      <c r="AC37" s="8">
        <f t="shared" si="4"/>
        <v>147002</v>
      </c>
      <c r="AD37" s="8">
        <f t="shared" si="6"/>
        <v>95330</v>
      </c>
      <c r="AE37" s="8">
        <f t="shared" si="7"/>
        <v>66396</v>
      </c>
    </row>
    <row r="38" spans="3:31" x14ac:dyDescent="0.2">
      <c r="C38" s="34">
        <v>34</v>
      </c>
      <c r="D38" s="4">
        <v>180671</v>
      </c>
      <c r="E38" s="5" t="s">
        <v>29</v>
      </c>
      <c r="F38" s="6"/>
      <c r="G38" s="4">
        <v>143815</v>
      </c>
      <c r="H38" s="5" t="s">
        <v>29</v>
      </c>
      <c r="I38" s="6"/>
      <c r="J38" s="4">
        <v>100217</v>
      </c>
      <c r="K38" s="5" t="s">
        <v>29</v>
      </c>
      <c r="L38" s="6"/>
      <c r="M38" s="4">
        <v>71636</v>
      </c>
      <c r="N38" s="5" t="s">
        <v>29</v>
      </c>
      <c r="O38" s="6"/>
      <c r="P38" s="6"/>
      <c r="S38" s="34">
        <v>34</v>
      </c>
      <c r="T38" s="7">
        <f t="shared" si="0"/>
        <v>179387</v>
      </c>
      <c r="U38" s="7">
        <f>$G37</f>
        <v>145118</v>
      </c>
      <c r="V38" s="7">
        <f t="shared" si="2"/>
        <v>99799</v>
      </c>
      <c r="W38" s="7">
        <f t="shared" si="3"/>
        <v>69680</v>
      </c>
      <c r="AA38" s="34">
        <v>34</v>
      </c>
      <c r="AB38" s="8">
        <f t="shared" si="5"/>
        <v>181798</v>
      </c>
      <c r="AC38" s="8">
        <f t="shared" si="4"/>
        <v>147174</v>
      </c>
      <c r="AD38" s="8">
        <f t="shared" si="6"/>
        <v>97070</v>
      </c>
      <c r="AE38" s="8">
        <f t="shared" si="7"/>
        <v>67440</v>
      </c>
    </row>
    <row r="39" spans="3:31" x14ac:dyDescent="0.2">
      <c r="C39" s="34">
        <v>35</v>
      </c>
      <c r="D39" s="4">
        <v>178288</v>
      </c>
      <c r="E39" s="5" t="s">
        <v>29</v>
      </c>
      <c r="F39" s="6"/>
      <c r="G39" s="4">
        <v>143440</v>
      </c>
      <c r="H39" s="5" t="s">
        <v>29</v>
      </c>
      <c r="I39" s="6"/>
      <c r="J39" s="4">
        <v>103012</v>
      </c>
      <c r="K39" s="5" t="s">
        <v>29</v>
      </c>
      <c r="L39" s="6"/>
      <c r="M39" s="4">
        <v>72214</v>
      </c>
      <c r="N39" s="5" t="s">
        <v>29</v>
      </c>
      <c r="O39" s="6"/>
      <c r="P39" s="6"/>
      <c r="S39" s="34">
        <v>35</v>
      </c>
      <c r="T39" s="7">
        <f t="shared" si="0"/>
        <v>180671</v>
      </c>
      <c r="U39" s="7">
        <f>$G38</f>
        <v>143815</v>
      </c>
      <c r="V39" s="7">
        <f t="shared" si="2"/>
        <v>100217</v>
      </c>
      <c r="W39" s="7">
        <f>$M38</f>
        <v>71636</v>
      </c>
      <c r="AA39" s="34">
        <v>35</v>
      </c>
      <c r="AB39" s="8">
        <f t="shared" si="5"/>
        <v>181697</v>
      </c>
      <c r="AC39" s="8">
        <f t="shared" si="4"/>
        <v>146795</v>
      </c>
      <c r="AD39" s="8">
        <f t="shared" si="6"/>
        <v>98359</v>
      </c>
      <c r="AE39" s="8">
        <f t="shared" si="7"/>
        <v>68416</v>
      </c>
    </row>
    <row r="40" spans="3:31" x14ac:dyDescent="0.2">
      <c r="C40" s="34">
        <v>36</v>
      </c>
      <c r="D40" s="4">
        <f>IF((Inventory!D40+Orders!E50*Orders!$E$8)&gt;(Orders!E50*Orders!$E$8+Orders!Z49),0,(Orders!E50*Orders!$E$8+Orders!Z49)-Inventory!D40)</f>
        <v>0</v>
      </c>
      <c r="E40" s="5"/>
      <c r="F40" s="6"/>
      <c r="G40" s="4">
        <f>IF(IF((Inventory!E40+Orders!H50*(1+Orders!$E$9))&gt;(Orders!H50*(1+Orders!$E$9)+Orders!AA49),Orders!H50-(Inventory!E40+Orders!H50-(Orders!H50*(1+Orders!$E$9))),(Orders!H50*(1+Orders!$E$9)+Orders!AA49)-Inventory!E40)&lt;0,0,IF((Inventory!E40+Orders!H50*(1+Orders!$E$9))&gt;(Orders!H50*(1+Orders!$E$9)+Orders!AA49),Orders!H50-(Inventory!E40+Orders!H50-(Orders!H50*(1+Orders!$E$9))),(Orders!H50*(1+Orders!$E$9)+Orders!AA49)-Inventory!E40))</f>
        <v>0</v>
      </c>
      <c r="H40" s="5"/>
      <c r="I40" s="6"/>
      <c r="J40" s="4">
        <f>IF(IF((Inventory!F40+Orders!K50*(1+Orders!$E$10))&gt;(Orders!K50*(1+Orders!$E$10)+Orders!AB49),Orders!K50-(Inventory!F40+Orders!K50-(Orders!K50*(1+Orders!$E$10))),(Orders!K50*(1+Orders!$E$10)+Orders!AB49)-Inventory!F40)&lt;0,0,IF((Inventory!F40+Orders!K50*(1+Orders!$E$10))&gt;(Orders!K50*(1+Orders!$E$10)+Orders!AB49),Orders!K50-(Inventory!F40+Orders!K50-(Orders!K50*(1+Orders!$E$10))),(Orders!K50*(1+Orders!$E$10)+Orders!AB49)-Inventory!F40))</f>
        <v>205784.8365929205</v>
      </c>
      <c r="K40" s="16"/>
      <c r="L40" s="35"/>
      <c r="M40" s="4">
        <f>IF(IF((Inventory!G40+Orders!N50*(1+Orders!$E$11))&gt;(Orders!N50*(1+Orders!$E$11)+Orders!AC49),Orders!N50-(Inventory!G40+Orders!N50-(Orders!N50*(1+Orders!$E$11))),(Orders!N50*(1+Orders!$E$11)+Orders!AC49)-Inventory!G40)&lt;0,0,IF((Inventory!G40+Orders!N50*(1+Orders!$E$11))&gt;(Orders!N50*(1+Orders!$E$11)+Orders!AC49),Orders!N50-(Inventory!G40+Orders!N50-(Orders!N50*(1+Orders!$E$11))),(Orders!N50*(1+Orders!$E$11)+Orders!AC49)-Inventory!G40))</f>
        <v>141495.57100111234</v>
      </c>
      <c r="N40" s="5"/>
      <c r="O40" s="6"/>
      <c r="P40" s="6"/>
      <c r="S40" s="34">
        <v>36</v>
      </c>
      <c r="T40" s="7">
        <f t="shared" ref="T40:T46" si="10">$D39</f>
        <v>178288</v>
      </c>
      <c r="U40" s="7">
        <f>$G39</f>
        <v>143440</v>
      </c>
      <c r="V40" s="7">
        <f>$J39</f>
        <v>103012</v>
      </c>
      <c r="W40" s="7">
        <f>$M39</f>
        <v>72214</v>
      </c>
      <c r="AA40" s="34">
        <v>36</v>
      </c>
      <c r="AB40" s="8">
        <f t="shared" si="5"/>
        <v>179387</v>
      </c>
      <c r="AC40" s="8">
        <f t="shared" si="4"/>
        <v>145118</v>
      </c>
      <c r="AD40" s="8">
        <f t="shared" si="6"/>
        <v>99799</v>
      </c>
      <c r="AE40" s="8">
        <f t="shared" si="7"/>
        <v>69680</v>
      </c>
    </row>
    <row r="41" spans="3:31" x14ac:dyDescent="0.2">
      <c r="C41" s="65">
        <v>37</v>
      </c>
      <c r="D41" s="4">
        <f>IF((Inventory!D41+Orders!E51*(1+Orders!$E$8))&gt;(Orders!E51*(1+Orders!$E$8)+Orders!Z50),Orders!E51-(Inventory!D41+Orders!E51-(Orders!E51*(1+Orders!$E$8))),(Orders!E51*(1+Orders!$E$8)+Orders!Z50)-Inventory!D41)</f>
        <v>106086.24798091923</v>
      </c>
      <c r="E41" s="9"/>
      <c r="F41" s="19"/>
      <c r="G41" s="4">
        <f>IF(IF((Inventory!E41+Orders!H51*(1+Orders!$E$9))&gt;(Orders!H51*(1+Orders!$E$9)+Orders!AA50),Orders!H51-(Inventory!E41+Orders!H51-(Orders!H51*(1+Orders!$E$9))),(Orders!H51*(1+Orders!$E$9)+Orders!AA50)-Inventory!E41)&lt;0,0,IF((Inventory!E41+Orders!H51*(1+Orders!$E$9))&gt;(Orders!H51*(1+Orders!$E$9)+Orders!AA50),Orders!H51-(Inventory!E41+Orders!H51-(Orders!H51*(1+Orders!$E$9))),(Orders!H51*(1+Orders!$E$9)+Orders!AA50)-Inventory!E41))</f>
        <v>0</v>
      </c>
      <c r="H41" s="9"/>
      <c r="I41" s="19"/>
      <c r="J41" s="4">
        <f>IF(IF((Inventory!F41+Orders!K51*(1+Orders!$E$10))&gt;(Orders!K51*(1+Orders!$E$10)+Orders!AB50),Orders!K51-(Inventory!F41+Orders!K51-(Orders!K51*(1+Orders!$E$10))),(Orders!K51*(1+Orders!$E$10)+Orders!AB50)-Inventory!F41)&lt;0,0,IF((Inventory!F41+Orders!K51*(1+Orders!$E$10))&gt;(Orders!K51*(1+Orders!$E$10)+Orders!AB50),Orders!K51-(Inventory!F41+Orders!K51-(Orders!K51*(1+Orders!$E$10))),(Orders!K51*(1+Orders!$E$10)+Orders!AB50)-Inventory!F41))</f>
        <v>114167.8800953711</v>
      </c>
      <c r="K41" s="9"/>
      <c r="L41" s="19"/>
      <c r="M41" s="4">
        <f>IF(IF((Inventory!G41+Orders!N51*(1+Orders!$E$11))&gt;(Orders!N51*(1+Orders!$E$11)+Orders!AC50),Orders!N51-(Inventory!G41+Orders!N51-(Orders!N51*(1+Orders!$E$11))),(Orders!N51*(1+Orders!$E$11)+Orders!AC50)-Inventory!G41)&lt;0,0,IF((Inventory!G41+Orders!N51*(1+Orders!$E$11))&gt;(Orders!N51*(1+Orders!$E$11)+Orders!AC50),Orders!N51-(Inventory!G41+Orders!N51-(Orders!N51*(1+Orders!$E$11))),(Orders!N51*(1+Orders!$E$11)+Orders!AC50)-Inventory!G41))</f>
        <v>85369.338583611418</v>
      </c>
      <c r="N41" s="9"/>
      <c r="O41" s="19"/>
      <c r="S41" s="65">
        <v>37</v>
      </c>
      <c r="T41" s="8">
        <f t="shared" si="10"/>
        <v>0</v>
      </c>
      <c r="U41" s="8">
        <f t="shared" ref="U41:U63" si="11">$G40</f>
        <v>0</v>
      </c>
      <c r="V41" s="8">
        <f t="shared" ref="V41:V63" si="12">$J40</f>
        <v>205784.8365929205</v>
      </c>
      <c r="W41" s="8">
        <f t="shared" ref="W41:W63" si="13">$M40</f>
        <v>141495.57100111234</v>
      </c>
      <c r="Z41" s="3"/>
      <c r="AA41" s="65">
        <v>37</v>
      </c>
      <c r="AB41" s="8">
        <f>$T39</f>
        <v>180671</v>
      </c>
      <c r="AC41" s="8">
        <f t="shared" si="4"/>
        <v>143815</v>
      </c>
      <c r="AD41" s="8">
        <f t="shared" si="6"/>
        <v>100217</v>
      </c>
      <c r="AE41" s="8">
        <f t="shared" si="7"/>
        <v>71636</v>
      </c>
    </row>
    <row r="42" spans="3:31" x14ac:dyDescent="0.2">
      <c r="C42" s="65">
        <v>38</v>
      </c>
      <c r="D42" s="4">
        <f>IF((Inventory!D42+Orders!E52*(1+Orders!$E$8))&gt;(Orders!E52*(1+Orders!$E$8)+Orders!Z51),Orders!E52-(Inventory!D42+Orders!E52-(Orders!E52*(1+Orders!$E$8))),(Orders!E52*(1+Orders!$E$8)+Orders!Z51)-Inventory!D42)</f>
        <v>180070.47471024419</v>
      </c>
      <c r="E42" s="9"/>
      <c r="F42" s="19"/>
      <c r="G42" s="4">
        <f>IF(IF((Inventory!E42+Orders!H52*(1+Orders!$E$9))&gt;(Orders!H52*(1+Orders!$E$9)+Orders!AA51),Orders!H52-(Inventory!E42+Orders!H52-(Orders!H52*(1+Orders!$E$9))),(Orders!H52*(1+Orders!$E$9)+Orders!AA51)-Inventory!E42)&lt;0,0,IF((Inventory!E42+Orders!H52*(1+Orders!$E$9))&gt;(Orders!H52*(1+Orders!$E$9)+Orders!AA51),Orders!H52-(Inventory!E42+Orders!H52-(Orders!H52*(1+Orders!$E$9))),(Orders!H52*(1+Orders!$E$9)+Orders!AA51)-Inventory!E42))</f>
        <v>0</v>
      </c>
      <c r="H42" s="9"/>
      <c r="I42" s="19"/>
      <c r="J42" s="4">
        <f>IF(IF((Inventory!F42+Orders!K52*(1+Orders!$E$10))&gt;(Orders!K52*(1+Orders!$E$10)+Orders!AB51),Orders!K52-(Inventory!F42+Orders!K52-(Orders!K52*(1+Orders!$E$10))),(Orders!K52*(1+Orders!$E$10)+Orders!AB51)-Inventory!F42)&lt;0,0,IF((Inventory!F42+Orders!K52*(1+Orders!$E$10))&gt;(Orders!K52*(1+Orders!$E$10)+Orders!AB51),Orders!K52-(Inventory!F42+Orders!K52-(Orders!K52*(1+Orders!$E$10))),(Orders!K52*(1+Orders!$E$10)+Orders!AB51)-Inventory!F42))</f>
        <v>114645.03913010092</v>
      </c>
      <c r="K42" s="9"/>
      <c r="L42" s="19"/>
      <c r="M42" s="4">
        <f>IF(IF((Inventory!G42+Orders!N52*(1+Orders!$E$11))&gt;(Orders!N52*(1+Orders!$E$11)+Orders!AC51),Orders!N52-(Inventory!G42+Orders!N52-(Orders!N52*(1+Orders!$E$11))),(Orders!N52*(1+Orders!$E$11)+Orders!AC51)-Inventory!G42)&lt;0,0,IF((Inventory!G42+Orders!N52*(1+Orders!$E$11))&gt;(Orders!N52*(1+Orders!$E$11)+Orders!AC51),Orders!N52-(Inventory!G42+Orders!N52-(Orders!N52*(1+Orders!$E$11))),(Orders!N52*(1+Orders!$E$11)+Orders!AC51)-Inventory!G42))</f>
        <v>86508.009106414553</v>
      </c>
      <c r="N42" s="9"/>
      <c r="O42" s="19"/>
      <c r="S42" s="65">
        <v>38</v>
      </c>
      <c r="T42" s="8">
        <f t="shared" si="10"/>
        <v>106086.24798091923</v>
      </c>
      <c r="U42" s="8">
        <f t="shared" si="11"/>
        <v>0</v>
      </c>
      <c r="V42" s="8">
        <f t="shared" si="12"/>
        <v>114167.8800953711</v>
      </c>
      <c r="W42" s="8">
        <f t="shared" si="13"/>
        <v>85369.338583611418</v>
      </c>
      <c r="Z42" s="3"/>
      <c r="AA42" s="65">
        <v>38</v>
      </c>
      <c r="AB42" s="8">
        <f>$T40</f>
        <v>178288</v>
      </c>
      <c r="AC42" s="8">
        <f t="shared" si="4"/>
        <v>143440</v>
      </c>
      <c r="AD42" s="8">
        <f t="shared" si="6"/>
        <v>103012</v>
      </c>
      <c r="AE42" s="8">
        <f t="shared" si="7"/>
        <v>72214</v>
      </c>
    </row>
    <row r="43" spans="3:31" x14ac:dyDescent="0.2">
      <c r="C43" s="65">
        <v>39</v>
      </c>
      <c r="D43" s="4">
        <f>IF((Inventory!D43+Orders!E53*(1+Orders!$E$8))&gt;(Orders!E53*(1+Orders!$E$8)+Orders!Z52),Orders!E53-(Inventory!D43+Orders!E53-(Orders!E53*(1+Orders!$E$8))),(Orders!E53*(1+Orders!$E$8)+Orders!Z52)-Inventory!D43)</f>
        <v>172813.27379714916</v>
      </c>
      <c r="E43" s="9"/>
      <c r="F43" s="19"/>
      <c r="G43" s="4">
        <f>IF(IF((Inventory!E43+Orders!H53*(1+Orders!$E$9))&gt;(Orders!H53*(1+Orders!$E$9)+Orders!AA52),Orders!H53-(Inventory!E43+Orders!H53-(Orders!H53*(1+Orders!$E$9))),(Orders!H53*(1+Orders!$E$9)+Orders!AA52)-Inventory!E43)&lt;0,0,IF((Inventory!E43+Orders!H53*(1+Orders!$E$9))&gt;(Orders!H53*(1+Orders!$E$9)+Orders!AA52),Orders!H53-(Inventory!E43+Orders!H53-(Orders!H53*(1+Orders!$E$9))),(Orders!H53*(1+Orders!$E$9)+Orders!AA52)-Inventory!E43))</f>
        <v>0</v>
      </c>
      <c r="H43" s="9"/>
      <c r="I43" s="19"/>
      <c r="J43" s="4">
        <f>IF(IF((Inventory!F43+Orders!K53*(1+Orders!$E$10))&gt;(Orders!K53*(1+Orders!$E$10)+Orders!AB52),Orders!K53-(Inventory!F43+Orders!K53-(Orders!K53*(1+Orders!$E$10))),(Orders!K53*(1+Orders!$E$10)+Orders!AB52)-Inventory!F43)&lt;0,0,IF((Inventory!F43+Orders!K53*(1+Orders!$E$10))&gt;(Orders!K53*(1+Orders!$E$10)+Orders!AB52),Orders!K53-(Inventory!F43+Orders!K53-(Orders!K53*(1+Orders!$E$10))),(Orders!K53*(1+Orders!$E$10)+Orders!AB52)-Inventory!F43))</f>
        <v>115122.1981648308</v>
      </c>
      <c r="K43" s="9"/>
      <c r="L43" s="19"/>
      <c r="M43" s="4">
        <f>IF(IF((Inventory!G43+Orders!N53*(1+Orders!$E$11))&gt;(Orders!N53*(1+Orders!$E$11)+Orders!AC52),Orders!N53-(Inventory!G43+Orders!N53-(Orders!N53*(1+Orders!$E$11))),(Orders!N53*(1+Orders!$E$11)+Orders!AC52)-Inventory!G43)&lt;0,0,IF((Inventory!G43+Orders!N53*(1+Orders!$E$11))&gt;(Orders!N53*(1+Orders!$E$11)+Orders!AC52),Orders!N53-(Inventory!G43+Orders!N53-(Orders!N53*(1+Orders!$E$11))),(Orders!N53*(1+Orders!$E$11)+Orders!AC52)-Inventory!G43))</f>
        <v>87646.679629217659</v>
      </c>
      <c r="N43" s="9"/>
      <c r="O43" s="19"/>
      <c r="S43" s="65">
        <v>39</v>
      </c>
      <c r="T43" s="8">
        <f t="shared" si="10"/>
        <v>180070.47471024419</v>
      </c>
      <c r="U43" s="8">
        <f>$G42</f>
        <v>0</v>
      </c>
      <c r="V43" s="8">
        <f>$J42</f>
        <v>114645.03913010092</v>
      </c>
      <c r="W43" s="8">
        <f>$M42</f>
        <v>86508.009106414553</v>
      </c>
      <c r="Z43" s="3"/>
      <c r="AA43" s="65">
        <v>39</v>
      </c>
      <c r="AB43" s="8">
        <f>$T41</f>
        <v>0</v>
      </c>
      <c r="AC43" s="8">
        <f t="shared" si="4"/>
        <v>0</v>
      </c>
      <c r="AD43" s="8">
        <f>$V41</f>
        <v>205784.8365929205</v>
      </c>
      <c r="AE43" s="8">
        <f t="shared" si="7"/>
        <v>141495.57100111234</v>
      </c>
    </row>
    <row r="44" spans="3:31" x14ac:dyDescent="0.2">
      <c r="C44" s="65">
        <v>40</v>
      </c>
      <c r="D44" s="4">
        <f>IF((Inventory!D44+Orders!E54*(1+Orders!$E$8))&gt;(Orders!E54*(1+Orders!$E$8)+Orders!Z53),Orders!E54-(Inventory!D44+Orders!E54-(Orders!E54*(1+Orders!$E$8))),(Orders!E54*(1+Orders!$E$8)+Orders!Z53)-Inventory!D44)</f>
        <v>168805.30276347807</v>
      </c>
      <c r="E44" s="9"/>
      <c r="F44" s="19"/>
      <c r="G44" s="4">
        <f>IF(IF((Inventory!E44+Orders!H54*(1+Orders!$E$9))&gt;(Orders!H54*(1+Orders!$E$9)+Orders!AA53),Orders!H54-(Inventory!E44+Orders!H54-(Orders!H54*(1+Orders!$E$9))),(Orders!H54*(1+Orders!$E$9)+Orders!AA53)-Inventory!E44)&lt;0,0,IF((Inventory!E44+Orders!H54*(1+Orders!$E$9))&gt;(Orders!H54*(1+Orders!$E$9)+Orders!AA53),Orders!H54-(Inventory!E44+Orders!H54-(Orders!H54*(1+Orders!$E$9))),(Orders!H54*(1+Orders!$E$9)+Orders!AA53)-Inventory!E44))</f>
        <v>131190.08241008531</v>
      </c>
      <c r="H44" s="9"/>
      <c r="I44" s="19"/>
      <c r="J44" s="4">
        <f>IF(IF((Inventory!F44+Orders!K54*(1+Orders!$E$10))&gt;(Orders!K54*(1+Orders!$E$10)+Orders!AB53),Orders!K54-(Inventory!F44+Orders!K54-(Orders!K54*(1+Orders!$E$10))),(Orders!K54*(1+Orders!$E$10)+Orders!AB53)-Inventory!F44)&lt;0,0,IF((Inventory!F44+Orders!K54*(1+Orders!$E$10))&gt;(Orders!K54*(1+Orders!$E$10)+Orders!AB53),Orders!K54-(Inventory!F44+Orders!K54-(Orders!K54*(1+Orders!$E$10))),(Orders!K54*(1+Orders!$E$10)+Orders!AB53)-Inventory!F44))</f>
        <v>115599.35719956065</v>
      </c>
      <c r="K44" s="9"/>
      <c r="L44" s="19"/>
      <c r="M44" s="4">
        <f>IF(IF((Inventory!G44+Orders!N54*(1+Orders!$E$11))&gt;(Orders!N54*(1+Orders!$E$11)+Orders!AC53),Orders!N54-(Inventory!G44+Orders!N54-(Orders!N54*(1+Orders!$E$11))),(Orders!N54*(1+Orders!$E$11)+Orders!AC53)-Inventory!G44)&lt;0,0,IF((Inventory!G44+Orders!N54*(1+Orders!$E$11))&gt;(Orders!N54*(1+Orders!$E$11)+Orders!AC53),Orders!N54-(Inventory!G44+Orders!N54-(Orders!N54*(1+Orders!$E$11))),(Orders!N54*(1+Orders!$E$11)+Orders!AC53)-Inventory!G44))</f>
        <v>88785.35015202075</v>
      </c>
      <c r="N44" s="9"/>
      <c r="O44" s="19"/>
      <c r="S44" s="65">
        <v>40</v>
      </c>
      <c r="T44" s="8">
        <f t="shared" si="10"/>
        <v>172813.27379714916</v>
      </c>
      <c r="U44" s="8">
        <f>$G43</f>
        <v>0</v>
      </c>
      <c r="V44" s="8">
        <f t="shared" si="12"/>
        <v>115122.1981648308</v>
      </c>
      <c r="W44" s="8">
        <f>$M43</f>
        <v>87646.679629217659</v>
      </c>
      <c r="Z44" s="3"/>
      <c r="AA44" s="65">
        <v>40</v>
      </c>
      <c r="AB44" s="8">
        <f>$T42</f>
        <v>106086.24798091923</v>
      </c>
      <c r="AC44" s="8">
        <f t="shared" si="4"/>
        <v>0</v>
      </c>
      <c r="AD44" s="8">
        <f t="shared" si="6"/>
        <v>114167.8800953711</v>
      </c>
      <c r="AE44" s="8">
        <f t="shared" si="7"/>
        <v>85369.338583611418</v>
      </c>
    </row>
    <row r="45" spans="3:31" x14ac:dyDescent="0.2">
      <c r="C45" s="65">
        <v>41</v>
      </c>
      <c r="D45" s="4">
        <f>IF((Inventory!D45+Orders!E55*(1+Orders!$E$8))&gt;(Orders!E55*(1+Orders!$E$8)+Orders!Z54),Orders!E55-(Inventory!D45+Orders!E55-(Orders!E55*(1+Orders!$E$8))),(Orders!E55*(1+Orders!$E$8)+Orders!Z54)-Inventory!D45)</f>
        <v>167700.12144254291</v>
      </c>
      <c r="E45" s="9"/>
      <c r="F45" s="19"/>
      <c r="G45" s="4">
        <f>IF(IF((Inventory!E45+Orders!H55*(1+Orders!$E$9))&gt;(Orders!H55*(1+Orders!$E$9)+Orders!AA54),Orders!H55-(Inventory!E45+Orders!H55-(Orders!H55*(1+Orders!$E$9))),(Orders!H55*(1+Orders!$E$9)+Orders!AA54)-Inventory!E45)&lt;0,0,IF((Inventory!E45+Orders!H55*(1+Orders!$E$9))&gt;(Orders!H55*(1+Orders!$E$9)+Orders!AA54),Orders!H55-(Inventory!E45+Orders!H55-(Orders!H55*(1+Orders!$E$9))),(Orders!H55*(1+Orders!$E$9)+Orders!AA54)-Inventory!E45))</f>
        <v>134763.53256210603</v>
      </c>
      <c r="H45" s="9"/>
      <c r="I45" s="19"/>
      <c r="J45" s="4">
        <f>IF(IF((Inventory!F45+Orders!K55*(1+Orders!$E$10))&gt;(Orders!K55*(1+Orders!$E$10)+Orders!AB54),Orders!K55-(Inventory!F45+Orders!K55-(Orders!K55*(1+Orders!$E$10))),(Orders!K55*(1+Orders!$E$10)+Orders!AB54)-Inventory!F45)&lt;0,0,IF((Inventory!F45+Orders!K55*(1+Orders!$E$10))&gt;(Orders!K55*(1+Orders!$E$10)+Orders!AB54),Orders!K55-(Inventory!F45+Orders!K55-(Orders!K55*(1+Orders!$E$10))),(Orders!K55*(1+Orders!$E$10)+Orders!AB54)-Inventory!F45))</f>
        <v>116076.51623429048</v>
      </c>
      <c r="K45" s="9"/>
      <c r="L45" s="19"/>
      <c r="M45" s="4">
        <f>IF(IF((Inventory!G45+Orders!N55*(1+Orders!$E$11))&gt;(Orders!N55*(1+Orders!$E$11)+Orders!AC54),Orders!N55-(Inventory!G45+Orders!N55-(Orders!N55*(1+Orders!$E$11))),(Orders!N55*(1+Orders!$E$11)+Orders!AC54)-Inventory!G45)&lt;0,0,IF((Inventory!G45+Orders!N55*(1+Orders!$E$11))&gt;(Orders!N55*(1+Orders!$E$11)+Orders!AC54),Orders!N55-(Inventory!G45+Orders!N55-(Orders!N55*(1+Orders!$E$11))),(Orders!N55*(1+Orders!$E$11)+Orders!AC54)-Inventory!G45))</f>
        <v>89924.020674823885</v>
      </c>
      <c r="N45" s="9"/>
      <c r="O45" s="19"/>
      <c r="S45" s="65">
        <v>41</v>
      </c>
      <c r="T45" s="8">
        <f t="shared" si="10"/>
        <v>168805.30276347807</v>
      </c>
      <c r="U45" s="8">
        <f t="shared" si="11"/>
        <v>131190.08241008531</v>
      </c>
      <c r="V45" s="8">
        <f t="shared" si="12"/>
        <v>115599.35719956065</v>
      </c>
      <c r="W45" s="8">
        <f>$M44</f>
        <v>88785.35015202075</v>
      </c>
      <c r="Z45" s="3"/>
      <c r="AA45" s="65">
        <v>41</v>
      </c>
      <c r="AB45" s="8">
        <f>$T43</f>
        <v>180070.47471024419</v>
      </c>
      <c r="AC45" s="8">
        <f t="shared" si="4"/>
        <v>0</v>
      </c>
      <c r="AD45" s="8">
        <f t="shared" si="6"/>
        <v>114645.03913010092</v>
      </c>
      <c r="AE45" s="8">
        <f t="shared" si="7"/>
        <v>86508.009106414553</v>
      </c>
    </row>
    <row r="46" spans="3:31" x14ac:dyDescent="0.2">
      <c r="C46" s="65">
        <v>42</v>
      </c>
      <c r="D46" s="4">
        <f>IF((Inventory!D46+Orders!E56*(1+Orders!$E$8))&gt;(Orders!E56*(1+Orders!$E$8)+Orders!Z55),Orders!E56-(Inventory!D46+Orders!E56-(Orders!E56*(1+Orders!$E$8))),(Orders!E56*(1+Orders!$E$8)+Orders!Z55)-Inventory!D46)</f>
        <v>185600.54370782312</v>
      </c>
      <c r="E46" s="9"/>
      <c r="F46" s="19"/>
      <c r="G46" s="4">
        <f>IF(IF((Inventory!E46+Orders!H56*(1+Orders!$E$9))&gt;(Orders!H56*(1+Orders!$E$9)+Orders!AA55),Orders!H56-(Inventory!E46+Orders!H56-(Orders!H56*(1+Orders!$E$9))),(Orders!H56*(1+Orders!$E$9)+Orders!AA55)-Inventory!E46)&lt;0,0,IF((Inventory!E46+Orders!H56*(1+Orders!$E$9))&gt;(Orders!H56*(1+Orders!$E$9)+Orders!AA55),Orders!H56-(Inventory!E46+Orders!H56-(Orders!H56*(1+Orders!$E$9))),(Orders!H56*(1+Orders!$E$9)+Orders!AA55)-Inventory!E46))</f>
        <v>134207.57972562106</v>
      </c>
      <c r="H46" s="9"/>
      <c r="I46" s="19"/>
      <c r="J46" s="4">
        <f>IF(IF((Inventory!F46+Orders!K56*(1+Orders!$E$10))&gt;(Orders!K56*(1+Orders!$E$10)+Orders!AB55),Orders!K56-(Inventory!F46+Orders!K56-(Orders!K56*(1+Orders!$E$10))),(Orders!K56*(1+Orders!$E$10)+Orders!AB55)-Inventory!F46)&lt;0,0,IF((Inventory!F46+Orders!K56*(1+Orders!$E$10))&gt;(Orders!K56*(1+Orders!$E$10)+Orders!AB55),Orders!K56-(Inventory!F46+Orders!K56-(Orders!K56*(1+Orders!$E$10))),(Orders!K56*(1+Orders!$E$10)+Orders!AB55)-Inventory!F46))</f>
        <v>116553.67526902036</v>
      </c>
      <c r="K46" s="9"/>
      <c r="L46" s="19"/>
      <c r="M46" s="4">
        <f>IF(IF((Inventory!G46+Orders!N56*(1+Orders!$E$11))&gt;(Orders!N56*(1+Orders!$E$11)+Orders!AC55),Orders!N56-(Inventory!G46+Orders!N56-(Orders!N56*(1+Orders!$E$11))),(Orders!N56*(1+Orders!$E$11)+Orders!AC55)-Inventory!G46)&lt;0,0,IF((Inventory!G46+Orders!N56*(1+Orders!$E$11))&gt;(Orders!N56*(1+Orders!$E$11)+Orders!AC55),Orders!N56-(Inventory!G46+Orders!N56-(Orders!N56*(1+Orders!$E$11))),(Orders!N56*(1+Orders!$E$11)+Orders!AC55)-Inventory!G46))</f>
        <v>91062.691197626991</v>
      </c>
      <c r="N46" s="9"/>
      <c r="O46" s="19"/>
      <c r="S46" s="65">
        <v>42</v>
      </c>
      <c r="T46" s="8">
        <f t="shared" si="10"/>
        <v>167700.12144254291</v>
      </c>
      <c r="U46" s="8">
        <f t="shared" si="11"/>
        <v>134763.53256210603</v>
      </c>
      <c r="V46" s="8">
        <f t="shared" si="12"/>
        <v>116076.51623429048</v>
      </c>
      <c r="W46" s="8">
        <f>$M45</f>
        <v>89924.020674823885</v>
      </c>
      <c r="Z46" s="3"/>
      <c r="AA46" s="65">
        <v>42</v>
      </c>
      <c r="AB46" s="8">
        <f t="shared" si="5"/>
        <v>172813.27379714916</v>
      </c>
      <c r="AC46" s="8">
        <f>$U44</f>
        <v>0</v>
      </c>
      <c r="AD46" s="8">
        <f t="shared" si="6"/>
        <v>115122.1981648308</v>
      </c>
      <c r="AE46" s="8">
        <f t="shared" si="7"/>
        <v>87646.679629217659</v>
      </c>
    </row>
    <row r="47" spans="3:31" x14ac:dyDescent="0.2">
      <c r="C47" s="65">
        <v>43</v>
      </c>
      <c r="D47" s="4">
        <f>IF((Inventory!D47+Orders!E57*(1+Orders!$E$8))&gt;(Orders!E57*(1+Orders!$E$8)+Orders!Z56),Orders!E57-(Inventory!D47+Orders!E57-(Orders!E57*(1+Orders!$E$8))),(Orders!E57*(1+Orders!$E$8)+Orders!Z56)-Inventory!D47)</f>
        <v>177190.84171839411</v>
      </c>
      <c r="E47" s="9"/>
      <c r="F47" s="19"/>
      <c r="G47" s="4">
        <f>IF(IF((Inventory!E47+Orders!H57*(1+Orders!$E$9))&gt;(Orders!H57*(1+Orders!$E$9)+Orders!AA56),Orders!H57-(Inventory!E47+Orders!H57-(Orders!H57*(1+Orders!$E$9))),(Orders!H57*(1+Orders!$E$9)+Orders!AA56)-Inventory!E47)&lt;0,0,IF((Inventory!E47+Orders!H57*(1+Orders!$E$9))&gt;(Orders!H57*(1+Orders!$E$9)+Orders!AA56),Orders!H57-(Inventory!E47+Orders!H57-(Orders!H57*(1+Orders!$E$9))),(Orders!H57*(1+Orders!$E$9)+Orders!AA56)-Inventory!E47))</f>
        <v>133651.62688913607</v>
      </c>
      <c r="H47" s="9"/>
      <c r="I47" s="19"/>
      <c r="J47" s="4">
        <f>IF(IF((Inventory!F47+Orders!K57*(1+Orders!$E$10))&gt;(Orders!K57*(1+Orders!$E$10)+Orders!AB56),Orders!K57-(Inventory!F47+Orders!K57-(Orders!K57*(1+Orders!$E$10))),(Orders!K57*(1+Orders!$E$10)+Orders!AB56)-Inventory!F47)&lt;0,0,IF((Inventory!F47+Orders!K57*(1+Orders!$E$10))&gt;(Orders!K57*(1+Orders!$E$10)+Orders!AB56),Orders!K57-(Inventory!F47+Orders!K57-(Orders!K57*(1+Orders!$E$10))),(Orders!K57*(1+Orders!$E$10)+Orders!AB56)-Inventory!F47))</f>
        <v>117030.83430375021</v>
      </c>
      <c r="K47" s="9"/>
      <c r="L47" s="19"/>
      <c r="M47" s="4">
        <f>IF(IF((Inventory!G47+Orders!N57*(1+Orders!$E$11))&gt;(Orders!N57*(1+Orders!$E$11)+Orders!AC56),Orders!N57-(Inventory!G47+Orders!N57-(Orders!N57*(1+Orders!$E$11))),(Orders!N57*(1+Orders!$E$11)+Orders!AC56)-Inventory!G47)&lt;0,0,IF((Inventory!G47+Orders!N57*(1+Orders!$E$11))&gt;(Orders!N57*(1+Orders!$E$11)+Orders!AC56),Orders!N57-(Inventory!G47+Orders!N57-(Orders!N57*(1+Orders!$E$11))),(Orders!N57*(1+Orders!$E$11)+Orders!AC56)-Inventory!G47))</f>
        <v>92201.361720430126</v>
      </c>
      <c r="N47" s="9"/>
      <c r="O47" s="19"/>
      <c r="S47" s="65">
        <v>43</v>
      </c>
      <c r="T47" s="8">
        <f t="shared" si="0"/>
        <v>185600.54370782312</v>
      </c>
      <c r="U47" s="8">
        <f t="shared" si="11"/>
        <v>134207.57972562106</v>
      </c>
      <c r="V47" s="8">
        <f t="shared" si="12"/>
        <v>116553.67526902036</v>
      </c>
      <c r="W47" s="8">
        <f>$M46</f>
        <v>91062.691197626991</v>
      </c>
      <c r="AA47" s="65">
        <v>43</v>
      </c>
      <c r="AB47" s="8">
        <f t="shared" si="5"/>
        <v>168805.30276347807</v>
      </c>
      <c r="AC47" s="8">
        <f t="shared" ref="AC47:AC63" si="14">$U45</f>
        <v>131190.08241008531</v>
      </c>
      <c r="AD47" s="8">
        <f t="shared" si="6"/>
        <v>115599.35719956065</v>
      </c>
      <c r="AE47" s="8">
        <f t="shared" si="7"/>
        <v>88785.35015202075</v>
      </c>
    </row>
    <row r="48" spans="3:31" x14ac:dyDescent="0.2">
      <c r="C48" s="65">
        <v>44</v>
      </c>
      <c r="D48" s="4">
        <f>IF((Inventory!D48+Orders!E58*(1+Orders!$E$8))&gt;(Orders!E58*(1+Orders!$E$8)+Orders!Z57),Orders!E58-(Inventory!D48+Orders!E58-(Orders!E58*(1+Orders!$E$8))),(Orders!E58*(1+Orders!$E$8)+Orders!Z57)-Inventory!D48)</f>
        <v>183356.27243391683</v>
      </c>
      <c r="E48" s="9"/>
      <c r="F48" s="19"/>
      <c r="G48" s="4">
        <f>IF(IF((Inventory!E48+Orders!H58*(1+Orders!$E$9))&gt;(Orders!H58*(1+Orders!$E$9)+Orders!AA57),Orders!H58-(Inventory!E48+Orders!H58-(Orders!H58*(1+Orders!$E$9))),(Orders!H58*(1+Orders!$E$9)+Orders!AA57)-Inventory!E48)&lt;0,0,IF((Inventory!E48+Orders!H58*(1+Orders!$E$9))&gt;(Orders!H58*(1+Orders!$E$9)+Orders!AA57),Orders!H58-(Inventory!E48+Orders!H58-(Orders!H58*(1+Orders!$E$9))),(Orders!H58*(1+Orders!$E$9)+Orders!AA57)-Inventory!E48))</f>
        <v>133095.6740526511</v>
      </c>
      <c r="H48" s="9"/>
      <c r="I48" s="19"/>
      <c r="J48" s="4">
        <f>IF(IF((Inventory!F48+Orders!K58*(1+Orders!$E$10))&gt;(Orders!K58*(1+Orders!$E$10)+Orders!AB57),Orders!K58-(Inventory!F48+Orders!K58-(Orders!K58*(1+Orders!$E$10))),(Orders!K58*(1+Orders!$E$10)+Orders!AB57)-Inventory!F48)&lt;0,0,IF((Inventory!F48+Orders!K58*(1+Orders!$E$10))&gt;(Orders!K58*(1+Orders!$E$10)+Orders!AB57),Orders!K58-(Inventory!F48+Orders!K58-(Orders!K58*(1+Orders!$E$10))),(Orders!K58*(1+Orders!$E$10)+Orders!AB57)-Inventory!F48))</f>
        <v>117507.99333848002</v>
      </c>
      <c r="K48" s="9"/>
      <c r="L48" s="19"/>
      <c r="M48" s="4">
        <f>IF(IF((Inventory!G48+Orders!N58*(1+Orders!$E$11))&gt;(Orders!N58*(1+Orders!$E$11)+Orders!AC57),Orders!N58-(Inventory!G48+Orders!N58-(Orders!N58*(1+Orders!$E$11))),(Orders!N58*(1+Orders!$E$11)+Orders!AC57)-Inventory!G48)&lt;0,0,IF((Inventory!G48+Orders!N58*(1+Orders!$E$11))&gt;(Orders!N58*(1+Orders!$E$11)+Orders!AC57),Orders!N58-(Inventory!G48+Orders!N58-(Orders!N58*(1+Orders!$E$11))),(Orders!N58*(1+Orders!$E$11)+Orders!AC57)-Inventory!G48))</f>
        <v>93340.032243233232</v>
      </c>
      <c r="N48" s="9"/>
      <c r="O48" s="19"/>
      <c r="S48" s="65">
        <v>44</v>
      </c>
      <c r="T48" s="8">
        <f t="shared" si="0"/>
        <v>177190.84171839411</v>
      </c>
      <c r="U48" s="8">
        <f>$G47</f>
        <v>133651.62688913607</v>
      </c>
      <c r="V48" s="8">
        <f t="shared" si="12"/>
        <v>117030.83430375021</v>
      </c>
      <c r="W48" s="8">
        <f t="shared" si="13"/>
        <v>92201.361720430126</v>
      </c>
      <c r="AA48" s="65">
        <v>44</v>
      </c>
      <c r="AB48" s="8">
        <f t="shared" si="5"/>
        <v>167700.12144254291</v>
      </c>
      <c r="AC48" s="8">
        <f t="shared" si="14"/>
        <v>134763.53256210603</v>
      </c>
      <c r="AD48" s="8">
        <f t="shared" si="6"/>
        <v>116076.51623429048</v>
      </c>
      <c r="AE48" s="8">
        <f t="shared" si="7"/>
        <v>89924.020674823885</v>
      </c>
    </row>
    <row r="49" spans="2:31" x14ac:dyDescent="0.2">
      <c r="C49" s="65">
        <v>45</v>
      </c>
      <c r="D49" s="4">
        <f>IF((Inventory!D49+Orders!E59*(1+Orders!$E$8))&gt;(Orders!E59*(1+Orders!$E$8)+Orders!Z58),Orders!E59-(Inventory!D49+Orders!E59-(Orders!E59*(1+Orders!$E$8))),(Orders!E59*(1+Orders!$E$8)+Orders!Z58)-Inventory!D49)</f>
        <v>191366.21503113804</v>
      </c>
      <c r="E49" s="9"/>
      <c r="F49" s="19"/>
      <c r="G49" s="4">
        <f>IF(IF((Inventory!E49+Orders!H59*(1+Orders!$E$9))&gt;(Orders!H59*(1+Orders!$E$9)+Orders!AA58),Orders!H59-(Inventory!E49+Orders!H59-(Orders!H59*(1+Orders!$E$9))),(Orders!H59*(1+Orders!$E$9)+Orders!AA58)-Inventory!E49)&lt;0,0,IF((Inventory!E49+Orders!H59*(1+Orders!$E$9))&gt;(Orders!H59*(1+Orders!$E$9)+Orders!AA58),Orders!H59-(Inventory!E49+Orders!H59-(Orders!H59*(1+Orders!$E$9))),(Orders!H59*(1+Orders!$E$9)+Orders!AA58)-Inventory!E49))</f>
        <v>132539.72121616613</v>
      </c>
      <c r="H49" s="9"/>
      <c r="I49" s="19"/>
      <c r="J49" s="4">
        <f>IF(IF((Inventory!F49+Orders!K59*(1+Orders!$E$10))&gt;(Orders!K59*(1+Orders!$E$10)+Orders!AB58),Orders!K59-(Inventory!F49+Orders!K59-(Orders!K59*(1+Orders!$E$10))),(Orders!K59*(1+Orders!$E$10)+Orders!AB58)-Inventory!F49)&lt;0,0,IF((Inventory!F49+Orders!K59*(1+Orders!$E$10))&gt;(Orders!K59*(1+Orders!$E$10)+Orders!AB58),Orders!K59-(Inventory!F49+Orders!K59-(Orders!K59*(1+Orders!$E$10))),(Orders!K59*(1+Orders!$E$10)+Orders!AB58)-Inventory!F49))</f>
        <v>117985.1523732099</v>
      </c>
      <c r="K49" s="9"/>
      <c r="L49" s="19"/>
      <c r="M49" s="4">
        <f>IF(IF((Inventory!G49+Orders!N59*(1+Orders!$E$11))&gt;(Orders!N59*(1+Orders!$E$11)+Orders!AC58),Orders!N59-(Inventory!G49+Orders!N59-(Orders!N59*(1+Orders!$E$11))),(Orders!N59*(1+Orders!$E$11)+Orders!AC58)-Inventory!G49)&lt;0,0,IF((Inventory!G49+Orders!N59*(1+Orders!$E$11))&gt;(Orders!N59*(1+Orders!$E$11)+Orders!AC58),Orders!N59-(Inventory!G49+Orders!N59-(Orders!N59*(1+Orders!$E$11))),(Orders!N59*(1+Orders!$E$11)+Orders!AC58)-Inventory!G49))</f>
        <v>94478.702766036324</v>
      </c>
      <c r="N49" s="9"/>
      <c r="O49" s="19"/>
      <c r="S49" s="65">
        <v>45</v>
      </c>
      <c r="T49" s="8">
        <f t="shared" si="0"/>
        <v>183356.27243391683</v>
      </c>
      <c r="U49" s="8">
        <f t="shared" si="11"/>
        <v>133095.6740526511</v>
      </c>
      <c r="V49" s="8">
        <f t="shared" si="12"/>
        <v>117507.99333848002</v>
      </c>
      <c r="W49" s="8">
        <f>$M48</f>
        <v>93340.032243233232</v>
      </c>
      <c r="AA49" s="65">
        <v>45</v>
      </c>
      <c r="AB49" s="8">
        <f t="shared" si="5"/>
        <v>185600.54370782312</v>
      </c>
      <c r="AC49" s="8">
        <f t="shared" si="14"/>
        <v>134207.57972562106</v>
      </c>
      <c r="AD49" s="8">
        <f t="shared" si="6"/>
        <v>116553.67526902036</v>
      </c>
      <c r="AE49" s="8">
        <f t="shared" si="7"/>
        <v>91062.691197626991</v>
      </c>
    </row>
    <row r="50" spans="2:31" x14ac:dyDescent="0.2">
      <c r="C50" s="65">
        <v>46</v>
      </c>
      <c r="D50" s="4">
        <f>IF((Inventory!D50+Orders!E60*(1+Orders!$E$8))&gt;(Orders!E60*(1+Orders!$E$8)+Orders!Z59),Orders!E60-(Inventory!D50+Orders!E60-(Orders!E60*(1+Orders!$E$8))),(Orders!E60*(1+Orders!$E$8)+Orders!Z59)-Inventory!D50)</f>
        <v>195452.1680036207</v>
      </c>
      <c r="E50" s="9"/>
      <c r="F50" s="19"/>
      <c r="G50" s="4">
        <f>IF(IF((Inventory!E50+Orders!H60*(1+Orders!$E$9))&gt;(Orders!H60*(1+Orders!$E$9)+Orders!AA59),Orders!H60-(Inventory!E50+Orders!H60-(Orders!H60*(1+Orders!$E$9))),(Orders!H60*(1+Orders!$E$9)+Orders!AA59)-Inventory!E50)&lt;0,0,IF((Inventory!E50+Orders!H60*(1+Orders!$E$9))&gt;(Orders!H60*(1+Orders!$E$9)+Orders!AA59),Orders!H60-(Inventory!E50+Orders!H60-(Orders!H60*(1+Orders!$E$9))),(Orders!H60*(1+Orders!$E$9)+Orders!AA59)-Inventory!E50))</f>
        <v>131983.76837968113</v>
      </c>
      <c r="H50" s="9"/>
      <c r="I50" s="19"/>
      <c r="J50" s="4">
        <f>IF(IF((Inventory!F50+Orders!K60*(1+Orders!$E$10))&gt;(Orders!K60*(1+Orders!$E$10)+Orders!AB59),Orders!K60-(Inventory!F50+Orders!K60-(Orders!K60*(1+Orders!$E$10))),(Orders!K60*(1+Orders!$E$10)+Orders!AB59)-Inventory!F50)&lt;0,0,IF((Inventory!F50+Orders!K60*(1+Orders!$E$10))&gt;(Orders!K60*(1+Orders!$E$10)+Orders!AB59),Orders!K60-(Inventory!F50+Orders!K60-(Orders!K60*(1+Orders!$E$10))),(Orders!K60*(1+Orders!$E$10)+Orders!AB59)-Inventory!F50))</f>
        <v>118462.31140793976</v>
      </c>
      <c r="K50" s="9"/>
      <c r="L50" s="19"/>
      <c r="M50" s="4">
        <f>IF(IF((Inventory!G50+Orders!N60*(1+Orders!$E$11))&gt;(Orders!N60*(1+Orders!$E$11)+Orders!AC59),Orders!N60-(Inventory!G50+Orders!N60-(Orders!N60*(1+Orders!$E$11))),(Orders!N60*(1+Orders!$E$11)+Orders!AC59)-Inventory!G50)&lt;0,0,IF((Inventory!G50+Orders!N60*(1+Orders!$E$11))&gt;(Orders!N60*(1+Orders!$E$11)+Orders!AC59),Orders!N60-(Inventory!G50+Orders!N60-(Orders!N60*(1+Orders!$E$11))),(Orders!N60*(1+Orders!$E$11)+Orders!AC59)-Inventory!G50))</f>
        <v>95617.373288839459</v>
      </c>
      <c r="N50" s="9"/>
      <c r="O50" s="19"/>
      <c r="S50" s="65">
        <v>46</v>
      </c>
      <c r="T50" s="8">
        <f t="shared" si="0"/>
        <v>191366.21503113804</v>
      </c>
      <c r="U50" s="8">
        <f t="shared" si="11"/>
        <v>132539.72121616613</v>
      </c>
      <c r="V50" s="8">
        <f t="shared" si="12"/>
        <v>117985.1523732099</v>
      </c>
      <c r="W50" s="8">
        <f>$M49</f>
        <v>94478.702766036324</v>
      </c>
      <c r="AA50" s="65">
        <v>46</v>
      </c>
      <c r="AB50" s="8">
        <f t="shared" si="5"/>
        <v>177190.84171839411</v>
      </c>
      <c r="AC50" s="8">
        <f t="shared" si="14"/>
        <v>133651.62688913607</v>
      </c>
      <c r="AD50" s="8">
        <f t="shared" si="6"/>
        <v>117030.83430375021</v>
      </c>
      <c r="AE50" s="8">
        <f t="shared" si="7"/>
        <v>92201.361720430126</v>
      </c>
    </row>
    <row r="51" spans="2:31" x14ac:dyDescent="0.2">
      <c r="C51" s="65">
        <v>47</v>
      </c>
      <c r="D51" s="4">
        <f>IF((Inventory!D51+Orders!E61*(1+Orders!$E$8))&gt;(Orders!E61*(1+Orders!$E$8)+Orders!Z60),Orders!E61-(Inventory!D51+Orders!E61-(Orders!E61*(1+Orders!$E$8))),(Orders!E61*(1+Orders!$E$8)+Orders!Z60)-Inventory!D51)</f>
        <v>204494.03897204789</v>
      </c>
      <c r="E51" s="9"/>
      <c r="F51" s="19"/>
      <c r="G51" s="4">
        <f>IF(IF((Inventory!E51+Orders!H61*(1+Orders!$E$9))&gt;(Orders!H61*(1+Orders!$E$9)+Orders!AA60),Orders!H61-(Inventory!E51+Orders!H61-(Orders!H61*(1+Orders!$E$9))),(Orders!H61*(1+Orders!$E$9)+Orders!AA60)-Inventory!E51)&lt;0,0,IF((Inventory!E51+Orders!H61*(1+Orders!$E$9))&gt;(Orders!H61*(1+Orders!$E$9)+Orders!AA60),Orders!H61-(Inventory!E51+Orders!H61-(Orders!H61*(1+Orders!$E$9))),(Orders!H61*(1+Orders!$E$9)+Orders!AA60)-Inventory!E51))</f>
        <v>131427.81554319611</v>
      </c>
      <c r="H51" s="9"/>
      <c r="I51" s="19"/>
      <c r="J51" s="4">
        <f>IF(IF((Inventory!F51+Orders!K61*(1+Orders!$E$10))&gt;(Orders!K61*(1+Orders!$E$10)+Orders!AB60),Orders!K61-(Inventory!F51+Orders!K61-(Orders!K61*(1+Orders!$E$10))),(Orders!K61*(1+Orders!$E$10)+Orders!AB60)-Inventory!F51)&lt;0,0,IF((Inventory!F51+Orders!K61*(1+Orders!$E$10))&gt;(Orders!K61*(1+Orders!$E$10)+Orders!AB60),Orders!K61-(Inventory!F51+Orders!K61-(Orders!K61*(1+Orders!$E$10))),(Orders!K61*(1+Orders!$E$10)+Orders!AB60)-Inventory!F51))</f>
        <v>118939.47044266958</v>
      </c>
      <c r="K51" s="9"/>
      <c r="L51" s="19"/>
      <c r="M51" s="4">
        <f>IF(IF((Inventory!G51+Orders!N61*(1+Orders!$E$11))&gt;(Orders!N61*(1+Orders!$E$11)+Orders!AC60),Orders!N61-(Inventory!G51+Orders!N61-(Orders!N61*(1+Orders!$E$11))),(Orders!N61*(1+Orders!$E$11)+Orders!AC60)-Inventory!G51)&lt;0,0,IF((Inventory!G51+Orders!N61*(1+Orders!$E$11))&gt;(Orders!N61*(1+Orders!$E$11)+Orders!AC60),Orders!N61-(Inventory!G51+Orders!N61-(Orders!N61*(1+Orders!$E$11))),(Orders!N61*(1+Orders!$E$11)+Orders!AC60)-Inventory!G51))</f>
        <v>96756.043811642579</v>
      </c>
      <c r="N51" s="9"/>
      <c r="O51" s="19"/>
      <c r="S51" s="65">
        <v>47</v>
      </c>
      <c r="T51" s="8">
        <f t="shared" si="0"/>
        <v>195452.1680036207</v>
      </c>
      <c r="U51" s="8">
        <f t="shared" si="11"/>
        <v>131983.76837968113</v>
      </c>
      <c r="V51" s="8">
        <f t="shared" si="12"/>
        <v>118462.31140793976</v>
      </c>
      <c r="W51" s="8">
        <f>$M50</f>
        <v>95617.373288839459</v>
      </c>
      <c r="AA51" s="65">
        <v>47</v>
      </c>
      <c r="AB51" s="8">
        <f t="shared" si="5"/>
        <v>183356.27243391683</v>
      </c>
      <c r="AC51" s="8">
        <f t="shared" si="14"/>
        <v>133095.6740526511</v>
      </c>
      <c r="AD51" s="8">
        <f t="shared" si="6"/>
        <v>117507.99333848002</v>
      </c>
      <c r="AE51" s="8">
        <f t="shared" si="7"/>
        <v>93340.032243233232</v>
      </c>
    </row>
    <row r="52" spans="2:31" x14ac:dyDescent="0.2">
      <c r="C52" s="65">
        <v>48</v>
      </c>
      <c r="D52" s="4">
        <f>IF((Inventory!D52+Orders!E62*(1+Orders!$E$8))&gt;(Orders!E62*(1+Orders!$E$8)+Orders!Z61),Orders!E62-(Inventory!D52+Orders!E62-(Orders!E62*(1+Orders!$E$8))),(Orders!E62*(1+Orders!$E$8)+Orders!Z61)-Inventory!D52)</f>
        <v>187623.71451901182</v>
      </c>
      <c r="E52" s="9"/>
      <c r="F52" s="19"/>
      <c r="G52" s="4">
        <f>IF(IF((Inventory!E52+Orders!H62*(1+Orders!$E$9))&gt;(Orders!H62*(1+Orders!$E$9)+Orders!AA61),Orders!H62-(Inventory!E52+Orders!H62-(Orders!H62*(1+Orders!$E$9))),(Orders!H62*(1+Orders!$E$9)+Orders!AA61)-Inventory!E52)&lt;0,0,IF((Inventory!E52+Orders!H62*(1+Orders!$E$9))&gt;(Orders!H62*(1+Orders!$E$9)+Orders!AA61),Orders!H62-(Inventory!E52+Orders!H62-(Orders!H62*(1+Orders!$E$9))),(Orders!H62*(1+Orders!$E$9)+Orders!AA61)-Inventory!E52))</f>
        <v>130871.86270671117</v>
      </c>
      <c r="H52" s="9"/>
      <c r="I52" s="19"/>
      <c r="J52" s="4">
        <f>IF(IF((Inventory!F52+Orders!K62*(1+Orders!$E$10))&gt;(Orders!K62*(1+Orders!$E$10)+Orders!AB61),Orders!K62-(Inventory!F52+Orders!K62-(Orders!K62*(1+Orders!$E$10))),(Orders!K62*(1+Orders!$E$10)+Orders!AB61)-Inventory!F52)&lt;0,0,IF((Inventory!F52+Orders!K62*(1+Orders!$E$10))&gt;(Orders!K62*(1+Orders!$E$10)+Orders!AB61),Orders!K62-(Inventory!F52+Orders!K62-(Orders!K62*(1+Orders!$E$10))),(Orders!K62*(1+Orders!$E$10)+Orders!AB61)-Inventory!F52))</f>
        <v>119416.62947739946</v>
      </c>
      <c r="K52" s="9"/>
      <c r="L52" s="19"/>
      <c r="M52" s="4">
        <f>IF(IF((Inventory!G52+Orders!N62*(1+Orders!$E$11))&gt;(Orders!N62*(1+Orders!$E$11)+Orders!AC61),Orders!N62-(Inventory!G52+Orders!N62-(Orders!N62*(1+Orders!$E$11))),(Orders!N62*(1+Orders!$E$11)+Orders!AC61)-Inventory!G52)&lt;0,0,IF((Inventory!G52+Orders!N62*(1+Orders!$E$11))&gt;(Orders!N62*(1+Orders!$E$11)+Orders!AC61),Orders!N62-(Inventory!G52+Orders!N62-(Orders!N62*(1+Orders!$E$11))),(Orders!N62*(1+Orders!$E$11)+Orders!AC61)-Inventory!G52))</f>
        <v>97894.714334445685</v>
      </c>
      <c r="N52" s="9"/>
      <c r="O52" s="19"/>
      <c r="S52" s="65">
        <v>48</v>
      </c>
      <c r="T52" s="8">
        <f t="shared" si="0"/>
        <v>204494.03897204789</v>
      </c>
      <c r="U52" s="8">
        <f t="shared" si="11"/>
        <v>131427.81554319611</v>
      </c>
      <c r="V52" s="8">
        <f t="shared" si="12"/>
        <v>118939.47044266958</v>
      </c>
      <c r="W52" s="8">
        <f t="shared" si="13"/>
        <v>96756.043811642579</v>
      </c>
      <c r="AA52" s="65">
        <v>48</v>
      </c>
      <c r="AB52" s="8">
        <f t="shared" si="5"/>
        <v>191366.21503113804</v>
      </c>
      <c r="AC52" s="8">
        <f t="shared" si="14"/>
        <v>132539.72121616613</v>
      </c>
      <c r="AD52" s="8">
        <f t="shared" si="6"/>
        <v>117985.1523732099</v>
      </c>
      <c r="AE52" s="8">
        <f t="shared" si="7"/>
        <v>94478.702766036324</v>
      </c>
    </row>
    <row r="53" spans="2:31" x14ac:dyDescent="0.2">
      <c r="C53" s="65">
        <v>49</v>
      </c>
      <c r="D53" s="4">
        <f>IF((Inventory!D53+Orders!E63*(1+Orders!$E$8))&gt;(Orders!E63*(1+Orders!$E$8)+Orders!Z62),Orders!E63-(Inventory!D53+Orders!E63-(Orders!E63*(1+Orders!$E$8))),(Orders!E63*(1+Orders!$E$8)+Orders!Z62)-Inventory!D53)</f>
        <v>188054.17333417607</v>
      </c>
      <c r="E53" s="9"/>
      <c r="F53" s="19"/>
      <c r="G53" s="4">
        <f>IF(IF((Inventory!E53+Orders!H63*(1+Orders!$E$9))&gt;(Orders!H63*(1+Orders!$E$9)+Orders!AA62),Orders!H63-(Inventory!E53+Orders!H63-(Orders!H63*(1+Orders!$E$9))),(Orders!H63*(1+Orders!$E$9)+Orders!AA62)-Inventory!E53)&lt;0,0,IF((Inventory!E53+Orders!H63*(1+Orders!$E$9))&gt;(Orders!H63*(1+Orders!$E$9)+Orders!AA62),Orders!H63-(Inventory!E53+Orders!H63-(Orders!H63*(1+Orders!$E$9))),(Orders!H63*(1+Orders!$E$9)+Orders!AA62)-Inventory!E53))</f>
        <v>130315.90987022621</v>
      </c>
      <c r="H53" s="9"/>
      <c r="I53" s="19"/>
      <c r="J53" s="4">
        <f>IF(IF((Inventory!F53+Orders!K63*(1+Orders!$E$10))&gt;(Orders!K63*(1+Orders!$E$10)+Orders!AB62),Orders!K63-(Inventory!F53+Orders!K63-(Orders!K63*(1+Orders!$E$10))),(Orders!K63*(1+Orders!$E$10)+Orders!AB62)-Inventory!F53)&lt;0,0,IF((Inventory!F53+Orders!K63*(1+Orders!$E$10))&gt;(Orders!K63*(1+Orders!$E$10)+Orders!AB62),Orders!K63-(Inventory!F53+Orders!K63-(Orders!K63*(1+Orders!$E$10))),(Orders!K63*(1+Orders!$E$10)+Orders!AB62)-Inventory!F53))</f>
        <v>119893.78851212931</v>
      </c>
      <c r="K53" s="9"/>
      <c r="L53" s="19"/>
      <c r="M53" s="4">
        <f>IF(IF((Inventory!G53+Orders!N63*(1+Orders!$E$11))&gt;(Orders!N63*(1+Orders!$E$11)+Orders!AC62),Orders!N63-(Inventory!G53+Orders!N63-(Orders!N63*(1+Orders!$E$11))),(Orders!N63*(1+Orders!$E$11)+Orders!AC62)-Inventory!G53)&lt;0,0,IF((Inventory!G53+Orders!N63*(1+Orders!$E$11))&gt;(Orders!N63*(1+Orders!$E$11)+Orders!AC62),Orders!N63-(Inventory!G53+Orders!N63-(Orders!N63*(1+Orders!$E$11))),(Orders!N63*(1+Orders!$E$11)+Orders!AC62)-Inventory!G53))</f>
        <v>99033.384857248806</v>
      </c>
      <c r="N53" s="9"/>
      <c r="O53" s="19"/>
      <c r="S53" s="65">
        <v>49</v>
      </c>
      <c r="T53" s="8">
        <f t="shared" si="0"/>
        <v>187623.71451901182</v>
      </c>
      <c r="U53" s="8">
        <f t="shared" si="11"/>
        <v>130871.86270671117</v>
      </c>
      <c r="V53" s="8">
        <f t="shared" si="12"/>
        <v>119416.62947739946</v>
      </c>
      <c r="W53" s="8">
        <f t="shared" si="13"/>
        <v>97894.714334445685</v>
      </c>
      <c r="AA53" s="65">
        <v>49</v>
      </c>
      <c r="AB53" s="8">
        <f t="shared" si="5"/>
        <v>195452.1680036207</v>
      </c>
      <c r="AC53" s="8">
        <f t="shared" si="14"/>
        <v>131983.76837968113</v>
      </c>
      <c r="AD53" s="8">
        <f t="shared" si="6"/>
        <v>118462.31140793976</v>
      </c>
      <c r="AE53" s="8">
        <f t="shared" si="7"/>
        <v>95617.373288839459</v>
      </c>
    </row>
    <row r="54" spans="2:31" x14ac:dyDescent="0.2">
      <c r="C54" s="65">
        <v>50</v>
      </c>
      <c r="D54" s="4">
        <f>IF((Inventory!D54+Orders!E64*(1+Orders!$E$8))&gt;(Orders!E64*(1+Orders!$E$8)+Orders!Z63),Orders!E64-(Inventory!D54+Orders!E64-(Orders!E64*(1+Orders!$E$8))),(Orders!E64*(1+Orders!$E$8)+Orders!Z63)-Inventory!D54)</f>
        <v>180712.43921351069</v>
      </c>
      <c r="E54" s="9"/>
      <c r="F54" s="19"/>
      <c r="G54" s="4">
        <f>IF(IF((Inventory!E54+Orders!H64*(1+Orders!$E$9))&gt;(Orders!H64*(1+Orders!$E$9)+Orders!AA63),Orders!H64-(Inventory!E54+Orders!H64-(Orders!H64*(1+Orders!$E$9))),(Orders!H64*(1+Orders!$E$9)+Orders!AA63)-Inventory!E54)&lt;0,0,IF((Inventory!E54+Orders!H64*(1+Orders!$E$9))&gt;(Orders!H64*(1+Orders!$E$9)+Orders!AA63),Orders!H64-(Inventory!E54+Orders!H64-(Orders!H64*(1+Orders!$E$9))),(Orders!H64*(1+Orders!$E$9)+Orders!AA63)-Inventory!E54))</f>
        <v>129759.9570337412</v>
      </c>
      <c r="H54" s="9"/>
      <c r="I54" s="19"/>
      <c r="J54" s="4">
        <f>IF(IF((Inventory!F54+Orders!K64*(1+Orders!$E$10))&gt;(Orders!K64*(1+Orders!$E$10)+Orders!AB63),Orders!K64-(Inventory!F54+Orders!K64-(Orders!K64*(1+Orders!$E$10))),(Orders!K64*(1+Orders!$E$10)+Orders!AB63)-Inventory!F54)&lt;0,0,IF((Inventory!F54+Orders!K64*(1+Orders!$E$10))&gt;(Orders!K64*(1+Orders!$E$10)+Orders!AB63),Orders!K64-(Inventory!F54+Orders!K64-(Orders!K64*(1+Orders!$E$10))),(Orders!K64*(1+Orders!$E$10)+Orders!AB63)-Inventory!F54))</f>
        <v>120370.94754685913</v>
      </c>
      <c r="K54" s="9"/>
      <c r="L54" s="19"/>
      <c r="M54" s="4">
        <f>IF(IF((Inventory!G54+Orders!N64*(1+Orders!$E$11))&gt;(Orders!N64*(1+Orders!$E$11)+Orders!AC63),Orders!N64-(Inventory!G54+Orders!N64-(Orders!N64*(1+Orders!$E$11))),(Orders!N64*(1+Orders!$E$11)+Orders!AC63)-Inventory!G54)&lt;0,0,IF((Inventory!G54+Orders!N64*(1+Orders!$E$11))&gt;(Orders!N64*(1+Orders!$E$11)+Orders!AC63),Orders!N64-(Inventory!G54+Orders!N64-(Orders!N64*(1+Orders!$E$11))),(Orders!N64*(1+Orders!$E$11)+Orders!AC63)-Inventory!G54))</f>
        <v>100172.05538005193</v>
      </c>
      <c r="N54" s="9"/>
      <c r="O54" s="19"/>
      <c r="S54" s="65">
        <v>50</v>
      </c>
      <c r="T54" s="8">
        <f t="shared" si="0"/>
        <v>188054.17333417607</v>
      </c>
      <c r="U54" s="8">
        <f t="shared" si="11"/>
        <v>130315.90987022621</v>
      </c>
      <c r="V54" s="8">
        <f t="shared" si="12"/>
        <v>119893.78851212931</v>
      </c>
      <c r="W54" s="8">
        <f t="shared" si="13"/>
        <v>99033.384857248806</v>
      </c>
      <c r="AA54" s="65">
        <v>50</v>
      </c>
      <c r="AB54" s="8">
        <f t="shared" si="5"/>
        <v>204494.03897204789</v>
      </c>
      <c r="AC54" s="8">
        <f t="shared" si="14"/>
        <v>131427.81554319611</v>
      </c>
      <c r="AD54" s="8">
        <f t="shared" si="6"/>
        <v>118939.47044266958</v>
      </c>
      <c r="AE54" s="8">
        <f t="shared" si="7"/>
        <v>96756.043811642579</v>
      </c>
    </row>
    <row r="55" spans="2:31" x14ac:dyDescent="0.2">
      <c r="C55" s="65">
        <v>51</v>
      </c>
      <c r="D55" s="4">
        <f>IF((Inventory!D55+Orders!E65*(1+Orders!$E$8))&gt;(Orders!E65*(1+Orders!$E$8)+Orders!Z64),Orders!E65-(Inventory!D55+Orders!E65-(Orders!E65*(1+Orders!$E$8))),(Orders!E65*(1+Orders!$E$8)+Orders!Z64)-Inventory!D55)</f>
        <v>173455.23830041572</v>
      </c>
      <c r="E55" s="9"/>
      <c r="F55" s="19"/>
      <c r="G55" s="4">
        <f>IF(IF((Inventory!E55+Orders!H65*(1+Orders!$E$9))&gt;(Orders!H65*(1+Orders!$E$9)+Orders!AA64),Orders!H65-(Inventory!E55+Orders!H65-(Orders!H65*(1+Orders!$E$9))),(Orders!H65*(1+Orders!$E$9)+Orders!AA64)-Inventory!E55)&lt;0,0,IF((Inventory!E55+Orders!H65*(1+Orders!$E$9))&gt;(Orders!H65*(1+Orders!$E$9)+Orders!AA64),Orders!H65-(Inventory!E55+Orders!H65-(Orders!H65*(1+Orders!$E$9))),(Orders!H65*(1+Orders!$E$9)+Orders!AA64)-Inventory!E55))</f>
        <v>129204.00419725619</v>
      </c>
      <c r="H55" s="9"/>
      <c r="I55" s="19"/>
      <c r="J55" s="4">
        <f>IF(IF((Inventory!F55+Orders!K65*(1+Orders!$E$10))&gt;(Orders!K65*(1+Orders!$E$10)+Orders!AB64),Orders!K65-(Inventory!F55+Orders!K65-(Orders!K65*(1+Orders!$E$10))),(Orders!K65*(1+Orders!$E$10)+Orders!AB64)-Inventory!F55)&lt;0,0,IF((Inventory!F55+Orders!K65*(1+Orders!$E$10))&gt;(Orders!K65*(1+Orders!$E$10)+Orders!AB64),Orders!K65-(Inventory!F55+Orders!K65-(Orders!K65*(1+Orders!$E$10))),(Orders!K65*(1+Orders!$E$10)+Orders!AB64)-Inventory!F55))</f>
        <v>120848.106581589</v>
      </c>
      <c r="K55" s="9"/>
      <c r="L55" s="19"/>
      <c r="M55" s="4">
        <f>IF(IF((Inventory!G55+Orders!N65*(1+Orders!$E$11))&gt;(Orders!N65*(1+Orders!$E$11)+Orders!AC64),Orders!N65-(Inventory!G55+Orders!N65-(Orders!N65*(1+Orders!$E$11))),(Orders!N65*(1+Orders!$E$11)+Orders!AC64)-Inventory!G55)&lt;0,0,IF((Inventory!G55+Orders!N65*(1+Orders!$E$11))&gt;(Orders!N65*(1+Orders!$E$11)+Orders!AC64),Orders!N65-(Inventory!G55+Orders!N65-(Orders!N65*(1+Orders!$E$11))),(Orders!N65*(1+Orders!$E$11)+Orders!AC64)-Inventory!G55))</f>
        <v>101310.72590285502</v>
      </c>
      <c r="N55" s="9"/>
      <c r="O55" s="19"/>
      <c r="S55" s="65">
        <v>51</v>
      </c>
      <c r="T55" s="8">
        <f t="shared" si="0"/>
        <v>180712.43921351069</v>
      </c>
      <c r="U55" s="8">
        <f t="shared" si="11"/>
        <v>129759.9570337412</v>
      </c>
      <c r="V55" s="8">
        <f t="shared" si="12"/>
        <v>120370.94754685913</v>
      </c>
      <c r="W55" s="8">
        <f t="shared" si="13"/>
        <v>100172.05538005193</v>
      </c>
      <c r="AA55" s="65">
        <v>51</v>
      </c>
      <c r="AB55" s="8">
        <f t="shared" si="5"/>
        <v>187623.71451901182</v>
      </c>
      <c r="AC55" s="8">
        <f t="shared" si="14"/>
        <v>130871.86270671117</v>
      </c>
      <c r="AD55" s="8">
        <f t="shared" si="6"/>
        <v>119416.62947739946</v>
      </c>
      <c r="AE55" s="8">
        <f t="shared" si="7"/>
        <v>97894.714334445685</v>
      </c>
    </row>
    <row r="56" spans="2:31" x14ac:dyDescent="0.2">
      <c r="C56" s="65">
        <v>52</v>
      </c>
      <c r="D56" s="4">
        <f>IF((Inventory!D56+Orders!E66*(1+Orders!$E$8))&gt;(Orders!E66*(1+Orders!$E$8)+Orders!Z65),Orders!E66-(Inventory!D56+Orders!E66-(Orders!E66*(1+Orders!$E$8))),(Orders!E66*(1+Orders!$E$8)+Orders!Z65)-Inventory!D56)</f>
        <v>169447.26726674457</v>
      </c>
      <c r="E56" s="9"/>
      <c r="F56" s="19"/>
      <c r="G56" s="4">
        <f>IF(IF((Inventory!E56+Orders!H66*(1+Orders!$E$9))&gt;(Orders!H66*(1+Orders!$E$9)+Orders!AA65),Orders!H66-(Inventory!E56+Orders!H66-(Orders!H66*(1+Orders!$E$9))),(Orders!H66*(1+Orders!$E$9)+Orders!AA65)-Inventory!E56)&lt;0,0,IF((Inventory!E56+Orders!H66*(1+Orders!$E$9))&gt;(Orders!H66*(1+Orders!$E$9)+Orders!AA65),Orders!H66-(Inventory!E56+Orders!H66-(Orders!H66*(1+Orders!$E$9))),(Orders!H66*(1+Orders!$E$9)+Orders!AA65)-Inventory!E56))</f>
        <v>128648.05136077126</v>
      </c>
      <c r="H56" s="9"/>
      <c r="I56" s="19"/>
      <c r="J56" s="4">
        <f>IF(IF((Inventory!F56+Orders!K66*(1+Orders!$E$10))&gt;(Orders!K66*(1+Orders!$E$10)+Orders!AB65),Orders!K66-(Inventory!F56+Orders!K66-(Orders!K66*(1+Orders!$E$10))),(Orders!K66*(1+Orders!$E$10)+Orders!AB65)-Inventory!F56)&lt;0,0,IF((Inventory!F56+Orders!K66*(1+Orders!$E$10))&gt;(Orders!K66*(1+Orders!$E$10)+Orders!AB65),Orders!K66-(Inventory!F56+Orders!K66-(Orders!K66*(1+Orders!$E$10))),(Orders!K66*(1+Orders!$E$10)+Orders!AB65)-Inventory!F56))</f>
        <v>121325.26561631884</v>
      </c>
      <c r="K56" s="9"/>
      <c r="L56" s="19"/>
      <c r="M56" s="4">
        <f>IF(IF((Inventory!G56+Orders!N66*(1+Orders!$E$11))&gt;(Orders!N66*(1+Orders!$E$11)+Orders!AC65),Orders!N66-(Inventory!G56+Orders!N66-(Orders!N66*(1+Orders!$E$11))),(Orders!N66*(1+Orders!$E$11)+Orders!AC65)-Inventory!G56)&lt;0,0,IF((Inventory!G56+Orders!N66*(1+Orders!$E$11))&gt;(Orders!N66*(1+Orders!$E$11)+Orders!AC65),Orders!N66-(Inventory!G56+Orders!N66-(Orders!N66*(1+Orders!$E$11))),(Orders!N66*(1+Orders!$E$11)+Orders!AC65)-Inventory!G56))</f>
        <v>102449.39642565815</v>
      </c>
      <c r="N56" s="9"/>
      <c r="O56" s="19"/>
      <c r="S56" s="65">
        <v>52</v>
      </c>
      <c r="T56" s="8">
        <f t="shared" si="0"/>
        <v>173455.23830041572</v>
      </c>
      <c r="U56" s="8">
        <f t="shared" si="11"/>
        <v>129204.00419725619</v>
      </c>
      <c r="V56" s="8">
        <f t="shared" si="12"/>
        <v>120848.106581589</v>
      </c>
      <c r="W56" s="8">
        <f t="shared" si="13"/>
        <v>101310.72590285502</v>
      </c>
      <c r="AA56" s="65">
        <v>52</v>
      </c>
      <c r="AB56" s="8">
        <f t="shared" si="5"/>
        <v>188054.17333417607</v>
      </c>
      <c r="AC56" s="8">
        <f t="shared" si="14"/>
        <v>130315.90987022621</v>
      </c>
      <c r="AD56" s="8">
        <f t="shared" si="6"/>
        <v>119893.78851212931</v>
      </c>
      <c r="AE56" s="8">
        <f t="shared" si="7"/>
        <v>99033.384857248806</v>
      </c>
    </row>
    <row r="57" spans="2:31" x14ac:dyDescent="0.2">
      <c r="C57" s="65">
        <v>53</v>
      </c>
      <c r="D57" s="4">
        <f>IF((Inventory!D57+Orders!E67*(1+Orders!$E$8))&gt;(Orders!E67*(1+Orders!$E$8)+Orders!Z66),Orders!E67-(Inventory!D57+Orders!E67-(Orders!E67*(1+Orders!$E$8))),(Orders!E67*(1+Orders!$E$8)+Orders!Z66)-Inventory!D57)</f>
        <v>168342.08594580943</v>
      </c>
      <c r="E57" s="9"/>
      <c r="F57" s="19"/>
      <c r="G57" s="4">
        <f>IF(IF((Inventory!E57+Orders!H67*(1+Orders!$E$9))&gt;(Orders!H67*(1+Orders!$E$9)+Orders!AA66),Orders!H67-(Inventory!E57+Orders!H67-(Orders!H67*(1+Orders!$E$9))),(Orders!H67*(1+Orders!$E$9)+Orders!AA66)-Inventory!E57)&lt;0,0,IF((Inventory!E57+Orders!H67*(1+Orders!$E$9))&gt;(Orders!H67*(1+Orders!$E$9)+Orders!AA66),Orders!H67-(Inventory!E57+Orders!H67-(Orders!H67*(1+Orders!$E$9))),(Orders!H67*(1+Orders!$E$9)+Orders!AA66)-Inventory!E57))</f>
        <v>128092.09852428625</v>
      </c>
      <c r="H57" s="9"/>
      <c r="I57" s="19"/>
      <c r="J57" s="4">
        <f>IF(IF((Inventory!F57+Orders!K67*(1+Orders!$E$10))&gt;(Orders!K67*(1+Orders!$E$10)+Orders!AB66),Orders!K67-(Inventory!F57+Orders!K67-(Orders!K67*(1+Orders!$E$10))),(Orders!K67*(1+Orders!$E$10)+Orders!AB66)-Inventory!F57)&lt;0,0,IF((Inventory!F57+Orders!K67*(1+Orders!$E$10))&gt;(Orders!K67*(1+Orders!$E$10)+Orders!AB66),Orders!K67-(Inventory!F57+Orders!K67-(Orders!K67*(1+Orders!$E$10))),(Orders!K67*(1+Orders!$E$10)+Orders!AB66)-Inventory!F57))</f>
        <v>121802.42465104871</v>
      </c>
      <c r="K57" s="9"/>
      <c r="L57" s="19"/>
      <c r="M57" s="4">
        <f>IF(IF((Inventory!G57+Orders!N67*(1+Orders!$E$11))&gt;(Orders!N67*(1+Orders!$E$11)+Orders!AC66),Orders!N67-(Inventory!G57+Orders!N67-(Orders!N67*(1+Orders!$E$11))),(Orders!N67*(1+Orders!$E$11)+Orders!AC66)-Inventory!G57)&lt;0,0,IF((Inventory!G57+Orders!N67*(1+Orders!$E$11))&gt;(Orders!N67*(1+Orders!$E$11)+Orders!AC66),Orders!N67-(Inventory!G57+Orders!N67-(Orders!N67*(1+Orders!$E$11))),(Orders!N67*(1+Orders!$E$11)+Orders!AC66)-Inventory!G57))</f>
        <v>103588.06694846126</v>
      </c>
      <c r="N57" s="9"/>
      <c r="O57" s="19"/>
      <c r="S57" s="65">
        <v>53</v>
      </c>
      <c r="T57" s="8">
        <f t="shared" si="0"/>
        <v>169447.26726674457</v>
      </c>
      <c r="U57" s="8">
        <f t="shared" si="11"/>
        <v>128648.05136077126</v>
      </c>
      <c r="V57" s="8">
        <f t="shared" si="12"/>
        <v>121325.26561631884</v>
      </c>
      <c r="W57" s="8">
        <f t="shared" si="13"/>
        <v>102449.39642565815</v>
      </c>
      <c r="AA57" s="65">
        <v>53</v>
      </c>
      <c r="AB57" s="8">
        <f t="shared" si="5"/>
        <v>180712.43921351069</v>
      </c>
      <c r="AC57" s="8">
        <f t="shared" si="14"/>
        <v>129759.9570337412</v>
      </c>
      <c r="AD57" s="8">
        <f t="shared" si="6"/>
        <v>120370.94754685913</v>
      </c>
      <c r="AE57" s="8">
        <f t="shared" si="7"/>
        <v>100172.05538005193</v>
      </c>
    </row>
    <row r="58" spans="2:31" x14ac:dyDescent="0.2">
      <c r="C58" s="65">
        <v>54</v>
      </c>
      <c r="D58" s="4">
        <f>IF((Inventory!D58+Orders!E68*(1+Orders!$E$8))&gt;(Orders!E68*(1+Orders!$E$8)+Orders!Z67),Orders!E68-(Inventory!D58+Orders!E68-(Orders!E68*(1+Orders!$E$8))),(Orders!E68*(1+Orders!$E$8)+Orders!Z67)-Inventory!D58)</f>
        <v>186242.50821108965</v>
      </c>
      <c r="E58" s="9"/>
      <c r="F58" s="19"/>
      <c r="G58" s="4">
        <f>IF(IF((Inventory!E58+Orders!H68*(1+Orders!$E$9))&gt;(Orders!H68*(1+Orders!$E$9)+Orders!AA67),Orders!H68-(Inventory!E58+Orders!H68-(Orders!H68*(1+Orders!$E$9))),(Orders!H68*(1+Orders!$E$9)+Orders!AA67)-Inventory!E58)&lt;0,0,IF((Inventory!E58+Orders!H68*(1+Orders!$E$9))&gt;(Orders!H68*(1+Orders!$E$9)+Orders!AA67),Orders!H68-(Inventory!E58+Orders!H68-(Orders!H68*(1+Orders!$E$9))),(Orders!H68*(1+Orders!$E$9)+Orders!AA67)-Inventory!E58))</f>
        <v>127536.14568780124</v>
      </c>
      <c r="H58" s="9"/>
      <c r="I58" s="19"/>
      <c r="J58" s="4">
        <f>IF(IF((Inventory!F58+Orders!K68*(1+Orders!$E$10))&gt;(Orders!K68*(1+Orders!$E$10)+Orders!AB67),Orders!K68-(Inventory!F58+Orders!K68-(Orders!K68*(1+Orders!$E$10))),(Orders!K68*(1+Orders!$E$10)+Orders!AB67)-Inventory!F58)&lt;0,0,IF((Inventory!F58+Orders!K68*(1+Orders!$E$10))&gt;(Orders!K68*(1+Orders!$E$10)+Orders!AB67),Orders!K68-(Inventory!F58+Orders!K68-(Orders!K68*(1+Orders!$E$10))),(Orders!K68*(1+Orders!$E$10)+Orders!AB67)-Inventory!F58))</f>
        <v>122279.58368577856</v>
      </c>
      <c r="K58" s="9"/>
      <c r="L58" s="19"/>
      <c r="M58" s="4">
        <f>IF(IF((Inventory!G58+Orders!N68*(1+Orders!$E$11))&gt;(Orders!N68*(1+Orders!$E$11)+Orders!AC67),Orders!N68-(Inventory!G58+Orders!N68-(Orders!N68*(1+Orders!$E$11))),(Orders!N68*(1+Orders!$E$11)+Orders!AC67)-Inventory!G58)&lt;0,0,IF((Inventory!G58+Orders!N68*(1+Orders!$E$11))&gt;(Orders!N68*(1+Orders!$E$11)+Orders!AC67),Orders!N68-(Inventory!G58+Orders!N68-(Orders!N68*(1+Orders!$E$11))),(Orders!N68*(1+Orders!$E$11)+Orders!AC67)-Inventory!G58))</f>
        <v>104726.73747126438</v>
      </c>
      <c r="N58" s="9"/>
      <c r="O58" s="19"/>
      <c r="S58" s="65">
        <v>54</v>
      </c>
      <c r="T58" s="8">
        <f t="shared" si="0"/>
        <v>168342.08594580943</v>
      </c>
      <c r="U58" s="8">
        <f t="shared" si="11"/>
        <v>128092.09852428625</v>
      </c>
      <c r="V58" s="8">
        <f t="shared" si="12"/>
        <v>121802.42465104871</v>
      </c>
      <c r="W58" s="8">
        <f t="shared" si="13"/>
        <v>103588.06694846126</v>
      </c>
      <c r="AA58" s="65">
        <v>54</v>
      </c>
      <c r="AB58" s="8">
        <f t="shared" si="5"/>
        <v>173455.23830041572</v>
      </c>
      <c r="AC58" s="8">
        <f t="shared" si="14"/>
        <v>129204.00419725619</v>
      </c>
      <c r="AD58" s="8">
        <f t="shared" si="6"/>
        <v>120848.106581589</v>
      </c>
      <c r="AE58" s="8">
        <f t="shared" si="7"/>
        <v>101310.72590285502</v>
      </c>
    </row>
    <row r="59" spans="2:31" x14ac:dyDescent="0.2">
      <c r="C59" s="65">
        <v>55</v>
      </c>
      <c r="D59" s="4">
        <f>IF((Inventory!D59+Orders!E69*(1+Orders!$E$8))&gt;(Orders!E69*(1+Orders!$E$8)+Orders!Z68),Orders!E69-(Inventory!D59+Orders!E69-(Orders!E69*(1+Orders!$E$8))),(Orders!E69*(1+Orders!$E$8)+Orders!Z68)-Inventory!D59)</f>
        <v>177832.80622166066</v>
      </c>
      <c r="E59" s="9"/>
      <c r="F59" s="19"/>
      <c r="G59" s="4">
        <f>IF(IF((Inventory!E59+Orders!H69*(1+Orders!$E$9))&gt;(Orders!H69*(1+Orders!$E$9)+Orders!AA68),Orders!H69-(Inventory!E59+Orders!H69-(Orders!H69*(1+Orders!$E$9))),(Orders!H69*(1+Orders!$E$9)+Orders!AA68)-Inventory!E59)&lt;0,0,IF((Inventory!E59+Orders!H69*(1+Orders!$E$9))&gt;(Orders!H69*(1+Orders!$E$9)+Orders!AA68),Orders!H69-(Inventory!E59+Orders!H69-(Orders!H69*(1+Orders!$E$9))),(Orders!H69*(1+Orders!$E$9)+Orders!AA68)-Inventory!E59))</f>
        <v>126980.19285131631</v>
      </c>
      <c r="H59" s="9"/>
      <c r="I59" s="19"/>
      <c r="J59" s="4">
        <f>IF(IF((Inventory!F59+Orders!K69*(1+Orders!$E$10))&gt;(Orders!K69*(1+Orders!$E$10)+Orders!AB68),Orders!K69-(Inventory!F59+Orders!K69-(Orders!K69*(1+Orders!$E$10))),(Orders!K69*(1+Orders!$E$10)+Orders!AB68)-Inventory!F59)&lt;0,0,IF((Inventory!F59+Orders!K69*(1+Orders!$E$10))&gt;(Orders!K69*(1+Orders!$E$10)+Orders!AB68),Orders!K69-(Inventory!F59+Orders!K69-(Orders!K69*(1+Orders!$E$10))),(Orders!K69*(1+Orders!$E$10)+Orders!AB68)-Inventory!F59))</f>
        <v>122756.74272050841</v>
      </c>
      <c r="K59" s="9"/>
      <c r="L59" s="19"/>
      <c r="M59" s="4">
        <f>IF(IF((Inventory!G59+Orders!N69*(1+Orders!$E$11))&gt;(Orders!N69*(1+Orders!$E$11)+Orders!AC68),Orders!N69-(Inventory!G59+Orders!N69-(Orders!N69*(1+Orders!$E$11))),(Orders!N69*(1+Orders!$E$11)+Orders!AC68)-Inventory!G59)&lt;0,0,IF((Inventory!G59+Orders!N69*(1+Orders!$E$11))&gt;(Orders!N69*(1+Orders!$E$11)+Orders!AC68),Orders!N69-(Inventory!G59+Orders!N69-(Orders!N69*(1+Orders!$E$11))),(Orders!N69*(1+Orders!$E$11)+Orders!AC68)-Inventory!G59))</f>
        <v>105865.40799406749</v>
      </c>
      <c r="N59" s="9"/>
      <c r="O59" s="19"/>
      <c r="S59" s="65">
        <v>55</v>
      </c>
      <c r="T59" s="8">
        <f t="shared" si="0"/>
        <v>186242.50821108965</v>
      </c>
      <c r="U59" s="8">
        <f t="shared" si="11"/>
        <v>127536.14568780124</v>
      </c>
      <c r="V59" s="8">
        <f t="shared" si="12"/>
        <v>122279.58368577856</v>
      </c>
      <c r="W59" s="8">
        <f t="shared" si="13"/>
        <v>104726.73747126438</v>
      </c>
      <c r="AA59" s="65">
        <v>55</v>
      </c>
      <c r="AB59" s="8">
        <f t="shared" si="5"/>
        <v>169447.26726674457</v>
      </c>
      <c r="AC59" s="8">
        <f t="shared" si="14"/>
        <v>128648.05136077126</v>
      </c>
      <c r="AD59" s="8">
        <f t="shared" si="6"/>
        <v>121325.26561631884</v>
      </c>
      <c r="AE59" s="8">
        <f t="shared" si="7"/>
        <v>102449.39642565815</v>
      </c>
    </row>
    <row r="60" spans="2:31" x14ac:dyDescent="0.2">
      <c r="C60" s="65">
        <v>56</v>
      </c>
      <c r="D60" s="4">
        <f>IF((Inventory!D60+Orders!E70*(1+Orders!$E$8))&gt;(Orders!E70*(1+Orders!$E$8)+Orders!Z69),Orders!E70-(Inventory!D60+Orders!E70-(Orders!E70*(1+Orders!$E$8))),(Orders!E70*(1+Orders!$E$8)+Orders!Z69)-Inventory!D60)</f>
        <v>183998.23693718336</v>
      </c>
      <c r="E60" s="9"/>
      <c r="F60" s="19"/>
      <c r="G60" s="4">
        <f>IF(IF((Inventory!E60+Orders!H70*(1+Orders!$E$9))&gt;(Orders!H70*(1+Orders!$E$9)+Orders!AA69),Orders!H70-(Inventory!E60+Orders!H70-(Orders!H70*(1+Orders!$E$9))),(Orders!H70*(1+Orders!$E$9)+Orders!AA69)-Inventory!E60)&lt;0,0,IF((Inventory!E60+Orders!H70*(1+Orders!$E$9))&gt;(Orders!H70*(1+Orders!$E$9)+Orders!AA69),Orders!H70-(Inventory!E60+Orders!H70-(Orders!H70*(1+Orders!$E$9))),(Orders!H70*(1+Orders!$E$9)+Orders!AA69)-Inventory!E60))</f>
        <v>126424.2400148313</v>
      </c>
      <c r="H60" s="9"/>
      <c r="I60" s="19"/>
      <c r="J60" s="4">
        <f>IF(IF((Inventory!F60+Orders!K70*(1+Orders!$E$10))&gt;(Orders!K70*(1+Orders!$E$10)+Orders!AB69),Orders!K70-(Inventory!F60+Orders!K70-(Orders!K70*(1+Orders!$E$10))),(Orders!K70*(1+Orders!$E$10)+Orders!AB69)-Inventory!F60)&lt;0,0,IF((Inventory!F60+Orders!K70*(1+Orders!$E$10))&gt;(Orders!K70*(1+Orders!$E$10)+Orders!AB69),Orders!K70-(Inventory!F60+Orders!K70-(Orders!K70*(1+Orders!$E$10))),(Orders!K70*(1+Orders!$E$10)+Orders!AB69)-Inventory!F60))</f>
        <v>123233.90175523823</v>
      </c>
      <c r="K60" s="9"/>
      <c r="L60" s="19"/>
      <c r="M60" s="4">
        <f>IF(IF((Inventory!G60+Orders!N70*(1+Orders!$E$11))&gt;(Orders!N70*(1+Orders!$E$11)+Orders!AC69),Orders!N70-(Inventory!G60+Orders!N70-(Orders!N70*(1+Orders!$E$11))),(Orders!N70*(1+Orders!$E$11)+Orders!AC69)-Inventory!G60)&lt;0,0,IF((Inventory!G60+Orders!N70*(1+Orders!$E$11))&gt;(Orders!N70*(1+Orders!$E$11)+Orders!AC69),Orders!N70-(Inventory!G60+Orders!N70-(Orders!N70*(1+Orders!$E$11))),(Orders!N70*(1+Orders!$E$11)+Orders!AC69)-Inventory!G60))</f>
        <v>107004.07851687059</v>
      </c>
      <c r="N60" s="9"/>
      <c r="O60" s="19"/>
      <c r="S60" s="65">
        <v>56</v>
      </c>
      <c r="T60" s="8">
        <f t="shared" si="0"/>
        <v>177832.80622166066</v>
      </c>
      <c r="U60" s="8">
        <f t="shared" si="11"/>
        <v>126980.19285131631</v>
      </c>
      <c r="V60" s="8">
        <f t="shared" si="12"/>
        <v>122756.74272050841</v>
      </c>
      <c r="W60" s="8">
        <f t="shared" si="13"/>
        <v>105865.40799406749</v>
      </c>
      <c r="AA60" s="65">
        <v>56</v>
      </c>
      <c r="AB60" s="8">
        <f t="shared" si="5"/>
        <v>168342.08594580943</v>
      </c>
      <c r="AC60" s="8">
        <f t="shared" si="14"/>
        <v>128092.09852428625</v>
      </c>
      <c r="AD60" s="8">
        <f t="shared" si="6"/>
        <v>121802.42465104871</v>
      </c>
      <c r="AE60" s="8">
        <f t="shared" si="7"/>
        <v>103588.06694846126</v>
      </c>
    </row>
    <row r="61" spans="2:31" x14ac:dyDescent="0.2">
      <c r="C61" s="65">
        <v>57</v>
      </c>
      <c r="D61" s="4">
        <f>IF((Inventory!D61+Orders!E71*(1+Orders!$E$8))&gt;(Orders!E71*(1+Orders!$E$8)+Orders!Z70),Orders!E71-(Inventory!D61+Orders!E71-(Orders!E71*(1+Orders!$E$8))),(Orders!E71*(1+Orders!$E$8)+Orders!Z70)-Inventory!D61)</f>
        <v>215846.70605888744</v>
      </c>
      <c r="E61" s="9"/>
      <c r="F61" s="19"/>
      <c r="G61" s="4">
        <f>IF(IF((Inventory!E61+Orders!H71*(1+Orders!$E$9))&gt;(Orders!H71*(1+Orders!$E$9)+Orders!AA70),Orders!H71-(Inventory!E61+Orders!H71-(Orders!H71*(1+Orders!$E$9))),(Orders!H71*(1+Orders!$E$9)+Orders!AA70)-Inventory!E61)&lt;0,0,IF((Inventory!E61+Orders!H71*(1+Orders!$E$9))&gt;(Orders!H71*(1+Orders!$E$9)+Orders!AA70),Orders!H71-(Inventory!E61+Orders!H71-(Orders!H71*(1+Orders!$E$9))),(Orders!H71*(1+Orders!$E$9)+Orders!AA70)-Inventory!E61))</f>
        <v>138516.27070819429</v>
      </c>
      <c r="H61" s="9"/>
      <c r="I61" s="19"/>
      <c r="J61" s="4">
        <f>IF(IF((Inventory!F61+Orders!K71*(1+Orders!$E$10))&gt;(Orders!K71*(1+Orders!$E$10)+Orders!AB70),Orders!K71-(Inventory!F61+Orders!K71-(Orders!K71*(1+Orders!$E$10))),(Orders!K71*(1+Orders!$E$10)+Orders!AB70)-Inventory!F61)&lt;0,0,IF((Inventory!F61+Orders!K71*(1+Orders!$E$10))&gt;(Orders!K71*(1+Orders!$E$10)+Orders!AB70),Orders!K71-(Inventory!F61+Orders!K71-(Orders!K71*(1+Orders!$E$10))),(Orders!K71*(1+Orders!$E$10)+Orders!AB70)-Inventory!F61))</f>
        <v>142185.40997497243</v>
      </c>
      <c r="K61" s="9"/>
      <c r="L61" s="19"/>
      <c r="M61" s="4">
        <f>IF(IF((Inventory!G61+Orders!N71*(1+Orders!$E$11))&gt;(Orders!N71*(1+Orders!$E$11)+Orders!AC70),Orders!N71-(Inventory!G61+Orders!N71-(Orders!N71*(1+Orders!$E$11))),(Orders!N71*(1+Orders!$E$11)+Orders!AC70)-Inventory!G61)&lt;0,0,IF((Inventory!G61+Orders!N71*(1+Orders!$E$11))&gt;(Orders!N71*(1+Orders!$E$11)+Orders!AC70),Orders!N71-(Inventory!G61+Orders!N71-(Orders!N71*(1+Orders!$E$11))),(Orders!N71*(1+Orders!$E$11)+Orders!AC70)-Inventory!G61))</f>
        <v>124167.74073044123</v>
      </c>
      <c r="N61" s="9"/>
      <c r="O61" s="19"/>
      <c r="S61" s="65">
        <v>57</v>
      </c>
      <c r="T61" s="8">
        <f t="shared" si="0"/>
        <v>183998.23693718336</v>
      </c>
      <c r="U61" s="8">
        <f t="shared" si="11"/>
        <v>126424.2400148313</v>
      </c>
      <c r="V61" s="8">
        <f t="shared" si="12"/>
        <v>123233.90175523823</v>
      </c>
      <c r="W61" s="8">
        <f t="shared" si="13"/>
        <v>107004.07851687059</v>
      </c>
      <c r="AA61" s="65">
        <v>57</v>
      </c>
      <c r="AB61" s="8">
        <f t="shared" si="5"/>
        <v>186242.50821108965</v>
      </c>
      <c r="AC61" s="8">
        <f t="shared" si="14"/>
        <v>127536.14568780124</v>
      </c>
      <c r="AD61" s="8">
        <f t="shared" si="6"/>
        <v>122279.58368577856</v>
      </c>
      <c r="AE61" s="8">
        <f t="shared" si="7"/>
        <v>104726.73747126438</v>
      </c>
    </row>
    <row r="62" spans="2:31" x14ac:dyDescent="0.2">
      <c r="C62" s="65">
        <v>58</v>
      </c>
      <c r="D62" s="4">
        <f>IF((Inventory!D62+Orders!E72*(1+Orders!$E$8))&gt;(Orders!E72*(1+Orders!$E$8)+Orders!Z71),Orders!E72-(Inventory!D62+Orders!E72-(Orders!E72*(1+Orders!$E$8))),(Orders!E72*(1+Orders!$E$8)+Orders!Z71)-Inventory!D62)</f>
        <v>0</v>
      </c>
      <c r="E62" s="9"/>
      <c r="F62" s="19"/>
      <c r="G62" s="4">
        <f>IF(IF((Inventory!E62+Orders!H72*(1+Orders!$E$9))&gt;(Orders!H72*(1+Orders!$E$9)+Orders!AA71),Orders!H72-(Inventory!E62+Orders!H72-(Orders!H72*(1+Orders!$E$9))),(Orders!H72*(1+Orders!$E$9)+Orders!AA71)-Inventory!E62)&lt;0,0,IF((Inventory!E62+Orders!H72*(1+Orders!$E$9))&gt;(Orders!H72*(1+Orders!$E$9)+Orders!AA71),Orders!H72-(Inventory!E62+Orders!H72-(Orders!H72*(1+Orders!$E$9))),(Orders!H72*(1+Orders!$E$9)+Orders!AA71)-Inventory!E62))</f>
        <v>0</v>
      </c>
      <c r="H62" s="9"/>
      <c r="I62" s="19"/>
      <c r="J62" s="4">
        <f>IF(IF((Inventory!F62+Orders!K72*(1+Orders!$E$10))&gt;(Orders!K72*(1+Orders!$E$10)+Orders!AB71),Orders!K72-(Inventory!F62+Orders!K72-(Orders!K72*(1+Orders!$E$10))),(Orders!K72*(1+Orders!$E$10)+Orders!AB71)-Inventory!F62)&lt;0,0,IF((Inventory!F62+Orders!K72*(1+Orders!$E$10))&gt;(Orders!K72*(1+Orders!$E$10)+Orders!AB71),Orders!K72-(Inventory!F62+Orders!K72-(Orders!K72*(1+Orders!$E$10))),(Orders!K72*(1+Orders!$E$10)+Orders!AB71)-Inventory!F62))</f>
        <v>0</v>
      </c>
      <c r="K62" s="9"/>
      <c r="L62" s="19"/>
      <c r="M62" s="4">
        <f>IF(IF((Inventory!G62+Orders!N72*(1+Orders!$E$11))&gt;(Orders!N72*(1+Orders!$E$11)+Orders!AC71),Orders!N72-(Inventory!G62+Orders!N72-(Orders!N72*(1+Orders!$E$11))),(Orders!N72*(1+Orders!$E$11)+Orders!AC71)-Inventory!G62)&lt;0,0,IF((Inventory!G62+Orders!N72*(1+Orders!$E$11))&gt;(Orders!N72*(1+Orders!$E$11)+Orders!AC71),Orders!N72-(Inventory!G62+Orders!N72-(Orders!N72*(1+Orders!$E$11))),(Orders!N72*(1+Orders!$E$11)+Orders!AC71)-Inventory!G62))</f>
        <v>0</v>
      </c>
      <c r="N62" s="9"/>
      <c r="O62" s="19"/>
      <c r="S62" s="65">
        <v>58</v>
      </c>
      <c r="T62" s="8">
        <f t="shared" si="0"/>
        <v>215846.70605888744</v>
      </c>
      <c r="U62" s="8">
        <f t="shared" si="11"/>
        <v>138516.27070819429</v>
      </c>
      <c r="V62" s="8">
        <f t="shared" si="12"/>
        <v>142185.40997497243</v>
      </c>
      <c r="W62" s="8">
        <f t="shared" si="13"/>
        <v>124167.74073044123</v>
      </c>
      <c r="AA62" s="65">
        <v>58</v>
      </c>
      <c r="AB62" s="8">
        <f t="shared" si="5"/>
        <v>177832.80622166066</v>
      </c>
      <c r="AC62" s="8">
        <f t="shared" si="14"/>
        <v>126980.19285131631</v>
      </c>
      <c r="AD62" s="8">
        <f t="shared" si="6"/>
        <v>122756.74272050841</v>
      </c>
      <c r="AE62" s="8">
        <f t="shared" si="7"/>
        <v>105865.40799406749</v>
      </c>
    </row>
    <row r="63" spans="2:31" x14ac:dyDescent="0.2">
      <c r="C63" s="65">
        <v>59</v>
      </c>
      <c r="D63" s="4">
        <f>IF((Inventory!D63+Orders!E73*(1+Orders!$E$8))&gt;(Orders!E73*(1+Orders!$E$8)+Orders!Z72),Orders!E73-(Inventory!D63+Orders!E73-(Orders!E73*(1+Orders!$E$8))),(Orders!E73*(1+Orders!$E$8)+Orders!Z72)-Inventory!D63)</f>
        <v>0</v>
      </c>
      <c r="E63" s="9"/>
      <c r="F63" s="19"/>
      <c r="G63" s="4">
        <f>IF(IF((Inventory!E63+Orders!H73*(1+Orders!$E$9))&gt;(Orders!H73*(1+Orders!$E$9)+Orders!AA72),Orders!H73-(Inventory!E63+Orders!H73-(Orders!H73*(1+Orders!$E$9))),(Orders!H73*(1+Orders!$E$9)+Orders!AA72)-Inventory!E63)&lt;0,0,IF((Inventory!E63+Orders!H73*(1+Orders!$E$9))&gt;(Orders!H73*(1+Orders!$E$9)+Orders!AA72),Orders!H73-(Inventory!E63+Orders!H73-(Orders!H73*(1+Orders!$E$9))),(Orders!H73*(1+Orders!$E$9)+Orders!AA72)-Inventory!E63))</f>
        <v>0</v>
      </c>
      <c r="H63" s="9"/>
      <c r="I63" s="19"/>
      <c r="J63" s="4">
        <f>IF(IF((Inventory!F63+Orders!K73*(1+Orders!$E$10))&gt;(Orders!K73*(1+Orders!$E$10)+Orders!AB72),Orders!K73-(Inventory!F63+Orders!K73-(Orders!K73*(1+Orders!$E$10))),(Orders!K73*(1+Orders!$E$10)+Orders!AB72)-Inventory!F63)&lt;0,0,IF((Inventory!F63+Orders!K73*(1+Orders!$E$10))&gt;(Orders!K73*(1+Orders!$E$10)+Orders!AB72),Orders!K73-(Inventory!F63+Orders!K73-(Orders!K73*(1+Orders!$E$10))),(Orders!K73*(1+Orders!$E$10)+Orders!AB72)-Inventory!F63))</f>
        <v>0</v>
      </c>
      <c r="K63" s="9"/>
      <c r="L63" s="19"/>
      <c r="M63" s="4">
        <f>IF(IF((Inventory!G63+Orders!N73*(1+Orders!$E$11))&gt;(Orders!N73*(1+Orders!$E$11)+Orders!AC72),Orders!N73-(Inventory!G63+Orders!N73-(Orders!N73*(1+Orders!$E$11))),(Orders!N73*(1+Orders!$E$11)+Orders!AC72)-Inventory!G63)&lt;0,0,IF((Inventory!G63+Orders!N73*(1+Orders!$E$11))&gt;(Orders!N73*(1+Orders!$E$11)+Orders!AC72),Orders!N73-(Inventory!G63+Orders!N73-(Orders!N73*(1+Orders!$E$11))),(Orders!N73*(1+Orders!$E$11)+Orders!AC72)-Inventory!G63))</f>
        <v>0</v>
      </c>
      <c r="N63" s="9"/>
      <c r="O63" s="19"/>
      <c r="S63" s="65">
        <v>59</v>
      </c>
      <c r="T63" s="8">
        <f t="shared" si="0"/>
        <v>0</v>
      </c>
      <c r="U63" s="8">
        <f t="shared" si="11"/>
        <v>0</v>
      </c>
      <c r="V63" s="8">
        <f t="shared" si="12"/>
        <v>0</v>
      </c>
      <c r="W63" s="8">
        <f t="shared" si="13"/>
        <v>0</v>
      </c>
      <c r="AA63" s="65">
        <v>59</v>
      </c>
      <c r="AB63" s="8">
        <f t="shared" si="5"/>
        <v>183998.23693718336</v>
      </c>
      <c r="AC63" s="8">
        <f t="shared" si="14"/>
        <v>126424.2400148313</v>
      </c>
      <c r="AD63" s="8">
        <f t="shared" si="6"/>
        <v>123233.90175523823</v>
      </c>
      <c r="AE63" s="8">
        <f t="shared" si="7"/>
        <v>107004.07851687059</v>
      </c>
    </row>
    <row r="64" spans="2:31" s="40" customFormat="1" x14ac:dyDescent="0.2">
      <c r="B64" s="40" t="s">
        <v>27</v>
      </c>
      <c r="C64" s="40" t="s">
        <v>27</v>
      </c>
      <c r="D64" s="40" t="s">
        <v>27</v>
      </c>
      <c r="E64" s="40" t="s">
        <v>27</v>
      </c>
      <c r="F64" s="40" t="s">
        <v>27</v>
      </c>
      <c r="G64" s="40" t="s">
        <v>27</v>
      </c>
      <c r="H64" s="40" t="s">
        <v>27</v>
      </c>
      <c r="I64" s="40" t="s">
        <v>27</v>
      </c>
      <c r="J64" s="40" t="s">
        <v>27</v>
      </c>
      <c r="K64" s="40" t="s">
        <v>27</v>
      </c>
      <c r="L64" s="40" t="s">
        <v>27</v>
      </c>
      <c r="M64" s="40" t="s">
        <v>27</v>
      </c>
      <c r="N64" s="40" t="s">
        <v>27</v>
      </c>
      <c r="O64" s="40" t="s">
        <v>27</v>
      </c>
      <c r="P64" s="40" t="s">
        <v>27</v>
      </c>
      <c r="Q64" s="40" t="s">
        <v>27</v>
      </c>
    </row>
  </sheetData>
  <mergeCells count="3">
    <mergeCell ref="C6:O8"/>
    <mergeCell ref="S6:W8"/>
    <mergeCell ref="AA6:AE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S142"/>
  <sheetViews>
    <sheetView showGridLines="0" tabSelected="1" zoomScale="44" zoomScaleNormal="50" workbookViewId="0">
      <selection activeCell="J60" sqref="J60"/>
    </sheetView>
  </sheetViews>
  <sheetFormatPr baseColWidth="10" defaultColWidth="8.83203125" defaultRowHeight="16" x14ac:dyDescent="0.2"/>
  <cols>
    <col min="1" max="1" width="8.83203125" style="19"/>
    <col min="2" max="8" width="12.5" style="19" customWidth="1"/>
    <col min="9" max="13" width="15.5" style="19" customWidth="1"/>
    <col min="14" max="15" width="8.83203125" style="19"/>
    <col min="16" max="20" width="15.5" style="19" customWidth="1"/>
    <col min="21" max="21" width="8.83203125" style="19"/>
    <col min="22" max="22" width="9" style="19"/>
    <col min="23" max="45" width="15.5" style="19" customWidth="1"/>
    <col min="46" max="16384" width="8.83203125" style="19"/>
  </cols>
  <sheetData>
    <row r="2" spans="2:45" x14ac:dyDescent="0.2">
      <c r="I2" s="91" t="s">
        <v>28</v>
      </c>
      <c r="J2" s="91"/>
      <c r="K2" s="91"/>
      <c r="L2" s="91"/>
      <c r="M2" s="91"/>
      <c r="P2" s="91" t="s">
        <v>125</v>
      </c>
      <c r="Q2" s="91"/>
      <c r="R2" s="91"/>
      <c r="S2" s="91"/>
      <c r="T2" s="91"/>
      <c r="W2" s="91" t="s">
        <v>56</v>
      </c>
      <c r="X2" s="91"/>
      <c r="Y2" s="91"/>
      <c r="Z2" s="91"/>
      <c r="AA2" s="91"/>
      <c r="AC2" s="91" t="s">
        <v>57</v>
      </c>
      <c r="AD2" s="91"/>
      <c r="AE2" s="91"/>
      <c r="AF2" s="91"/>
      <c r="AG2" s="91"/>
      <c r="AI2" s="91" t="s">
        <v>58</v>
      </c>
      <c r="AJ2" s="91"/>
      <c r="AK2" s="91"/>
      <c r="AL2" s="91"/>
      <c r="AM2" s="91"/>
      <c r="AO2" s="91" t="s">
        <v>59</v>
      </c>
      <c r="AP2" s="91"/>
      <c r="AQ2" s="91"/>
      <c r="AR2" s="91"/>
      <c r="AS2" s="91"/>
    </row>
    <row r="3" spans="2:45" x14ac:dyDescent="0.2">
      <c r="I3" s="91"/>
      <c r="J3" s="91"/>
      <c r="K3" s="91"/>
      <c r="L3" s="91"/>
      <c r="M3" s="91"/>
      <c r="P3" s="91"/>
      <c r="Q3" s="91"/>
      <c r="R3" s="91"/>
      <c r="S3" s="91"/>
      <c r="T3" s="91"/>
      <c r="W3" s="91"/>
      <c r="X3" s="91"/>
      <c r="Y3" s="91"/>
      <c r="Z3" s="91"/>
      <c r="AA3" s="91"/>
      <c r="AC3" s="91"/>
      <c r="AD3" s="91"/>
      <c r="AE3" s="91"/>
      <c r="AF3" s="91"/>
      <c r="AG3" s="91"/>
      <c r="AI3" s="91"/>
      <c r="AJ3" s="91"/>
      <c r="AK3" s="91"/>
      <c r="AL3" s="91"/>
      <c r="AM3" s="91"/>
      <c r="AO3" s="91"/>
      <c r="AP3" s="91"/>
      <c r="AQ3" s="91"/>
      <c r="AR3" s="91"/>
      <c r="AS3" s="91"/>
    </row>
    <row r="4" spans="2:45" x14ac:dyDescent="0.2">
      <c r="I4" s="91"/>
      <c r="J4" s="91"/>
      <c r="K4" s="91"/>
      <c r="L4" s="91"/>
      <c r="M4" s="91"/>
      <c r="P4" s="91"/>
      <c r="Q4" s="91"/>
      <c r="R4" s="91"/>
      <c r="S4" s="91"/>
      <c r="T4" s="91"/>
      <c r="W4" s="91"/>
      <c r="X4" s="91"/>
      <c r="Y4" s="91"/>
      <c r="Z4" s="91"/>
      <c r="AA4" s="91"/>
      <c r="AC4" s="91"/>
      <c r="AD4" s="91"/>
      <c r="AE4" s="91"/>
      <c r="AF4" s="91"/>
      <c r="AG4" s="91"/>
      <c r="AI4" s="91"/>
      <c r="AJ4" s="91"/>
      <c r="AK4" s="91"/>
      <c r="AL4" s="91"/>
      <c r="AM4" s="91"/>
      <c r="AO4" s="91"/>
      <c r="AP4" s="91"/>
      <c r="AQ4" s="91"/>
      <c r="AR4" s="91"/>
      <c r="AS4" s="91"/>
    </row>
    <row r="5" spans="2:45" x14ac:dyDescent="0.2">
      <c r="I5" s="32"/>
      <c r="J5" s="23" t="s">
        <v>12</v>
      </c>
      <c r="K5" s="23" t="s">
        <v>13</v>
      </c>
      <c r="L5" s="23" t="s">
        <v>14</v>
      </c>
      <c r="M5" s="23" t="s">
        <v>15</v>
      </c>
      <c r="P5" s="32"/>
      <c r="Q5" s="23" t="s">
        <v>12</v>
      </c>
      <c r="R5" s="23" t="s">
        <v>13</v>
      </c>
      <c r="S5" s="23" t="s">
        <v>14</v>
      </c>
      <c r="T5" s="23" t="s">
        <v>15</v>
      </c>
      <c r="W5" s="32"/>
      <c r="X5" s="23" t="s">
        <v>33</v>
      </c>
      <c r="Y5" s="23" t="s">
        <v>34</v>
      </c>
      <c r="Z5" s="23" t="s">
        <v>35</v>
      </c>
      <c r="AA5" s="23" t="s">
        <v>36</v>
      </c>
      <c r="AC5" s="32"/>
      <c r="AD5" s="23" t="s">
        <v>33</v>
      </c>
      <c r="AE5" s="23" t="s">
        <v>34</v>
      </c>
      <c r="AF5" s="23" t="s">
        <v>35</v>
      </c>
      <c r="AG5" s="23" t="s">
        <v>36</v>
      </c>
      <c r="AI5" s="32"/>
      <c r="AJ5" s="23" t="s">
        <v>33</v>
      </c>
      <c r="AK5" s="23" t="s">
        <v>34</v>
      </c>
      <c r="AL5" s="23" t="s">
        <v>35</v>
      </c>
      <c r="AM5" s="23" t="s">
        <v>36</v>
      </c>
      <c r="AO5" s="32"/>
      <c r="AP5" s="23" t="s">
        <v>33</v>
      </c>
      <c r="AQ5" s="23" t="s">
        <v>34</v>
      </c>
      <c r="AR5" s="23" t="s">
        <v>35</v>
      </c>
      <c r="AS5" s="23" t="s">
        <v>36</v>
      </c>
    </row>
    <row r="6" spans="2:45" x14ac:dyDescent="0.2">
      <c r="I6" s="24" t="s">
        <v>26</v>
      </c>
      <c r="J6" s="25" t="s">
        <v>31</v>
      </c>
      <c r="K6" s="25" t="s">
        <v>31</v>
      </c>
      <c r="L6" s="25" t="s">
        <v>31</v>
      </c>
      <c r="M6" s="25" t="s">
        <v>31</v>
      </c>
      <c r="P6" s="24" t="s">
        <v>26</v>
      </c>
      <c r="Q6" s="25" t="s">
        <v>31</v>
      </c>
      <c r="R6" s="25" t="s">
        <v>31</v>
      </c>
      <c r="S6" s="25" t="s">
        <v>31</v>
      </c>
      <c r="T6" s="25" t="s">
        <v>31</v>
      </c>
      <c r="W6" s="24" t="s">
        <v>26</v>
      </c>
      <c r="X6" s="25" t="s">
        <v>31</v>
      </c>
      <c r="Y6" s="25" t="s">
        <v>31</v>
      </c>
      <c r="Z6" s="25" t="s">
        <v>31</v>
      </c>
      <c r="AA6" s="25" t="s">
        <v>31</v>
      </c>
      <c r="AC6" s="24" t="s">
        <v>26</v>
      </c>
      <c r="AD6" s="25" t="s">
        <v>31</v>
      </c>
      <c r="AE6" s="25" t="s">
        <v>31</v>
      </c>
      <c r="AF6" s="25" t="s">
        <v>31</v>
      </c>
      <c r="AG6" s="25" t="s">
        <v>31</v>
      </c>
      <c r="AI6" s="24" t="s">
        <v>26</v>
      </c>
      <c r="AJ6" s="25" t="s">
        <v>31</v>
      </c>
      <c r="AK6" s="25" t="s">
        <v>31</v>
      </c>
      <c r="AL6" s="25" t="s">
        <v>31</v>
      </c>
      <c r="AM6" s="25" t="s">
        <v>31</v>
      </c>
      <c r="AO6" s="24" t="s">
        <v>26</v>
      </c>
      <c r="AP6" s="25" t="s">
        <v>31</v>
      </c>
      <c r="AQ6" s="25" t="s">
        <v>31</v>
      </c>
      <c r="AR6" s="25" t="s">
        <v>31</v>
      </c>
      <c r="AS6" s="25" t="s">
        <v>31</v>
      </c>
    </row>
    <row r="7" spans="2:45" x14ac:dyDescent="0.2">
      <c r="B7" s="90" t="s">
        <v>76</v>
      </c>
      <c r="C7" s="90"/>
      <c r="D7" s="90"/>
      <c r="E7" s="90"/>
      <c r="F7" s="90"/>
      <c r="G7" s="90"/>
      <c r="I7" s="34">
        <v>7</v>
      </c>
      <c r="J7" s="10">
        <v>1475</v>
      </c>
      <c r="K7" s="10">
        <v>2014</v>
      </c>
      <c r="L7" s="10">
        <v>3373</v>
      </c>
      <c r="M7" s="10">
        <v>2401</v>
      </c>
      <c r="P7" s="34">
        <v>7</v>
      </c>
      <c r="Q7" s="10" t="s">
        <v>29</v>
      </c>
      <c r="R7" s="10" t="s">
        <v>29</v>
      </c>
      <c r="S7" s="10" t="s">
        <v>29</v>
      </c>
      <c r="T7" s="10" t="s">
        <v>29</v>
      </c>
      <c r="W7" s="34">
        <v>7</v>
      </c>
      <c r="X7" s="50">
        <v>286</v>
      </c>
      <c r="Y7" s="50">
        <v>283</v>
      </c>
      <c r="Z7" s="50">
        <v>281</v>
      </c>
      <c r="AA7" s="50">
        <v>237</v>
      </c>
      <c r="AC7" s="34">
        <v>7</v>
      </c>
      <c r="AD7" s="50">
        <v>369</v>
      </c>
      <c r="AE7" s="50">
        <v>785</v>
      </c>
      <c r="AF7" s="50">
        <v>189</v>
      </c>
      <c r="AG7" s="50">
        <v>258</v>
      </c>
      <c r="AI7" s="34">
        <v>7</v>
      </c>
      <c r="AJ7" s="50">
        <v>861</v>
      </c>
      <c r="AK7" s="50">
        <v>468</v>
      </c>
      <c r="AL7" s="50">
        <v>438</v>
      </c>
      <c r="AM7" s="50">
        <v>287</v>
      </c>
      <c r="AO7" s="34">
        <v>7</v>
      </c>
      <c r="AP7" s="50">
        <v>560</v>
      </c>
      <c r="AQ7" s="50">
        <v>759</v>
      </c>
      <c r="AR7" s="50">
        <v>519</v>
      </c>
      <c r="AS7" s="50">
        <v>349</v>
      </c>
    </row>
    <row r="8" spans="2:45" x14ac:dyDescent="0.2">
      <c r="B8" s="90"/>
      <c r="C8" s="90"/>
      <c r="D8" s="90"/>
      <c r="E8" s="90"/>
      <c r="F8" s="90"/>
      <c r="G8" s="90"/>
      <c r="I8" s="34">
        <v>8</v>
      </c>
      <c r="J8" s="10">
        <v>1480</v>
      </c>
      <c r="K8" s="10">
        <v>2000</v>
      </c>
      <c r="L8" s="10">
        <v>3354</v>
      </c>
      <c r="M8" s="10">
        <v>2401</v>
      </c>
      <c r="P8" s="34">
        <v>8</v>
      </c>
      <c r="Q8" s="10" t="s">
        <v>29</v>
      </c>
      <c r="R8" s="10" t="s">
        <v>29</v>
      </c>
      <c r="S8" s="10" t="s">
        <v>29</v>
      </c>
      <c r="T8" s="10" t="s">
        <v>29</v>
      </c>
      <c r="W8" s="34">
        <v>8</v>
      </c>
      <c r="X8" s="7">
        <v>277</v>
      </c>
      <c r="Y8" s="7">
        <v>282</v>
      </c>
      <c r="Z8" s="7">
        <v>282</v>
      </c>
      <c r="AA8" s="7">
        <v>239</v>
      </c>
      <c r="AC8" s="34">
        <v>8</v>
      </c>
      <c r="AD8" s="7">
        <v>358</v>
      </c>
      <c r="AE8" s="7">
        <v>781</v>
      </c>
      <c r="AF8" s="7">
        <v>189</v>
      </c>
      <c r="AG8" s="7">
        <v>260</v>
      </c>
      <c r="AI8" s="34">
        <v>8</v>
      </c>
      <c r="AJ8" s="7">
        <v>834</v>
      </c>
      <c r="AK8" s="7">
        <v>466</v>
      </c>
      <c r="AL8" s="7">
        <v>439</v>
      </c>
      <c r="AM8" s="7">
        <v>290</v>
      </c>
      <c r="AO8" s="34">
        <v>8</v>
      </c>
      <c r="AP8" s="7">
        <v>543</v>
      </c>
      <c r="AQ8" s="7">
        <v>755</v>
      </c>
      <c r="AR8" s="7">
        <v>521</v>
      </c>
      <c r="AS8" s="7">
        <v>352</v>
      </c>
    </row>
    <row r="9" spans="2:45" x14ac:dyDescent="0.2">
      <c r="B9" s="52" t="s">
        <v>25</v>
      </c>
      <c r="C9" s="53" t="s">
        <v>0</v>
      </c>
      <c r="D9" s="53" t="s">
        <v>1</v>
      </c>
      <c r="E9" s="53" t="s">
        <v>2</v>
      </c>
      <c r="F9" s="53" t="s">
        <v>3</v>
      </c>
      <c r="G9" s="53" t="s">
        <v>67</v>
      </c>
      <c r="I9" s="34">
        <v>9</v>
      </c>
      <c r="J9" s="10">
        <v>1483</v>
      </c>
      <c r="K9" s="10">
        <v>1992</v>
      </c>
      <c r="L9" s="10">
        <v>3355</v>
      </c>
      <c r="M9" s="10">
        <v>2400</v>
      </c>
      <c r="P9" s="34">
        <v>9</v>
      </c>
      <c r="Q9" s="10" t="s">
        <v>29</v>
      </c>
      <c r="R9" s="10" t="s">
        <v>29</v>
      </c>
      <c r="S9" s="10" t="s">
        <v>29</v>
      </c>
      <c r="T9" s="10" t="s">
        <v>29</v>
      </c>
      <c r="W9" s="34">
        <v>9</v>
      </c>
      <c r="X9" s="7">
        <v>270</v>
      </c>
      <c r="Y9" s="7">
        <v>279</v>
      </c>
      <c r="Z9" s="7">
        <v>286</v>
      </c>
      <c r="AA9" s="7">
        <v>241</v>
      </c>
      <c r="AC9" s="34">
        <v>9</v>
      </c>
      <c r="AD9" s="7">
        <v>349</v>
      </c>
      <c r="AE9" s="7">
        <v>774</v>
      </c>
      <c r="AF9" s="7">
        <v>192</v>
      </c>
      <c r="AG9" s="7">
        <v>263</v>
      </c>
      <c r="AI9" s="34">
        <v>9</v>
      </c>
      <c r="AJ9" s="7">
        <v>813</v>
      </c>
      <c r="AK9" s="7">
        <v>461</v>
      </c>
      <c r="AL9" s="7">
        <v>446</v>
      </c>
      <c r="AM9" s="7">
        <v>293</v>
      </c>
      <c r="AO9" s="34">
        <v>9</v>
      </c>
      <c r="AP9" s="7">
        <v>529</v>
      </c>
      <c r="AQ9" s="7">
        <v>748</v>
      </c>
      <c r="AR9" s="7">
        <v>529</v>
      </c>
      <c r="AS9" s="7">
        <v>355</v>
      </c>
    </row>
    <row r="10" spans="2:45" x14ac:dyDescent="0.2">
      <c r="B10" s="54" t="s">
        <v>12</v>
      </c>
      <c r="C10" s="11">
        <v>1.2930000000000001E-3</v>
      </c>
      <c r="D10" s="11">
        <v>1.653E-3</v>
      </c>
      <c r="E10" s="11">
        <v>2.7079999999999999E-3</v>
      </c>
      <c r="F10" s="11">
        <v>4.7869999999999996E-3</v>
      </c>
      <c r="G10" s="55">
        <v>2268</v>
      </c>
      <c r="I10" s="34">
        <v>10</v>
      </c>
      <c r="J10" s="10">
        <v>1494</v>
      </c>
      <c r="K10" s="10">
        <v>1999</v>
      </c>
      <c r="L10" s="10">
        <v>3355</v>
      </c>
      <c r="M10" s="10">
        <v>2409</v>
      </c>
      <c r="P10" s="34">
        <v>10</v>
      </c>
      <c r="Q10" s="10" t="s">
        <v>29</v>
      </c>
      <c r="R10" s="10" t="s">
        <v>29</v>
      </c>
      <c r="S10" s="10" t="s">
        <v>29</v>
      </c>
      <c r="T10" s="10" t="s">
        <v>29</v>
      </c>
      <c r="W10" s="34">
        <v>10</v>
      </c>
      <c r="X10" s="7">
        <v>267</v>
      </c>
      <c r="Y10" s="7">
        <v>276</v>
      </c>
      <c r="Z10" s="7">
        <v>287</v>
      </c>
      <c r="AA10" s="7">
        <v>243</v>
      </c>
      <c r="AC10" s="34">
        <v>10</v>
      </c>
      <c r="AD10" s="7">
        <v>346</v>
      </c>
      <c r="AE10" s="7">
        <v>766</v>
      </c>
      <c r="AF10" s="7">
        <v>193</v>
      </c>
      <c r="AG10" s="7">
        <v>265</v>
      </c>
      <c r="AI10" s="34">
        <v>10</v>
      </c>
      <c r="AJ10" s="7">
        <v>806</v>
      </c>
      <c r="AK10" s="7">
        <v>457</v>
      </c>
      <c r="AL10" s="7">
        <v>448</v>
      </c>
      <c r="AM10" s="7">
        <v>295</v>
      </c>
      <c r="AO10" s="34">
        <v>10</v>
      </c>
      <c r="AP10" s="7">
        <v>525</v>
      </c>
      <c r="AQ10" s="7">
        <v>741</v>
      </c>
      <c r="AR10" s="7">
        <v>531</v>
      </c>
      <c r="AS10" s="7">
        <v>358</v>
      </c>
    </row>
    <row r="11" spans="2:45" x14ac:dyDescent="0.2">
      <c r="B11" s="54" t="s">
        <v>13</v>
      </c>
      <c r="C11" s="11">
        <v>1.671E-3</v>
      </c>
      <c r="D11" s="11">
        <v>4.5820000000000001E-3</v>
      </c>
      <c r="E11" s="11">
        <v>1.82E-3</v>
      </c>
      <c r="F11" s="11">
        <v>5.2199999999999998E-3</v>
      </c>
      <c r="G11" s="55">
        <v>2268</v>
      </c>
      <c r="I11" s="34">
        <v>11</v>
      </c>
      <c r="J11" s="10">
        <v>1506</v>
      </c>
      <c r="K11" s="10">
        <v>1991</v>
      </c>
      <c r="L11" s="10">
        <v>3373</v>
      </c>
      <c r="M11" s="10">
        <v>2419</v>
      </c>
      <c r="P11" s="34">
        <v>11</v>
      </c>
      <c r="Q11" s="10">
        <f>J7</f>
        <v>1475</v>
      </c>
      <c r="R11" s="10">
        <f>K7</f>
        <v>2014</v>
      </c>
      <c r="S11" s="10">
        <f>L7</f>
        <v>3373</v>
      </c>
      <c r="T11" s="10">
        <f>M7</f>
        <v>2401</v>
      </c>
      <c r="W11" s="34">
        <v>11</v>
      </c>
      <c r="X11" s="7">
        <v>263</v>
      </c>
      <c r="Y11" s="7">
        <v>276</v>
      </c>
      <c r="Z11" s="7">
        <v>287</v>
      </c>
      <c r="AA11" s="7">
        <v>249</v>
      </c>
      <c r="AC11" s="34">
        <v>11</v>
      </c>
      <c r="AD11" s="7">
        <v>340</v>
      </c>
      <c r="AE11" s="7">
        <v>764</v>
      </c>
      <c r="AF11" s="7">
        <v>193</v>
      </c>
      <c r="AG11" s="7">
        <v>272</v>
      </c>
      <c r="AI11" s="34">
        <v>11</v>
      </c>
      <c r="AJ11" s="7">
        <v>793</v>
      </c>
      <c r="AK11" s="7">
        <v>456</v>
      </c>
      <c r="AL11" s="7">
        <v>447</v>
      </c>
      <c r="AM11" s="7">
        <v>303</v>
      </c>
      <c r="AO11" s="34">
        <v>11</v>
      </c>
      <c r="AP11" s="7">
        <v>516</v>
      </c>
      <c r="AQ11" s="7">
        <v>739</v>
      </c>
      <c r="AR11" s="7">
        <v>530</v>
      </c>
      <c r="AS11" s="7">
        <v>367</v>
      </c>
    </row>
    <row r="12" spans="2:45" x14ac:dyDescent="0.2">
      <c r="B12" s="54" t="s">
        <v>14</v>
      </c>
      <c r="C12" s="11">
        <v>3.895E-3</v>
      </c>
      <c r="D12" s="11">
        <v>2.7330000000000002E-3</v>
      </c>
      <c r="E12" s="11">
        <v>4.2240000000000003E-3</v>
      </c>
      <c r="F12" s="11">
        <v>5.8149999999999999E-3</v>
      </c>
      <c r="G12" s="55">
        <v>3024</v>
      </c>
      <c r="I12" s="34">
        <v>12</v>
      </c>
      <c r="J12" s="10">
        <v>1522</v>
      </c>
      <c r="K12" s="10">
        <v>2002</v>
      </c>
      <c r="L12" s="10">
        <v>3393</v>
      </c>
      <c r="M12" s="10">
        <v>2439</v>
      </c>
      <c r="P12" s="34">
        <v>12</v>
      </c>
      <c r="Q12" s="10">
        <f t="shared" ref="Q12:T12" si="0">J8</f>
        <v>1480</v>
      </c>
      <c r="R12" s="10">
        <f t="shared" si="0"/>
        <v>2000</v>
      </c>
      <c r="S12" s="10">
        <f t="shared" si="0"/>
        <v>3354</v>
      </c>
      <c r="T12" s="10">
        <f t="shared" si="0"/>
        <v>2401</v>
      </c>
      <c r="W12" s="34">
        <v>12</v>
      </c>
      <c r="X12" s="7">
        <v>261</v>
      </c>
      <c r="Y12" s="7">
        <v>272</v>
      </c>
      <c r="Z12" s="7">
        <v>292</v>
      </c>
      <c r="AA12" s="7">
        <v>251</v>
      </c>
      <c r="AC12" s="34">
        <v>12</v>
      </c>
      <c r="AD12" s="7">
        <v>337</v>
      </c>
      <c r="AE12" s="7">
        <v>754</v>
      </c>
      <c r="AF12" s="7">
        <v>196</v>
      </c>
      <c r="AG12" s="7">
        <v>274</v>
      </c>
      <c r="AI12" s="34">
        <v>12</v>
      </c>
      <c r="AJ12" s="7">
        <v>786</v>
      </c>
      <c r="AK12" s="7">
        <v>450</v>
      </c>
      <c r="AL12" s="7">
        <v>455</v>
      </c>
      <c r="AM12" s="7">
        <v>305</v>
      </c>
      <c r="AO12" s="34">
        <v>12</v>
      </c>
      <c r="AP12" s="7">
        <v>512</v>
      </c>
      <c r="AQ12" s="7">
        <v>729</v>
      </c>
      <c r="AR12" s="7">
        <v>540</v>
      </c>
      <c r="AS12" s="7">
        <v>370</v>
      </c>
    </row>
    <row r="13" spans="2:45" x14ac:dyDescent="0.2">
      <c r="B13" s="56" t="s">
        <v>15</v>
      </c>
      <c r="C13" s="57">
        <v>2.5370000000000002E-3</v>
      </c>
      <c r="D13" s="57">
        <v>4.4319999999999998E-2</v>
      </c>
      <c r="E13" s="57">
        <v>5.0090000000000004E-3</v>
      </c>
      <c r="F13" s="57">
        <v>7.0549999999999996E-3</v>
      </c>
      <c r="G13" s="55">
        <v>3024</v>
      </c>
      <c r="I13" s="34">
        <v>13</v>
      </c>
      <c r="J13" s="10">
        <v>1523</v>
      </c>
      <c r="K13" s="10">
        <v>1995</v>
      </c>
      <c r="L13" s="10">
        <v>3402</v>
      </c>
      <c r="M13" s="10">
        <v>2440</v>
      </c>
      <c r="P13" s="34">
        <v>13</v>
      </c>
      <c r="Q13" s="10">
        <f t="shared" ref="Q13:T13" si="1">J9</f>
        <v>1483</v>
      </c>
      <c r="R13" s="10">
        <f t="shared" si="1"/>
        <v>1992</v>
      </c>
      <c r="S13" s="10">
        <f t="shared" si="1"/>
        <v>3355</v>
      </c>
      <c r="T13" s="10">
        <f t="shared" si="1"/>
        <v>2400</v>
      </c>
      <c r="W13" s="34">
        <v>13</v>
      </c>
      <c r="X13" s="7">
        <v>258</v>
      </c>
      <c r="Y13" s="7">
        <v>271</v>
      </c>
      <c r="Z13" s="7">
        <v>295</v>
      </c>
      <c r="AA13" s="7">
        <v>255</v>
      </c>
      <c r="AC13" s="34">
        <v>13</v>
      </c>
      <c r="AD13" s="7">
        <v>333</v>
      </c>
      <c r="AE13" s="7">
        <v>752</v>
      </c>
      <c r="AF13" s="7">
        <v>198</v>
      </c>
      <c r="AG13" s="7">
        <v>278</v>
      </c>
      <c r="AI13" s="34">
        <v>13</v>
      </c>
      <c r="AJ13" s="7">
        <v>777</v>
      </c>
      <c r="AK13" s="7">
        <v>448</v>
      </c>
      <c r="AL13" s="7">
        <v>460</v>
      </c>
      <c r="AM13" s="7">
        <v>310</v>
      </c>
      <c r="AO13" s="34">
        <v>13</v>
      </c>
      <c r="AP13" s="7">
        <v>506</v>
      </c>
      <c r="AQ13" s="7">
        <v>727</v>
      </c>
      <c r="AR13" s="7">
        <v>546</v>
      </c>
      <c r="AS13" s="7">
        <v>376</v>
      </c>
    </row>
    <row r="14" spans="2:45" x14ac:dyDescent="0.2">
      <c r="I14" s="34">
        <v>14</v>
      </c>
      <c r="J14" s="10">
        <v>1534</v>
      </c>
      <c r="K14" s="10">
        <v>2015</v>
      </c>
      <c r="L14" s="10">
        <v>3443</v>
      </c>
      <c r="M14" s="10">
        <v>2457</v>
      </c>
      <c r="P14" s="34">
        <v>14</v>
      </c>
      <c r="Q14" s="10">
        <f t="shared" ref="Q14:T14" si="2">J10</f>
        <v>1494</v>
      </c>
      <c r="R14" s="10">
        <f t="shared" si="2"/>
        <v>1999</v>
      </c>
      <c r="S14" s="10">
        <f t="shared" si="2"/>
        <v>3355</v>
      </c>
      <c r="T14" s="10">
        <f t="shared" si="2"/>
        <v>2409</v>
      </c>
      <c r="W14" s="34">
        <v>14</v>
      </c>
      <c r="X14" s="7">
        <v>257</v>
      </c>
      <c r="Y14" s="7">
        <v>269</v>
      </c>
      <c r="Z14" s="7">
        <v>297</v>
      </c>
      <c r="AA14" s="7">
        <v>254</v>
      </c>
      <c r="AC14" s="34">
        <v>14</v>
      </c>
      <c r="AD14" s="7">
        <v>333</v>
      </c>
      <c r="AE14" s="7">
        <v>746</v>
      </c>
      <c r="AF14" s="7">
        <v>200</v>
      </c>
      <c r="AG14" s="7">
        <v>277</v>
      </c>
      <c r="AI14" s="34">
        <v>14</v>
      </c>
      <c r="AJ14" s="7">
        <v>776</v>
      </c>
      <c r="AK14" s="7">
        <v>445</v>
      </c>
      <c r="AL14" s="7">
        <v>464</v>
      </c>
      <c r="AM14" s="7">
        <v>309</v>
      </c>
      <c r="AO14" s="34">
        <v>14</v>
      </c>
      <c r="AP14" s="7">
        <v>505</v>
      </c>
      <c r="AQ14" s="7">
        <v>722</v>
      </c>
      <c r="AR14" s="7">
        <v>550</v>
      </c>
      <c r="AS14" s="7">
        <v>375</v>
      </c>
    </row>
    <row r="15" spans="2:45" x14ac:dyDescent="0.2">
      <c r="I15" s="34">
        <v>15</v>
      </c>
      <c r="J15" s="10">
        <v>1528</v>
      </c>
      <c r="K15" s="10">
        <v>2016</v>
      </c>
      <c r="L15" s="10">
        <v>3445</v>
      </c>
      <c r="M15" s="10">
        <v>2442</v>
      </c>
      <c r="P15" s="34">
        <v>15</v>
      </c>
      <c r="Q15" s="10">
        <f t="shared" ref="Q15:T15" si="3">J11</f>
        <v>1506</v>
      </c>
      <c r="R15" s="10">
        <f t="shared" si="3"/>
        <v>1991</v>
      </c>
      <c r="S15" s="10">
        <f t="shared" si="3"/>
        <v>3373</v>
      </c>
      <c r="T15" s="10">
        <f t="shared" si="3"/>
        <v>2419</v>
      </c>
      <c r="W15" s="34">
        <v>15</v>
      </c>
      <c r="X15" s="7">
        <v>260</v>
      </c>
      <c r="Y15" s="7">
        <v>269</v>
      </c>
      <c r="Z15" s="7">
        <v>296</v>
      </c>
      <c r="AA15" s="7">
        <v>256</v>
      </c>
      <c r="AC15" s="34">
        <v>15</v>
      </c>
      <c r="AD15" s="7">
        <v>336</v>
      </c>
      <c r="AE15" s="7">
        <v>747</v>
      </c>
      <c r="AF15" s="7">
        <v>199</v>
      </c>
      <c r="AG15" s="7">
        <v>280</v>
      </c>
      <c r="AI15" s="34">
        <v>15</v>
      </c>
      <c r="AJ15" s="7">
        <v>784</v>
      </c>
      <c r="AK15" s="7">
        <v>445</v>
      </c>
      <c r="AL15" s="7">
        <v>461</v>
      </c>
      <c r="AM15" s="7">
        <v>312</v>
      </c>
      <c r="AO15" s="34">
        <v>15</v>
      </c>
      <c r="AP15" s="7">
        <v>511</v>
      </c>
      <c r="AQ15" s="7">
        <v>722</v>
      </c>
      <c r="AR15" s="7">
        <v>547</v>
      </c>
      <c r="AS15" s="7">
        <v>378</v>
      </c>
    </row>
    <row r="16" spans="2:45" x14ac:dyDescent="0.2">
      <c r="I16" s="34">
        <v>16</v>
      </c>
      <c r="J16" s="10">
        <v>1498</v>
      </c>
      <c r="K16" s="10">
        <v>1993</v>
      </c>
      <c r="L16" s="10">
        <v>3386</v>
      </c>
      <c r="M16" s="10">
        <v>2399</v>
      </c>
      <c r="P16" s="34">
        <v>16</v>
      </c>
      <c r="Q16" s="10">
        <f t="shared" ref="Q16:T16" si="4">J12</f>
        <v>1522</v>
      </c>
      <c r="R16" s="10">
        <f t="shared" si="4"/>
        <v>2002</v>
      </c>
      <c r="S16" s="10">
        <f t="shared" si="4"/>
        <v>3393</v>
      </c>
      <c r="T16" s="10">
        <f t="shared" si="4"/>
        <v>2439</v>
      </c>
      <c r="W16" s="34">
        <v>16</v>
      </c>
      <c r="X16" s="7">
        <v>263</v>
      </c>
      <c r="Y16" s="7">
        <v>267</v>
      </c>
      <c r="Z16" s="7">
        <v>287</v>
      </c>
      <c r="AA16" s="7">
        <v>262</v>
      </c>
      <c r="AC16" s="34">
        <v>16</v>
      </c>
      <c r="AD16" s="7">
        <v>340</v>
      </c>
      <c r="AE16" s="7">
        <v>741</v>
      </c>
      <c r="AF16" s="7">
        <v>193</v>
      </c>
      <c r="AG16" s="7">
        <v>285</v>
      </c>
      <c r="AI16" s="34">
        <v>16</v>
      </c>
      <c r="AJ16" s="7">
        <v>793</v>
      </c>
      <c r="AK16" s="7">
        <v>442</v>
      </c>
      <c r="AL16" s="7">
        <v>448</v>
      </c>
      <c r="AM16" s="7">
        <v>318</v>
      </c>
      <c r="AO16" s="34">
        <v>16</v>
      </c>
      <c r="AP16" s="7">
        <v>516</v>
      </c>
      <c r="AQ16" s="7">
        <v>717</v>
      </c>
      <c r="AR16" s="7">
        <v>531</v>
      </c>
      <c r="AS16" s="7">
        <v>386</v>
      </c>
    </row>
    <row r="17" spans="2:45" x14ac:dyDescent="0.2">
      <c r="I17" s="34">
        <v>17</v>
      </c>
      <c r="J17" s="10">
        <v>1492</v>
      </c>
      <c r="K17" s="10">
        <v>1993</v>
      </c>
      <c r="L17" s="10">
        <v>3373</v>
      </c>
      <c r="M17" s="10">
        <v>2384</v>
      </c>
      <c r="P17" s="34">
        <v>17</v>
      </c>
      <c r="Q17" s="10">
        <f t="shared" ref="Q17:T17" si="5">J13</f>
        <v>1523</v>
      </c>
      <c r="R17" s="10">
        <f t="shared" si="5"/>
        <v>1995</v>
      </c>
      <c r="S17" s="10">
        <f t="shared" si="5"/>
        <v>3402</v>
      </c>
      <c r="T17" s="10">
        <f t="shared" si="5"/>
        <v>2440</v>
      </c>
      <c r="W17" s="34">
        <v>17</v>
      </c>
      <c r="X17" s="7">
        <v>261</v>
      </c>
      <c r="Y17" s="7">
        <v>267</v>
      </c>
      <c r="Z17" s="7">
        <v>280</v>
      </c>
      <c r="AA17" s="7">
        <v>260</v>
      </c>
      <c r="AC17" s="34">
        <v>17</v>
      </c>
      <c r="AD17" s="7">
        <v>338</v>
      </c>
      <c r="AE17" s="7">
        <v>739</v>
      </c>
      <c r="AF17" s="7">
        <v>188</v>
      </c>
      <c r="AG17" s="7">
        <v>284</v>
      </c>
      <c r="AI17" s="34">
        <v>17</v>
      </c>
      <c r="AJ17" s="7">
        <v>787</v>
      </c>
      <c r="AK17" s="7">
        <v>441</v>
      </c>
      <c r="AL17" s="7">
        <v>437</v>
      </c>
      <c r="AM17" s="7">
        <v>316</v>
      </c>
      <c r="AO17" s="34">
        <v>17</v>
      </c>
      <c r="AP17" s="7">
        <v>512</v>
      </c>
      <c r="AQ17" s="7">
        <v>715</v>
      </c>
      <c r="AR17" s="7">
        <v>518</v>
      </c>
      <c r="AS17" s="7">
        <v>384</v>
      </c>
    </row>
    <row r="18" spans="2:45" x14ac:dyDescent="0.2">
      <c r="I18" s="34">
        <v>18</v>
      </c>
      <c r="J18" s="10">
        <v>1484</v>
      </c>
      <c r="K18" s="10">
        <v>1971</v>
      </c>
      <c r="L18" s="10">
        <v>3337</v>
      </c>
      <c r="M18" s="10">
        <v>2362</v>
      </c>
      <c r="P18" s="34">
        <v>18</v>
      </c>
      <c r="Q18" s="10">
        <f t="shared" ref="Q18:T18" si="6">J14</f>
        <v>1534</v>
      </c>
      <c r="R18" s="10">
        <f t="shared" si="6"/>
        <v>2015</v>
      </c>
      <c r="S18" s="10">
        <f t="shared" si="6"/>
        <v>3443</v>
      </c>
      <c r="T18" s="10">
        <f t="shared" si="6"/>
        <v>2457</v>
      </c>
      <c r="W18" s="34">
        <v>18</v>
      </c>
      <c r="X18" s="7">
        <v>261</v>
      </c>
      <c r="Y18" s="7">
        <v>266</v>
      </c>
      <c r="Z18" s="7">
        <v>273</v>
      </c>
      <c r="AA18" s="7">
        <v>266</v>
      </c>
      <c r="AC18" s="34">
        <v>18</v>
      </c>
      <c r="AD18" s="7">
        <v>338</v>
      </c>
      <c r="AE18" s="7">
        <v>736</v>
      </c>
      <c r="AF18" s="7">
        <v>183</v>
      </c>
      <c r="AG18" s="7">
        <v>290</v>
      </c>
      <c r="AI18" s="34">
        <v>18</v>
      </c>
      <c r="AJ18" s="7">
        <v>787</v>
      </c>
      <c r="AK18" s="7">
        <v>439</v>
      </c>
      <c r="AL18" s="7">
        <v>425</v>
      </c>
      <c r="AM18" s="7">
        <v>323</v>
      </c>
      <c r="AO18" s="34">
        <v>18</v>
      </c>
      <c r="AP18" s="7">
        <v>512</v>
      </c>
      <c r="AQ18" s="7">
        <v>712</v>
      </c>
      <c r="AR18" s="7">
        <v>504</v>
      </c>
      <c r="AS18" s="7">
        <v>391</v>
      </c>
    </row>
    <row r="19" spans="2:45" x14ac:dyDescent="0.2">
      <c r="I19" s="34">
        <v>19</v>
      </c>
      <c r="J19" s="10">
        <v>1492</v>
      </c>
      <c r="K19" s="10">
        <v>1968</v>
      </c>
      <c r="L19" s="10">
        <v>3330</v>
      </c>
      <c r="M19" s="10">
        <v>2367</v>
      </c>
      <c r="P19" s="34">
        <v>19</v>
      </c>
      <c r="Q19" s="10">
        <f t="shared" ref="Q19:T19" si="7">J15</f>
        <v>1528</v>
      </c>
      <c r="R19" s="10">
        <f t="shared" si="7"/>
        <v>2016</v>
      </c>
      <c r="S19" s="10">
        <f t="shared" si="7"/>
        <v>3445</v>
      </c>
      <c r="T19" s="10">
        <f t="shared" si="7"/>
        <v>2442</v>
      </c>
      <c r="W19" s="34">
        <v>19</v>
      </c>
      <c r="X19" s="7">
        <v>257</v>
      </c>
      <c r="Y19" s="7">
        <v>262</v>
      </c>
      <c r="Z19" s="7">
        <v>271</v>
      </c>
      <c r="AA19" s="7">
        <v>271</v>
      </c>
      <c r="AC19" s="34">
        <v>19</v>
      </c>
      <c r="AD19" s="7">
        <v>332</v>
      </c>
      <c r="AE19" s="7">
        <v>726</v>
      </c>
      <c r="AF19" s="7">
        <v>182</v>
      </c>
      <c r="AG19" s="7">
        <v>295</v>
      </c>
      <c r="AI19" s="34">
        <v>19</v>
      </c>
      <c r="AJ19" s="7">
        <v>775</v>
      </c>
      <c r="AK19" s="7">
        <v>433</v>
      </c>
      <c r="AL19" s="7">
        <v>423</v>
      </c>
      <c r="AM19" s="7">
        <v>329</v>
      </c>
      <c r="AO19" s="34">
        <v>19</v>
      </c>
      <c r="AP19" s="7">
        <v>504</v>
      </c>
      <c r="AQ19" s="7">
        <v>702</v>
      </c>
      <c r="AR19" s="7">
        <v>501</v>
      </c>
      <c r="AS19" s="7">
        <v>399</v>
      </c>
    </row>
    <row r="20" spans="2:45" x14ac:dyDescent="0.2">
      <c r="I20" s="34">
        <v>20</v>
      </c>
      <c r="J20" s="10">
        <v>1487</v>
      </c>
      <c r="K20" s="10">
        <v>1960</v>
      </c>
      <c r="L20" s="10">
        <v>3295</v>
      </c>
      <c r="M20" s="10">
        <v>2356</v>
      </c>
      <c r="P20" s="34">
        <v>20</v>
      </c>
      <c r="Q20" s="10">
        <f t="shared" ref="Q20:T20" si="8">J16</f>
        <v>1498</v>
      </c>
      <c r="R20" s="10">
        <f t="shared" si="8"/>
        <v>1993</v>
      </c>
      <c r="S20" s="10">
        <f t="shared" si="8"/>
        <v>3386</v>
      </c>
      <c r="T20" s="10">
        <f t="shared" si="8"/>
        <v>2399</v>
      </c>
      <c r="W20" s="34">
        <v>20</v>
      </c>
      <c r="X20" s="7">
        <v>253</v>
      </c>
      <c r="Y20" s="7">
        <v>260</v>
      </c>
      <c r="Z20" s="7">
        <v>274</v>
      </c>
      <c r="AA20" s="7">
        <v>275</v>
      </c>
      <c r="AC20" s="34">
        <v>20</v>
      </c>
      <c r="AD20" s="7">
        <v>327</v>
      </c>
      <c r="AE20" s="7">
        <v>721</v>
      </c>
      <c r="AF20" s="7">
        <v>184</v>
      </c>
      <c r="AG20" s="7">
        <v>300</v>
      </c>
      <c r="AI20" s="34">
        <v>20</v>
      </c>
      <c r="AJ20" s="7">
        <v>761</v>
      </c>
      <c r="AK20" s="7">
        <v>430</v>
      </c>
      <c r="AL20" s="7">
        <v>427</v>
      </c>
      <c r="AM20" s="7">
        <v>334</v>
      </c>
      <c r="AO20" s="34">
        <v>20</v>
      </c>
      <c r="AP20" s="7">
        <v>496</v>
      </c>
      <c r="AQ20" s="7">
        <v>697</v>
      </c>
      <c r="AR20" s="7">
        <v>506</v>
      </c>
      <c r="AS20" s="7">
        <v>406</v>
      </c>
    </row>
    <row r="21" spans="2:45" x14ac:dyDescent="0.2">
      <c r="I21" s="34">
        <v>21</v>
      </c>
      <c r="J21" s="10">
        <v>1476</v>
      </c>
      <c r="K21" s="10">
        <v>1935</v>
      </c>
      <c r="L21" s="10">
        <v>3250</v>
      </c>
      <c r="M21" s="10">
        <v>2331</v>
      </c>
      <c r="P21" s="34">
        <v>21</v>
      </c>
      <c r="Q21" s="10">
        <f t="shared" ref="Q21:T21" si="9">J17</f>
        <v>1492</v>
      </c>
      <c r="R21" s="10">
        <f t="shared" si="9"/>
        <v>1993</v>
      </c>
      <c r="S21" s="10">
        <f t="shared" si="9"/>
        <v>3373</v>
      </c>
      <c r="T21" s="10">
        <f t="shared" si="9"/>
        <v>2384</v>
      </c>
      <c r="W21" s="34">
        <v>21</v>
      </c>
      <c r="X21" s="7">
        <v>247</v>
      </c>
      <c r="Y21" s="7">
        <v>259</v>
      </c>
      <c r="Z21" s="7">
        <v>274</v>
      </c>
      <c r="AA21" s="7">
        <v>279</v>
      </c>
      <c r="AC21" s="34">
        <v>21</v>
      </c>
      <c r="AD21" s="7">
        <v>319</v>
      </c>
      <c r="AE21" s="7">
        <v>718</v>
      </c>
      <c r="AF21" s="7">
        <v>184</v>
      </c>
      <c r="AG21" s="7">
        <v>304</v>
      </c>
      <c r="AI21" s="34">
        <v>21</v>
      </c>
      <c r="AJ21" s="7">
        <v>744</v>
      </c>
      <c r="AK21" s="7">
        <v>428</v>
      </c>
      <c r="AL21" s="7">
        <v>427</v>
      </c>
      <c r="AM21" s="7">
        <v>339</v>
      </c>
      <c r="AO21" s="34">
        <v>21</v>
      </c>
      <c r="AP21" s="7">
        <v>484</v>
      </c>
      <c r="AQ21" s="7">
        <v>695</v>
      </c>
      <c r="AR21" s="7">
        <v>506</v>
      </c>
      <c r="AS21" s="7">
        <v>411</v>
      </c>
    </row>
    <row r="22" spans="2:45" x14ac:dyDescent="0.2">
      <c r="I22" s="34">
        <v>22</v>
      </c>
      <c r="J22" s="10">
        <v>1512</v>
      </c>
      <c r="K22" s="10">
        <v>1955</v>
      </c>
      <c r="L22" s="10">
        <v>3318</v>
      </c>
      <c r="M22" s="10">
        <v>2377</v>
      </c>
      <c r="P22" s="34">
        <v>22</v>
      </c>
      <c r="Q22" s="10">
        <f t="shared" ref="Q22:T22" si="10">J18</f>
        <v>1484</v>
      </c>
      <c r="R22" s="10">
        <f t="shared" si="10"/>
        <v>1971</v>
      </c>
      <c r="S22" s="10">
        <f t="shared" si="10"/>
        <v>3337</v>
      </c>
      <c r="T22" s="10">
        <f t="shared" si="10"/>
        <v>2362</v>
      </c>
      <c r="W22" s="34">
        <v>22</v>
      </c>
      <c r="X22" s="7">
        <v>242</v>
      </c>
      <c r="Y22" s="7">
        <v>256</v>
      </c>
      <c r="Z22" s="7">
        <v>274</v>
      </c>
      <c r="AA22" s="7">
        <v>282</v>
      </c>
      <c r="AC22" s="34">
        <v>22</v>
      </c>
      <c r="AD22" s="7">
        <v>312</v>
      </c>
      <c r="AE22" s="7">
        <v>710</v>
      </c>
      <c r="AF22" s="7">
        <v>184</v>
      </c>
      <c r="AG22" s="7">
        <v>307</v>
      </c>
      <c r="AI22" s="34">
        <v>22</v>
      </c>
      <c r="AJ22" s="7">
        <v>728</v>
      </c>
      <c r="AK22" s="7">
        <v>423</v>
      </c>
      <c r="AL22" s="7">
        <v>427</v>
      </c>
      <c r="AM22" s="7">
        <v>343</v>
      </c>
      <c r="AO22" s="34">
        <v>22</v>
      </c>
      <c r="AP22" s="7">
        <v>474</v>
      </c>
      <c r="AQ22" s="7">
        <v>687</v>
      </c>
      <c r="AR22" s="7">
        <v>506</v>
      </c>
      <c r="AS22" s="7">
        <v>415</v>
      </c>
    </row>
    <row r="23" spans="2:45" x14ac:dyDescent="0.2">
      <c r="I23" s="34">
        <v>23</v>
      </c>
      <c r="J23" s="10">
        <v>1504</v>
      </c>
      <c r="K23" s="10">
        <v>1941</v>
      </c>
      <c r="L23" s="10">
        <v>3308</v>
      </c>
      <c r="M23" s="10">
        <v>2363</v>
      </c>
      <c r="P23" s="34">
        <v>23</v>
      </c>
      <c r="Q23" s="10">
        <f t="shared" ref="Q23:T23" si="11">J19</f>
        <v>1492</v>
      </c>
      <c r="R23" s="10">
        <f t="shared" si="11"/>
        <v>1968</v>
      </c>
      <c r="S23" s="10">
        <f t="shared" si="11"/>
        <v>3330</v>
      </c>
      <c r="T23" s="10">
        <f t="shared" si="11"/>
        <v>2367</v>
      </c>
      <c r="W23" s="34">
        <v>23</v>
      </c>
      <c r="X23" s="7">
        <v>242</v>
      </c>
      <c r="Y23" s="7">
        <v>253</v>
      </c>
      <c r="Z23" s="7">
        <v>281</v>
      </c>
      <c r="AA23" s="7">
        <v>289</v>
      </c>
      <c r="AC23" s="34">
        <v>23</v>
      </c>
      <c r="AD23" s="7">
        <v>313</v>
      </c>
      <c r="AE23" s="7">
        <v>702</v>
      </c>
      <c r="AF23" s="7">
        <v>189</v>
      </c>
      <c r="AG23" s="7">
        <v>315</v>
      </c>
      <c r="AI23" s="34">
        <v>23</v>
      </c>
      <c r="AJ23" s="7">
        <v>728</v>
      </c>
      <c r="AK23" s="7">
        <v>419</v>
      </c>
      <c r="AL23" s="7">
        <v>438</v>
      </c>
      <c r="AM23" s="7">
        <v>351</v>
      </c>
      <c r="AO23" s="34">
        <v>23</v>
      </c>
      <c r="AP23" s="7">
        <v>474</v>
      </c>
      <c r="AQ23" s="7">
        <v>679</v>
      </c>
      <c r="AR23" s="7">
        <v>519</v>
      </c>
      <c r="AS23" s="7">
        <v>425</v>
      </c>
    </row>
    <row r="24" spans="2:45" x14ac:dyDescent="0.2">
      <c r="I24" s="34">
        <v>24</v>
      </c>
      <c r="J24" s="10">
        <v>1516</v>
      </c>
      <c r="K24" s="10">
        <v>1952</v>
      </c>
      <c r="L24" s="10">
        <v>3330</v>
      </c>
      <c r="M24" s="10">
        <v>2376</v>
      </c>
      <c r="P24" s="34">
        <v>24</v>
      </c>
      <c r="Q24" s="10">
        <f t="shared" ref="Q24:T24" si="12">J20</f>
        <v>1487</v>
      </c>
      <c r="R24" s="10">
        <f t="shared" si="12"/>
        <v>1960</v>
      </c>
      <c r="S24" s="10">
        <f t="shared" si="12"/>
        <v>3295</v>
      </c>
      <c r="T24" s="10">
        <f t="shared" si="12"/>
        <v>2356</v>
      </c>
      <c r="W24" s="34">
        <v>24</v>
      </c>
      <c r="X24" s="7">
        <v>241</v>
      </c>
      <c r="Y24" s="7">
        <v>251</v>
      </c>
      <c r="Z24" s="7">
        <v>281</v>
      </c>
      <c r="AA24" s="7">
        <v>289</v>
      </c>
      <c r="AC24" s="34">
        <v>24</v>
      </c>
      <c r="AD24" s="7">
        <v>312</v>
      </c>
      <c r="AE24" s="7">
        <v>695</v>
      </c>
      <c r="AF24" s="7">
        <v>189</v>
      </c>
      <c r="AG24" s="7">
        <v>315</v>
      </c>
      <c r="AI24" s="34">
        <v>24</v>
      </c>
      <c r="AJ24" s="7">
        <v>727</v>
      </c>
      <c r="AK24" s="7">
        <v>415</v>
      </c>
      <c r="AL24" s="7">
        <v>438</v>
      </c>
      <c r="AM24" s="7">
        <v>350</v>
      </c>
      <c r="AO24" s="34">
        <v>24</v>
      </c>
      <c r="AP24" s="7">
        <v>473</v>
      </c>
      <c r="AQ24" s="7">
        <v>673</v>
      </c>
      <c r="AR24" s="7">
        <v>520</v>
      </c>
      <c r="AS24" s="7">
        <v>425</v>
      </c>
    </row>
    <row r="25" spans="2:45" x14ac:dyDescent="0.2">
      <c r="I25" s="34">
        <v>25</v>
      </c>
      <c r="J25" s="10">
        <v>1535</v>
      </c>
      <c r="K25" s="10">
        <v>1971</v>
      </c>
      <c r="L25" s="10">
        <v>3369</v>
      </c>
      <c r="M25" s="10">
        <v>2398</v>
      </c>
      <c r="P25" s="34">
        <v>25</v>
      </c>
      <c r="Q25" s="10">
        <f t="shared" ref="Q25:T25" si="13">J21</f>
        <v>1476</v>
      </c>
      <c r="R25" s="10">
        <f t="shared" si="13"/>
        <v>1935</v>
      </c>
      <c r="S25" s="10">
        <f t="shared" si="13"/>
        <v>3250</v>
      </c>
      <c r="T25" s="10">
        <f t="shared" si="13"/>
        <v>2331</v>
      </c>
      <c r="W25" s="34">
        <v>25</v>
      </c>
      <c r="X25" s="7">
        <v>241</v>
      </c>
      <c r="Y25" s="7">
        <v>249</v>
      </c>
      <c r="Z25" s="7">
        <v>280</v>
      </c>
      <c r="AA25" s="7">
        <v>295</v>
      </c>
      <c r="AC25" s="34">
        <v>25</v>
      </c>
      <c r="AD25" s="7">
        <v>312</v>
      </c>
      <c r="AE25" s="7">
        <v>691</v>
      </c>
      <c r="AF25" s="7">
        <v>188</v>
      </c>
      <c r="AG25" s="7">
        <v>321</v>
      </c>
      <c r="AI25" s="34">
        <v>25</v>
      </c>
      <c r="AJ25" s="7">
        <v>727</v>
      </c>
      <c r="AK25" s="7">
        <v>412</v>
      </c>
      <c r="AL25" s="7">
        <v>436</v>
      </c>
      <c r="AM25" s="7">
        <v>358</v>
      </c>
      <c r="AO25" s="34">
        <v>25</v>
      </c>
      <c r="AP25" s="7">
        <v>474</v>
      </c>
      <c r="AQ25" s="7">
        <v>668</v>
      </c>
      <c r="AR25" s="7">
        <v>517</v>
      </c>
      <c r="AS25" s="7">
        <v>434</v>
      </c>
    </row>
    <row r="26" spans="2:45" x14ac:dyDescent="0.2">
      <c r="I26" s="34">
        <v>26</v>
      </c>
      <c r="J26" s="10">
        <v>1538</v>
      </c>
      <c r="K26" s="10">
        <v>1984</v>
      </c>
      <c r="L26" s="10">
        <v>3386</v>
      </c>
      <c r="M26" s="10">
        <v>2409</v>
      </c>
      <c r="P26" s="34">
        <v>26</v>
      </c>
      <c r="Q26" s="10">
        <f t="shared" ref="Q26:T26" si="14">J22</f>
        <v>1512</v>
      </c>
      <c r="R26" s="10">
        <f t="shared" si="14"/>
        <v>1955</v>
      </c>
      <c r="S26" s="10">
        <f t="shared" si="14"/>
        <v>3318</v>
      </c>
      <c r="T26" s="10">
        <f t="shared" si="14"/>
        <v>2377</v>
      </c>
      <c r="W26" s="34">
        <v>26</v>
      </c>
      <c r="X26" s="7">
        <v>242</v>
      </c>
      <c r="Y26" s="7">
        <v>248</v>
      </c>
      <c r="Z26" s="7">
        <v>279</v>
      </c>
      <c r="AA26" s="7">
        <v>302</v>
      </c>
      <c r="AC26" s="34">
        <v>26</v>
      </c>
      <c r="AD26" s="7">
        <v>313</v>
      </c>
      <c r="AE26" s="7">
        <v>687</v>
      </c>
      <c r="AF26" s="7">
        <v>187</v>
      </c>
      <c r="AG26" s="7">
        <v>329</v>
      </c>
      <c r="AI26" s="34">
        <v>26</v>
      </c>
      <c r="AJ26" s="7">
        <v>730</v>
      </c>
      <c r="AK26" s="7">
        <v>410</v>
      </c>
      <c r="AL26" s="7">
        <v>435</v>
      </c>
      <c r="AM26" s="7">
        <v>367</v>
      </c>
      <c r="AO26" s="34">
        <v>26</v>
      </c>
      <c r="AP26" s="7">
        <v>476</v>
      </c>
      <c r="AQ26" s="7">
        <v>665</v>
      </c>
      <c r="AR26" s="7">
        <v>516</v>
      </c>
      <c r="AS26" s="7">
        <v>445</v>
      </c>
    </row>
    <row r="27" spans="2:45" x14ac:dyDescent="0.2">
      <c r="I27" s="34">
        <v>27</v>
      </c>
      <c r="J27" s="10">
        <v>1548</v>
      </c>
      <c r="K27" s="10">
        <v>1998</v>
      </c>
      <c r="L27" s="10">
        <v>3419</v>
      </c>
      <c r="M27" s="10">
        <v>2418</v>
      </c>
      <c r="P27" s="34">
        <v>27</v>
      </c>
      <c r="Q27" s="10">
        <f t="shared" ref="Q27:T27" si="15">J23</f>
        <v>1504</v>
      </c>
      <c r="R27" s="10">
        <f t="shared" si="15"/>
        <v>1941</v>
      </c>
      <c r="S27" s="10">
        <f t="shared" si="15"/>
        <v>3308</v>
      </c>
      <c r="T27" s="10">
        <f t="shared" si="15"/>
        <v>2363</v>
      </c>
      <c r="W27" s="34">
        <v>27</v>
      </c>
      <c r="X27" s="7">
        <v>243</v>
      </c>
      <c r="Y27" s="7">
        <v>249</v>
      </c>
      <c r="Z27" s="7">
        <v>278</v>
      </c>
      <c r="AA27" s="7">
        <v>302</v>
      </c>
      <c r="AC27" s="34">
        <v>27</v>
      </c>
      <c r="AD27" s="7">
        <v>314</v>
      </c>
      <c r="AE27" s="7">
        <v>691</v>
      </c>
      <c r="AF27" s="7">
        <v>187</v>
      </c>
      <c r="AG27" s="7">
        <v>330</v>
      </c>
      <c r="AI27" s="34">
        <v>27</v>
      </c>
      <c r="AJ27" s="7">
        <v>733</v>
      </c>
      <c r="AK27" s="7">
        <v>412</v>
      </c>
      <c r="AL27" s="7">
        <v>434</v>
      </c>
      <c r="AM27" s="7">
        <v>367</v>
      </c>
      <c r="AO27" s="34">
        <v>27</v>
      </c>
      <c r="AP27" s="7">
        <v>477</v>
      </c>
      <c r="AQ27" s="7">
        <v>668</v>
      </c>
      <c r="AR27" s="7">
        <v>515</v>
      </c>
      <c r="AS27" s="7">
        <v>445</v>
      </c>
    </row>
    <row r="28" spans="2:45" x14ac:dyDescent="0.2">
      <c r="I28" s="34">
        <v>28</v>
      </c>
      <c r="J28" s="10">
        <v>1552</v>
      </c>
      <c r="K28" s="10">
        <v>2000</v>
      </c>
      <c r="L28" s="10">
        <v>3427</v>
      </c>
      <c r="M28" s="10">
        <v>2420</v>
      </c>
      <c r="P28" s="34">
        <v>28</v>
      </c>
      <c r="Q28" s="10">
        <f t="shared" ref="Q28:T28" si="16">J24</f>
        <v>1516</v>
      </c>
      <c r="R28" s="10">
        <f t="shared" si="16"/>
        <v>1952</v>
      </c>
      <c r="S28" s="10">
        <f t="shared" si="16"/>
        <v>3330</v>
      </c>
      <c r="T28" s="10">
        <f t="shared" si="16"/>
        <v>2376</v>
      </c>
      <c r="W28" s="34">
        <v>28</v>
      </c>
      <c r="X28" s="7">
        <v>247</v>
      </c>
      <c r="Y28" s="7">
        <v>247</v>
      </c>
      <c r="Z28" s="7">
        <v>274</v>
      </c>
      <c r="AA28" s="7">
        <v>309</v>
      </c>
      <c r="AC28" s="34">
        <v>28</v>
      </c>
      <c r="AD28" s="7">
        <v>319</v>
      </c>
      <c r="AE28" s="7">
        <v>686</v>
      </c>
      <c r="AF28" s="7">
        <v>184</v>
      </c>
      <c r="AG28" s="7">
        <v>337</v>
      </c>
      <c r="AI28" s="34">
        <v>28</v>
      </c>
      <c r="AJ28" s="7">
        <v>743</v>
      </c>
      <c r="AK28" s="7">
        <v>409</v>
      </c>
      <c r="AL28" s="7">
        <v>427</v>
      </c>
      <c r="AM28" s="7">
        <v>375</v>
      </c>
      <c r="AO28" s="34">
        <v>28</v>
      </c>
      <c r="AP28" s="7">
        <v>484</v>
      </c>
      <c r="AQ28" s="7">
        <v>663</v>
      </c>
      <c r="AR28" s="7">
        <v>506</v>
      </c>
      <c r="AS28" s="7">
        <v>456</v>
      </c>
    </row>
    <row r="29" spans="2:45" x14ac:dyDescent="0.2">
      <c r="I29" s="34">
        <v>29</v>
      </c>
      <c r="J29" s="10">
        <v>1540</v>
      </c>
      <c r="K29" s="10">
        <v>1991</v>
      </c>
      <c r="L29" s="10">
        <v>3393</v>
      </c>
      <c r="M29" s="10">
        <v>2400</v>
      </c>
      <c r="P29" s="34">
        <v>29</v>
      </c>
      <c r="Q29" s="10">
        <f t="shared" ref="Q29:T29" si="17">J25</f>
        <v>1535</v>
      </c>
      <c r="R29" s="10">
        <f t="shared" si="17"/>
        <v>1971</v>
      </c>
      <c r="S29" s="10">
        <f t="shared" si="17"/>
        <v>3369</v>
      </c>
      <c r="T29" s="10">
        <f t="shared" si="17"/>
        <v>2398</v>
      </c>
      <c r="W29" s="34">
        <v>29</v>
      </c>
      <c r="X29" s="7">
        <v>247</v>
      </c>
      <c r="Y29" s="7">
        <v>246</v>
      </c>
      <c r="Z29" s="7">
        <v>273</v>
      </c>
      <c r="AA29" s="7">
        <v>313</v>
      </c>
      <c r="AC29" s="34">
        <v>29</v>
      </c>
      <c r="AD29" s="7">
        <v>319</v>
      </c>
      <c r="AE29" s="7">
        <v>682</v>
      </c>
      <c r="AF29" s="7">
        <v>183</v>
      </c>
      <c r="AG29" s="7">
        <v>341</v>
      </c>
      <c r="AI29" s="34">
        <v>29</v>
      </c>
      <c r="AJ29" s="7">
        <v>743</v>
      </c>
      <c r="AK29" s="7">
        <v>407</v>
      </c>
      <c r="AL29" s="7">
        <v>425</v>
      </c>
      <c r="AM29" s="7">
        <v>380</v>
      </c>
      <c r="AO29" s="34">
        <v>29</v>
      </c>
      <c r="AP29" s="7">
        <v>484</v>
      </c>
      <c r="AQ29" s="7">
        <v>660</v>
      </c>
      <c r="AR29" s="7">
        <v>504</v>
      </c>
      <c r="AS29" s="7">
        <v>461</v>
      </c>
    </row>
    <row r="30" spans="2:45" x14ac:dyDescent="0.2">
      <c r="I30" s="34">
        <v>30</v>
      </c>
      <c r="J30" s="10">
        <v>1541</v>
      </c>
      <c r="K30" s="10">
        <v>2000</v>
      </c>
      <c r="L30" s="10">
        <v>3385</v>
      </c>
      <c r="M30" s="10">
        <v>2399</v>
      </c>
      <c r="P30" s="34">
        <v>30</v>
      </c>
      <c r="Q30" s="10">
        <f t="shared" ref="Q30:T30" si="18">J26</f>
        <v>1538</v>
      </c>
      <c r="R30" s="10">
        <f t="shared" si="18"/>
        <v>1984</v>
      </c>
      <c r="S30" s="10">
        <f t="shared" si="18"/>
        <v>3386</v>
      </c>
      <c r="T30" s="10">
        <f t="shared" si="18"/>
        <v>2409</v>
      </c>
      <c r="W30" s="34">
        <v>30</v>
      </c>
      <c r="X30" s="7">
        <v>244</v>
      </c>
      <c r="Y30" s="7">
        <v>245</v>
      </c>
      <c r="Z30" s="7">
        <v>268</v>
      </c>
      <c r="AA30" s="7">
        <v>317</v>
      </c>
      <c r="AC30" s="34">
        <v>30</v>
      </c>
      <c r="AD30" s="7">
        <v>316</v>
      </c>
      <c r="AE30" s="7">
        <v>679</v>
      </c>
      <c r="AF30" s="7">
        <v>180</v>
      </c>
      <c r="AG30" s="7">
        <v>346</v>
      </c>
      <c r="AI30" s="34">
        <v>30</v>
      </c>
      <c r="AJ30" s="7">
        <v>737</v>
      </c>
      <c r="AK30" s="7">
        <v>405</v>
      </c>
      <c r="AL30" s="7">
        <v>418</v>
      </c>
      <c r="AM30" s="7">
        <v>385</v>
      </c>
      <c r="AO30" s="34">
        <v>30</v>
      </c>
      <c r="AP30" s="7">
        <v>480</v>
      </c>
      <c r="AQ30" s="7">
        <v>657</v>
      </c>
      <c r="AR30" s="7">
        <v>496</v>
      </c>
      <c r="AS30" s="7">
        <v>467</v>
      </c>
    </row>
    <row r="31" spans="2:45" x14ac:dyDescent="0.2">
      <c r="I31" s="34">
        <v>31</v>
      </c>
      <c r="J31" s="10">
        <v>1551</v>
      </c>
      <c r="K31" s="10">
        <v>2005</v>
      </c>
      <c r="L31" s="10">
        <v>3385</v>
      </c>
      <c r="M31" s="10">
        <v>2412</v>
      </c>
      <c r="P31" s="34">
        <v>31</v>
      </c>
      <c r="Q31" s="10">
        <f t="shared" ref="Q31:T31" si="19">J27</f>
        <v>1548</v>
      </c>
      <c r="R31" s="10">
        <f t="shared" si="19"/>
        <v>1998</v>
      </c>
      <c r="S31" s="10">
        <f t="shared" si="19"/>
        <v>3419</v>
      </c>
      <c r="T31" s="10">
        <f t="shared" si="19"/>
        <v>2418</v>
      </c>
      <c r="W31" s="34">
        <v>31</v>
      </c>
      <c r="X31" s="7">
        <v>243</v>
      </c>
      <c r="Y31" s="7">
        <v>245</v>
      </c>
      <c r="Z31" s="7">
        <v>264</v>
      </c>
      <c r="AA31" s="7">
        <v>322</v>
      </c>
      <c r="AC31" s="34">
        <v>31</v>
      </c>
      <c r="AD31" s="7">
        <v>314</v>
      </c>
      <c r="AE31" s="7">
        <v>680</v>
      </c>
      <c r="AF31" s="7">
        <v>178</v>
      </c>
      <c r="AG31" s="7">
        <v>352</v>
      </c>
      <c r="AI31" s="34">
        <v>31</v>
      </c>
      <c r="AJ31" s="7">
        <v>732</v>
      </c>
      <c r="AK31" s="7">
        <v>405</v>
      </c>
      <c r="AL31" s="7">
        <v>412</v>
      </c>
      <c r="AM31" s="7">
        <v>392</v>
      </c>
      <c r="AO31" s="34">
        <v>31</v>
      </c>
      <c r="AP31" s="7">
        <v>477</v>
      </c>
      <c r="AQ31" s="7">
        <v>658</v>
      </c>
      <c r="AR31" s="7">
        <v>489</v>
      </c>
      <c r="AS31" s="7">
        <v>475</v>
      </c>
    </row>
    <row r="32" spans="2:45" x14ac:dyDescent="0.2">
      <c r="B32" s="91" t="s">
        <v>68</v>
      </c>
      <c r="C32" s="91"/>
      <c r="D32" s="91"/>
      <c r="E32" s="91"/>
      <c r="F32" s="91"/>
      <c r="I32" s="34">
        <v>32</v>
      </c>
      <c r="J32" s="10">
        <v>1561</v>
      </c>
      <c r="K32" s="10">
        <v>2009</v>
      </c>
      <c r="L32" s="10">
        <v>3397</v>
      </c>
      <c r="M32" s="10">
        <v>2423</v>
      </c>
      <c r="P32" s="34">
        <v>32</v>
      </c>
      <c r="Q32" s="10">
        <f t="shared" ref="Q32:T32" si="20">J28</f>
        <v>1552</v>
      </c>
      <c r="R32" s="10">
        <f t="shared" si="20"/>
        <v>2000</v>
      </c>
      <c r="S32" s="10">
        <f t="shared" si="20"/>
        <v>3427</v>
      </c>
      <c r="T32" s="10">
        <f t="shared" si="20"/>
        <v>2420</v>
      </c>
      <c r="W32" s="34">
        <v>32</v>
      </c>
      <c r="X32" s="7">
        <v>239</v>
      </c>
      <c r="Y32" s="7">
        <v>245</v>
      </c>
      <c r="Z32" s="7">
        <v>268</v>
      </c>
      <c r="AA32" s="7">
        <v>327</v>
      </c>
      <c r="AC32" s="34">
        <v>32</v>
      </c>
      <c r="AD32" s="7">
        <v>309</v>
      </c>
      <c r="AE32" s="7">
        <v>679</v>
      </c>
      <c r="AF32" s="7">
        <v>180</v>
      </c>
      <c r="AG32" s="7">
        <v>356</v>
      </c>
      <c r="AI32" s="34">
        <v>32</v>
      </c>
      <c r="AJ32" s="7">
        <v>721</v>
      </c>
      <c r="AK32" s="7">
        <v>405</v>
      </c>
      <c r="AL32" s="7">
        <v>418</v>
      </c>
      <c r="AM32" s="7">
        <v>397</v>
      </c>
      <c r="AO32" s="34">
        <v>32</v>
      </c>
      <c r="AP32" s="7">
        <v>469</v>
      </c>
      <c r="AQ32" s="7">
        <v>657</v>
      </c>
      <c r="AR32" s="7">
        <v>495</v>
      </c>
      <c r="AS32" s="7">
        <v>481</v>
      </c>
    </row>
    <row r="33" spans="2:45" x14ac:dyDescent="0.2">
      <c r="B33" s="91"/>
      <c r="C33" s="91"/>
      <c r="D33" s="91"/>
      <c r="E33" s="91"/>
      <c r="F33" s="91"/>
      <c r="I33" s="34">
        <v>33</v>
      </c>
      <c r="J33" s="10">
        <v>1561</v>
      </c>
      <c r="K33" s="10">
        <v>1994</v>
      </c>
      <c r="L33" s="10">
        <v>3377</v>
      </c>
      <c r="M33" s="10">
        <v>2416</v>
      </c>
      <c r="P33" s="34">
        <v>33</v>
      </c>
      <c r="Q33" s="10">
        <f t="shared" ref="Q33:T33" si="21">J29</f>
        <v>1540</v>
      </c>
      <c r="R33" s="10">
        <f t="shared" si="21"/>
        <v>1991</v>
      </c>
      <c r="S33" s="10">
        <f t="shared" si="21"/>
        <v>3393</v>
      </c>
      <c r="T33" s="10">
        <f t="shared" si="21"/>
        <v>2400</v>
      </c>
      <c r="W33" s="34">
        <v>33</v>
      </c>
      <c r="X33" s="7">
        <v>238</v>
      </c>
      <c r="Y33" s="7">
        <v>244</v>
      </c>
      <c r="Z33" s="7">
        <v>270</v>
      </c>
      <c r="AA33" s="7">
        <v>330</v>
      </c>
      <c r="AC33" s="34">
        <v>33</v>
      </c>
      <c r="AD33" s="7">
        <v>308</v>
      </c>
      <c r="AE33" s="7">
        <v>676</v>
      </c>
      <c r="AF33" s="7">
        <v>182</v>
      </c>
      <c r="AG33" s="7">
        <v>360</v>
      </c>
      <c r="AI33" s="34">
        <v>33</v>
      </c>
      <c r="AJ33" s="7">
        <v>717</v>
      </c>
      <c r="AK33" s="7">
        <v>403</v>
      </c>
      <c r="AL33" s="7">
        <v>421</v>
      </c>
      <c r="AM33" s="7">
        <v>401</v>
      </c>
      <c r="AO33" s="34">
        <v>33</v>
      </c>
      <c r="AP33" s="7">
        <v>467</v>
      </c>
      <c r="AQ33" s="7">
        <v>654</v>
      </c>
      <c r="AR33" s="7">
        <v>500</v>
      </c>
      <c r="AS33" s="7">
        <v>487</v>
      </c>
    </row>
    <row r="34" spans="2:45" x14ac:dyDescent="0.2">
      <c r="B34" s="91"/>
      <c r="C34" s="91"/>
      <c r="D34" s="91"/>
      <c r="E34" s="91"/>
      <c r="F34" s="91"/>
      <c r="I34" s="34">
        <v>34</v>
      </c>
      <c r="J34" s="10">
        <v>1579</v>
      </c>
      <c r="K34" s="10">
        <v>2004</v>
      </c>
      <c r="L34" s="10">
        <v>3407</v>
      </c>
      <c r="M34" s="10">
        <v>2432</v>
      </c>
      <c r="P34" s="34">
        <v>34</v>
      </c>
      <c r="Q34" s="10">
        <f t="shared" ref="Q34:T34" si="22">J30</f>
        <v>1541</v>
      </c>
      <c r="R34" s="10">
        <f t="shared" si="22"/>
        <v>2000</v>
      </c>
      <c r="S34" s="10">
        <f t="shared" si="22"/>
        <v>3385</v>
      </c>
      <c r="T34" s="10">
        <f t="shared" si="22"/>
        <v>2399</v>
      </c>
      <c r="W34" s="34">
        <v>34</v>
      </c>
      <c r="X34" s="7">
        <v>234</v>
      </c>
      <c r="Y34" s="7">
        <v>241</v>
      </c>
      <c r="Z34" s="7">
        <v>273</v>
      </c>
      <c r="AA34" s="7">
        <v>336</v>
      </c>
      <c r="AC34" s="34">
        <v>34</v>
      </c>
      <c r="AD34" s="7">
        <v>302</v>
      </c>
      <c r="AE34" s="7">
        <v>667</v>
      </c>
      <c r="AF34" s="7">
        <v>183</v>
      </c>
      <c r="AG34" s="7">
        <v>366</v>
      </c>
      <c r="AI34" s="34">
        <v>34</v>
      </c>
      <c r="AJ34" s="7">
        <v>705</v>
      </c>
      <c r="AK34" s="7">
        <v>398</v>
      </c>
      <c r="AL34" s="7">
        <v>425</v>
      </c>
      <c r="AM34" s="7">
        <v>408</v>
      </c>
      <c r="AO34" s="34">
        <v>34</v>
      </c>
      <c r="AP34" s="7">
        <v>459</v>
      </c>
      <c r="AQ34" s="7">
        <v>646</v>
      </c>
      <c r="AR34" s="7">
        <v>505</v>
      </c>
      <c r="AS34" s="7">
        <v>494</v>
      </c>
    </row>
    <row r="35" spans="2:45" x14ac:dyDescent="0.2">
      <c r="B35" s="32"/>
      <c r="C35" s="23" t="s">
        <v>12</v>
      </c>
      <c r="D35" s="23" t="s">
        <v>13</v>
      </c>
      <c r="E35" s="23" t="s">
        <v>14</v>
      </c>
      <c r="F35" s="23" t="s">
        <v>15</v>
      </c>
      <c r="I35" s="34">
        <v>35</v>
      </c>
      <c r="J35" s="10">
        <v>1581</v>
      </c>
      <c r="K35" s="10">
        <v>1997</v>
      </c>
      <c r="L35" s="10">
        <v>3396</v>
      </c>
      <c r="M35" s="10">
        <v>2435</v>
      </c>
      <c r="P35" s="34">
        <v>35</v>
      </c>
      <c r="Q35" s="10">
        <f t="shared" ref="Q35:T35" si="23">J31</f>
        <v>1551</v>
      </c>
      <c r="R35" s="10">
        <f t="shared" si="23"/>
        <v>2005</v>
      </c>
      <c r="S35" s="10">
        <f t="shared" si="23"/>
        <v>3385</v>
      </c>
      <c r="T35" s="10">
        <f t="shared" si="23"/>
        <v>2412</v>
      </c>
      <c r="W35" s="34">
        <v>35</v>
      </c>
      <c r="X35" s="7">
        <v>235</v>
      </c>
      <c r="Y35" s="7">
        <v>238</v>
      </c>
      <c r="Z35" s="7">
        <v>273</v>
      </c>
      <c r="AA35" s="7">
        <v>344</v>
      </c>
      <c r="AC35" s="34">
        <v>35</v>
      </c>
      <c r="AD35" s="7">
        <v>303</v>
      </c>
      <c r="AE35" s="7">
        <v>660</v>
      </c>
      <c r="AF35" s="7">
        <v>183</v>
      </c>
      <c r="AG35" s="7">
        <v>375</v>
      </c>
      <c r="AI35" s="34">
        <v>35</v>
      </c>
      <c r="AJ35" s="7">
        <v>707</v>
      </c>
      <c r="AK35" s="7">
        <v>394</v>
      </c>
      <c r="AL35" s="7">
        <v>425</v>
      </c>
      <c r="AM35" s="7">
        <v>418</v>
      </c>
      <c r="AO35" s="34">
        <v>35</v>
      </c>
      <c r="AP35" s="7">
        <v>460</v>
      </c>
      <c r="AQ35" s="7">
        <v>639</v>
      </c>
      <c r="AR35" s="7">
        <v>504</v>
      </c>
      <c r="AS35" s="7">
        <v>507</v>
      </c>
    </row>
    <row r="36" spans="2:45" x14ac:dyDescent="0.2">
      <c r="B36" s="24" t="s">
        <v>69</v>
      </c>
      <c r="C36" s="25"/>
      <c r="D36" s="25"/>
      <c r="E36" s="25"/>
      <c r="F36" s="25"/>
      <c r="I36" s="34">
        <v>36</v>
      </c>
      <c r="J36" s="10">
        <f>($X$98*Orders!D47)+(Capacity!$Y$98*Orders!G47)+(Capacity!$Z$98*Orders!J47)+(Capacity!$AA$98*Orders!M47)</f>
        <v>1205.0626185605338</v>
      </c>
      <c r="K36" s="10">
        <f>($AD$98*Orders!D47)+($AE$98*Orders!G47)+($AF$98*Orders!J47)+($AG$98*Orders!M47)</f>
        <v>1611.3682965534192</v>
      </c>
      <c r="L36" s="10">
        <f>($AJ$98*Orders!D47)+($AK$98*Orders!G47)+($AL$98*Orders!J47)+($AM$98*Orders!M47)</f>
        <v>2124.4817206022976</v>
      </c>
      <c r="M36" s="10">
        <f>($AP$98*Orders!D47)+($AQ$98*Orders!G47)+($AR$98*Orders!J47)+($AS$98*Orders!M47)</f>
        <v>2287.5409577334613</v>
      </c>
      <c r="P36" s="34">
        <v>36</v>
      </c>
      <c r="Q36" s="10">
        <f t="shared" ref="Q36:T36" si="24">J32</f>
        <v>1561</v>
      </c>
      <c r="R36" s="10">
        <f t="shared" si="24"/>
        <v>2009</v>
      </c>
      <c r="S36" s="10">
        <f t="shared" si="24"/>
        <v>3397</v>
      </c>
      <c r="T36" s="10">
        <f t="shared" si="24"/>
        <v>2423</v>
      </c>
      <c r="W36" s="34">
        <v>36</v>
      </c>
      <c r="X36" s="7">
        <v>230</v>
      </c>
      <c r="Y36" s="7">
        <v>237</v>
      </c>
      <c r="Z36" s="7">
        <v>279</v>
      </c>
      <c r="AA36" s="7">
        <v>346</v>
      </c>
      <c r="AC36" s="34">
        <v>36</v>
      </c>
      <c r="AD36" s="7">
        <v>298</v>
      </c>
      <c r="AE36" s="7">
        <v>657</v>
      </c>
      <c r="AF36" s="7">
        <v>187</v>
      </c>
      <c r="AG36" s="7">
        <v>377</v>
      </c>
      <c r="AI36" s="34">
        <v>36</v>
      </c>
      <c r="AJ36" s="7">
        <v>695</v>
      </c>
      <c r="AK36" s="7">
        <v>392</v>
      </c>
      <c r="AL36" s="7">
        <v>435</v>
      </c>
      <c r="AM36" s="7">
        <v>420</v>
      </c>
      <c r="AO36" s="34">
        <v>36</v>
      </c>
      <c r="AP36" s="7">
        <v>452</v>
      </c>
      <c r="AQ36" s="7">
        <v>636</v>
      </c>
      <c r="AR36" s="7">
        <v>516</v>
      </c>
      <c r="AS36" s="7">
        <v>509</v>
      </c>
    </row>
    <row r="37" spans="2:45" x14ac:dyDescent="0.2">
      <c r="B37" s="34">
        <v>37</v>
      </c>
      <c r="C37" s="12">
        <f>X95*Production!$T41+Y95*Production!$U41+Z95*Production!$V41+AA95*Production!$W41</f>
        <v>1247.3833082116739</v>
      </c>
      <c r="D37" s="12">
        <f>AD95*Production!$T41+AE95*Production!$U41+AF95*Production!$V41+AG95*Production!$W41</f>
        <v>1125.3163227163836</v>
      </c>
      <c r="E37" s="12">
        <f>AJ95*Production!$T41+AK95*Production!$U41+AL95*Production!$V41+AM95*Production!$W41</f>
        <v>1710.1423569782601</v>
      </c>
      <c r="F37" s="12">
        <f>AP95*Production!$T41+AQ95*Production!$U41+AR95*Production!$V41+AS95*Production!$W41</f>
        <v>2053.286843399078</v>
      </c>
      <c r="I37" s="60">
        <v>37</v>
      </c>
      <c r="J37" s="10">
        <f>($X$98*Orders!E48)+(Capacity!$Y$98*Orders!H48)+(Capacity!$Z$98*Orders!K48)+(Capacity!$AA$98*Orders!N48)</f>
        <v>1176.7364825629029</v>
      </c>
      <c r="K37" s="10">
        <f>($AD$98*Orders!E48)+($AE$98*Orders!H48)+($AF$98*Orders!K48)+($AG$98*Orders!N48)</f>
        <v>1591.4545414557633</v>
      </c>
      <c r="L37" s="10">
        <f>($AJ$98*Orders!E48)+($AK$98*Orders!H48)+($AL$98*Orders!K48)+($AM$98*Orders!N48)</f>
        <v>2087.6175876770685</v>
      </c>
      <c r="M37" s="10">
        <f>($AP$98*Orders!E48)+($AQ$98*Orders!H48)+($AR$98*Orders!K48)+($AS$98*Orders!N48)</f>
        <v>2248.2331095640529</v>
      </c>
      <c r="P37" s="60">
        <v>37</v>
      </c>
      <c r="Q37" s="8">
        <f>J33</f>
        <v>1561</v>
      </c>
      <c r="R37" s="8">
        <f t="shared" ref="Q37:T37" si="25">K33</f>
        <v>1994</v>
      </c>
      <c r="S37" s="8">
        <f t="shared" si="25"/>
        <v>3377</v>
      </c>
      <c r="T37" s="8">
        <f t="shared" si="25"/>
        <v>2416</v>
      </c>
      <c r="W37" s="60">
        <v>37</v>
      </c>
      <c r="X37" s="8"/>
      <c r="Y37" s="8"/>
      <c r="Z37" s="8"/>
      <c r="AA37" s="8"/>
      <c r="AC37" s="60">
        <v>37</v>
      </c>
      <c r="AD37" s="8"/>
      <c r="AE37" s="8"/>
      <c r="AF37" s="8"/>
      <c r="AG37" s="8"/>
      <c r="AI37" s="60">
        <v>37</v>
      </c>
      <c r="AJ37" s="8"/>
      <c r="AK37" s="8"/>
      <c r="AL37" s="8"/>
      <c r="AM37" s="8"/>
      <c r="AO37" s="60">
        <v>37</v>
      </c>
      <c r="AP37" s="8"/>
      <c r="AQ37" s="8"/>
      <c r="AR37" s="8"/>
      <c r="AS37" s="8"/>
    </row>
    <row r="38" spans="2:45" x14ac:dyDescent="0.2">
      <c r="B38" s="34">
        <v>38</v>
      </c>
      <c r="C38" s="12">
        <f>X96*Production!$T42+Y96*Production!$U42+Z96*Production!$V42+AA96*Production!$W42</f>
        <v>862.34411767518782</v>
      </c>
      <c r="D38" s="12">
        <f>AD96*Production!$T42+AE96*Production!$U42+AF96*Production!$V42+AG96*Production!$W42</f>
        <v>836.354939593891</v>
      </c>
      <c r="E38" s="12">
        <f>AJ96*Production!$T42+AK96*Production!$U42+AL96*Production!$V42+AM96*Production!$W42</f>
        <v>1402.9814552552016</v>
      </c>
      <c r="F38" s="12">
        <f>AP96*Production!$T42+AQ96*Production!$U42+AR96*Production!$V42+AS96*Production!$W42</f>
        <v>1454.3837262009415</v>
      </c>
      <c r="I38" s="60">
        <v>38</v>
      </c>
      <c r="J38" s="10">
        <f>($X$98*Orders!E49)+(Capacity!$Y$98*Orders!H49)+(Capacity!$Z$98*Orders!K49)+(Capacity!$AA$98*Orders!N49)</f>
        <v>1193.5556122813225</v>
      </c>
      <c r="K38" s="10">
        <f>($AD$98*Orders!E49)+($AE$98*Orders!H49)+($AF$98*Orders!K49)+($AG$98*Orders!N49)</f>
        <v>1609.9575771219029</v>
      </c>
      <c r="L38" s="10">
        <f>($AJ$98*Orders!E49)+($AK$98*Orders!H49)+($AL$98*Orders!K49)+($AM$98*Orders!N49)</f>
        <v>2127.9435614884896</v>
      </c>
      <c r="M38" s="10">
        <f>($AP$98*Orders!E49)+($AQ$98*Orders!H49)+($AR$98*Orders!K49)+($AS$98*Orders!N49)</f>
        <v>2277.7811407761105</v>
      </c>
      <c r="P38" s="60">
        <v>38</v>
      </c>
      <c r="Q38" s="8">
        <f t="shared" ref="Q38:T38" si="26">J34</f>
        <v>1579</v>
      </c>
      <c r="R38" s="8">
        <f t="shared" si="26"/>
        <v>2004</v>
      </c>
      <c r="S38" s="8">
        <f t="shared" si="26"/>
        <v>3407</v>
      </c>
      <c r="T38" s="8">
        <f t="shared" si="26"/>
        <v>2432</v>
      </c>
      <c r="W38" s="60">
        <v>38</v>
      </c>
      <c r="X38" s="8"/>
      <c r="Y38" s="8"/>
      <c r="Z38" s="8"/>
      <c r="AA38" s="8"/>
      <c r="AC38" s="60">
        <v>38</v>
      </c>
      <c r="AD38" s="8"/>
      <c r="AE38" s="8"/>
      <c r="AF38" s="8"/>
      <c r="AG38" s="8"/>
      <c r="AI38" s="60">
        <v>38</v>
      </c>
      <c r="AJ38" s="8"/>
      <c r="AK38" s="8"/>
      <c r="AL38" s="8"/>
      <c r="AM38" s="8"/>
      <c r="AO38" s="60">
        <v>38</v>
      </c>
      <c r="AP38" s="8"/>
      <c r="AQ38" s="8"/>
      <c r="AR38" s="8"/>
      <c r="AS38" s="8"/>
    </row>
    <row r="39" spans="2:45" x14ac:dyDescent="0.2">
      <c r="B39" s="34">
        <v>39</v>
      </c>
      <c r="C39" s="12">
        <f>X97*Production!$T43+Y97*Production!$U43+Z97*Production!$V43+AA97*Production!$W43</f>
        <v>961.93835462234119</v>
      </c>
      <c r="D39" s="12">
        <f>AD97*Production!$T43+AE97*Production!$U43+AF97*Production!$V43+AG97*Production!$W43</f>
        <v>964.19097630215435</v>
      </c>
      <c r="E39" s="12">
        <f>AJ97*Production!$T43+AK97*Production!$U43+AL97*Production!$V43+AM97*Production!$W43</f>
        <v>1695.6154132100498</v>
      </c>
      <c r="F39" s="12">
        <f>AP97*Production!$T43+AQ97*Production!$U43+AR97*Production!$V43+AS97*Production!$W43</f>
        <v>1647.2867438837516</v>
      </c>
      <c r="I39" s="60">
        <v>39</v>
      </c>
      <c r="J39" s="10">
        <f>($X$98*Orders!E50)+(Capacity!$Y$98*Orders!H50)+(Capacity!$Z$98*Orders!K50)+(Capacity!$AA$98*Orders!N50)</f>
        <v>1181.3896520581861</v>
      </c>
      <c r="K39" s="10">
        <f>($AD$98*Orders!E50)+($AE$98*Orders!H50)+($AF$98*Orders!K50)+($AG$98*Orders!N50)</f>
        <v>1590.9060179942005</v>
      </c>
      <c r="L39" s="10">
        <f>($AJ$98*Orders!E50)+($AK$98*Orders!H50)+($AL$98*Orders!K50)+($AM$98*Orders!N50)</f>
        <v>2080.6841548243397</v>
      </c>
      <c r="M39" s="10">
        <f>($AP$98*Orders!E50)+($AQ$98*Orders!H50)+($AR$98*Orders!K50)+($AS$98*Orders!N50)</f>
        <v>2250.3671691465024</v>
      </c>
      <c r="P39" s="60">
        <v>39</v>
      </c>
      <c r="Q39" s="8">
        <f t="shared" ref="Q39:T39" si="27">J35</f>
        <v>1581</v>
      </c>
      <c r="R39" s="8">
        <f t="shared" si="27"/>
        <v>1997</v>
      </c>
      <c r="S39" s="8">
        <f t="shared" si="27"/>
        <v>3396</v>
      </c>
      <c r="T39" s="8">
        <f t="shared" si="27"/>
        <v>2435</v>
      </c>
      <c r="W39" s="60">
        <v>39</v>
      </c>
      <c r="X39" s="8"/>
      <c r="Y39" s="8"/>
      <c r="Z39" s="8"/>
      <c r="AA39" s="8"/>
      <c r="AC39" s="60">
        <v>39</v>
      </c>
      <c r="AD39" s="8"/>
      <c r="AE39" s="8"/>
      <c r="AF39" s="8"/>
      <c r="AG39" s="8"/>
      <c r="AI39" s="60">
        <v>39</v>
      </c>
      <c r="AJ39" s="8"/>
      <c r="AK39" s="8"/>
      <c r="AL39" s="8"/>
      <c r="AM39" s="8"/>
      <c r="AO39" s="60">
        <v>39</v>
      </c>
      <c r="AP39" s="8"/>
      <c r="AQ39" s="8"/>
      <c r="AR39" s="8"/>
      <c r="AS39" s="8"/>
    </row>
    <row r="40" spans="2:45" x14ac:dyDescent="0.2">
      <c r="B40" s="34">
        <v>40</v>
      </c>
      <c r="C40" s="10">
        <f>$X$98*Production!$T44+$Y$98*Production!$U44+$Z$98*Production!$V44+$AA$98*Production!$W44</f>
        <v>954.67969862938571</v>
      </c>
      <c r="D40" s="10">
        <f>$AD$98*Production!$T44+$AE$98*Production!$U44+$AF$98*Production!$V44+$AG$98*Production!$W44</f>
        <v>955.4009278879339</v>
      </c>
      <c r="E40" s="10">
        <f>$AJ$98*Production!$T44+$AK$98*Production!$U44+$AL$98*Production!$V44+$AM$98*Production!$W44</f>
        <v>1669.5547322969448</v>
      </c>
      <c r="F40" s="10">
        <f>$AP$98*Production!$T44+$AQ$98*Production!$U44+$AR$98*Production!$V44+$AS$98*Production!$W44</f>
        <v>1632.5590028201109</v>
      </c>
      <c r="I40" s="60">
        <v>40</v>
      </c>
      <c r="J40" s="10">
        <f>($X$98*Orders!E51)+(Capacity!$Y$98*Orders!H51)+(Capacity!$Z$98*Orders!K51)+(Capacity!$AA$98*Orders!N51)</f>
        <v>1185.6403038786393</v>
      </c>
      <c r="K40" s="10">
        <f>($AD$98*Orders!E51)+($AE$98*Orders!H51)+($AF$98*Orders!K51)+($AG$98*Orders!N51)</f>
        <v>1593.1246779490621</v>
      </c>
      <c r="L40" s="10">
        <f>($AJ$98*Orders!E51)+($AK$98*Orders!H51)+($AL$98*Orders!K51)+($AM$98*Orders!N51)</f>
        <v>2083.0314671614715</v>
      </c>
      <c r="M40" s="10">
        <f>($AP$98*Orders!E51)+($AQ$98*Orders!H51)+($AR$98*Orders!K51)+($AS$98*Orders!N51)</f>
        <v>2255.2154090112526</v>
      </c>
      <c r="P40" s="60">
        <v>40</v>
      </c>
      <c r="Q40" s="8">
        <f>J36</f>
        <v>1205.0626185605338</v>
      </c>
      <c r="R40" s="8">
        <f t="shared" ref="R40:T40" si="28">K36</f>
        <v>1611.3682965534192</v>
      </c>
      <c r="S40" s="8">
        <f t="shared" si="28"/>
        <v>2124.4817206022976</v>
      </c>
      <c r="T40" s="8">
        <f t="shared" si="28"/>
        <v>2287.5409577334613</v>
      </c>
      <c r="W40" s="60">
        <v>40</v>
      </c>
      <c r="X40" s="8"/>
      <c r="Y40" s="8"/>
      <c r="Z40" s="8"/>
      <c r="AA40" s="8"/>
      <c r="AC40" s="60">
        <v>40</v>
      </c>
      <c r="AD40" s="8"/>
      <c r="AE40" s="8"/>
      <c r="AF40" s="8"/>
      <c r="AG40" s="8"/>
      <c r="AI40" s="60">
        <v>40</v>
      </c>
      <c r="AJ40" s="8"/>
      <c r="AK40" s="8"/>
      <c r="AL40" s="8"/>
      <c r="AM40" s="8"/>
      <c r="AO40" s="60">
        <v>40</v>
      </c>
      <c r="AP40" s="8"/>
      <c r="AQ40" s="8"/>
      <c r="AR40" s="8"/>
      <c r="AS40" s="8"/>
    </row>
    <row r="41" spans="2:45" x14ac:dyDescent="0.2">
      <c r="B41" s="34">
        <v>41</v>
      </c>
      <c r="C41" s="10">
        <f>$X$98*Production!$T45+$Y$98*Production!$U45+$Z$98*Production!$V45+$AA$98*Production!$W45</f>
        <v>1173.0172684177628</v>
      </c>
      <c r="D41" s="10">
        <f>$AD$98*Production!$T45+$AE$98*Production!$U45+$AF$98*Production!$V45+$AG$98*Production!$W45</f>
        <v>1556.4040788511254</v>
      </c>
      <c r="E41" s="10">
        <f>$AJ$98*Production!$T45+$AK$98*Production!$U45+$AL$98*Production!$V45+$AM$98*Production!$W45</f>
        <v>2021.0912364169965</v>
      </c>
      <c r="F41" s="10">
        <f>$AP$98*Production!$T45+$AQ$98*Production!$U45+$AR$98*Production!$V45+$AS$98*Production!$W45</f>
        <v>2214.4989335640921</v>
      </c>
      <c r="I41" s="60">
        <v>41</v>
      </c>
      <c r="J41" s="10">
        <f>($X$98*Orders!E52)+(Capacity!$Y$98*Orders!H52)+(Capacity!$Z$98*Orders!K52)+(Capacity!$AA$98*Orders!N52)</f>
        <v>1182.9065849077685</v>
      </c>
      <c r="K41" s="10">
        <f>($AD$98*Orders!E52)+($AE$98*Orders!H52)+($AF$98*Orders!K52)+($AG$98*Orders!N52)</f>
        <v>1586.2940227047295</v>
      </c>
      <c r="L41" s="10">
        <f>($AJ$98*Orders!E52)+($AK$98*Orders!H52)+($AL$98*Orders!K52)+($AM$98*Orders!N52)</f>
        <v>2064.2738329769936</v>
      </c>
      <c r="M41" s="10">
        <f>($AP$98*Orders!E52)+($AQ$98*Orders!H52)+($AR$98*Orders!K52)+($AS$98*Orders!N52)</f>
        <v>2246.3378419295741</v>
      </c>
      <c r="P41" s="60">
        <v>41</v>
      </c>
      <c r="Q41" s="8">
        <f>J37</f>
        <v>1176.7364825629029</v>
      </c>
      <c r="R41" s="8">
        <f t="shared" ref="R41:R58" si="29">K37</f>
        <v>1591.4545414557633</v>
      </c>
      <c r="S41" s="8">
        <f t="shared" ref="S41:S58" si="30">L37</f>
        <v>2087.6175876770685</v>
      </c>
      <c r="T41" s="8">
        <f t="shared" ref="T41:T58" si="31">M37</f>
        <v>2248.2331095640529</v>
      </c>
      <c r="W41" s="60">
        <v>41</v>
      </c>
      <c r="X41" s="8"/>
      <c r="Y41" s="8"/>
      <c r="Z41" s="8"/>
      <c r="AA41" s="8"/>
      <c r="AC41" s="60">
        <v>41</v>
      </c>
      <c r="AD41" s="8"/>
      <c r="AE41" s="8"/>
      <c r="AF41" s="8"/>
      <c r="AG41" s="8"/>
      <c r="AI41" s="60">
        <v>41</v>
      </c>
      <c r="AJ41" s="8"/>
      <c r="AK41" s="8"/>
      <c r="AL41" s="8"/>
      <c r="AM41" s="8"/>
      <c r="AO41" s="60">
        <v>41</v>
      </c>
      <c r="AP41" s="8"/>
      <c r="AQ41" s="8"/>
      <c r="AR41" s="8"/>
      <c r="AS41" s="8"/>
    </row>
    <row r="42" spans="2:45" x14ac:dyDescent="0.2">
      <c r="B42" s="34">
        <v>42</v>
      </c>
      <c r="C42" s="10">
        <f>$X$98*Production!$T46+$Y$98*Production!$U46+$Z$98*Production!$V46+$AA$98*Production!$W46</f>
        <v>1184.2438733490035</v>
      </c>
      <c r="D42" s="10">
        <f>$AD$98*Production!$T46+$AE$98*Production!$U46+$AF$98*Production!$V46+$AG$98*Production!$W46</f>
        <v>1577.7350724877529</v>
      </c>
      <c r="E42" s="10">
        <f>$AJ$98*Production!$T46+$AK$98*Production!$U46+$AL$98*Production!$V46+$AM$98*Production!$W46</f>
        <v>2035.1862483397404</v>
      </c>
      <c r="F42" s="10">
        <f>$AP$98*Production!$T46+$AQ$98*Production!$U46+$AR$98*Production!$V46+$AS$98*Production!$W46</f>
        <v>2237.9574690907602</v>
      </c>
      <c r="I42" s="60">
        <v>42</v>
      </c>
      <c r="J42" s="10">
        <f>($X$98*Orders!E53)+(Capacity!$Y$98*Orders!H53)+(Capacity!$Z$98*Orders!K53)+(Capacity!$AA$98*Orders!N53)</f>
        <v>1179.4658603223738</v>
      </c>
      <c r="K42" s="10">
        <f>($AD$98*Orders!E53)+($AE$98*Orders!H53)+($AF$98*Orders!K53)+($AG$98*Orders!N53)</f>
        <v>1578.5473340989706</v>
      </c>
      <c r="L42" s="10">
        <f>($AJ$98*Orders!E53)+($AK$98*Orders!H53)+($AL$98*Orders!K53)+($AM$98*Orders!N53)</f>
        <v>2043.3798122616722</v>
      </c>
      <c r="M42" s="10">
        <f>($AP$98*Orders!E53)+($AQ$98*Orders!H53)+($AR$98*Orders!K53)+($AS$98*Orders!N53)</f>
        <v>2236.0708551184844</v>
      </c>
      <c r="P42" s="60">
        <v>42</v>
      </c>
      <c r="Q42" s="8">
        <f t="shared" ref="Q41:Q58" si="32">J38</f>
        <v>1193.5556122813225</v>
      </c>
      <c r="R42" s="8">
        <f t="shared" si="29"/>
        <v>1609.9575771219029</v>
      </c>
      <c r="S42" s="8">
        <f t="shared" si="30"/>
        <v>2127.9435614884896</v>
      </c>
      <c r="T42" s="8">
        <f t="shared" si="31"/>
        <v>2277.7811407761105</v>
      </c>
      <c r="W42" s="60">
        <v>42</v>
      </c>
      <c r="X42" s="8"/>
      <c r="Y42" s="8"/>
      <c r="Z42" s="8"/>
      <c r="AA42" s="8"/>
      <c r="AC42" s="60">
        <v>42</v>
      </c>
      <c r="AD42" s="8"/>
      <c r="AE42" s="8"/>
      <c r="AF42" s="8"/>
      <c r="AG42" s="8"/>
      <c r="AI42" s="60">
        <v>42</v>
      </c>
      <c r="AJ42" s="8"/>
      <c r="AK42" s="8"/>
      <c r="AL42" s="8"/>
      <c r="AM42" s="8"/>
      <c r="AO42" s="60">
        <v>42</v>
      </c>
      <c r="AP42" s="8"/>
      <c r="AQ42" s="8"/>
      <c r="AR42" s="8"/>
      <c r="AS42" s="8"/>
    </row>
    <row r="43" spans="2:45" x14ac:dyDescent="0.2">
      <c r="B43" s="34">
        <v>43</v>
      </c>
      <c r="C43" s="10">
        <f>$X$98*Production!$T47+$Y$98*Production!$U47+$Z$98*Production!$V47+$AA$98*Production!$W47</f>
        <v>1213.1657685182533</v>
      </c>
      <c r="D43" s="10">
        <f>$AD$98*Production!$T47+$AE$98*Production!$U47+$AF$98*Production!$V47+$AG$98*Production!$W47</f>
        <v>1611.9190825206203</v>
      </c>
      <c r="E43" s="10">
        <f>$AJ$98*Production!$T47+$AK$98*Production!$U47+$AL$98*Production!$V47+$AM$98*Production!$W47</f>
        <v>2112.0836221004097</v>
      </c>
      <c r="F43" s="10">
        <f>$AP$98*Production!$T47+$AQ$98*Production!$U47+$AR$98*Production!$V47+$AS$98*Production!$W47</f>
        <v>2291.2900654496671</v>
      </c>
      <c r="I43" s="60">
        <v>43</v>
      </c>
      <c r="J43" s="10">
        <f>($X$98*Orders!E54)+(Capacity!$Y$98*Orders!H54)+(Capacity!$Z$98*Orders!K54)+(Capacity!$AA$98*Orders!N54)</f>
        <v>1179.6532334000685</v>
      </c>
      <c r="K43" s="10">
        <f>($AD$98*Orders!E54)+($AE$98*Orders!H54)+($AF$98*Orders!K54)+($AG$98*Orders!N54)</f>
        <v>1575.5013981175621</v>
      </c>
      <c r="L43" s="10">
        <f>($AJ$98*Orders!E54)+($AK$98*Orders!H54)+($AL$98*Orders!K54)+($AM$98*Orders!N54)</f>
        <v>2033.4489562239464</v>
      </c>
      <c r="M43" s="10">
        <f>($AP$98*Orders!E54)+($AQ$98*Orders!H54)+($AR$98*Orders!K54)+($AS$98*Orders!N54)</f>
        <v>2232.9338689322476</v>
      </c>
      <c r="P43" s="60">
        <v>43</v>
      </c>
      <c r="Q43" s="8">
        <f t="shared" si="32"/>
        <v>1181.3896520581861</v>
      </c>
      <c r="R43" s="8">
        <f t="shared" si="29"/>
        <v>1590.9060179942005</v>
      </c>
      <c r="S43" s="8">
        <f t="shared" si="30"/>
        <v>2080.6841548243397</v>
      </c>
      <c r="T43" s="8">
        <f t="shared" si="31"/>
        <v>2250.3671691465024</v>
      </c>
      <c r="W43" s="60">
        <v>43</v>
      </c>
      <c r="X43" s="8"/>
      <c r="Y43" s="8"/>
      <c r="Z43" s="8"/>
      <c r="AA43" s="8"/>
      <c r="AC43" s="60">
        <v>43</v>
      </c>
      <c r="AD43" s="8"/>
      <c r="AE43" s="8"/>
      <c r="AF43" s="8"/>
      <c r="AG43" s="8"/>
      <c r="AI43" s="60">
        <v>43</v>
      </c>
      <c r="AJ43" s="8"/>
      <c r="AK43" s="8"/>
      <c r="AL43" s="8"/>
      <c r="AM43" s="8"/>
      <c r="AO43" s="60">
        <v>43</v>
      </c>
      <c r="AP43" s="8"/>
      <c r="AQ43" s="8"/>
      <c r="AR43" s="8"/>
      <c r="AS43" s="8"/>
    </row>
    <row r="44" spans="2:45" x14ac:dyDescent="0.2">
      <c r="B44" s="34">
        <v>44</v>
      </c>
      <c r="C44" s="10">
        <f>$X$98*Production!$T48+$Y$98*Production!$U48+$Z$98*Production!$V48+$AA$98*Production!$W48</f>
        <v>1208.1463519975234</v>
      </c>
      <c r="D44" s="10">
        <f>$AD$98*Production!$T48+$AE$98*Production!$U48+$AF$98*Production!$V48+$AG$98*Production!$W48</f>
        <v>1602.126958276905</v>
      </c>
      <c r="E44" s="10">
        <f>$AJ$98*Production!$T48+$AK$98*Production!$U48+$AL$98*Production!$V48+$AM$98*Production!$W48</f>
        <v>2086.4192061891831</v>
      </c>
      <c r="F44" s="10">
        <f>$AP$98*Production!$T48+$AQ$98*Production!$U48+$AR$98*Production!$V48+$AS$98*Production!$W48</f>
        <v>2277.920605791744</v>
      </c>
      <c r="I44" s="60">
        <v>44</v>
      </c>
      <c r="J44" s="10">
        <f>($X$98*Orders!E55)+(Capacity!$Y$98*Orders!H55)+(Capacity!$Z$98*Orders!K55)+(Capacity!$AA$98*Orders!N55)</f>
        <v>1183.5719246126732</v>
      </c>
      <c r="K44" s="10">
        <f>($AD$98*Orders!E55)+($AE$98*Orders!H55)+($AF$98*Orders!K55)+($AG$98*Orders!N55)</f>
        <v>1577.2899525892112</v>
      </c>
      <c r="L44" s="10">
        <f>($AJ$98*Orders!E55)+($AK$98*Orders!H55)+($AL$98*Orders!K55)+($AM$98*Orders!N55)</f>
        <v>2034.7931702025796</v>
      </c>
      <c r="M44" s="10">
        <f>($AP$98*Orders!E55)+($AQ$98*Orders!H55)+($AR$98*Orders!K55)+($AS$98*Orders!N55)</f>
        <v>2237.1297340372262</v>
      </c>
      <c r="P44" s="60">
        <v>44</v>
      </c>
      <c r="Q44" s="8">
        <f t="shared" si="32"/>
        <v>1185.6403038786393</v>
      </c>
      <c r="R44" s="8">
        <f>K40</f>
        <v>1593.1246779490621</v>
      </c>
      <c r="S44" s="8">
        <f t="shared" si="30"/>
        <v>2083.0314671614715</v>
      </c>
      <c r="T44" s="8">
        <f t="shared" si="31"/>
        <v>2255.2154090112526</v>
      </c>
      <c r="W44" s="60">
        <v>44</v>
      </c>
      <c r="X44" s="8"/>
      <c r="Y44" s="8"/>
      <c r="Z44" s="8"/>
      <c r="AA44" s="8"/>
      <c r="AC44" s="60">
        <v>44</v>
      </c>
      <c r="AD44" s="8"/>
      <c r="AE44" s="8"/>
      <c r="AF44" s="8"/>
      <c r="AG44" s="8"/>
      <c r="AI44" s="60">
        <v>44</v>
      </c>
      <c r="AJ44" s="8"/>
      <c r="AK44" s="8"/>
      <c r="AL44" s="8"/>
      <c r="AM44" s="8"/>
      <c r="AO44" s="60">
        <v>44</v>
      </c>
      <c r="AP44" s="8"/>
      <c r="AQ44" s="8"/>
      <c r="AR44" s="8"/>
      <c r="AS44" s="8"/>
    </row>
    <row r="45" spans="2:45" x14ac:dyDescent="0.2">
      <c r="B45" s="34">
        <v>45</v>
      </c>
      <c r="C45" s="10">
        <f>$X$98*Production!$T49+$Y$98*Production!$U49+$Z$98*Production!$V49+$AA$98*Production!$W49</f>
        <v>1221.9295499104001</v>
      </c>
      <c r="D45" s="10">
        <f>$AD$98*Production!$T49+$AE$98*Production!$U49+$AF$98*Production!$V49+$AG$98*Production!$W49</f>
        <v>1616.6964822993414</v>
      </c>
      <c r="E45" s="10">
        <f>$AJ$98*Production!$T49+$AK$98*Production!$U49+$AL$98*Production!$V49+$AM$98*Production!$W49</f>
        <v>2117.5713860664646</v>
      </c>
      <c r="F45" s="10">
        <f>$AP$98*Production!$T49+$AQ$98*Production!$U49+$AR$98*Production!$V49+$AS$98*Production!$W49</f>
        <v>2301.5023710207347</v>
      </c>
      <c r="I45" s="60">
        <v>45</v>
      </c>
      <c r="J45" s="10">
        <f>($X$98*Orders!E56)+(Capacity!$Y$98*Orders!H56)+(Capacity!$Z$98*Orders!K56)+(Capacity!$AA$98*Orders!N56)</f>
        <v>1209.6173449904506</v>
      </c>
      <c r="K45" s="10">
        <f>($AD$98*Orders!E56)+($AE$98*Orders!H56)+($AF$98*Orders!K56)+($AG$98*Orders!N56)</f>
        <v>1607.7470518053012</v>
      </c>
      <c r="L45" s="10">
        <f>($AJ$98*Orders!E56)+($AK$98*Orders!H56)+($AL$98*Orders!K56)+($AM$98*Orders!N56)</f>
        <v>2102.9985875281473</v>
      </c>
      <c r="M45" s="10">
        <f>($AP$98*Orders!E56)+($AQ$98*Orders!H56)+($AR$98*Orders!K56)+($AS$98*Orders!N56)</f>
        <v>2284.8094321102826</v>
      </c>
      <c r="P45" s="60">
        <v>45</v>
      </c>
      <c r="Q45" s="8">
        <f t="shared" si="32"/>
        <v>1182.9065849077685</v>
      </c>
      <c r="R45" s="8">
        <f t="shared" si="29"/>
        <v>1586.2940227047295</v>
      </c>
      <c r="S45" s="8">
        <f t="shared" si="30"/>
        <v>2064.2738329769936</v>
      </c>
      <c r="T45" s="8">
        <f t="shared" si="31"/>
        <v>2246.3378419295741</v>
      </c>
      <c r="W45" s="60">
        <v>45</v>
      </c>
      <c r="X45" s="8"/>
      <c r="Y45" s="8"/>
      <c r="Z45" s="8"/>
      <c r="AA45" s="8"/>
      <c r="AC45" s="60">
        <v>45</v>
      </c>
      <c r="AD45" s="8"/>
      <c r="AE45" s="8"/>
      <c r="AF45" s="8"/>
      <c r="AG45" s="8"/>
      <c r="AI45" s="60">
        <v>45</v>
      </c>
      <c r="AJ45" s="8"/>
      <c r="AK45" s="8"/>
      <c r="AL45" s="8"/>
      <c r="AM45" s="8"/>
      <c r="AO45" s="60">
        <v>45</v>
      </c>
      <c r="AP45" s="8"/>
      <c r="AQ45" s="8"/>
      <c r="AR45" s="8"/>
      <c r="AS45" s="8"/>
    </row>
    <row r="46" spans="2:45" x14ac:dyDescent="0.2">
      <c r="B46" s="34">
        <v>46</v>
      </c>
      <c r="C46" s="10">
        <f>$X$98*Production!$T50+$Y$98*Production!$U50+$Z$98*Production!$V50+$AA$98*Production!$W50</f>
        <v>1238.0922558820953</v>
      </c>
      <c r="D46" s="10">
        <f>$AD$98*Production!$T50+$AE$98*Production!$U50+$AF$98*Production!$V50+$AG$98*Production!$W50</f>
        <v>1634.3490211110297</v>
      </c>
      <c r="E46" s="10">
        <f>$AJ$98*Production!$T50+$AK$98*Production!$U50+$AL$98*Production!$V50+$AM$98*Production!$W50</f>
        <v>2155.9138185562629</v>
      </c>
      <c r="F46" s="10">
        <f>$AP$98*Production!$T50+$AQ$98*Production!$U50+$AR$98*Production!$V50+$AS$98*Production!$W50</f>
        <v>2329.7603868696651</v>
      </c>
      <c r="I46" s="60">
        <v>46</v>
      </c>
      <c r="J46" s="10">
        <f>($X$98*Orders!E57)+(Capacity!$Y$98*Orders!H57)+(Capacity!$Z$98*Orders!K57)+(Capacity!$AA$98*Orders!N57)</f>
        <v>1208.171759263354</v>
      </c>
      <c r="K46" s="10">
        <f>($AD$98*Orders!E57)+($AE$98*Orders!H57)+($AF$98*Orders!K57)+($AG$98*Orders!N57)</f>
        <v>1602.5853691985549</v>
      </c>
      <c r="L46" s="10">
        <f>($AJ$98*Orders!E57)+($AK$98*Orders!H57)+($AL$98*Orders!K57)+($AM$98*Orders!N57)</f>
        <v>2088.1333559715963</v>
      </c>
      <c r="M46" s="10">
        <f>($AP$98*Orders!E57)+($AQ$98*Orders!H57)+($AR$98*Orders!K57)+($AS$98*Orders!N57)</f>
        <v>2278.4633268815874</v>
      </c>
      <c r="P46" s="60">
        <v>46</v>
      </c>
      <c r="Q46" s="8">
        <f t="shared" si="32"/>
        <v>1179.4658603223738</v>
      </c>
      <c r="R46" s="8">
        <f t="shared" si="29"/>
        <v>1578.5473340989706</v>
      </c>
      <c r="S46" s="8">
        <f t="shared" si="30"/>
        <v>2043.3798122616722</v>
      </c>
      <c r="T46" s="8">
        <f t="shared" si="31"/>
        <v>2236.0708551184844</v>
      </c>
      <c r="W46" s="60">
        <v>46</v>
      </c>
      <c r="X46" s="8"/>
      <c r="Y46" s="8"/>
      <c r="Z46" s="8"/>
      <c r="AA46" s="8"/>
      <c r="AC46" s="60">
        <v>46</v>
      </c>
      <c r="AD46" s="8"/>
      <c r="AE46" s="8"/>
      <c r="AF46" s="8"/>
      <c r="AG46" s="8"/>
      <c r="AI46" s="60">
        <v>46</v>
      </c>
      <c r="AJ46" s="8"/>
      <c r="AK46" s="8"/>
      <c r="AL46" s="8"/>
      <c r="AM46" s="8"/>
      <c r="AO46" s="60">
        <v>46</v>
      </c>
      <c r="AP46" s="8"/>
      <c r="AQ46" s="8"/>
      <c r="AR46" s="8"/>
      <c r="AS46" s="8"/>
    </row>
    <row r="47" spans="2:45" x14ac:dyDescent="0.2">
      <c r="B47" s="34">
        <v>47</v>
      </c>
      <c r="C47" s="10">
        <f>$X$98*Production!$T51+$Y$98*Production!$U51+$Z$98*Production!$V51+$AA$98*Production!$W51</f>
        <v>1249.192828599226</v>
      </c>
      <c r="D47" s="10">
        <f>$AD$98*Production!$T51+$AE$98*Production!$U51+$AF$98*Production!$V51+$AG$98*Production!$W51</f>
        <v>1645.4427959668035</v>
      </c>
      <c r="E47" s="10">
        <f>$AJ$98*Production!$T51+$AK$98*Production!$U51+$AL$98*Production!$V51+$AM$98*Production!$W51</f>
        <v>2178.9598049072674</v>
      </c>
      <c r="F47" s="10">
        <f>$AP$98*Production!$T51+$AQ$98*Production!$U51+$AR$98*Production!$V51+$AS$98*Production!$W51</f>
        <v>2348.0702104096249</v>
      </c>
      <c r="I47" s="60">
        <v>47</v>
      </c>
      <c r="J47" s="10">
        <f>($X$98*Orders!E58)+(Capacity!$Y$98*Orders!H58)+(Capacity!$Z$98*Orders!K58)+(Capacity!$AA$98*Orders!N58)</f>
        <v>1220.20297321765</v>
      </c>
      <c r="K47" s="10">
        <f>($AD$98*Orders!E58)+($AE$98*Orders!H58)+($AF$98*Orders!K58)+($AG$98*Orders!N58)</f>
        <v>1614.8849313963951</v>
      </c>
      <c r="L47" s="10">
        <f>($AJ$98*Orders!E58)+($AK$98*Orders!H58)+($AL$98*Orders!K58)+($AM$98*Orders!N58)</f>
        <v>2113.991497365339</v>
      </c>
      <c r="M47" s="10">
        <f>($AP$98*Orders!E58)+($AQ$98*Orders!H58)+($AR$98*Orders!K58)+($AS$98*Orders!N58)</f>
        <v>2298.6020627658886</v>
      </c>
      <c r="P47" s="60">
        <v>47</v>
      </c>
      <c r="Q47" s="8">
        <f t="shared" si="32"/>
        <v>1179.6532334000685</v>
      </c>
      <c r="R47" s="8">
        <f t="shared" si="29"/>
        <v>1575.5013981175621</v>
      </c>
      <c r="S47" s="8">
        <f t="shared" si="30"/>
        <v>2033.4489562239464</v>
      </c>
      <c r="T47" s="8">
        <f t="shared" si="31"/>
        <v>2232.9338689322476</v>
      </c>
      <c r="W47" s="60">
        <v>47</v>
      </c>
      <c r="X47" s="8"/>
      <c r="Y47" s="8"/>
      <c r="Z47" s="8"/>
      <c r="AA47" s="8"/>
      <c r="AC47" s="60">
        <v>47</v>
      </c>
      <c r="AD47" s="8"/>
      <c r="AE47" s="8"/>
      <c r="AF47" s="8"/>
      <c r="AG47" s="8"/>
      <c r="AI47" s="60">
        <v>47</v>
      </c>
      <c r="AJ47" s="8"/>
      <c r="AK47" s="8"/>
      <c r="AL47" s="8"/>
      <c r="AM47" s="8"/>
      <c r="AO47" s="60">
        <v>47</v>
      </c>
      <c r="AP47" s="8"/>
      <c r="AQ47" s="8"/>
      <c r="AR47" s="8"/>
      <c r="AS47" s="8"/>
    </row>
    <row r="48" spans="2:45" x14ac:dyDescent="0.2">
      <c r="B48" s="34">
        <v>48</v>
      </c>
      <c r="C48" s="10">
        <f>$X$98*Production!$T52+$Y$98*Production!$U52+$Z$98*Production!$V52+$AA$98*Production!$W52</f>
        <v>1266.6867712518947</v>
      </c>
      <c r="D48" s="10">
        <f>$AD$98*Production!$T52+$AE$98*Production!$U52+$AF$98*Production!$V52+$AG$98*Production!$W52</f>
        <v>1664.8201544781873</v>
      </c>
      <c r="E48" s="10">
        <f>$AJ$98*Production!$T52+$AK$98*Production!$U52+$AL$98*Production!$V52+$AM$98*Production!$W52</f>
        <v>2221.3248873678331</v>
      </c>
      <c r="F48" s="10">
        <f>$AP$98*Production!$T52+$AQ$98*Production!$U52+$AR$98*Production!$V52+$AS$98*Production!$W52</f>
        <v>2378.9443957359454</v>
      </c>
      <c r="I48" s="60">
        <v>48</v>
      </c>
      <c r="J48" s="10">
        <f>($X$98*Orders!E59)+(Capacity!$Y$98*Orders!H59)+(Capacity!$Z$98*Orders!K59)+(Capacity!$AA$98*Orders!N59)</f>
        <v>1235.890374797963</v>
      </c>
      <c r="K48" s="10">
        <f>($AD$98*Orders!E59)+($AE$98*Orders!H59)+($AF$98*Orders!K59)+($AG$98*Orders!N59)</f>
        <v>1631.9216410401182</v>
      </c>
      <c r="L48" s="10">
        <f>($AJ$98*Orders!E59)+($AK$98*Orders!H59)+($AL$98*Orders!K59)+($AM$98*Orders!N59)</f>
        <v>2150.8976839768302</v>
      </c>
      <c r="M48" s="10">
        <f>($AP$98*Orders!E59)+($AQ$98*Orders!H59)+($AR$98*Orders!K59)+($AS$98*Orders!N59)</f>
        <v>2325.9260021587111</v>
      </c>
      <c r="P48" s="60">
        <v>48</v>
      </c>
      <c r="Q48" s="8">
        <f t="shared" si="32"/>
        <v>1183.5719246126732</v>
      </c>
      <c r="R48" s="8">
        <f t="shared" si="29"/>
        <v>1577.2899525892112</v>
      </c>
      <c r="S48" s="8">
        <f t="shared" si="30"/>
        <v>2034.7931702025796</v>
      </c>
      <c r="T48" s="8">
        <f t="shared" si="31"/>
        <v>2237.1297340372262</v>
      </c>
      <c r="W48" s="60">
        <v>48</v>
      </c>
      <c r="X48" s="8"/>
      <c r="Y48" s="8"/>
      <c r="Z48" s="8"/>
      <c r="AA48" s="8"/>
      <c r="AC48" s="60">
        <v>48</v>
      </c>
      <c r="AD48" s="8"/>
      <c r="AE48" s="8"/>
      <c r="AF48" s="8"/>
      <c r="AG48" s="8"/>
      <c r="AI48" s="60">
        <v>48</v>
      </c>
      <c r="AJ48" s="8"/>
      <c r="AK48" s="8"/>
      <c r="AL48" s="8"/>
      <c r="AM48" s="8"/>
      <c r="AO48" s="60">
        <v>48</v>
      </c>
      <c r="AP48" s="8"/>
      <c r="AQ48" s="8"/>
      <c r="AR48" s="8"/>
      <c r="AS48" s="8"/>
    </row>
    <row r="49" spans="1:45" x14ac:dyDescent="0.2">
      <c r="B49" s="34">
        <v>49</v>
      </c>
      <c r="C49" s="10">
        <f>$X$98*Production!$T53+$Y$98*Production!$U53+$Z$98*Production!$V53+$AA$98*Production!$W53</f>
        <v>1250.7527493363559</v>
      </c>
      <c r="D49" s="10">
        <f>$AD$98*Production!$T53+$AE$98*Production!$U53+$AF$98*Production!$V53+$AG$98*Production!$W53</f>
        <v>1640.8864980272856</v>
      </c>
      <c r="E49" s="10">
        <f>$AJ$98*Production!$T53+$AK$98*Production!$U53+$AL$98*Production!$V53+$AM$98*Production!$W53</f>
        <v>2162.6793812418591</v>
      </c>
      <c r="F49" s="10">
        <f>$AP$98*Production!$T53+$AQ$98*Production!$U53+$AR$98*Production!$V53+$AS$98*Production!$W53</f>
        <v>2344.1253637369209</v>
      </c>
      <c r="I49" s="60">
        <v>49</v>
      </c>
      <c r="J49" s="10">
        <f>($X$98*Orders!E60)+(Capacity!$Y$98*Orders!H60)+(Capacity!$Z$98*Orders!K60)+(Capacity!$AA$98*Orders!N60)</f>
        <v>1247.518635791389</v>
      </c>
      <c r="K49" s="10">
        <f>($AD$98*Orders!E60)+($AE$98*Orders!H60)+($AF$98*Orders!K60)+($AG$98*Orders!N60)</f>
        <v>1643.6991163582225</v>
      </c>
      <c r="L49" s="10">
        <f>($AJ$98*Orders!E60)+($AK$98*Orders!H60)+($AL$98*Orders!K60)+($AM$98*Orders!N60)</f>
        <v>2175.5382066409879</v>
      </c>
      <c r="M49" s="10">
        <f>($AP$98*Orders!E60)+($AQ$98*Orders!H60)+($AR$98*Orders!K60)+($AS$98*Orders!N60)</f>
        <v>2345.2728478764338</v>
      </c>
      <c r="P49" s="60">
        <v>49</v>
      </c>
      <c r="Q49" s="8">
        <f t="shared" si="32"/>
        <v>1209.6173449904506</v>
      </c>
      <c r="R49" s="8">
        <f t="shared" si="29"/>
        <v>1607.7470518053012</v>
      </c>
      <c r="S49" s="8">
        <f t="shared" si="30"/>
        <v>2102.9985875281473</v>
      </c>
      <c r="T49" s="8">
        <f t="shared" si="31"/>
        <v>2284.8094321102826</v>
      </c>
      <c r="W49" s="60">
        <v>49</v>
      </c>
      <c r="X49" s="8"/>
      <c r="Y49" s="8"/>
      <c r="Z49" s="8"/>
      <c r="AA49" s="8"/>
      <c r="AC49" s="60">
        <v>49</v>
      </c>
      <c r="AD49" s="8"/>
      <c r="AE49" s="8"/>
      <c r="AF49" s="8"/>
      <c r="AG49" s="8"/>
      <c r="AI49" s="60">
        <v>49</v>
      </c>
      <c r="AJ49" s="8"/>
      <c r="AK49" s="8"/>
      <c r="AL49" s="8"/>
      <c r="AM49" s="8"/>
      <c r="AO49" s="60">
        <v>49</v>
      </c>
      <c r="AP49" s="8"/>
      <c r="AQ49" s="8"/>
      <c r="AR49" s="8"/>
      <c r="AS49" s="8"/>
    </row>
    <row r="50" spans="1:45" x14ac:dyDescent="0.2">
      <c r="B50" s="34">
        <v>50</v>
      </c>
      <c r="C50" s="10">
        <f>$X$98*Production!$T54+$Y$98*Production!$U54+$Z$98*Production!$V54+$AA$98*Production!$W54</f>
        <v>1257.1375607224761</v>
      </c>
      <c r="D50" s="10">
        <f>$AD$98*Production!$T54+$AE$98*Production!$U54+$AF$98*Production!$V54+$AG$98*Production!$W54</f>
        <v>1645.8702864628804</v>
      </c>
      <c r="E50" s="10">
        <f>$AJ$98*Production!$T54+$AK$98*Production!$U54+$AL$98*Production!$V54+$AM$98*Production!$W54</f>
        <v>2171.4755670491572</v>
      </c>
      <c r="F50" s="10">
        <f>$AP$98*Production!$T54+$AQ$98*Production!$U54+$AR$98*Production!$V54+$AS$98*Production!$W54</f>
        <v>2353.1676910959372</v>
      </c>
      <c r="I50" s="60">
        <v>50</v>
      </c>
      <c r="J50" s="10">
        <f>($X$98*Orders!E61)+(Capacity!$Y$98*Orders!H61)+(Capacity!$Z$98*Orders!K61)+(Capacity!$AA$98*Orders!N61)</f>
        <v>1264.3377655098084</v>
      </c>
      <c r="K50" s="10">
        <f>($AD$98*Orders!E61)+($AE$98*Orders!H61)+($AF$98*Orders!K61)+($AG$98*Orders!N61)</f>
        <v>1662.202152024362</v>
      </c>
      <c r="L50" s="10">
        <f>($AJ$98*Orders!E61)+($AK$98*Orders!H61)+($AL$98*Orders!K61)+($AM$98*Orders!N61)</f>
        <v>2215.8641804524091</v>
      </c>
      <c r="M50" s="10">
        <f>($AP$98*Orders!E61)+($AQ$98*Orders!H61)+($AR$98*Orders!K61)+($AS$98*Orders!N61)</f>
        <v>2374.8208790884914</v>
      </c>
      <c r="P50" s="60">
        <v>50</v>
      </c>
      <c r="Q50" s="8">
        <f t="shared" si="32"/>
        <v>1208.171759263354</v>
      </c>
      <c r="R50" s="8">
        <f t="shared" si="29"/>
        <v>1602.5853691985549</v>
      </c>
      <c r="S50" s="8">
        <f t="shared" si="30"/>
        <v>2088.1333559715963</v>
      </c>
      <c r="T50" s="8">
        <f t="shared" si="31"/>
        <v>2278.4633268815874</v>
      </c>
      <c r="W50" s="60">
        <v>50</v>
      </c>
      <c r="X50" s="8"/>
      <c r="Y50" s="8"/>
      <c r="Z50" s="8"/>
      <c r="AA50" s="8"/>
      <c r="AC50" s="60">
        <v>50</v>
      </c>
      <c r="AD50" s="8"/>
      <c r="AE50" s="8"/>
      <c r="AF50" s="8"/>
      <c r="AG50" s="8"/>
      <c r="AI50" s="60">
        <v>50</v>
      </c>
      <c r="AJ50" s="8"/>
      <c r="AK50" s="8"/>
      <c r="AL50" s="8"/>
      <c r="AM50" s="8"/>
      <c r="AO50" s="60">
        <v>50</v>
      </c>
      <c r="AP50" s="8"/>
      <c r="AQ50" s="8"/>
      <c r="AR50" s="8"/>
      <c r="AS50" s="8"/>
    </row>
    <row r="51" spans="1:45" x14ac:dyDescent="0.2">
      <c r="B51" s="34">
        <v>51</v>
      </c>
      <c r="C51" s="10">
        <f>$X$98*Production!$T55+$Y$98*Production!$U55+$Z$98*Production!$V55+$AA$98*Production!$W55</f>
        <v>1253.4958735487328</v>
      </c>
      <c r="D51" s="10">
        <f>$AD$98*Production!$T55+$AE$98*Production!$U55+$AF$98*Production!$V55+$AG$98*Production!$W55</f>
        <v>1637.8632202426527</v>
      </c>
      <c r="E51" s="10">
        <f>$AJ$98*Production!$T55+$AK$98*Production!$U55+$AL$98*Production!$V55+$AM$98*Production!$W55</f>
        <v>2149.9742898168697</v>
      </c>
      <c r="F51" s="10">
        <f>$AP$98*Production!$T55+$AQ$98*Production!$U55+$AR$98*Production!$V55+$AS$98*Production!$W55</f>
        <v>2342.5057691112233</v>
      </c>
      <c r="I51" s="60">
        <v>51</v>
      </c>
      <c r="J51" s="10">
        <f>($X$98*Orders!E62)+(Capacity!$Y$98*Orders!H62)+(Capacity!$Z$98*Orders!K62)+(Capacity!$AA$98*Orders!N62)</f>
        <v>1252.1718052866722</v>
      </c>
      <c r="K51" s="10">
        <f>($AD$98*Orders!E62)+($AE$98*Orders!H62)+($AF$98*Orders!K62)+($AG$98*Orders!N62)</f>
        <v>1643.1505928966596</v>
      </c>
      <c r="L51" s="10">
        <f>($AJ$98*Orders!E62)+($AK$98*Orders!H62)+($AL$98*Orders!K62)+($AM$98*Orders!N62)</f>
        <v>2168.6047737882595</v>
      </c>
      <c r="M51" s="10">
        <f>($AP$98*Orders!E62)+($AQ$98*Orders!H62)+($AR$98*Orders!K62)+($AS$98*Orders!N62)</f>
        <v>2347.4069074588829</v>
      </c>
      <c r="P51" s="60">
        <v>51</v>
      </c>
      <c r="Q51" s="8">
        <f t="shared" si="32"/>
        <v>1220.20297321765</v>
      </c>
      <c r="R51" s="8">
        <f t="shared" si="29"/>
        <v>1614.8849313963951</v>
      </c>
      <c r="S51" s="8">
        <f t="shared" si="30"/>
        <v>2113.991497365339</v>
      </c>
      <c r="T51" s="8">
        <f t="shared" si="31"/>
        <v>2298.6020627658886</v>
      </c>
      <c r="W51" s="60">
        <v>51</v>
      </c>
      <c r="X51" s="8"/>
      <c r="Y51" s="8"/>
      <c r="Z51" s="8"/>
      <c r="AA51" s="8"/>
      <c r="AC51" s="60">
        <v>51</v>
      </c>
      <c r="AD51" s="8"/>
      <c r="AE51" s="8"/>
      <c r="AF51" s="8"/>
      <c r="AG51" s="8"/>
      <c r="AI51" s="60">
        <v>51</v>
      </c>
      <c r="AJ51" s="8"/>
      <c r="AK51" s="8"/>
      <c r="AL51" s="8"/>
      <c r="AM51" s="8"/>
      <c r="AO51" s="60">
        <v>51</v>
      </c>
      <c r="AP51" s="8"/>
      <c r="AQ51" s="8"/>
      <c r="AR51" s="8"/>
      <c r="AS51" s="8"/>
    </row>
    <row r="52" spans="1:45" x14ac:dyDescent="0.2">
      <c r="B52" s="34">
        <v>52</v>
      </c>
      <c r="C52" s="10">
        <f>$X$98*Production!$T56+$Y$98*Production!$U56+$Z$98*Production!$V56+$AA$98*Production!$W56</f>
        <v>1249.9632382334503</v>
      </c>
      <c r="D52" s="10">
        <f>$AD$98*Production!$T56+$AE$98*Production!$U56+$AF$98*Production!$V56+$AG$98*Production!$W56</f>
        <v>1629.9974472999083</v>
      </c>
      <c r="E52" s="10">
        <f>$AJ$98*Production!$T56+$AK$98*Production!$U56+$AL$98*Production!$V56+$AM$98*Production!$W56</f>
        <v>2128.8025388525393</v>
      </c>
      <c r="F52" s="10">
        <f>$AP$98*Production!$T56+$AQ$98*Production!$U56+$AR$98*Production!$V56+$AS$98*Production!$W56</f>
        <v>2332.05815773531</v>
      </c>
      <c r="I52" s="60">
        <v>52</v>
      </c>
      <c r="J52" s="10">
        <f>($X$98*Orders!E63)+(Capacity!$Y$98*Orders!H63)+(Capacity!$Z$98*Orders!K63)+(Capacity!$AA$98*Orders!N63)</f>
        <v>1256.4224571071254</v>
      </c>
      <c r="K52" s="10">
        <f>($AD$98*Orders!E63)+($AE$98*Orders!H63)+($AF$98*Orders!K63)+($AG$98*Orders!N63)</f>
        <v>1645.3692528515207</v>
      </c>
      <c r="L52" s="10">
        <f>($AJ$98*Orders!E63)+($AK$98*Orders!H63)+($AL$98*Orders!K63)+($AM$98*Orders!N63)</f>
        <v>2170.9520861253914</v>
      </c>
      <c r="M52" s="10">
        <f>($AP$98*Orders!E63)+($AQ$98*Orders!H63)+($AR$98*Orders!K63)+($AS$98*Orders!N63)</f>
        <v>2352.2551473236326</v>
      </c>
      <c r="P52" s="60">
        <v>52</v>
      </c>
      <c r="Q52" s="8">
        <f t="shared" si="32"/>
        <v>1235.890374797963</v>
      </c>
      <c r="R52" s="8">
        <f t="shared" si="29"/>
        <v>1631.9216410401182</v>
      </c>
      <c r="S52" s="8">
        <f t="shared" si="30"/>
        <v>2150.8976839768302</v>
      </c>
      <c r="T52" s="8">
        <f t="shared" si="31"/>
        <v>2325.9260021587111</v>
      </c>
      <c r="W52" s="60">
        <v>52</v>
      </c>
      <c r="X52" s="8"/>
      <c r="Y52" s="8"/>
      <c r="Z52" s="8"/>
      <c r="AA52" s="8"/>
      <c r="AC52" s="60">
        <v>52</v>
      </c>
      <c r="AD52" s="8"/>
      <c r="AE52" s="8"/>
      <c r="AF52" s="8"/>
      <c r="AG52" s="8"/>
      <c r="AI52" s="60">
        <v>52</v>
      </c>
      <c r="AJ52" s="8"/>
      <c r="AK52" s="8"/>
      <c r="AL52" s="8"/>
      <c r="AM52" s="8"/>
      <c r="AO52" s="60">
        <v>52</v>
      </c>
      <c r="AP52" s="8"/>
      <c r="AQ52" s="8"/>
      <c r="AR52" s="8"/>
      <c r="AS52" s="8"/>
    </row>
    <row r="53" spans="1:45" x14ac:dyDescent="0.2">
      <c r="B53" s="34">
        <v>53</v>
      </c>
      <c r="C53" s="10">
        <f>$X$98*Production!$T57+$Y$98*Production!$U57+$Z$98*Production!$V57+$AA$98*Production!$W57</f>
        <v>1250.6222640073465</v>
      </c>
      <c r="D53" s="10">
        <f>$AD$98*Production!$T57+$AE$98*Production!$U57+$AF$98*Production!$V57+$AG$98*Production!$W57</f>
        <v>1627.5626091596655</v>
      </c>
      <c r="E53" s="10">
        <f>$AJ$98*Production!$T57+$AK$98*Production!$U57+$AL$98*Production!$V57+$AM$98*Production!$W57</f>
        <v>2120.2968942229004</v>
      </c>
      <c r="F53" s="10">
        <f>$AP$98*Production!$T57+$AQ$98*Production!$U57+$AR$98*Production!$V57+$AS$98*Production!$W57</f>
        <v>2329.8480716303047</v>
      </c>
      <c r="I53" s="60">
        <v>53</v>
      </c>
      <c r="J53" s="10">
        <f>($X$98*Orders!E64)+(Capacity!$Y$98*Orders!H64)+(Capacity!$Z$98*Orders!K64)+(Capacity!$AA$98*Orders!N64)</f>
        <v>1253.6887381362544</v>
      </c>
      <c r="K53" s="10">
        <f>($AD$98*Orders!E64)+($AE$98*Orders!H64)+($AF$98*Orders!K64)+($AG$98*Orders!N64)</f>
        <v>1638.5385976071884</v>
      </c>
      <c r="L53" s="10">
        <f>($AJ$98*Orders!E64)+($AK$98*Orders!H64)+($AL$98*Orders!K64)+($AM$98*Orders!N64)</f>
        <v>2152.194451940913</v>
      </c>
      <c r="M53" s="10">
        <f>($AP$98*Orders!E64)+($AQ$98*Orders!H64)+($AR$98*Orders!K64)+($AS$98*Orders!N64)</f>
        <v>2343.3775802419545</v>
      </c>
      <c r="P53" s="60">
        <v>53</v>
      </c>
      <c r="Q53" s="8">
        <f t="shared" si="32"/>
        <v>1247.518635791389</v>
      </c>
      <c r="R53" s="8">
        <f t="shared" si="29"/>
        <v>1643.6991163582225</v>
      </c>
      <c r="S53" s="8">
        <f t="shared" si="30"/>
        <v>2175.5382066409879</v>
      </c>
      <c r="T53" s="8">
        <f t="shared" si="31"/>
        <v>2345.2728478764338</v>
      </c>
      <c r="W53" s="60">
        <v>53</v>
      </c>
      <c r="X53" s="8"/>
      <c r="Y53" s="8"/>
      <c r="Z53" s="8"/>
      <c r="AA53" s="8"/>
      <c r="AC53" s="60">
        <v>53</v>
      </c>
      <c r="AD53" s="8"/>
      <c r="AE53" s="8"/>
      <c r="AF53" s="8"/>
      <c r="AG53" s="8"/>
      <c r="AI53" s="60">
        <v>53</v>
      </c>
      <c r="AJ53" s="8"/>
      <c r="AK53" s="8"/>
      <c r="AL53" s="8"/>
      <c r="AM53" s="8"/>
      <c r="AO53" s="60">
        <v>53</v>
      </c>
      <c r="AP53" s="8"/>
      <c r="AQ53" s="8"/>
      <c r="AR53" s="8"/>
      <c r="AS53" s="8"/>
    </row>
    <row r="54" spans="1:45" x14ac:dyDescent="0.2">
      <c r="B54" s="34">
        <v>54</v>
      </c>
      <c r="C54" s="10">
        <f>$X$98*Production!$T58+$Y$98*Production!$U58+$Z$98*Production!$V58+$AA$98*Production!$W58</f>
        <v>1255.0260265774896</v>
      </c>
      <c r="D54" s="10">
        <f>$AD$98*Production!$T58+$AE$98*Production!$U58+$AF$98*Production!$V58+$AG$98*Production!$W58</f>
        <v>1629.979647390212</v>
      </c>
      <c r="E54" s="10">
        <f>$AJ$98*Production!$T58+$AK$98*Production!$U58+$AL$98*Production!$V58+$AM$98*Production!$W58</f>
        <v>2123.1068673036602</v>
      </c>
      <c r="F54" s="10">
        <f>$AP$98*Production!$T58+$AQ$98*Production!$U58+$AR$98*Production!$V58+$AS$98*Production!$W58</f>
        <v>2334.9972074031407</v>
      </c>
      <c r="I54" s="60">
        <v>54</v>
      </c>
      <c r="J54" s="10">
        <f>($X$98*Orders!E65)+(Capacity!$Y$98*Orders!H65)+(Capacity!$Z$98*Orders!K65)+(Capacity!$AA$98*Orders!N65)</f>
        <v>1250.2480135508599</v>
      </c>
      <c r="K54" s="10">
        <f>($AD$98*Orders!E65)+($AE$98*Orders!H65)+($AF$98*Orders!K65)+($AG$98*Orders!N65)</f>
        <v>1630.7919090014295</v>
      </c>
      <c r="L54" s="10">
        <f>($AJ$98*Orders!E65)+($AK$98*Orders!H65)+($AL$98*Orders!K65)+($AM$98*Orders!N65)</f>
        <v>2131.3004312255921</v>
      </c>
      <c r="M54" s="10">
        <f>($AP$98*Orders!E65)+($AQ$98*Orders!H65)+($AR$98*Orders!K65)+($AS$98*Orders!N65)</f>
        <v>2333.1105934308648</v>
      </c>
      <c r="P54" s="60">
        <v>54</v>
      </c>
      <c r="Q54" s="8">
        <f t="shared" si="32"/>
        <v>1264.3377655098084</v>
      </c>
      <c r="R54" s="8">
        <f t="shared" si="29"/>
        <v>1662.202152024362</v>
      </c>
      <c r="S54" s="8">
        <f t="shared" si="30"/>
        <v>2215.8641804524091</v>
      </c>
      <c r="T54" s="8">
        <f t="shared" si="31"/>
        <v>2374.8208790884914</v>
      </c>
      <c r="W54" s="60">
        <v>54</v>
      </c>
      <c r="X54" s="8"/>
      <c r="Y54" s="8"/>
      <c r="Z54" s="8"/>
      <c r="AA54" s="8"/>
      <c r="AC54" s="60">
        <v>54</v>
      </c>
      <c r="AD54" s="8"/>
      <c r="AE54" s="8"/>
      <c r="AF54" s="8"/>
      <c r="AG54" s="8"/>
      <c r="AI54" s="60">
        <v>54</v>
      </c>
      <c r="AJ54" s="8"/>
      <c r="AK54" s="8"/>
      <c r="AL54" s="8"/>
      <c r="AM54" s="8"/>
      <c r="AO54" s="60">
        <v>54</v>
      </c>
      <c r="AP54" s="8"/>
      <c r="AQ54" s="8"/>
      <c r="AR54" s="8"/>
      <c r="AS54" s="8"/>
    </row>
    <row r="55" spans="1:45" x14ac:dyDescent="0.2">
      <c r="B55" s="34">
        <v>55</v>
      </c>
      <c r="C55" s="10">
        <f>$X$98*Production!$T59+$Y$98*Production!$U59+$Z$98*Production!$V59+$AA$98*Production!$W59</f>
        <v>1283.9479217467392</v>
      </c>
      <c r="D55" s="10">
        <f>$AD$98*Production!$T59+$AE$98*Production!$U59+$AF$98*Production!$V59+$AG$98*Production!$W59</f>
        <v>1664.1636574230793</v>
      </c>
      <c r="E55" s="10">
        <f>$AJ$98*Production!$T59+$AK$98*Production!$U59+$AL$98*Production!$V59+$AM$98*Production!$W59</f>
        <v>2200.0042410643291</v>
      </c>
      <c r="F55" s="10">
        <f>$AP$98*Production!$T59+$AQ$98*Production!$U59+$AR$98*Production!$V59+$AS$98*Production!$W59</f>
        <v>2388.329803762047</v>
      </c>
      <c r="I55" s="60">
        <v>55</v>
      </c>
      <c r="J55" s="10">
        <f>($X$98*Orders!E66)+(Capacity!$Y$98*Orders!H66)+(Capacity!$Z$98*Orders!K66)+(Capacity!$AA$98*Orders!N66)</f>
        <v>1250.4353866285544</v>
      </c>
      <c r="K55" s="10">
        <f>($AD$98*Orders!E66)+($AE$98*Orders!H66)+($AF$98*Orders!K66)+($AG$98*Orders!N66)</f>
        <v>1627.7459730200212</v>
      </c>
      <c r="L55" s="10">
        <f>($AJ$98*Orders!E66)+($AK$98*Orders!H66)+($AL$98*Orders!K66)+($AM$98*Orders!N66)</f>
        <v>2121.3695751878663</v>
      </c>
      <c r="M55" s="10">
        <f>($AP$98*Orders!E66)+($AQ$98*Orders!H66)+($AR$98*Orders!K66)+($AS$98*Orders!N66)</f>
        <v>2329.9736072446285</v>
      </c>
      <c r="P55" s="60">
        <v>55</v>
      </c>
      <c r="Q55" s="8">
        <f t="shared" si="32"/>
        <v>1252.1718052866722</v>
      </c>
      <c r="R55" s="8">
        <f t="shared" si="29"/>
        <v>1643.1505928966596</v>
      </c>
      <c r="S55" s="8">
        <f t="shared" si="30"/>
        <v>2168.6047737882595</v>
      </c>
      <c r="T55" s="8">
        <f t="shared" si="31"/>
        <v>2347.4069074588829</v>
      </c>
      <c r="W55" s="60">
        <v>55</v>
      </c>
      <c r="X55" s="8"/>
      <c r="Y55" s="8"/>
      <c r="Z55" s="8"/>
      <c r="AA55" s="8"/>
      <c r="AC55" s="60">
        <v>55</v>
      </c>
      <c r="AD55" s="8"/>
      <c r="AE55" s="8"/>
      <c r="AF55" s="8"/>
      <c r="AG55" s="8"/>
      <c r="AI55" s="60">
        <v>55</v>
      </c>
      <c r="AJ55" s="8"/>
      <c r="AK55" s="8"/>
      <c r="AL55" s="8"/>
      <c r="AM55" s="8"/>
      <c r="AO55" s="60">
        <v>55</v>
      </c>
      <c r="AP55" s="8"/>
      <c r="AQ55" s="8"/>
      <c r="AR55" s="8"/>
      <c r="AS55" s="8"/>
    </row>
    <row r="56" spans="1:45" x14ac:dyDescent="0.2">
      <c r="B56" s="34">
        <v>56</v>
      </c>
      <c r="C56" s="10">
        <f>$X$98*Production!$T60+$Y$98*Production!$U60+$Z$98*Production!$V60+$AA$98*Production!$W60</f>
        <v>1278.9285052260093</v>
      </c>
      <c r="D56" s="10">
        <f>$AD$98*Production!$T60+$AE$98*Production!$U60+$AF$98*Production!$V60+$AG$98*Production!$W60</f>
        <v>1654.3715331793644</v>
      </c>
      <c r="E56" s="10">
        <f>$AJ$98*Production!$T60+$AK$98*Production!$U60+$AL$98*Production!$V60+$AM$98*Production!$W60</f>
        <v>2174.339825153103</v>
      </c>
      <c r="F56" s="10">
        <f>$AP$98*Production!$T60+$AQ$98*Production!$U60+$AR$98*Production!$V60+$AS$98*Production!$W60</f>
        <v>2374.9603441041245</v>
      </c>
      <c r="I56" s="60">
        <v>56</v>
      </c>
      <c r="J56" s="10">
        <f>($X$98*Orders!E67)+(Capacity!$Y$98*Orders!H67)+(Capacity!$Z$98*Orders!K67)+(Capacity!$AA$98*Orders!N67)</f>
        <v>1254.3540778411593</v>
      </c>
      <c r="K56" s="10">
        <f>($AD$98*Orders!E67)+($AE$98*Orders!H67)+($AF$98*Orders!K67)+($AG$98*Orders!N67)</f>
        <v>1629.5345274916704</v>
      </c>
      <c r="L56" s="10">
        <f>($AJ$98*Orders!E67)+($AK$98*Orders!H67)+($AL$98*Orders!K67)+($AM$98*Orders!N67)</f>
        <v>2122.7137891664993</v>
      </c>
      <c r="M56" s="10">
        <f>($AP$98*Orders!E67)+($AQ$98*Orders!H67)+($AR$98*Orders!K67)+($AS$98*Orders!N67)</f>
        <v>2334.1694723496066</v>
      </c>
      <c r="P56" s="60">
        <v>56</v>
      </c>
      <c r="Q56" s="8">
        <f t="shared" si="32"/>
        <v>1256.4224571071254</v>
      </c>
      <c r="R56" s="8">
        <f t="shared" si="29"/>
        <v>1645.3692528515207</v>
      </c>
      <c r="S56" s="8">
        <f t="shared" si="30"/>
        <v>2170.9520861253914</v>
      </c>
      <c r="T56" s="8">
        <f t="shared" si="31"/>
        <v>2352.2551473236326</v>
      </c>
      <c r="W56" s="60">
        <v>56</v>
      </c>
      <c r="X56" s="8"/>
      <c r="Y56" s="8"/>
      <c r="Z56" s="8"/>
      <c r="AA56" s="8"/>
      <c r="AC56" s="60">
        <v>56</v>
      </c>
      <c r="AD56" s="8"/>
      <c r="AE56" s="8"/>
      <c r="AF56" s="8"/>
      <c r="AG56" s="8"/>
      <c r="AI56" s="60">
        <v>56</v>
      </c>
      <c r="AJ56" s="8"/>
      <c r="AK56" s="8"/>
      <c r="AL56" s="8"/>
      <c r="AM56" s="8"/>
      <c r="AO56" s="60">
        <v>56</v>
      </c>
      <c r="AP56" s="8"/>
      <c r="AQ56" s="8"/>
      <c r="AR56" s="8"/>
      <c r="AS56" s="8"/>
    </row>
    <row r="57" spans="1:45" x14ac:dyDescent="0.2">
      <c r="B57" s="34">
        <v>57</v>
      </c>
      <c r="C57" s="10">
        <f>$X$98*Production!$T61+$Y$98*Production!$U61+$Z$98*Production!$V61+$AA$98*Production!$W61</f>
        <v>1292.7117031388859</v>
      </c>
      <c r="D57" s="10">
        <f>$AD$98*Production!$T61+$AE$98*Production!$U61+$AF$98*Production!$V61+$AG$98*Production!$W61</f>
        <v>1668.9410572018005</v>
      </c>
      <c r="E57" s="10">
        <f>$AJ$98*Production!$T61+$AK$98*Production!$U61+$AL$98*Production!$V61+$AM$98*Production!$W61</f>
        <v>2205.492005030384</v>
      </c>
      <c r="F57" s="10">
        <f>$AP$98*Production!$T61+$AQ$98*Production!$U61+$AR$98*Production!$V61+$AS$98*Production!$W61</f>
        <v>2398.5421093331151</v>
      </c>
      <c r="I57" s="60">
        <v>57</v>
      </c>
      <c r="J57" s="10">
        <f>($X$98*Orders!E68)+(Capacity!$Y$98*Orders!H68)+(Capacity!$Z$98*Orders!K68)+(Capacity!$AA$98*Orders!N68)</f>
        <v>1280.3994982189365</v>
      </c>
      <c r="K57" s="10">
        <f>($AD$98*Orders!E68)+($AE$98*Orders!H68)+($AF$98*Orders!K68)+($AG$98*Orders!N68)</f>
        <v>1659.9916267077601</v>
      </c>
      <c r="L57" s="10">
        <f>($AJ$98*Orders!E68)+($AK$98*Orders!H68)+($AL$98*Orders!K68)+($AM$98*Orders!N68)</f>
        <v>2190.9192064920667</v>
      </c>
      <c r="M57" s="10">
        <f>($AP$98*Orders!E68)+($AQ$98*Orders!H68)+($AR$98*Orders!K68)+($AS$98*Orders!N68)</f>
        <v>2381.8491704226631</v>
      </c>
      <c r="P57" s="60">
        <v>57</v>
      </c>
      <c r="Q57" s="8">
        <f>J53</f>
        <v>1253.6887381362544</v>
      </c>
      <c r="R57" s="8">
        <f t="shared" si="29"/>
        <v>1638.5385976071884</v>
      </c>
      <c r="S57" s="8">
        <f t="shared" si="30"/>
        <v>2152.194451940913</v>
      </c>
      <c r="T57" s="8">
        <f t="shared" si="31"/>
        <v>2343.3775802419545</v>
      </c>
      <c r="W57" s="60">
        <v>57</v>
      </c>
      <c r="X57" s="8"/>
      <c r="Y57" s="8"/>
      <c r="Z57" s="8"/>
      <c r="AA57" s="8"/>
      <c r="AC57" s="60">
        <v>57</v>
      </c>
      <c r="AD57" s="8"/>
      <c r="AE57" s="8"/>
      <c r="AF57" s="8"/>
      <c r="AG57" s="8"/>
      <c r="AI57" s="60">
        <v>57</v>
      </c>
      <c r="AJ57" s="8"/>
      <c r="AK57" s="8"/>
      <c r="AL57" s="8"/>
      <c r="AM57" s="8"/>
      <c r="AO57" s="60">
        <v>57</v>
      </c>
      <c r="AP57" s="8"/>
      <c r="AQ57" s="8"/>
      <c r="AR57" s="8"/>
      <c r="AS57" s="8"/>
    </row>
    <row r="58" spans="1:45" x14ac:dyDescent="0.2">
      <c r="B58" s="34">
        <v>58</v>
      </c>
      <c r="C58" s="10">
        <f>$X$98*Production!$T62+$Y$98*Production!$U62+$Z$98*Production!$V62+$AA$98*Production!$W62</f>
        <v>1487.342102046767</v>
      </c>
      <c r="D58" s="10">
        <f>$AD$98*Production!$T62+$AE$98*Production!$U62+$AF$98*Production!$V62+$AG$98*Production!$W62</f>
        <v>1901.5671683746027</v>
      </c>
      <c r="E58" s="10">
        <f>$AJ$98*Production!$T62+$AK$98*Production!$U62+$AL$98*Production!$V62+$AM$98*Production!$W62</f>
        <v>2542.5422667081302</v>
      </c>
      <c r="F58" s="10">
        <f>$AP$98*Production!$T62+$AQ$98*Production!$U62+$AR$98*Production!$V62+$AS$98*Production!$W62</f>
        <v>2748.8085407222225</v>
      </c>
      <c r="I58" s="60">
        <v>58</v>
      </c>
      <c r="J58" s="10">
        <f>($X$98*Orders!E69)+(Capacity!$Y$98*Orders!H69)+(Capacity!$Z$98*Orders!K69)+(Capacity!$AA$98*Orders!N69)</f>
        <v>1278.9539124918401</v>
      </c>
      <c r="K58" s="10">
        <f>($AD$98*Orders!E69)+($AE$98*Orders!H69)+($AF$98*Orders!K69)+($AG$98*Orders!N69)</f>
        <v>1654.829944101014</v>
      </c>
      <c r="L58" s="10">
        <f>($AJ$98*Orders!E69)+($AK$98*Orders!H69)+($AL$98*Orders!K69)+($AM$98*Orders!N69)</f>
        <v>2176.0539749355157</v>
      </c>
      <c r="M58" s="10">
        <f>($AP$98*Orders!E69)+($AQ$98*Orders!H69)+($AR$98*Orders!K69)+($AS$98*Orders!N69)</f>
        <v>2375.5030651939674</v>
      </c>
      <c r="P58" s="60">
        <v>58</v>
      </c>
      <c r="Q58" s="8">
        <f t="shared" si="32"/>
        <v>1250.2480135508599</v>
      </c>
      <c r="R58" s="8">
        <f t="shared" si="29"/>
        <v>1630.7919090014295</v>
      </c>
      <c r="S58" s="8">
        <f t="shared" si="30"/>
        <v>2131.3004312255921</v>
      </c>
      <c r="T58" s="8">
        <f t="shared" si="31"/>
        <v>2333.1105934308648</v>
      </c>
      <c r="W58" s="60">
        <v>58</v>
      </c>
      <c r="X58" s="8"/>
      <c r="Y58" s="8"/>
      <c r="Z58" s="8"/>
      <c r="AA58" s="8"/>
      <c r="AC58" s="60">
        <v>58</v>
      </c>
      <c r="AD58" s="8"/>
      <c r="AE58" s="8"/>
      <c r="AF58" s="8"/>
      <c r="AG58" s="8"/>
      <c r="AI58" s="60">
        <v>58</v>
      </c>
      <c r="AJ58" s="8"/>
      <c r="AK58" s="8"/>
      <c r="AL58" s="8"/>
      <c r="AM58" s="8"/>
      <c r="AO58" s="60">
        <v>58</v>
      </c>
      <c r="AP58" s="8"/>
      <c r="AQ58" s="8"/>
      <c r="AR58" s="8"/>
      <c r="AS58" s="8"/>
    </row>
    <row r="59" spans="1:45" x14ac:dyDescent="0.2">
      <c r="B59" s="34">
        <v>59</v>
      </c>
      <c r="C59" s="10">
        <f>$X$98*Production!$T63+$Y$98*Production!$U63+$Z$98*Production!$V63+$AA$98*Production!$W63</f>
        <v>0</v>
      </c>
      <c r="D59" s="10">
        <f>$AD$98*Production!$T63+$AE$98*Production!$U63+$AF$98*Production!$V63+$AG$98*Production!$W63</f>
        <v>0</v>
      </c>
      <c r="E59" s="10">
        <f>$AJ$98*Production!$T63+$AK$98*Production!$U63+$AL$98*Production!$V63+$AM$98*Production!$W63</f>
        <v>0</v>
      </c>
      <c r="F59" s="10">
        <f>$AP$98*Production!$T63+$AQ$98*Production!$U63+$AR$98*Production!$V63+$AS$98*Production!$W63</f>
        <v>0</v>
      </c>
      <c r="I59" s="60">
        <v>59</v>
      </c>
      <c r="J59" s="10">
        <f>($X$98*Orders!E70)+(Capacity!$Y$98*Orders!H70)+(Capacity!$Z$98*Orders!K70)+(Capacity!$AA$98*Orders!N70)</f>
        <v>1290.9851264461358</v>
      </c>
      <c r="K59" s="10">
        <f>($AD$98*Orders!E70)+($AE$98*Orders!H70)+($AF$98*Orders!K70)+($AG$98*Orders!N70)</f>
        <v>1667.1295062988538</v>
      </c>
      <c r="L59" s="10">
        <f>($AJ$98*Orders!E70)+($AK$98*Orders!H70)+($AL$98*Orders!K70)+($AM$98*Orders!N70)</f>
        <v>2201.9121163292589</v>
      </c>
      <c r="M59" s="10">
        <f>($AP$98*Orders!E70)+($AQ$98*Orders!H70)+($AR$98*Orders!K70)+($AS$98*Orders!N70)</f>
        <v>2395.6418010782691</v>
      </c>
      <c r="P59" s="60">
        <v>59</v>
      </c>
      <c r="Q59" s="8">
        <f>J55</f>
        <v>1250.4353866285544</v>
      </c>
      <c r="R59" s="8">
        <f>K55</f>
        <v>1627.7459730200212</v>
      </c>
      <c r="S59" s="8">
        <f>L55</f>
        <v>2121.3695751878663</v>
      </c>
      <c r="T59" s="8">
        <f>M55</f>
        <v>2329.9736072446285</v>
      </c>
      <c r="W59" s="60">
        <v>59</v>
      </c>
      <c r="X59" s="8"/>
      <c r="Y59" s="8"/>
      <c r="Z59" s="8"/>
      <c r="AA59" s="8"/>
      <c r="AC59" s="60">
        <v>59</v>
      </c>
      <c r="AD59" s="8"/>
      <c r="AE59" s="8"/>
      <c r="AF59" s="8"/>
      <c r="AG59" s="8"/>
      <c r="AI59" s="60">
        <v>59</v>
      </c>
      <c r="AJ59" s="8"/>
      <c r="AK59" s="8"/>
      <c r="AL59" s="8"/>
      <c r="AM59" s="8"/>
      <c r="AO59" s="60">
        <v>59</v>
      </c>
      <c r="AP59" s="8"/>
      <c r="AQ59" s="8"/>
      <c r="AR59" s="8"/>
      <c r="AS59" s="8"/>
    </row>
    <row r="60" spans="1:45" x14ac:dyDescent="0.2">
      <c r="I60" s="60">
        <v>60</v>
      </c>
      <c r="J60" s="10">
        <f>($X$98*Orders!E71)+(Capacity!$Y$98*Orders!H71)+(Capacity!$Z$98*Orders!K71)+(Capacity!$AA$98*Orders!N71)</f>
        <v>1306.6725280264491</v>
      </c>
      <c r="K60" s="10">
        <f>($AD$98*Orders!E71)+($AE$98*Orders!H71)+($AF$98*Orders!K71)+($AG$98*Orders!N71)</f>
        <v>1684.1662159425773</v>
      </c>
      <c r="L60" s="10">
        <f>($AJ$98*Orders!E71)+($AK$98*Orders!H71)+($AL$98*Orders!K71)+($AM$98*Orders!N71)</f>
        <v>2238.8183029407501</v>
      </c>
      <c r="M60" s="10">
        <f>($AP$98*Orders!E71)+($AQ$98*Orders!H71)+($AR$98*Orders!K71)+($AS$98*Orders!N71)</f>
        <v>2422.9657404710915</v>
      </c>
    </row>
    <row r="62" spans="1:45" ht="25" x14ac:dyDescent="0.25">
      <c r="A62" s="104"/>
      <c r="B62" s="104"/>
      <c r="C62" s="104"/>
      <c r="D62" s="104"/>
      <c r="E62" s="104"/>
      <c r="G62" s="18"/>
      <c r="H62" s="18"/>
      <c r="I62" s="18"/>
      <c r="J62" s="18"/>
      <c r="K62" s="18"/>
      <c r="L62" s="18"/>
      <c r="M62" s="18"/>
      <c r="N62" s="18"/>
      <c r="O62" s="18"/>
      <c r="P62" s="18"/>
    </row>
    <row r="63" spans="1:45" ht="25" x14ac:dyDescent="0.25">
      <c r="A63" s="115"/>
      <c r="B63" s="117"/>
      <c r="C63" s="117"/>
      <c r="D63" s="117"/>
      <c r="E63" s="117"/>
      <c r="G63" s="108"/>
      <c r="H63" s="108"/>
      <c r="I63" s="108"/>
      <c r="J63" s="108"/>
      <c r="K63" s="108"/>
      <c r="L63" s="115"/>
      <c r="M63" s="115"/>
      <c r="N63" s="115"/>
      <c r="O63" s="115"/>
      <c r="P63" s="115"/>
    </row>
    <row r="64" spans="1:45" x14ac:dyDescent="0.2">
      <c r="A64" s="105"/>
      <c r="B64" s="105"/>
      <c r="C64" s="105"/>
      <c r="D64" s="105"/>
      <c r="E64" s="105"/>
      <c r="G64" s="108"/>
      <c r="H64" s="108"/>
      <c r="I64" s="108"/>
      <c r="J64" s="108"/>
      <c r="K64" s="108"/>
      <c r="L64" s="105"/>
      <c r="M64" s="105"/>
      <c r="N64" s="105"/>
      <c r="O64" s="105"/>
      <c r="P64" s="105"/>
      <c r="W64" s="91" t="s">
        <v>60</v>
      </c>
      <c r="X64" s="91"/>
      <c r="Y64" s="91"/>
      <c r="Z64" s="91"/>
      <c r="AA64" s="91"/>
      <c r="AC64" s="91" t="s">
        <v>64</v>
      </c>
      <c r="AD64" s="91"/>
      <c r="AE64" s="91"/>
      <c r="AF64" s="91"/>
      <c r="AG64" s="91"/>
      <c r="AI64" s="91" t="s">
        <v>65</v>
      </c>
      <c r="AJ64" s="91"/>
      <c r="AK64" s="91"/>
      <c r="AL64" s="91"/>
      <c r="AM64" s="91"/>
      <c r="AO64" s="91" t="s">
        <v>66</v>
      </c>
      <c r="AP64" s="91"/>
      <c r="AQ64" s="91"/>
      <c r="AR64" s="91"/>
      <c r="AS64" s="91"/>
    </row>
    <row r="65" spans="1:45" x14ac:dyDescent="0.2">
      <c r="A65" s="105"/>
      <c r="B65" s="106"/>
      <c r="C65" s="106"/>
      <c r="D65" s="106"/>
      <c r="E65" s="106"/>
      <c r="G65" s="108"/>
      <c r="H65" s="108"/>
      <c r="I65" s="108"/>
      <c r="J65" s="108"/>
      <c r="K65" s="108"/>
      <c r="L65" s="106"/>
      <c r="M65" s="107"/>
      <c r="N65" s="107"/>
      <c r="O65" s="107"/>
      <c r="P65" s="107"/>
      <c r="W65" s="91"/>
      <c r="X65" s="91"/>
      <c r="Y65" s="91"/>
      <c r="Z65" s="91"/>
      <c r="AA65" s="91"/>
      <c r="AC65" s="91"/>
      <c r="AD65" s="91"/>
      <c r="AE65" s="91"/>
      <c r="AF65" s="91"/>
      <c r="AG65" s="91"/>
      <c r="AI65" s="91"/>
      <c r="AJ65" s="91"/>
      <c r="AK65" s="91"/>
      <c r="AL65" s="91"/>
      <c r="AM65" s="91"/>
      <c r="AO65" s="91"/>
      <c r="AP65" s="91"/>
      <c r="AQ65" s="91"/>
      <c r="AR65" s="91"/>
      <c r="AS65" s="91"/>
    </row>
    <row r="66" spans="1:45" x14ac:dyDescent="0.2">
      <c r="A66" s="105"/>
      <c r="B66" s="106"/>
      <c r="C66" s="106"/>
      <c r="D66" s="106"/>
      <c r="E66" s="106"/>
      <c r="G66" s="109"/>
      <c r="H66" s="110"/>
      <c r="I66" s="110"/>
      <c r="J66" s="110"/>
      <c r="K66" s="110"/>
      <c r="L66" s="106"/>
      <c r="M66" s="107"/>
      <c r="N66" s="107"/>
      <c r="O66" s="107"/>
      <c r="P66" s="107"/>
      <c r="W66" s="91"/>
      <c r="X66" s="91"/>
      <c r="Y66" s="91"/>
      <c r="Z66" s="91"/>
      <c r="AA66" s="91"/>
      <c r="AC66" s="91"/>
      <c r="AD66" s="91"/>
      <c r="AE66" s="91"/>
      <c r="AF66" s="91"/>
      <c r="AG66" s="91"/>
      <c r="AI66" s="91"/>
      <c r="AJ66" s="91"/>
      <c r="AK66" s="91"/>
      <c r="AL66" s="91"/>
      <c r="AM66" s="91"/>
      <c r="AO66" s="91"/>
      <c r="AP66" s="91"/>
      <c r="AQ66" s="91"/>
      <c r="AR66" s="91"/>
      <c r="AS66" s="91"/>
    </row>
    <row r="67" spans="1:45" x14ac:dyDescent="0.2">
      <c r="A67" s="105"/>
      <c r="B67" s="106"/>
      <c r="C67" s="106"/>
      <c r="D67" s="106"/>
      <c r="E67" s="106"/>
      <c r="G67" s="111"/>
      <c r="H67" s="112"/>
      <c r="I67" s="112"/>
      <c r="J67" s="112"/>
      <c r="K67" s="112"/>
      <c r="L67" s="106"/>
      <c r="M67" s="107"/>
      <c r="N67" s="107"/>
      <c r="O67" s="107"/>
      <c r="P67" s="107"/>
      <c r="W67" s="32"/>
      <c r="X67" s="23" t="s">
        <v>33</v>
      </c>
      <c r="Y67" s="23" t="s">
        <v>34</v>
      </c>
      <c r="Z67" s="23" t="s">
        <v>35</v>
      </c>
      <c r="AA67" s="23" t="s">
        <v>36</v>
      </c>
      <c r="AC67" s="32"/>
      <c r="AD67" s="23" t="s">
        <v>33</v>
      </c>
      <c r="AE67" s="23" t="s">
        <v>34</v>
      </c>
      <c r="AF67" s="23" t="s">
        <v>35</v>
      </c>
      <c r="AG67" s="23" t="s">
        <v>36</v>
      </c>
      <c r="AI67" s="32"/>
      <c r="AJ67" s="23" t="s">
        <v>33</v>
      </c>
      <c r="AK67" s="23" t="s">
        <v>34</v>
      </c>
      <c r="AL67" s="23" t="s">
        <v>35</v>
      </c>
      <c r="AM67" s="23" t="s">
        <v>36</v>
      </c>
      <c r="AO67" s="32"/>
      <c r="AP67" s="23" t="s">
        <v>33</v>
      </c>
      <c r="AQ67" s="23" t="s">
        <v>34</v>
      </c>
      <c r="AR67" s="23" t="s">
        <v>35</v>
      </c>
      <c r="AS67" s="23" t="s">
        <v>36</v>
      </c>
    </row>
    <row r="68" spans="1:45" x14ac:dyDescent="0.2">
      <c r="A68" s="105"/>
      <c r="B68" s="106"/>
      <c r="C68" s="106"/>
      <c r="D68" s="106"/>
      <c r="E68" s="106"/>
      <c r="G68" s="113"/>
      <c r="H68" s="116"/>
      <c r="I68" s="116"/>
      <c r="J68" s="116"/>
      <c r="K68" s="116"/>
      <c r="L68" s="106"/>
      <c r="M68" s="107"/>
      <c r="N68" s="107"/>
      <c r="O68" s="107"/>
      <c r="P68" s="107"/>
      <c r="W68" s="24" t="s">
        <v>26</v>
      </c>
      <c r="X68" s="25" t="s">
        <v>31</v>
      </c>
      <c r="Y68" s="25" t="s">
        <v>31</v>
      </c>
      <c r="Z68" s="25" t="s">
        <v>31</v>
      </c>
      <c r="AA68" s="25" t="s">
        <v>31</v>
      </c>
      <c r="AB68" s="58"/>
      <c r="AC68" s="24" t="s">
        <v>26</v>
      </c>
      <c r="AD68" s="25" t="s">
        <v>31</v>
      </c>
      <c r="AE68" s="25" t="s">
        <v>31</v>
      </c>
      <c r="AF68" s="25" t="s">
        <v>31</v>
      </c>
      <c r="AG68" s="25" t="s">
        <v>31</v>
      </c>
      <c r="AI68" s="24" t="s">
        <v>26</v>
      </c>
      <c r="AJ68" s="25" t="s">
        <v>31</v>
      </c>
      <c r="AK68" s="25" t="s">
        <v>31</v>
      </c>
      <c r="AL68" s="25" t="s">
        <v>31</v>
      </c>
      <c r="AM68" s="25" t="s">
        <v>31</v>
      </c>
      <c r="AO68" s="24" t="s">
        <v>26</v>
      </c>
      <c r="AP68" s="25" t="s">
        <v>31</v>
      </c>
      <c r="AQ68" s="25" t="s">
        <v>31</v>
      </c>
      <c r="AR68" s="25" t="s">
        <v>31</v>
      </c>
      <c r="AS68" s="25" t="s">
        <v>31</v>
      </c>
    </row>
    <row r="69" spans="1:45" x14ac:dyDescent="0.2">
      <c r="A69" s="105"/>
      <c r="B69" s="106"/>
      <c r="C69" s="106"/>
      <c r="D69" s="106"/>
      <c r="E69" s="106"/>
      <c r="G69" s="113"/>
      <c r="H69" s="116"/>
      <c r="I69" s="116"/>
      <c r="J69" s="116"/>
      <c r="K69" s="116"/>
      <c r="L69" s="106"/>
      <c r="M69" s="107"/>
      <c r="N69" s="107"/>
      <c r="O69" s="107"/>
      <c r="P69" s="107"/>
      <c r="W69" s="34">
        <v>7</v>
      </c>
      <c r="X69" s="50" t="s">
        <v>29</v>
      </c>
      <c r="Y69" s="50" t="s">
        <v>29</v>
      </c>
      <c r="Z69" s="50" t="s">
        <v>29</v>
      </c>
      <c r="AA69" s="50" t="s">
        <v>29</v>
      </c>
      <c r="AC69" s="34">
        <v>7</v>
      </c>
      <c r="AD69" s="50" t="s">
        <v>29</v>
      </c>
      <c r="AE69" s="50" t="s">
        <v>29</v>
      </c>
      <c r="AF69" s="50" t="s">
        <v>29</v>
      </c>
      <c r="AG69" s="50" t="s">
        <v>29</v>
      </c>
      <c r="AI69" s="34">
        <v>7</v>
      </c>
      <c r="AJ69" s="50" t="s">
        <v>29</v>
      </c>
      <c r="AK69" s="50" t="s">
        <v>29</v>
      </c>
      <c r="AL69" s="50" t="s">
        <v>29</v>
      </c>
      <c r="AM69" s="50" t="s">
        <v>29</v>
      </c>
      <c r="AO69" s="34">
        <v>7</v>
      </c>
      <c r="AP69" s="50" t="s">
        <v>29</v>
      </c>
      <c r="AQ69" s="50" t="s">
        <v>29</v>
      </c>
      <c r="AR69" s="50" t="s">
        <v>29</v>
      </c>
      <c r="AS69" s="50" t="s">
        <v>29</v>
      </c>
    </row>
    <row r="70" spans="1:45" x14ac:dyDescent="0.2">
      <c r="A70" s="105"/>
      <c r="B70" s="106"/>
      <c r="C70" s="106"/>
      <c r="D70" s="106"/>
      <c r="E70" s="106"/>
      <c r="G70" s="113"/>
      <c r="H70" s="116"/>
      <c r="I70" s="116"/>
      <c r="J70" s="116"/>
      <c r="K70" s="116"/>
      <c r="L70" s="105"/>
      <c r="M70" s="107"/>
      <c r="N70" s="107"/>
      <c r="O70" s="107"/>
      <c r="P70" s="107"/>
      <c r="W70" s="34">
        <v>8</v>
      </c>
      <c r="X70" s="59">
        <f>X8/Production!T12</f>
        <v>1.5233339565987308E-3</v>
      </c>
      <c r="Y70" s="13">
        <f>Y8/Production!U12</f>
        <v>1.760761248267336E-3</v>
      </c>
      <c r="Z70" s="13">
        <f>Z8/Production!V12</f>
        <v>3.2071330277837801E-3</v>
      </c>
      <c r="AA70" s="13">
        <f>AA8/Production!W12</f>
        <v>5.2135596178177219E-3</v>
      </c>
      <c r="AC70" s="34">
        <v>8</v>
      </c>
      <c r="AD70" s="13">
        <f>AD8/Production!T12</f>
        <v>1.9687854023911393E-3</v>
      </c>
      <c r="AE70" s="13">
        <f>AE8/Production!U12</f>
        <v>4.8764345209106009E-3</v>
      </c>
      <c r="AF70" s="13">
        <f>AF8/Production!V12</f>
        <v>2.1494614973444483E-3</v>
      </c>
      <c r="AG70" s="13">
        <f>AG8/Production!W12</f>
        <v>5.6716548143623752E-3</v>
      </c>
      <c r="AI70" s="34">
        <v>8</v>
      </c>
      <c r="AJ70" s="13">
        <f>AJ8/Production!T12</f>
        <v>4.5865000714922074E-3</v>
      </c>
      <c r="AK70" s="13">
        <f>AK8/Production!U12</f>
        <v>2.909626743590704E-3</v>
      </c>
      <c r="AL70" s="13">
        <f>AL8/Production!V12</f>
        <v>4.9926645361598561E-3</v>
      </c>
      <c r="AM70" s="13">
        <f>AM8/Production!W12</f>
        <v>6.3260765237118802E-3</v>
      </c>
      <c r="AO70" s="34">
        <v>8</v>
      </c>
      <c r="AP70" s="13">
        <f>AP8/Production!T12</f>
        <v>2.9861745069787392E-3</v>
      </c>
      <c r="AQ70" s="13">
        <f>AQ8/Production!U12</f>
        <v>4.714094831354038E-3</v>
      </c>
      <c r="AR70" s="13">
        <f>AR8/Production!V12</f>
        <v>5.92523513289131E-3</v>
      </c>
      <c r="AS70" s="13">
        <f>AS8/Production!W12</f>
        <v>7.6785480563675229E-3</v>
      </c>
    </row>
    <row r="71" spans="1:45" x14ac:dyDescent="0.2">
      <c r="A71" s="105"/>
      <c r="B71" s="106"/>
      <c r="C71" s="106"/>
      <c r="D71" s="106"/>
      <c r="E71" s="106"/>
      <c r="G71" s="113"/>
      <c r="H71" s="116"/>
      <c r="I71" s="116"/>
      <c r="J71" s="116"/>
      <c r="K71" s="116"/>
      <c r="L71" s="18"/>
      <c r="M71" s="18"/>
      <c r="N71" s="18"/>
      <c r="O71" s="18"/>
      <c r="P71" s="18"/>
      <c r="W71" s="34">
        <v>9</v>
      </c>
      <c r="X71" s="59">
        <f>X9/Production!T13</f>
        <v>1.5098897780462027E-3</v>
      </c>
      <c r="Y71" s="13">
        <f>Y9/Production!U13</f>
        <v>1.7530411179250025E-3</v>
      </c>
      <c r="Z71" s="13">
        <f>Z9/Production!V13</f>
        <v>3.1775306365060497E-3</v>
      </c>
      <c r="AA71" s="13">
        <f>AA9/Production!W13</f>
        <v>5.1860299972025566E-3</v>
      </c>
      <c r="AB71" s="58"/>
      <c r="AC71" s="34">
        <v>9</v>
      </c>
      <c r="AD71" s="13">
        <f>AD9/Production!T13</f>
        <v>1.9516723427337953E-3</v>
      </c>
      <c r="AE71" s="13">
        <f>AE9/Production!U13</f>
        <v>4.8632753594048455E-3</v>
      </c>
      <c r="AF71" s="13">
        <f>AF9/Production!V13</f>
        <v>2.1331674203117533E-3</v>
      </c>
      <c r="AG71" s="13">
        <f>AG9/Production!W13</f>
        <v>5.6594435239181425E-3</v>
      </c>
      <c r="AI71" s="34">
        <v>9</v>
      </c>
      <c r="AJ71" s="13">
        <f>AJ9/Production!T13</f>
        <v>4.5464458872280103E-3</v>
      </c>
      <c r="AK71" s="13">
        <f>AK9/Production!U13</f>
        <v>2.8966019905499146E-3</v>
      </c>
      <c r="AL71" s="13">
        <f>AL9/Production!V13</f>
        <v>4.9551701534325107E-3</v>
      </c>
      <c r="AM71" s="13">
        <f>AM9/Production!W13</f>
        <v>6.3050074239848512E-3</v>
      </c>
      <c r="AO71" s="34">
        <v>9</v>
      </c>
      <c r="AP71" s="13">
        <f>AP9/Production!T13</f>
        <v>2.9582655280979303E-3</v>
      </c>
      <c r="AQ71" s="13">
        <f>AQ9/Production!U13</f>
        <v>4.6999095204584293E-3</v>
      </c>
      <c r="AR71" s="13">
        <f>AR9/Production!V13</f>
        <v>5.8773206528381127E-3</v>
      </c>
      <c r="AS71" s="13">
        <f>AS9/Production!W13</f>
        <v>7.6391728174560478E-3</v>
      </c>
    </row>
    <row r="72" spans="1:45" x14ac:dyDescent="0.2">
      <c r="A72" s="105"/>
      <c r="B72" s="106"/>
      <c r="C72" s="106"/>
      <c r="D72" s="106"/>
      <c r="E72" s="106"/>
      <c r="G72" s="113"/>
      <c r="H72" s="116"/>
      <c r="I72" s="116"/>
      <c r="J72" s="116"/>
      <c r="K72" s="116"/>
      <c r="L72" s="18"/>
      <c r="M72" s="18"/>
      <c r="N72" s="18"/>
      <c r="O72" s="18"/>
      <c r="P72" s="18"/>
      <c r="W72" s="34">
        <v>10</v>
      </c>
      <c r="X72" s="59">
        <f>X10/Production!T14</f>
        <v>1.4936812249304906E-3</v>
      </c>
      <c r="Y72" s="13">
        <f>Y10/Production!U14</f>
        <v>1.7462386273045922E-3</v>
      </c>
      <c r="Z72" s="13">
        <f>Z10/Production!V14</f>
        <v>3.1528414021905109E-3</v>
      </c>
      <c r="AA72" s="13">
        <f>AA10/Production!W14</f>
        <v>5.1674641148325359E-3</v>
      </c>
      <c r="AB72" s="58"/>
      <c r="AC72" s="34">
        <v>10</v>
      </c>
      <c r="AD72" s="13">
        <f>AD10/Production!T14</f>
        <v>1.9356318495353925E-3</v>
      </c>
      <c r="AE72" s="13">
        <f>AE10/Production!U14</f>
        <v>4.8464448859250634E-3</v>
      </c>
      <c r="AF72" s="13">
        <f>AF10/Production!V14</f>
        <v>2.1202034516472771E-3</v>
      </c>
      <c r="AG72" s="13">
        <f>AG10/Production!W14</f>
        <v>5.6353003721424776E-3</v>
      </c>
      <c r="AI72" s="34">
        <v>10</v>
      </c>
      <c r="AJ72" s="13">
        <f>AJ10/Production!T14</f>
        <v>4.5090152333107699E-3</v>
      </c>
      <c r="AK72" s="13">
        <f>AK10/Production!U14</f>
        <v>2.8914168575297052E-3</v>
      </c>
      <c r="AL72" s="13">
        <f>AL10/Production!V14</f>
        <v>4.9215085302486018E-3</v>
      </c>
      <c r="AM72" s="13">
        <f>AM10/Production!W14</f>
        <v>6.2732589048378525E-3</v>
      </c>
      <c r="AO72" s="34">
        <v>10</v>
      </c>
      <c r="AP72" s="13">
        <f>AP10/Production!T14</f>
        <v>2.9370136445262458E-3</v>
      </c>
      <c r="AQ72" s="13">
        <f>AQ10/Production!U14</f>
        <v>4.6882710972199378E-3</v>
      </c>
      <c r="AR72" s="13">
        <f>AR10/Production!V14</f>
        <v>5.8333058695580527E-3</v>
      </c>
      <c r="AS72" s="13">
        <f>AS10/Production!W14</f>
        <v>7.6129718234981391E-3</v>
      </c>
    </row>
    <row r="73" spans="1:45" x14ac:dyDescent="0.2">
      <c r="A73" s="105"/>
      <c r="B73" s="106"/>
      <c r="C73" s="106"/>
      <c r="D73" s="106"/>
      <c r="E73" s="106"/>
      <c r="G73" s="113"/>
      <c r="H73" s="116"/>
      <c r="I73" s="116"/>
      <c r="J73" s="116"/>
      <c r="K73" s="116"/>
      <c r="L73" s="18"/>
      <c r="M73" s="18"/>
      <c r="N73" s="18"/>
      <c r="O73" s="18"/>
      <c r="P73" s="18"/>
      <c r="W73" s="34">
        <v>11</v>
      </c>
      <c r="X73" s="59">
        <f>X11/Production!T15</f>
        <v>1.4828597203428056E-3</v>
      </c>
      <c r="Y73" s="13">
        <f>Y11/Production!U15</f>
        <v>1.7470565894417015E-3</v>
      </c>
      <c r="Z73" s="13">
        <f>Z11/Production!V15</f>
        <v>3.1329825557277909E-3</v>
      </c>
      <c r="AA73" s="13">
        <f>AA11/Production!W15</f>
        <v>5.1518662583795415E-3</v>
      </c>
      <c r="AB73" s="58"/>
      <c r="AC73" s="34">
        <v>11</v>
      </c>
      <c r="AD73" s="13">
        <f>AD11/Production!T15</f>
        <v>1.9170049616599007E-3</v>
      </c>
      <c r="AE73" s="13">
        <f>AE11/Production!U15</f>
        <v>4.8360551968603619E-3</v>
      </c>
      <c r="AF73" s="13">
        <f>AF11/Production!V15</f>
        <v>2.1068488963605003E-3</v>
      </c>
      <c r="AG73" s="13">
        <f>AG11/Production!W15</f>
        <v>5.6277414549366876E-3</v>
      </c>
      <c r="AI73" s="34">
        <v>11</v>
      </c>
      <c r="AJ73" s="13">
        <f>AJ11/Production!T15</f>
        <v>4.471132160577357E-3</v>
      </c>
      <c r="AK73" s="13">
        <f>AK11/Production!U15</f>
        <v>2.8864413216862896E-3</v>
      </c>
      <c r="AL73" s="13">
        <f>AL11/Production!V15</f>
        <v>4.8795930397572207E-3</v>
      </c>
      <c r="AM73" s="13">
        <f>AM11/Production!W15</f>
        <v>6.2691384589919725E-3</v>
      </c>
      <c r="AO73" s="34">
        <v>11</v>
      </c>
      <c r="AP73" s="13">
        <f>AP11/Production!T15</f>
        <v>2.9093369418132613E-3</v>
      </c>
      <c r="AQ73" s="13">
        <f>AQ11/Production!U15</f>
        <v>4.6778073173819471E-3</v>
      </c>
      <c r="AR73" s="13">
        <f>AR11/Production!V15</f>
        <v>5.7856472283474882E-3</v>
      </c>
      <c r="AS73" s="13">
        <f>AS11/Production!W15</f>
        <v>7.5933129189770755E-3</v>
      </c>
    </row>
    <row r="74" spans="1:45" x14ac:dyDescent="0.2">
      <c r="A74" s="105"/>
      <c r="B74" s="106"/>
      <c r="C74" s="106"/>
      <c r="D74" s="106"/>
      <c r="E74" s="106"/>
      <c r="G74" s="113"/>
      <c r="H74" s="116"/>
      <c r="I74" s="116"/>
      <c r="J74" s="116"/>
      <c r="K74" s="116"/>
      <c r="L74" s="18"/>
      <c r="M74" s="18"/>
      <c r="N74" s="18"/>
      <c r="O74" s="18"/>
      <c r="P74" s="18"/>
      <c r="W74" s="34">
        <v>12</v>
      </c>
      <c r="X74" s="59">
        <f>X12/Production!T16</f>
        <v>1.4731281113481661E-3</v>
      </c>
      <c r="Y74" s="13">
        <f>Y12/Production!U16</f>
        <v>1.7402431222008957E-3</v>
      </c>
      <c r="Z74" s="13">
        <f>Z12/Production!V16</f>
        <v>3.1105524426358736E-3</v>
      </c>
      <c r="AA74" s="13">
        <f>AA12/Production!W16</f>
        <v>5.1304063445343799E-3</v>
      </c>
      <c r="AB74" s="58"/>
      <c r="AC74" s="34">
        <v>12</v>
      </c>
      <c r="AD74" s="13">
        <f>AD12/Production!T16</f>
        <v>1.9020849560319234E-3</v>
      </c>
      <c r="AE74" s="13">
        <f>AE12/Production!U16</f>
        <v>4.8240563019833656E-3</v>
      </c>
      <c r="AF74" s="13">
        <f>AF12/Production!V16</f>
        <v>2.0879050642350384E-3</v>
      </c>
      <c r="AG74" s="13">
        <f>AG12/Production!W16</f>
        <v>5.600523260567411E-3</v>
      </c>
      <c r="AI74" s="34">
        <v>12</v>
      </c>
      <c r="AJ74" s="13">
        <f>AJ12/Production!T16</f>
        <v>4.4363168410714894E-3</v>
      </c>
      <c r="AK74" s="13">
        <f>AK12/Production!U16</f>
        <v>2.8790786948176585E-3</v>
      </c>
      <c r="AL74" s="13">
        <f>AL12/Production!V16</f>
        <v>4.8469224705456251E-3</v>
      </c>
      <c r="AM74" s="13">
        <f>AM12/Production!W16</f>
        <v>6.2341591039162779E-3</v>
      </c>
      <c r="AO74" s="34">
        <v>12</v>
      </c>
      <c r="AP74" s="13">
        <f>AP12/Production!T16</f>
        <v>2.8898145326063645E-3</v>
      </c>
      <c r="AQ74" s="13">
        <f>AQ12/Production!U16</f>
        <v>4.6641074856046067E-3</v>
      </c>
      <c r="AR74" s="13">
        <f>AR12/Production!V16</f>
        <v>5.7523915035046979E-3</v>
      </c>
      <c r="AS74" s="13">
        <f>AS12/Production!W16</f>
        <v>7.5627503883574521E-3</v>
      </c>
    </row>
    <row r="75" spans="1:45" x14ac:dyDescent="0.2">
      <c r="A75" s="105"/>
      <c r="B75" s="106"/>
      <c r="C75" s="106"/>
      <c r="D75" s="106"/>
      <c r="E75" s="106"/>
      <c r="G75" s="113"/>
      <c r="H75" s="116"/>
      <c r="I75" s="116"/>
      <c r="J75" s="116"/>
      <c r="K75" s="116"/>
      <c r="L75" s="18"/>
      <c r="M75" s="18"/>
      <c r="N75" s="18"/>
      <c r="O75" s="18"/>
      <c r="P75" s="18"/>
      <c r="W75" s="34">
        <v>13</v>
      </c>
      <c r="X75" s="59">
        <f>X13/Production!T17</f>
        <v>1.4631656553053933E-3</v>
      </c>
      <c r="Y75" s="13">
        <f>Y13/Production!U17</f>
        <v>1.734067059124648E-3</v>
      </c>
      <c r="Z75" s="13">
        <f>Z13/Production!V17</f>
        <v>3.0859354568753597E-3</v>
      </c>
      <c r="AA75" s="13">
        <f>AA13/Production!W17</f>
        <v>5.117091084221299E-3</v>
      </c>
      <c r="AB75" s="58"/>
      <c r="AC75" s="34">
        <v>13</v>
      </c>
      <c r="AD75" s="13">
        <f>AD13/Production!T17</f>
        <v>1.8885045085918449E-3</v>
      </c>
      <c r="AE75" s="13">
        <f>AE13/Production!U17</f>
        <v>4.811876119785001E-3</v>
      </c>
      <c r="AF75" s="13">
        <f>AF13/Production!V17</f>
        <v>2.0712380354621059E-3</v>
      </c>
      <c r="AG75" s="13">
        <f>AG13/Production!W17</f>
        <v>5.5786326329942005E-3</v>
      </c>
      <c r="AI75" s="34">
        <v>13</v>
      </c>
      <c r="AJ75" s="13">
        <f>AJ13/Production!T17</f>
        <v>4.4065105200476375E-3</v>
      </c>
      <c r="AK75" s="13">
        <f>AK13/Production!U17</f>
        <v>2.866649603276171E-3</v>
      </c>
      <c r="AL75" s="13">
        <f>AL13/Production!V17</f>
        <v>4.811967153093781E-3</v>
      </c>
      <c r="AM75" s="13">
        <f>AM13/Production!W17</f>
        <v>6.2207773965043244E-3</v>
      </c>
      <c r="AO75" s="34">
        <v>13</v>
      </c>
      <c r="AP75" s="13">
        <f>AP13/Production!T17</f>
        <v>2.8696194635059263E-3</v>
      </c>
      <c r="AQ75" s="13">
        <f>AQ13/Production!U17</f>
        <v>4.6519068338878936E-3</v>
      </c>
      <c r="AR75" s="13">
        <f>AR13/Production!V17</f>
        <v>5.7115957947591403E-3</v>
      </c>
      <c r="AS75" s="13">
        <f>AS13/Production!W17</f>
        <v>7.5452009712439552E-3</v>
      </c>
    </row>
    <row r="76" spans="1:45" x14ac:dyDescent="0.2">
      <c r="A76" s="105"/>
      <c r="B76" s="106"/>
      <c r="C76" s="106"/>
      <c r="D76" s="106"/>
      <c r="E76" s="106"/>
      <c r="G76" s="113"/>
      <c r="H76" s="116"/>
      <c r="I76" s="116"/>
      <c r="J76" s="116"/>
      <c r="K76" s="116"/>
      <c r="L76" s="18"/>
      <c r="M76" s="18"/>
      <c r="N76" s="18"/>
      <c r="O76" s="18"/>
      <c r="P76" s="18"/>
      <c r="W76" s="34">
        <v>14</v>
      </c>
      <c r="X76" s="59">
        <f>X14/Production!T18</f>
        <v>1.44925901698509E-3</v>
      </c>
      <c r="Y76" s="13">
        <f>Y14/Production!U18</f>
        <v>1.7298701632765927E-3</v>
      </c>
      <c r="Z76" s="13">
        <f>Z14/Production!V18</f>
        <v>3.06204507495309E-3</v>
      </c>
      <c r="AA76" s="13">
        <f>AA14/Production!W18</f>
        <v>5.0989681615610074E-3</v>
      </c>
      <c r="AB76" s="58"/>
      <c r="AC76" s="34">
        <v>14</v>
      </c>
      <c r="AD76" s="13">
        <f>AD14/Production!T18</f>
        <v>1.8778336679223153E-3</v>
      </c>
      <c r="AE76" s="13">
        <f>AE14/Production!U18</f>
        <v>4.7973350996443802E-3</v>
      </c>
      <c r="AF76" s="13">
        <f>AF14/Production!V18</f>
        <v>2.0619832154566264E-3</v>
      </c>
      <c r="AG76" s="13">
        <f>AG14/Production!W18</f>
        <v>5.5606857509936962E-3</v>
      </c>
      <c r="AI76" s="34">
        <v>14</v>
      </c>
      <c r="AJ76" s="13">
        <f>AJ14/Production!T18</f>
        <v>4.3759727516748245E-3</v>
      </c>
      <c r="AK76" s="13">
        <f>AK14/Production!U18</f>
        <v>2.861681125122988E-3</v>
      </c>
      <c r="AL76" s="13">
        <f>AL14/Production!V18</f>
        <v>4.7838010598593725E-3</v>
      </c>
      <c r="AM76" s="13">
        <f>AM14/Production!W18</f>
        <v>6.2030754406391777E-3</v>
      </c>
      <c r="AO76" s="34">
        <v>14</v>
      </c>
      <c r="AP76" s="13">
        <f>AP14/Production!T18</f>
        <v>2.8477657726749825E-3</v>
      </c>
      <c r="AQ76" s="13">
        <f>AQ14/Production!U18</f>
        <v>4.6429972412107808E-3</v>
      </c>
      <c r="AR76" s="13">
        <f>AR14/Production!V18</f>
        <v>5.6704538425057221E-3</v>
      </c>
      <c r="AS76" s="13">
        <f>AS14/Production!W18</f>
        <v>7.5280041755329827E-3</v>
      </c>
    </row>
    <row r="77" spans="1:45" x14ac:dyDescent="0.2">
      <c r="A77" s="105"/>
      <c r="B77" s="106"/>
      <c r="C77" s="106"/>
      <c r="D77" s="106"/>
      <c r="E77" s="106"/>
      <c r="G77" s="113"/>
      <c r="H77" s="116"/>
      <c r="I77" s="116"/>
      <c r="J77" s="116"/>
      <c r="K77" s="116"/>
      <c r="L77" s="18"/>
      <c r="M77" s="18"/>
      <c r="N77" s="18"/>
      <c r="O77" s="18"/>
      <c r="P77" s="18"/>
      <c r="W77" s="34">
        <v>15</v>
      </c>
      <c r="X77" s="59">
        <f>X15/Production!T19</f>
        <v>1.4409860778575863E-3</v>
      </c>
      <c r="Y77" s="13">
        <f>Y15/Production!U19</f>
        <v>1.7245800743685088E-3</v>
      </c>
      <c r="Z77" s="13">
        <f>Z15/Production!V19</f>
        <v>3.0474621641099556E-3</v>
      </c>
      <c r="AA77" s="13">
        <f>AA15/Production!W19</f>
        <v>5.0824912148345214E-3</v>
      </c>
      <c r="AB77" s="58"/>
      <c r="AC77" s="34">
        <v>15</v>
      </c>
      <c r="AD77" s="13">
        <f>AD15/Production!T19</f>
        <v>1.8621973929236499E-3</v>
      </c>
      <c r="AE77" s="13">
        <f>AE15/Production!U19</f>
        <v>4.789075522502885E-3</v>
      </c>
      <c r="AF77" s="13">
        <f>AF15/Production!V19</f>
        <v>2.0488005765468961E-3</v>
      </c>
      <c r="AG77" s="13">
        <f>AG15/Production!W19</f>
        <v>5.5589747662252572E-3</v>
      </c>
      <c r="AI77" s="34">
        <v>15</v>
      </c>
      <c r="AJ77" s="13">
        <f>AJ15/Production!T19</f>
        <v>4.3451272501551829E-3</v>
      </c>
      <c r="AK77" s="13">
        <f>AK15/Production!U19</f>
        <v>2.8529298628029234E-3</v>
      </c>
      <c r="AL77" s="13">
        <f>AL15/Production!V19</f>
        <v>4.7462164109955728E-3</v>
      </c>
      <c r="AM77" s="13">
        <f>AM15/Production!W19</f>
        <v>6.1942861680795731E-3</v>
      </c>
      <c r="AO77" s="34">
        <v>15</v>
      </c>
      <c r="AP77" s="13">
        <f>AP15/Production!T19</f>
        <v>2.8320918684047176E-3</v>
      </c>
      <c r="AQ77" s="13">
        <f>AQ15/Production!U19</f>
        <v>4.6287985639184509E-3</v>
      </c>
      <c r="AR77" s="13">
        <f>AR15/Production!V19</f>
        <v>5.6316277154329249E-3</v>
      </c>
      <c r="AS77" s="13">
        <f>AS15/Production!W19</f>
        <v>7.5046159344040976E-3</v>
      </c>
    </row>
    <row r="78" spans="1:45" x14ac:dyDescent="0.2">
      <c r="A78" s="105"/>
      <c r="B78" s="106"/>
      <c r="C78" s="106"/>
      <c r="D78" s="106"/>
      <c r="E78" s="106"/>
      <c r="G78" s="113"/>
      <c r="H78" s="116"/>
      <c r="I78" s="116"/>
      <c r="J78" s="116"/>
      <c r="K78" s="116"/>
      <c r="L78" s="18"/>
      <c r="M78" s="18"/>
      <c r="N78" s="18"/>
      <c r="O78" s="18"/>
      <c r="P78" s="18"/>
      <c r="W78" s="34">
        <v>16</v>
      </c>
      <c r="X78" s="59">
        <f>X16/Production!T20</f>
        <v>1.4325711110869022E-3</v>
      </c>
      <c r="Y78" s="13">
        <f>Y16/Production!U20</f>
        <v>1.7202278174367962E-3</v>
      </c>
      <c r="Z78" s="13">
        <f>Z16/Production!V20</f>
        <v>3.0218796723313749E-3</v>
      </c>
      <c r="AA78" s="13">
        <f>AA16/Production!W20</f>
        <v>5.0797836244837816E-3</v>
      </c>
      <c r="AB78" s="58"/>
      <c r="AC78" s="34">
        <v>16</v>
      </c>
      <c r="AD78" s="13">
        <f>AD16/Production!T20</f>
        <v>1.8519930713670977E-3</v>
      </c>
      <c r="AE78" s="13">
        <f>AE16/Production!U20</f>
        <v>4.774115403448187E-3</v>
      </c>
      <c r="AF78" s="13">
        <f>AF16/Production!V20</f>
        <v>2.0321351106618655E-3</v>
      </c>
      <c r="AG78" s="13">
        <f>AG16/Production!W20</f>
        <v>5.5257188281598391E-3</v>
      </c>
      <c r="AI78" s="34">
        <v>16</v>
      </c>
      <c r="AJ78" s="13">
        <f>AJ16/Production!T20</f>
        <v>4.3195014870414956E-3</v>
      </c>
      <c r="AK78" s="13">
        <f>AK16/Production!U20</f>
        <v>2.8477179599515502E-3</v>
      </c>
      <c r="AL78" s="13">
        <f>AL16/Production!V20</f>
        <v>4.7170804641270244E-3</v>
      </c>
      <c r="AM78" s="13">
        <f>AM16/Production!W20</f>
        <v>6.1655389029993991E-3</v>
      </c>
      <c r="AO78" s="34">
        <v>16</v>
      </c>
      <c r="AP78" s="13">
        <f>AP16/Production!T20</f>
        <v>2.8106718377218305E-3</v>
      </c>
      <c r="AQ78" s="13">
        <f>AQ16/Production!U20</f>
        <v>4.6194881839033064E-3</v>
      </c>
      <c r="AR78" s="13">
        <f>AR16/Production!V20</f>
        <v>5.5910038536862716E-3</v>
      </c>
      <c r="AS78" s="13">
        <f>AS16/Production!W20</f>
        <v>7.4839560269112197E-3</v>
      </c>
    </row>
    <row r="79" spans="1:45" x14ac:dyDescent="0.2">
      <c r="A79" s="105"/>
      <c r="B79" s="106"/>
      <c r="C79" s="106"/>
      <c r="D79" s="106"/>
      <c r="E79" s="106"/>
      <c r="G79" s="113"/>
      <c r="H79" s="116"/>
      <c r="I79" s="116"/>
      <c r="J79" s="116"/>
      <c r="K79" s="116"/>
      <c r="L79" s="18"/>
      <c r="M79" s="18"/>
      <c r="N79" s="18"/>
      <c r="O79" s="18"/>
      <c r="P79" s="18"/>
      <c r="W79" s="34">
        <v>17</v>
      </c>
      <c r="X79" s="59">
        <f>X17/Production!T21</f>
        <v>1.4233439311559625E-3</v>
      </c>
      <c r="Y79" s="13">
        <f>Y17/Production!U21</f>
        <v>1.720094830696284E-3</v>
      </c>
      <c r="Z79" s="13">
        <f>Z17/Production!V21</f>
        <v>3.0000107143239797E-3</v>
      </c>
      <c r="AA79" s="13">
        <f>AA17/Production!W21</f>
        <v>5.0523697557373548E-3</v>
      </c>
      <c r="AB79" s="58"/>
      <c r="AC79" s="34">
        <v>17</v>
      </c>
      <c r="AD79" s="13">
        <f>AD17/Production!T21</f>
        <v>1.8432576579720894E-3</v>
      </c>
      <c r="AE79" s="13">
        <f>AE17/Production!U21</f>
        <v>4.7608617224140599E-3</v>
      </c>
      <c r="AF79" s="13">
        <f>AF17/Production!V21</f>
        <v>2.0142929081889576E-3</v>
      </c>
      <c r="AG79" s="13">
        <f>AG17/Production!W21</f>
        <v>5.5187423485746484E-3</v>
      </c>
      <c r="AI79" s="34">
        <v>17</v>
      </c>
      <c r="AJ79" s="13">
        <f>AJ17/Production!T21</f>
        <v>4.2918454935622317E-3</v>
      </c>
      <c r="AK79" s="13">
        <f>AK17/Production!U21</f>
        <v>2.8410555068803791E-3</v>
      </c>
      <c r="AL79" s="13">
        <f>AL17/Production!V21</f>
        <v>4.6821595791413538E-3</v>
      </c>
      <c r="AM79" s="13">
        <f>AM17/Production!W21</f>
        <v>6.140572472357708E-3</v>
      </c>
      <c r="AO79" s="34">
        <v>17</v>
      </c>
      <c r="AP79" s="13">
        <f>AP17/Production!T21</f>
        <v>2.7921536120760642E-3</v>
      </c>
      <c r="AQ79" s="13">
        <f>AQ17/Production!U21</f>
        <v>4.6062464567334952E-3</v>
      </c>
      <c r="AR79" s="13">
        <f>AR17/Production!V21</f>
        <v>5.5500198214993622E-3</v>
      </c>
      <c r="AS79" s="13">
        <f>AS17/Production!W21</f>
        <v>7.4619614853967085E-3</v>
      </c>
    </row>
    <row r="80" spans="1:45" x14ac:dyDescent="0.2">
      <c r="A80" s="105"/>
      <c r="B80" s="106"/>
      <c r="C80" s="106"/>
      <c r="D80" s="106"/>
      <c r="E80" s="106"/>
      <c r="G80" s="113"/>
      <c r="H80" s="116"/>
      <c r="I80" s="116"/>
      <c r="J80" s="116"/>
      <c r="K80" s="116"/>
      <c r="L80" s="18"/>
      <c r="M80" s="18"/>
      <c r="N80" s="18"/>
      <c r="O80" s="18"/>
      <c r="P80" s="18"/>
      <c r="W80" s="34">
        <v>18</v>
      </c>
      <c r="X80" s="59">
        <f>X18/Production!T22</f>
        <v>1.4143811675960398E-3</v>
      </c>
      <c r="Y80" s="13">
        <f>Y18/Production!U22</f>
        <v>1.716815758561489E-3</v>
      </c>
      <c r="Z80" s="13">
        <f>Z18/Production!V22</f>
        <v>2.9859888216828725E-3</v>
      </c>
      <c r="AA80" s="13">
        <f>AA18/Production!W22</f>
        <v>5.0522317188983852E-3</v>
      </c>
      <c r="AB80" s="58"/>
      <c r="AC80" s="34">
        <v>18</v>
      </c>
      <c r="AD80" s="13">
        <f>AD18/Production!T22</f>
        <v>1.8316507074615381E-3</v>
      </c>
      <c r="AE80" s="13">
        <f>AE18/Production!U22</f>
        <v>4.7502872116588568E-3</v>
      </c>
      <c r="AF80" s="13">
        <f>AF18/Production!V22</f>
        <v>2.001596902446761E-3</v>
      </c>
      <c r="AG80" s="13">
        <f>AG18/Production!W22</f>
        <v>5.5080721747388416E-3</v>
      </c>
      <c r="AI80" s="34">
        <v>18</v>
      </c>
      <c r="AJ80" s="13">
        <f>AJ18/Production!T22</f>
        <v>4.2648198425213916E-3</v>
      </c>
      <c r="AK80" s="13">
        <f>AK18/Production!U22</f>
        <v>2.8333914210845628E-3</v>
      </c>
      <c r="AL80" s="13">
        <f>AL18/Production!V22</f>
        <v>4.6485173963927507E-3</v>
      </c>
      <c r="AM80" s="13">
        <f>AM18/Production!W22</f>
        <v>6.1348528015194685E-3</v>
      </c>
      <c r="AO80" s="34">
        <v>18</v>
      </c>
      <c r="AP80" s="13">
        <f>AP18/Production!T22</f>
        <v>2.7745714858588978E-3</v>
      </c>
      <c r="AQ80" s="13">
        <f>AQ18/Production!U22</f>
        <v>4.5953865417134596E-3</v>
      </c>
      <c r="AR80" s="13">
        <f>AR18/Production!V22</f>
        <v>5.5125947477222262E-3</v>
      </c>
      <c r="AS80" s="13">
        <f>AS18/Production!W22</f>
        <v>7.426400759734093E-3</v>
      </c>
    </row>
    <row r="81" spans="1:45" x14ac:dyDescent="0.2">
      <c r="A81" s="105"/>
      <c r="B81" s="106"/>
      <c r="C81" s="106"/>
      <c r="D81" s="106"/>
      <c r="E81" s="106"/>
      <c r="G81" s="113"/>
      <c r="H81" s="116"/>
      <c r="I81" s="116"/>
      <c r="J81" s="116"/>
      <c r="K81" s="116"/>
      <c r="L81" s="18"/>
      <c r="M81" s="18"/>
      <c r="N81" s="18"/>
      <c r="O81" s="18"/>
      <c r="P81" s="18"/>
      <c r="W81" s="34">
        <v>19</v>
      </c>
      <c r="X81" s="59">
        <f>X19/Production!T23</f>
        <v>1.4058696425152484E-3</v>
      </c>
      <c r="Y81" s="13">
        <f>Y19/Production!U23</f>
        <v>1.7109757132874896E-3</v>
      </c>
      <c r="Z81" s="13">
        <f>Z19/Production!V23</f>
        <v>2.962720017492074E-3</v>
      </c>
      <c r="AA81" s="13">
        <f>AA19/Production!W23</f>
        <v>5.0367066257782731E-3</v>
      </c>
      <c r="AB81" s="58"/>
      <c r="AC81" s="34">
        <v>19</v>
      </c>
      <c r="AD81" s="13">
        <f>AD19/Production!T23</f>
        <v>1.8161428844944065E-3</v>
      </c>
      <c r="AE81" s="13">
        <f>AE19/Production!U23</f>
        <v>4.7411006406363259E-3</v>
      </c>
      <c r="AF81" s="13">
        <f>AF19/Production!V23</f>
        <v>1.9897234065813928E-3</v>
      </c>
      <c r="AG81" s="13">
        <f>AG19/Production!W23</f>
        <v>5.4827618251091902E-3</v>
      </c>
      <c r="AI81" s="34">
        <v>19</v>
      </c>
      <c r="AJ81" s="13">
        <f>AJ19/Production!T23</f>
        <v>4.2394901671179673E-3</v>
      </c>
      <c r="AK81" s="13">
        <f>AK19/Production!U23</f>
        <v>2.8276812360819963E-3</v>
      </c>
      <c r="AL81" s="13">
        <f>AL19/Production!V23</f>
        <v>4.624467038373237E-3</v>
      </c>
      <c r="AM81" s="13">
        <f>AM19/Production!W23</f>
        <v>6.1146733574946564E-3</v>
      </c>
      <c r="AO81" s="34">
        <v>19</v>
      </c>
      <c r="AP81" s="13">
        <f>AP19/Production!T23</f>
        <v>2.7570361860999423E-3</v>
      </c>
      <c r="AQ81" s="13">
        <f>AQ19/Production!U23</f>
        <v>4.584370040945869E-3</v>
      </c>
      <c r="AR81" s="13">
        <f>AR19/Production!V23</f>
        <v>5.4772056411938339E-3</v>
      </c>
      <c r="AS81" s="13">
        <f>AS19/Production!W23</f>
        <v>7.4156676888764983E-3</v>
      </c>
    </row>
    <row r="82" spans="1:45" x14ac:dyDescent="0.2">
      <c r="A82" s="105"/>
      <c r="B82" s="106"/>
      <c r="C82" s="106"/>
      <c r="D82" s="106"/>
      <c r="E82" s="106"/>
      <c r="G82" s="113"/>
      <c r="H82" s="116"/>
      <c r="I82" s="116"/>
      <c r="J82" s="116"/>
      <c r="K82" s="116"/>
      <c r="L82" s="18"/>
      <c r="M82" s="18"/>
      <c r="N82" s="18"/>
      <c r="O82" s="18"/>
      <c r="P82" s="18"/>
      <c r="W82" s="34">
        <v>20</v>
      </c>
      <c r="X82" s="59">
        <f>X20/Production!T24</f>
        <v>1.3994833527859675E-3</v>
      </c>
      <c r="Y82" s="13">
        <f>Y20/Production!U24</f>
        <v>1.7067759003242873E-3</v>
      </c>
      <c r="Z82" s="13">
        <f>Z20/Production!V24</f>
        <v>2.9478531237560382E-3</v>
      </c>
      <c r="AA82" s="13">
        <f>AA20/Production!W24</f>
        <v>5.0090162292125828E-3</v>
      </c>
      <c r="AB82" s="58"/>
      <c r="AC82" s="34">
        <v>20</v>
      </c>
      <c r="AD82" s="13">
        <f>AD20/Production!T24</f>
        <v>1.8088184045889778E-3</v>
      </c>
      <c r="AE82" s="13">
        <f>AE20/Production!U24</f>
        <v>4.73302086205312E-3</v>
      </c>
      <c r="AF82" s="13">
        <f>AF20/Production!V24</f>
        <v>1.9795801998945656E-3</v>
      </c>
      <c r="AG82" s="13">
        <f>AG20/Production!W24</f>
        <v>5.464381340959181E-3</v>
      </c>
      <c r="AI82" s="34">
        <v>20</v>
      </c>
      <c r="AJ82" s="13">
        <f>AJ20/Production!T24</f>
        <v>4.2095131678660924E-3</v>
      </c>
      <c r="AK82" s="13">
        <f>AK20/Production!U24</f>
        <v>2.822744758228629E-3</v>
      </c>
      <c r="AL82" s="13">
        <f>AL20/Production!V24</f>
        <v>4.5939170943205413E-3</v>
      </c>
      <c r="AM82" s="13">
        <f>AM20/Production!W24</f>
        <v>6.0836778929345553E-3</v>
      </c>
      <c r="AO82" s="34">
        <v>20</v>
      </c>
      <c r="AP82" s="13">
        <f>AP20/Production!T24</f>
        <v>2.7436511580309878E-3</v>
      </c>
      <c r="AQ82" s="13">
        <f>AQ20/Production!U24</f>
        <v>4.5754723174078011E-3</v>
      </c>
      <c r="AR82" s="13">
        <f>AR20/Production!V24</f>
        <v>5.4438455497100562E-3</v>
      </c>
      <c r="AS82" s="13">
        <f>AS20/Production!W24</f>
        <v>7.3951294147647584E-3</v>
      </c>
    </row>
    <row r="83" spans="1:45" x14ac:dyDescent="0.2">
      <c r="A83" s="105"/>
      <c r="B83" s="106"/>
      <c r="C83" s="106"/>
      <c r="D83" s="106"/>
      <c r="E83" s="106"/>
      <c r="G83" s="113"/>
      <c r="H83" s="116"/>
      <c r="I83" s="116"/>
      <c r="J83" s="116"/>
      <c r="K83" s="116"/>
      <c r="L83" s="18"/>
      <c r="M83" s="18"/>
      <c r="N83" s="18"/>
      <c r="O83" s="18"/>
      <c r="P83" s="18"/>
      <c r="W83" s="34">
        <v>21</v>
      </c>
      <c r="X83" s="59">
        <f>X21/Production!T25</f>
        <v>1.3907892588275702E-3</v>
      </c>
      <c r="Y83" s="13">
        <f>Y21/Production!U25</f>
        <v>1.7017865473444903E-3</v>
      </c>
      <c r="Z83" s="13">
        <f>Z21/Production!V25</f>
        <v>2.9288210960631941E-3</v>
      </c>
      <c r="AA83" s="13">
        <f>AA21/Production!W25</f>
        <v>4.9994624233953341E-3</v>
      </c>
      <c r="AB83" s="58"/>
      <c r="AC83" s="34">
        <v>21</v>
      </c>
      <c r="AD83" s="13">
        <f>AD21/Production!T25</f>
        <v>1.7962015124129349E-3</v>
      </c>
      <c r="AE83" s="13">
        <f>AE21/Production!U25</f>
        <v>4.7176939806692821E-3</v>
      </c>
      <c r="AF83" s="13">
        <f>AF21/Production!V25</f>
        <v>1.9667995681592254E-3</v>
      </c>
      <c r="AG83" s="13">
        <f>AG21/Production!W25</f>
        <v>5.4474429272838047E-3</v>
      </c>
      <c r="AI83" s="34">
        <v>21</v>
      </c>
      <c r="AJ83" s="13">
        <f>AJ21/Production!T25</f>
        <v>4.1892599537154346E-3</v>
      </c>
      <c r="AK83" s="13">
        <f>AK21/Production!U25</f>
        <v>2.8122186959978449E-3</v>
      </c>
      <c r="AL83" s="13">
        <f>AL21/Production!V25</f>
        <v>4.564257693499941E-3</v>
      </c>
      <c r="AM83" s="13">
        <f>AM21/Production!W25</f>
        <v>6.0746156327276639E-3</v>
      </c>
      <c r="AO83" s="34">
        <v>21</v>
      </c>
      <c r="AP83" s="13">
        <f>AP21/Production!T25</f>
        <v>2.725271260212729E-3</v>
      </c>
      <c r="AQ83" s="13">
        <f>AQ21/Production!U25</f>
        <v>4.5665700787815471E-3</v>
      </c>
      <c r="AR83" s="13">
        <f>AR21/Production!V25</f>
        <v>5.4086988124378696E-3</v>
      </c>
      <c r="AS83" s="13">
        <f>AS21/Production!W25</f>
        <v>7.3647994839264597E-3</v>
      </c>
    </row>
    <row r="84" spans="1:45" x14ac:dyDescent="0.2">
      <c r="A84" s="105"/>
      <c r="B84" s="106"/>
      <c r="C84" s="106"/>
      <c r="D84" s="106"/>
      <c r="E84" s="106"/>
      <c r="G84" s="113"/>
      <c r="H84" s="116"/>
      <c r="I84" s="116"/>
      <c r="J84" s="116"/>
      <c r="K84" s="116"/>
      <c r="L84" s="18"/>
      <c r="M84" s="18"/>
      <c r="N84" s="18"/>
      <c r="O84" s="18"/>
      <c r="P84" s="18"/>
      <c r="W84" s="34">
        <v>22</v>
      </c>
      <c r="X84" s="59">
        <f>X22/Production!T26</f>
        <v>1.3836557098668375E-3</v>
      </c>
      <c r="Y84" s="13">
        <f>Y22/Production!U26</f>
        <v>1.6985588789511399E-3</v>
      </c>
      <c r="Z84" s="13">
        <f>Z22/Production!V26</f>
        <v>2.9124459231071758E-3</v>
      </c>
      <c r="AA84" s="13">
        <f>AA22/Production!W26</f>
        <v>4.9869137723703759E-3</v>
      </c>
      <c r="AB84" s="58"/>
      <c r="AC84" s="34">
        <v>22</v>
      </c>
      <c r="AD84" s="13">
        <f>AD22/Production!T26</f>
        <v>1.783886700324187E-3</v>
      </c>
      <c r="AE84" s="13">
        <f>AE22/Production!U26</f>
        <v>4.7108468908410523E-3</v>
      </c>
      <c r="AF84" s="13">
        <f>AF22/Production!V26</f>
        <v>1.9558031016486143E-3</v>
      </c>
      <c r="AG84" s="13">
        <f>AG22/Production!W26</f>
        <v>5.4290160571549831E-3</v>
      </c>
      <c r="AI84" s="34">
        <v>22</v>
      </c>
      <c r="AJ84" s="13">
        <f>AJ22/Production!T26</f>
        <v>4.1624023007564362E-3</v>
      </c>
      <c r="AK84" s="13">
        <f>AK22/Production!U26</f>
        <v>2.8066031476419225E-3</v>
      </c>
      <c r="AL84" s="13">
        <f>AL22/Production!V26</f>
        <v>4.5387387195867301E-3</v>
      </c>
      <c r="AM84" s="13">
        <f>AM22/Production!W26</f>
        <v>6.0656433472448187E-3</v>
      </c>
      <c r="AO84" s="34">
        <v>22</v>
      </c>
      <c r="AP84" s="13">
        <f>AP22/Production!T26</f>
        <v>2.7101355639540534E-3</v>
      </c>
      <c r="AQ84" s="13">
        <f>AQ22/Production!U26</f>
        <v>4.5582419915602855E-3</v>
      </c>
      <c r="AR84" s="13">
        <f>AR22/Production!V26</f>
        <v>5.3784585295336895E-3</v>
      </c>
      <c r="AS84" s="13">
        <f>AS22/Production!W26</f>
        <v>7.3388979274244892E-3</v>
      </c>
    </row>
    <row r="85" spans="1:45" x14ac:dyDescent="0.2">
      <c r="A85" s="105"/>
      <c r="B85" s="106"/>
      <c r="C85" s="106"/>
      <c r="D85" s="106"/>
      <c r="E85" s="106"/>
      <c r="G85" s="113"/>
      <c r="H85" s="116"/>
      <c r="I85" s="116"/>
      <c r="J85" s="116"/>
      <c r="K85" s="116"/>
      <c r="L85" s="18"/>
      <c r="M85" s="18"/>
      <c r="N85" s="18"/>
      <c r="O85" s="18"/>
      <c r="P85" s="18"/>
      <c r="W85" s="34">
        <v>23</v>
      </c>
      <c r="X85" s="59">
        <f>X23/Production!T27</f>
        <v>1.3754767277294971E-3</v>
      </c>
      <c r="Y85" s="13">
        <f>Y23/Production!U27</f>
        <v>1.6937351881853603E-3</v>
      </c>
      <c r="Z85" s="13">
        <f>Z23/Production!V27</f>
        <v>2.8963398921860667E-3</v>
      </c>
      <c r="AA85" s="13">
        <f>AA23/Production!W27</f>
        <v>4.9788099093822143E-3</v>
      </c>
      <c r="AB85" s="58"/>
      <c r="AC85" s="34">
        <v>23</v>
      </c>
      <c r="AD85" s="13">
        <f>AD23/Production!T27</f>
        <v>1.7790256850385646E-3</v>
      </c>
      <c r="AE85" s="13">
        <f>AE23/Production!U27</f>
        <v>4.6996130518028572E-3</v>
      </c>
      <c r="AF85" s="13">
        <f>AF23/Production!V27</f>
        <v>1.9480720271287067E-3</v>
      </c>
      <c r="AG85" s="13">
        <f>AG23/Production!W27</f>
        <v>5.426730524067119E-3</v>
      </c>
      <c r="AI85" s="34">
        <v>23</v>
      </c>
      <c r="AJ85" s="13">
        <f>AJ23/Production!T27</f>
        <v>4.1377977594507188E-3</v>
      </c>
      <c r="AK85" s="13">
        <f>AK23/Production!U27</f>
        <v>2.8050396990105374E-3</v>
      </c>
      <c r="AL85" s="13">
        <f>AL23/Production!V27</f>
        <v>4.5145796184252567E-3</v>
      </c>
      <c r="AM85" s="13">
        <f>AM23/Production!W27</f>
        <v>6.0469282982462185E-3</v>
      </c>
      <c r="AO85" s="34">
        <v>23</v>
      </c>
      <c r="AP85" s="13">
        <f>AP23/Production!T27</f>
        <v>2.6941155741478581E-3</v>
      </c>
      <c r="AQ85" s="13">
        <f>AQ23/Production!U27</f>
        <v>4.5456371256041884E-3</v>
      </c>
      <c r="AR85" s="13">
        <f>AR23/Production!V27</f>
        <v>5.3494676300518459E-3</v>
      </c>
      <c r="AS85" s="13">
        <f>AS23/Production!W27</f>
        <v>7.3217792785032557E-3</v>
      </c>
    </row>
    <row r="86" spans="1:45" x14ac:dyDescent="0.2">
      <c r="A86" s="105"/>
      <c r="B86" s="106"/>
      <c r="C86" s="106"/>
      <c r="D86" s="106"/>
      <c r="E86" s="106"/>
      <c r="G86" s="113"/>
      <c r="H86" s="116"/>
      <c r="I86" s="116"/>
      <c r="J86" s="116"/>
      <c r="K86" s="116"/>
      <c r="L86" s="18"/>
      <c r="M86" s="18"/>
      <c r="N86" s="18"/>
      <c r="O86" s="18"/>
      <c r="P86" s="18"/>
      <c r="W86" s="34">
        <v>24</v>
      </c>
      <c r="X86" s="59">
        <f>X24/Production!T28</f>
        <v>1.3657099141472814E-3</v>
      </c>
      <c r="Y86" s="13">
        <f>Y24/Production!U28</f>
        <v>1.6926293074381281E-3</v>
      </c>
      <c r="Z86" s="13">
        <f>Z24/Production!V28</f>
        <v>2.8789213777841525E-3</v>
      </c>
      <c r="AA86" s="13">
        <f>AA24/Production!W28</f>
        <v>4.9651238703913685E-3</v>
      </c>
      <c r="AB86" s="58"/>
      <c r="AC86" s="34">
        <v>24</v>
      </c>
      <c r="AD86" s="13">
        <f>AD24/Production!T28</f>
        <v>1.7680559884396339E-3</v>
      </c>
      <c r="AE86" s="13">
        <f>AE24/Production!U28</f>
        <v>4.6867624249780837E-3</v>
      </c>
      <c r="AF86" s="13">
        <f>AF24/Production!V28</f>
        <v>1.9363563715345368E-3</v>
      </c>
      <c r="AG86" s="13">
        <f>AG24/Production!W28</f>
        <v>5.4118132151324602E-3</v>
      </c>
      <c r="AI86" s="34">
        <v>24</v>
      </c>
      <c r="AJ86" s="13">
        <f>AJ24/Production!T28</f>
        <v>4.1197971269090186E-3</v>
      </c>
      <c r="AK86" s="13">
        <f>AK24/Production!U28</f>
        <v>2.7985703688718053E-3</v>
      </c>
      <c r="AL86" s="13">
        <f>AL24/Production!V28</f>
        <v>4.4874290514927365E-3</v>
      </c>
      <c r="AM86" s="13">
        <f>AM24/Production!W28</f>
        <v>6.0131257945916228E-3</v>
      </c>
      <c r="AO86" s="34">
        <v>24</v>
      </c>
      <c r="AP86" s="13">
        <f>AP24/Production!T28</f>
        <v>2.6804182132434194E-3</v>
      </c>
      <c r="AQ86" s="13">
        <f>AQ24/Production!U28</f>
        <v>4.5384044777125902E-3</v>
      </c>
      <c r="AR86" s="13">
        <f>AR24/Production!V28</f>
        <v>5.3275413396717411E-3</v>
      </c>
      <c r="AS86" s="13">
        <f>AS24/Production!W28</f>
        <v>7.3016527505755423E-3</v>
      </c>
    </row>
    <row r="87" spans="1:45" x14ac:dyDescent="0.2">
      <c r="A87" s="105"/>
      <c r="B87" s="106"/>
      <c r="C87" s="106"/>
      <c r="D87" s="106"/>
      <c r="E87" s="106"/>
      <c r="G87" s="113"/>
      <c r="H87" s="116"/>
      <c r="I87" s="116"/>
      <c r="J87" s="116"/>
      <c r="K87" s="116"/>
      <c r="L87" s="18"/>
      <c r="M87" s="18"/>
      <c r="N87" s="18"/>
      <c r="O87" s="18"/>
      <c r="P87" s="18"/>
      <c r="W87" s="34">
        <v>25</v>
      </c>
      <c r="X87" s="59">
        <f>X25/Production!T29</f>
        <v>1.3577694270889085E-3</v>
      </c>
      <c r="Y87" s="13">
        <f>Y25/Production!U29</f>
        <v>1.686626205700661E-3</v>
      </c>
      <c r="Z87" s="13">
        <f>Z25/Production!V29</f>
        <v>2.8646552694310589E-3</v>
      </c>
      <c r="AA87" s="13">
        <f>AA25/Production!W29</f>
        <v>4.9480040254948005E-3</v>
      </c>
      <c r="AB87" s="58"/>
      <c r="AC87" s="34">
        <v>25</v>
      </c>
      <c r="AD87" s="13">
        <f>AD25/Production!T29</f>
        <v>1.7577761877665538E-3</v>
      </c>
      <c r="AE87" s="13">
        <f>AE25/Production!U29</f>
        <v>4.6805570607998262E-3</v>
      </c>
      <c r="AF87" s="13">
        <f>AF25/Production!V29</f>
        <v>1.9234113951894253E-3</v>
      </c>
      <c r="AG87" s="13">
        <f>AG25/Production!W29</f>
        <v>5.3840992955384095E-3</v>
      </c>
      <c r="AI87" s="34">
        <v>25</v>
      </c>
      <c r="AJ87" s="13">
        <f>AJ25/Production!T29</f>
        <v>4.0958438734175788E-3</v>
      </c>
      <c r="AK87" s="13">
        <f>AK25/Production!U29</f>
        <v>2.7907228785087244E-3</v>
      </c>
      <c r="AL87" s="13">
        <f>AL25/Production!V29</f>
        <v>4.4606774909712208E-3</v>
      </c>
      <c r="AM87" s="13">
        <f>AM25/Production!W29</f>
        <v>6.0046964106004698E-3</v>
      </c>
      <c r="AO87" s="34">
        <v>25</v>
      </c>
      <c r="AP87" s="13">
        <f>AP25/Production!T29</f>
        <v>2.6704676698761105E-3</v>
      </c>
      <c r="AQ87" s="13">
        <f>AQ25/Production!U29</f>
        <v>4.5247642787471553E-3</v>
      </c>
      <c r="AR87" s="13">
        <f>AR25/Production!V29</f>
        <v>5.2893813367709194E-3</v>
      </c>
      <c r="AS87" s="13">
        <f>AS25/Production!W29</f>
        <v>7.279436430727944E-3</v>
      </c>
    </row>
    <row r="88" spans="1:45" x14ac:dyDescent="0.2">
      <c r="A88" s="105"/>
      <c r="B88" s="106"/>
      <c r="C88" s="106"/>
      <c r="D88" s="106"/>
      <c r="E88" s="106"/>
      <c r="G88" s="113"/>
      <c r="H88" s="116"/>
      <c r="I88" s="116"/>
      <c r="J88" s="116"/>
      <c r="K88" s="116"/>
      <c r="L88" s="105"/>
      <c r="M88" s="105"/>
      <c r="N88" s="105"/>
      <c r="O88" s="105"/>
      <c r="P88" s="105"/>
      <c r="W88" s="34">
        <v>26</v>
      </c>
      <c r="X88" s="59">
        <f>X26/Production!T30</f>
        <v>1.3507403955101836E-3</v>
      </c>
      <c r="Y88" s="13">
        <f>Y26/Production!U30</f>
        <v>1.6857560411922645E-3</v>
      </c>
      <c r="Z88" s="13">
        <f>Z26/Production!V30</f>
        <v>2.8463578861456845E-3</v>
      </c>
      <c r="AA88" s="13">
        <f>AA26/Production!W30</f>
        <v>4.9304512505714097E-3</v>
      </c>
      <c r="AB88" s="58"/>
      <c r="AC88" s="34">
        <v>26</v>
      </c>
      <c r="AD88" s="13">
        <f>AD26/Production!T30</f>
        <v>1.7470319991516011E-3</v>
      </c>
      <c r="AE88" s="13">
        <f>AE26/Production!U30</f>
        <v>4.6698161302382492E-3</v>
      </c>
      <c r="AF88" s="13">
        <f>AF26/Production!V30</f>
        <v>1.907773923689043E-3</v>
      </c>
      <c r="AG88" s="13">
        <f>AG26/Production!W30</f>
        <v>5.3712531835695158E-3</v>
      </c>
      <c r="AI88" s="34">
        <v>26</v>
      </c>
      <c r="AJ88" s="13">
        <f>AJ26/Production!T30</f>
        <v>4.0745474740596444E-3</v>
      </c>
      <c r="AK88" s="13">
        <f>AK26/Production!U30</f>
        <v>2.7869353906807598E-3</v>
      </c>
      <c r="AL88" s="13">
        <f>AL26/Production!V30</f>
        <v>4.4378698224852072E-3</v>
      </c>
      <c r="AM88" s="13">
        <f>AM26/Production!W30</f>
        <v>5.9916410892705543E-3</v>
      </c>
      <c r="AO88" s="34">
        <v>26</v>
      </c>
      <c r="AP88" s="13">
        <f>AP26/Production!T30</f>
        <v>2.6568282159621791E-3</v>
      </c>
      <c r="AQ88" s="13">
        <f>AQ26/Production!U30</f>
        <v>4.5202732556163545E-3</v>
      </c>
      <c r="AR88" s="13">
        <f>AR26/Production!V30</f>
        <v>5.2642317894307285E-3</v>
      </c>
      <c r="AS88" s="13">
        <f>AS26/Production!W30</f>
        <v>7.2650688957095278E-3</v>
      </c>
    </row>
    <row r="89" spans="1:45" x14ac:dyDescent="0.2">
      <c r="A89" s="105"/>
      <c r="B89" s="106"/>
      <c r="C89" s="106"/>
      <c r="D89" s="106"/>
      <c r="E89" s="106"/>
      <c r="G89" s="113"/>
      <c r="H89" s="116"/>
      <c r="I89" s="116"/>
      <c r="J89" s="116"/>
      <c r="K89" s="116"/>
      <c r="L89" s="106"/>
      <c r="M89" s="107"/>
      <c r="N89" s="107"/>
      <c r="O89" s="107"/>
      <c r="P89" s="107"/>
      <c r="W89" s="34">
        <v>27</v>
      </c>
      <c r="X89" s="59">
        <f>X27/Production!T31</f>
        <v>1.3455373012840745E-3</v>
      </c>
      <c r="Y89" s="13">
        <f>Y27/Production!U31</f>
        <v>1.6805474940269698E-3</v>
      </c>
      <c r="Z89" s="13">
        <f>Z27/Production!V31</f>
        <v>2.8266970350185059E-3</v>
      </c>
      <c r="AA89" s="13">
        <f>AA27/Production!W31</f>
        <v>4.9101699048857816E-3</v>
      </c>
      <c r="AB89" s="58"/>
      <c r="AC89" s="34">
        <v>27</v>
      </c>
      <c r="AD89" s="13">
        <f>AD27/Production!T31</f>
        <v>1.7386778296427958E-3</v>
      </c>
      <c r="AE89" s="13">
        <f>AE27/Production!U31</f>
        <v>4.6636880255929158E-3</v>
      </c>
      <c r="AF89" s="13">
        <f>AF27/Production!V31</f>
        <v>1.9014113149225201E-3</v>
      </c>
      <c r="AG89" s="13">
        <f>AG27/Production!W31</f>
        <v>5.365417445736119E-3</v>
      </c>
      <c r="AI89" s="34">
        <v>27</v>
      </c>
      <c r="AJ89" s="13">
        <f>AJ27/Production!T31</f>
        <v>4.0587606660132782E-3</v>
      </c>
      <c r="AK89" s="13">
        <f>AK27/Production!U31</f>
        <v>2.7806649298759501E-3</v>
      </c>
      <c r="AL89" s="13">
        <f>AL27/Production!V31</f>
        <v>4.4129011266116243E-3</v>
      </c>
      <c r="AM89" s="13">
        <f>AM27/Production!W31</f>
        <v>5.9669945532883507E-3</v>
      </c>
      <c r="AO89" s="34">
        <v>27</v>
      </c>
      <c r="AP89" s="13">
        <f>AP27/Production!T31</f>
        <v>2.6412398877057757E-3</v>
      </c>
      <c r="AQ89" s="13">
        <f>AQ27/Production!U31</f>
        <v>4.5084567309639188E-3</v>
      </c>
      <c r="AR89" s="13">
        <f>AR27/Production!V31</f>
        <v>5.2365070972465125E-3</v>
      </c>
      <c r="AS89" s="13">
        <f>AS27/Production!W31</f>
        <v>7.2351841313714332E-3</v>
      </c>
    </row>
    <row r="90" spans="1:45" x14ac:dyDescent="0.2">
      <c r="A90" s="105"/>
      <c r="B90" s="106"/>
      <c r="C90" s="106"/>
      <c r="D90" s="106"/>
      <c r="E90" s="106"/>
      <c r="G90" s="113"/>
      <c r="H90" s="116"/>
      <c r="I90" s="116"/>
      <c r="J90" s="116"/>
      <c r="K90" s="116"/>
      <c r="L90" s="106"/>
      <c r="M90" s="107"/>
      <c r="N90" s="107"/>
      <c r="O90" s="107"/>
      <c r="P90" s="107"/>
      <c r="W90" s="34">
        <v>28</v>
      </c>
      <c r="X90" s="59">
        <f>X28/Production!T32</f>
        <v>1.3424423755251558E-3</v>
      </c>
      <c r="Y90" s="13">
        <f>Y28/Production!U32</f>
        <v>1.6757009789621509E-3</v>
      </c>
      <c r="Z90" s="13">
        <f>Z28/Production!V32</f>
        <v>2.8205550522935026E-3</v>
      </c>
      <c r="AA90" s="13">
        <f>AA28/Production!W32</f>
        <v>4.8975322143502446E-3</v>
      </c>
      <c r="AB90" s="58"/>
      <c r="AC90" s="34">
        <v>28</v>
      </c>
      <c r="AD90" s="13">
        <f>AD28/Production!T32</f>
        <v>1.7337616104960514E-3</v>
      </c>
      <c r="AE90" s="13">
        <f>AE28/Production!U32</f>
        <v>4.6539711399515606E-3</v>
      </c>
      <c r="AF90" s="13">
        <f>AF28/Production!V32</f>
        <v>1.8940953635839578E-3</v>
      </c>
      <c r="AG90" s="13">
        <f>AG28/Production!W32</f>
        <v>5.3413215412169337E-3</v>
      </c>
      <c r="AI90" s="34">
        <v>28</v>
      </c>
      <c r="AJ90" s="13">
        <f>AJ28/Production!T32</f>
        <v>4.038197105324659E-3</v>
      </c>
      <c r="AK90" s="13">
        <f>AK28/Production!U32</f>
        <v>2.7747437262976506E-3</v>
      </c>
      <c r="AL90" s="13">
        <f>AL28/Production!V32</f>
        <v>4.3955365230997278E-3</v>
      </c>
      <c r="AM90" s="13">
        <f>AM28/Production!W32</f>
        <v>5.943607056250297E-3</v>
      </c>
      <c r="AO90" s="34">
        <v>28</v>
      </c>
      <c r="AP90" s="13">
        <f>AP28/Production!T32</f>
        <v>2.6305348573043542E-3</v>
      </c>
      <c r="AQ90" s="13">
        <f>AQ28/Production!U32</f>
        <v>4.4979342066878789E-3</v>
      </c>
      <c r="AR90" s="13">
        <f>AR28/Production!V32</f>
        <v>5.2087622498558838E-3</v>
      </c>
      <c r="AS90" s="13">
        <f>AS28/Production!W32</f>
        <v>7.2274261804003617E-3</v>
      </c>
    </row>
    <row r="91" spans="1:45" x14ac:dyDescent="0.2">
      <c r="A91" s="105"/>
      <c r="B91" s="106"/>
      <c r="C91" s="106"/>
      <c r="D91" s="106"/>
      <c r="E91" s="106"/>
      <c r="G91" s="113"/>
      <c r="H91" s="116"/>
      <c r="I91" s="116"/>
      <c r="J91" s="116"/>
      <c r="K91" s="116"/>
      <c r="L91" s="106"/>
      <c r="M91" s="107"/>
      <c r="N91" s="107"/>
      <c r="O91" s="107"/>
      <c r="P91" s="107"/>
      <c r="W91" s="34">
        <v>29</v>
      </c>
      <c r="X91" s="59">
        <f>X29/Production!T33</f>
        <v>1.3352506162695153E-3</v>
      </c>
      <c r="Y91" s="13">
        <f>Y29/Production!U33</f>
        <v>1.6749848502386512E-3</v>
      </c>
      <c r="Z91" s="13">
        <f>Z29/Production!V33</f>
        <v>2.8041991084084886E-3</v>
      </c>
      <c r="AA91" s="13">
        <f>AA29/Production!W33</f>
        <v>4.8894026493376654E-3</v>
      </c>
      <c r="AB91" s="58"/>
      <c r="AC91" s="34">
        <v>29</v>
      </c>
      <c r="AD91" s="13">
        <f>AD29/Production!T33</f>
        <v>1.7244734679756088E-3</v>
      </c>
      <c r="AE91" s="13">
        <f>AE29/Production!U33</f>
        <v>4.6436571864339844E-3</v>
      </c>
      <c r="AF91" s="13">
        <f>AF29/Production!V33</f>
        <v>1.8797378638782177E-3</v>
      </c>
      <c r="AG91" s="13">
        <f>AG29/Production!W33</f>
        <v>5.326793301674581E-3</v>
      </c>
      <c r="AI91" s="34">
        <v>29</v>
      </c>
      <c r="AJ91" s="13">
        <f>AJ29/Production!T33</f>
        <v>4.0165635946892708E-3</v>
      </c>
      <c r="AK91" s="13">
        <f>AK29/Production!U33</f>
        <v>2.7712147725493133E-3</v>
      </c>
      <c r="AL91" s="13">
        <f>AL29/Production!V33</f>
        <v>4.3655114325040576E-3</v>
      </c>
      <c r="AM91" s="13">
        <f>AM29/Production!W33</f>
        <v>5.9360159960009998E-3</v>
      </c>
      <c r="AO91" s="34">
        <v>29</v>
      </c>
      <c r="AP91" s="13">
        <f>AP29/Production!T33</f>
        <v>2.6164425031354062E-3</v>
      </c>
      <c r="AQ91" s="13">
        <f>AQ29/Production!U33</f>
        <v>4.493861793323211E-3</v>
      </c>
      <c r="AR91" s="13">
        <f>AR29/Production!V33</f>
        <v>5.1769829693695171E-3</v>
      </c>
      <c r="AS91" s="13">
        <f>AS29/Production!W33</f>
        <v>7.2013246688327915E-3</v>
      </c>
    </row>
    <row r="92" spans="1:45" x14ac:dyDescent="0.2">
      <c r="A92" s="105"/>
      <c r="B92" s="106"/>
      <c r="C92" s="106"/>
      <c r="D92" s="106"/>
      <c r="E92" s="106"/>
      <c r="G92" s="113"/>
      <c r="H92" s="116"/>
      <c r="I92" s="116"/>
      <c r="J92" s="116"/>
      <c r="K92" s="116"/>
      <c r="L92" s="106"/>
      <c r="M92" s="107"/>
      <c r="N92" s="107"/>
      <c r="O92" s="107"/>
      <c r="P92" s="107"/>
      <c r="W92" s="34">
        <v>30</v>
      </c>
      <c r="X92" s="59">
        <f>X30/Production!T34</f>
        <v>1.3246399313793084E-3</v>
      </c>
      <c r="Y92" s="13">
        <f>Y30/Production!U34</f>
        <v>1.6718984577589737E-3</v>
      </c>
      <c r="Z92" s="13">
        <f>Z30/Production!V34</f>
        <v>2.7854284674946736E-3</v>
      </c>
      <c r="AA92" s="13">
        <f>AA30/Production!W34</f>
        <v>4.872125906799459E-3</v>
      </c>
      <c r="AB92" s="58"/>
      <c r="AC92" s="34">
        <v>30</v>
      </c>
      <c r="AD92" s="13">
        <f>AD30/Production!T34</f>
        <v>1.7155172881797602E-3</v>
      </c>
      <c r="AE92" s="13">
        <f>AE30/Production!U34</f>
        <v>4.6335471543605842E-3</v>
      </c>
      <c r="AF92" s="13">
        <f>AF30/Production!V34</f>
        <v>1.8708101647352284E-3</v>
      </c>
      <c r="AG92" s="13">
        <f>AG30/Production!W34</f>
        <v>5.3178408951186527E-3</v>
      </c>
      <c r="AI92" s="34">
        <v>30</v>
      </c>
      <c r="AJ92" s="13">
        <f>AJ30/Production!T34</f>
        <v>4.0010640550268454E-3</v>
      </c>
      <c r="AK92" s="13">
        <f>AK30/Production!U34</f>
        <v>2.7637505118056505E-3</v>
      </c>
      <c r="AL92" s="13">
        <f>AL30/Production!V34</f>
        <v>4.3444369381073636E-3</v>
      </c>
      <c r="AM92" s="13">
        <f>AM30/Production!W34</f>
        <v>5.9172507069961888E-3</v>
      </c>
      <c r="AO92" s="34">
        <v>30</v>
      </c>
      <c r="AP92" s="13">
        <f>AP30/Production!T34</f>
        <v>2.6058490453363444E-3</v>
      </c>
      <c r="AQ92" s="13">
        <f>AQ30/Production!U34</f>
        <v>4.4834174969291662E-3</v>
      </c>
      <c r="AR92" s="13">
        <f>AR30/Production!V34</f>
        <v>5.1551213428259624E-3</v>
      </c>
      <c r="AS92" s="13">
        <f>AS30/Production!W34</f>
        <v>7.1775482601745978E-3</v>
      </c>
    </row>
    <row r="93" spans="1:45" x14ac:dyDescent="0.2">
      <c r="A93" s="105"/>
      <c r="B93" s="106"/>
      <c r="C93" s="106"/>
      <c r="D93" s="106"/>
      <c r="E93" s="106"/>
      <c r="G93" s="113"/>
      <c r="H93" s="116"/>
      <c r="I93" s="116"/>
      <c r="J93" s="116"/>
      <c r="K93" s="116"/>
      <c r="L93" s="106"/>
      <c r="M93" s="107"/>
      <c r="N93" s="107"/>
      <c r="O93" s="107"/>
      <c r="P93" s="107"/>
      <c r="W93" s="34">
        <v>31</v>
      </c>
      <c r="X93" s="59">
        <f>X31/Production!T35</f>
        <v>1.3218015665796344E-3</v>
      </c>
      <c r="Y93" s="13">
        <f>Y31/Production!U35</f>
        <v>1.6666439912382145E-3</v>
      </c>
      <c r="Z93" s="13">
        <f>Z31/Production!V35</f>
        <v>2.7693275988670933E-3</v>
      </c>
      <c r="AA93" s="13">
        <f>AA31/Production!W35</f>
        <v>4.8496897403458037E-3</v>
      </c>
      <c r="AB93" s="58"/>
      <c r="AC93" s="34">
        <v>31</v>
      </c>
      <c r="AD93" s="13">
        <f>AD31/Production!T35</f>
        <v>1.7080069625761531E-3</v>
      </c>
      <c r="AE93" s="13">
        <f>AE31/Production!U35</f>
        <v>4.6257874042530036E-3</v>
      </c>
      <c r="AF93" s="13">
        <f>AF31/Production!V35</f>
        <v>1.8671981537816008E-3</v>
      </c>
      <c r="AG93" s="13">
        <f>AG31/Production!W35</f>
        <v>5.3015241882041087E-3</v>
      </c>
      <c r="AI93" s="34">
        <v>31</v>
      </c>
      <c r="AJ93" s="13">
        <f>AJ31/Production!T35</f>
        <v>3.9817232375979113E-3</v>
      </c>
      <c r="AK93" s="13">
        <f>AK31/Production!U35</f>
        <v>2.7550645569448034E-3</v>
      </c>
      <c r="AL93" s="13">
        <f>AL31/Production!V35</f>
        <v>4.3218294345956148E-3</v>
      </c>
      <c r="AM93" s="13">
        <f>AM31/Production!W35</f>
        <v>5.9039701186818479E-3</v>
      </c>
      <c r="AO93" s="34">
        <v>31</v>
      </c>
      <c r="AP93" s="13">
        <f>AP31/Production!T35</f>
        <v>2.5946475195822456E-3</v>
      </c>
      <c r="AQ93" s="13">
        <f>AQ31/Production!U35</f>
        <v>4.4761295764683476E-3</v>
      </c>
      <c r="AR93" s="13">
        <f>AR31/Production!V35</f>
        <v>5.1295499842651839E-3</v>
      </c>
      <c r="AS93" s="13">
        <f>AS31/Production!W35</f>
        <v>7.1540454244231584E-3</v>
      </c>
    </row>
    <row r="94" spans="1:45" x14ac:dyDescent="0.2">
      <c r="A94" s="105"/>
      <c r="B94" s="106"/>
      <c r="C94" s="106"/>
      <c r="D94" s="106"/>
      <c r="E94" s="106"/>
      <c r="G94" s="113"/>
      <c r="H94" s="116"/>
      <c r="I94" s="116"/>
      <c r="J94" s="116"/>
      <c r="K94" s="116"/>
      <c r="L94" s="105"/>
      <c r="M94" s="107"/>
      <c r="N94" s="107"/>
      <c r="O94" s="107"/>
      <c r="P94" s="107"/>
      <c r="W94" s="34">
        <v>32</v>
      </c>
      <c r="X94" s="13">
        <f>X32/Production!T36</f>
        <v>1.3146459256977525E-3</v>
      </c>
      <c r="Y94" s="13">
        <f>Y32/Production!U36</f>
        <v>1.6646962099283842E-3</v>
      </c>
      <c r="Z94" s="13">
        <f>Z32/Production!V36</f>
        <v>2.7608942000618111E-3</v>
      </c>
      <c r="AA94" s="13">
        <f>AA32/Production!W36</f>
        <v>4.8487544483985763E-3</v>
      </c>
      <c r="AB94" s="58"/>
      <c r="AC94" s="34">
        <v>32</v>
      </c>
      <c r="AD94" s="13">
        <f>AD32/Production!T36</f>
        <v>1.6996886654418641E-3</v>
      </c>
      <c r="AE94" s="13">
        <f>AE32/Production!U36</f>
        <v>4.6135866389443786E-3</v>
      </c>
      <c r="AF94" s="13">
        <f>AF32/Production!V36</f>
        <v>1.8543319254146493E-3</v>
      </c>
      <c r="AG94" s="13">
        <f>AG32/Production!W36</f>
        <v>5.2787663107947804E-3</v>
      </c>
      <c r="AI94" s="34">
        <v>32</v>
      </c>
      <c r="AJ94" s="13">
        <f>AJ32/Production!T36</f>
        <v>3.9659402193643499E-3</v>
      </c>
      <c r="AK94" s="13">
        <f>AK32/Production!U36</f>
        <v>2.7518447551877368E-3</v>
      </c>
      <c r="AL94" s="13">
        <f>AL32/Production!V36</f>
        <v>4.3061708045740192E-3</v>
      </c>
      <c r="AM94" s="13">
        <f>AM32/Production!W36</f>
        <v>5.8867141162514828E-3</v>
      </c>
      <c r="AO94" s="34">
        <v>32</v>
      </c>
      <c r="AP94" s="13">
        <f>AP32/Production!T36</f>
        <v>2.5797863562855477E-3</v>
      </c>
      <c r="AQ94" s="13">
        <f>AQ32/Production!U36</f>
        <v>4.4641037139712177E-3</v>
      </c>
      <c r="AR94" s="13">
        <f>AR32/Production!V36</f>
        <v>5.0994127948902858E-3</v>
      </c>
      <c r="AS94" s="13">
        <f>AS32/Production!W36</f>
        <v>7.1322657176749703E-3</v>
      </c>
    </row>
    <row r="95" spans="1:45" x14ac:dyDescent="0.2">
      <c r="A95" s="105"/>
      <c r="B95" s="107"/>
      <c r="C95" s="107"/>
      <c r="D95" s="107"/>
      <c r="E95" s="107"/>
      <c r="G95" s="113"/>
      <c r="H95" s="116"/>
      <c r="I95" s="116"/>
      <c r="J95" s="116"/>
      <c r="K95" s="116"/>
      <c r="L95" s="18"/>
      <c r="M95" s="18"/>
      <c r="N95" s="18"/>
      <c r="O95" s="18"/>
      <c r="P95" s="18"/>
      <c r="W95" s="34">
        <v>33</v>
      </c>
      <c r="X95" s="13">
        <f>X33/Production!T37</f>
        <v>1.3098730303747448E-3</v>
      </c>
      <c r="Y95" s="13">
        <f>Y33/Production!U37</f>
        <v>1.6621819544262407E-3</v>
      </c>
      <c r="Z95" s="13">
        <f>Z33/Production!V37</f>
        <v>2.7450462082778395E-3</v>
      </c>
      <c r="AA95" s="13">
        <f>AA33/Production!W37</f>
        <v>4.8234331150608049E-3</v>
      </c>
      <c r="AB95" s="58"/>
      <c r="AC95" s="34">
        <v>33</v>
      </c>
      <c r="AD95" s="13">
        <f>AD33/Production!T37</f>
        <v>1.6951298040143756E-3</v>
      </c>
      <c r="AE95" s="13">
        <f>AE33/Production!U37</f>
        <v>4.6050614802956502E-3</v>
      </c>
      <c r="AF95" s="13">
        <f>AF33/Production!V37</f>
        <v>1.8503644811354325E-3</v>
      </c>
      <c r="AG95" s="13">
        <f>AG33/Production!W37</f>
        <v>5.261927034611787E-3</v>
      </c>
      <c r="AI95" s="34">
        <v>33</v>
      </c>
      <c r="AJ95" s="13">
        <f>AJ33/Production!T37</f>
        <v>3.9461300957087898E-3</v>
      </c>
      <c r="AK95" s="13">
        <f>AK33/Production!U37</f>
        <v>2.7453251132531762E-3</v>
      </c>
      <c r="AL95" s="13">
        <f>AL33/Production!V37</f>
        <v>4.2802387173517418E-3</v>
      </c>
      <c r="AM95" s="13">
        <f>AM33/Production!W37</f>
        <v>5.8612020579981291E-3</v>
      </c>
      <c r="AO95" s="34">
        <v>33</v>
      </c>
      <c r="AP95" s="13">
        <f>AP33/Production!T37</f>
        <v>2.5702130469958226E-3</v>
      </c>
      <c r="AQ95" s="13">
        <f>AQ33/Production!U37</f>
        <v>4.4551926155523012E-3</v>
      </c>
      <c r="AR95" s="13">
        <f>AR33/Production!V37</f>
        <v>5.0834189042182213E-3</v>
      </c>
      <c r="AS95" s="13">
        <f>AS33/Production!W37</f>
        <v>7.1182179607109444E-3</v>
      </c>
    </row>
    <row r="96" spans="1:45" x14ac:dyDescent="0.2">
      <c r="A96" s="105"/>
      <c r="B96" s="107"/>
      <c r="C96" s="107"/>
      <c r="D96" s="107"/>
      <c r="E96" s="107"/>
      <c r="G96" s="113"/>
      <c r="H96" s="116"/>
      <c r="I96" s="116"/>
      <c r="J96" s="116"/>
      <c r="K96" s="116"/>
      <c r="L96" s="18"/>
      <c r="M96" s="18"/>
      <c r="N96" s="18"/>
      <c r="O96" s="18"/>
      <c r="P96" s="18"/>
      <c r="W96" s="34">
        <v>34</v>
      </c>
      <c r="X96" s="13">
        <f>X34/Production!T38</f>
        <v>1.3044423508949924E-3</v>
      </c>
      <c r="Y96" s="13">
        <f>Y34/Production!U38</f>
        <v>1.6607174850811065E-3</v>
      </c>
      <c r="Z96" s="13">
        <f>Z34/Production!V38</f>
        <v>2.7354983516868908E-3</v>
      </c>
      <c r="AA96" s="13">
        <f>AA34/Production!W38</f>
        <v>4.8220436280137771E-3</v>
      </c>
      <c r="AB96" s="58"/>
      <c r="AC96" s="34">
        <v>34</v>
      </c>
      <c r="AD96" s="13">
        <f>AD34/Production!T38</f>
        <v>1.6835110682490927E-3</v>
      </c>
      <c r="AE96" s="13">
        <f>AE34/Production!U38</f>
        <v>4.5962595956394103E-3</v>
      </c>
      <c r="AF96" s="13">
        <f>AF34/Production!V38</f>
        <v>1.8336857082736299E-3</v>
      </c>
      <c r="AG96" s="13">
        <f>AG34/Production!W38</f>
        <v>5.2525832376578646E-3</v>
      </c>
      <c r="AI96" s="34">
        <v>34</v>
      </c>
      <c r="AJ96" s="13">
        <f>AJ34/Production!T38</f>
        <v>3.9300506725682459E-3</v>
      </c>
      <c r="AK96" s="13">
        <f>AK34/Production!U38</f>
        <v>2.7425956807563502E-3</v>
      </c>
      <c r="AL96" s="13">
        <f>AL34/Production!V38</f>
        <v>4.2585597050070643E-3</v>
      </c>
      <c r="AM96" s="13">
        <f>AM34/Production!W38</f>
        <v>5.8553386911595869E-3</v>
      </c>
      <c r="AO96" s="34">
        <v>34</v>
      </c>
      <c r="AP96" s="13">
        <f>AP34/Production!T38</f>
        <v>2.5587138421401773E-3</v>
      </c>
      <c r="AQ96" s="13">
        <f>AQ34/Production!U38</f>
        <v>4.4515497732879449E-3</v>
      </c>
      <c r="AR96" s="13">
        <f>AR34/Production!V38</f>
        <v>5.0601709435966289E-3</v>
      </c>
      <c r="AS96" s="13">
        <f>AS34/Production!W38</f>
        <v>7.0895522388059705E-3</v>
      </c>
    </row>
    <row r="97" spans="1:45" x14ac:dyDescent="0.2">
      <c r="A97" s="105"/>
      <c r="B97" s="107"/>
      <c r="C97" s="107"/>
      <c r="D97" s="107"/>
      <c r="E97" s="107"/>
      <c r="G97" s="113"/>
      <c r="H97" s="116"/>
      <c r="I97" s="116"/>
      <c r="J97" s="116"/>
      <c r="K97" s="116"/>
      <c r="L97" s="18"/>
      <c r="M97" s="18"/>
      <c r="N97" s="18"/>
      <c r="O97" s="18"/>
      <c r="P97" s="18"/>
      <c r="W97" s="34">
        <v>35</v>
      </c>
      <c r="X97" s="13">
        <f>X35/Production!T39</f>
        <v>1.3007068096152676E-3</v>
      </c>
      <c r="Y97" s="13">
        <f>Y35/Production!U39</f>
        <v>1.6549038695546361E-3</v>
      </c>
      <c r="Z97" s="13">
        <f>Z35/Production!V39</f>
        <v>2.7240887274614088E-3</v>
      </c>
      <c r="AA97" s="13">
        <f>AA35/Production!W39</f>
        <v>4.8020548327656482E-3</v>
      </c>
      <c r="AB97" s="58"/>
      <c r="AC97" s="34">
        <v>35</v>
      </c>
      <c r="AD97" s="13">
        <f>AD35/Production!T39</f>
        <v>1.677081546014579E-3</v>
      </c>
      <c r="AE97" s="13">
        <f>AE35/Production!U39</f>
        <v>4.5892292180926882E-3</v>
      </c>
      <c r="AF97" s="13">
        <f>AF35/Production!V39</f>
        <v>1.8260374986279772E-3</v>
      </c>
      <c r="AG97" s="13">
        <f>AG35/Production!W39</f>
        <v>5.2347981461834834E-3</v>
      </c>
      <c r="AI97" s="34">
        <v>35</v>
      </c>
      <c r="AJ97" s="13">
        <f>AJ35/Production!T39</f>
        <v>3.9131902740340173E-3</v>
      </c>
      <c r="AK97" s="13">
        <f>AK35/Production!U39</f>
        <v>2.7396307756492717E-3</v>
      </c>
      <c r="AL97" s="13">
        <f>AL35/Production!V39</f>
        <v>4.2407974694912039E-3</v>
      </c>
      <c r="AM97" s="13">
        <f>AM35/Production!W39</f>
        <v>5.8350550002791894E-3</v>
      </c>
      <c r="AO97" s="34">
        <v>35</v>
      </c>
      <c r="AP97" s="13">
        <f>AP35/Production!T39</f>
        <v>2.5460643932894598E-3</v>
      </c>
      <c r="AQ97" s="13">
        <f>AQ35/Production!U39</f>
        <v>4.443208288426103E-3</v>
      </c>
      <c r="AR97" s="13">
        <f>AR35/Production!V39</f>
        <v>5.0290868814672164E-3</v>
      </c>
      <c r="AS97" s="13">
        <f>AS35/Production!W39</f>
        <v>7.0774470936400694E-3</v>
      </c>
    </row>
    <row r="98" spans="1:45" x14ac:dyDescent="0.2">
      <c r="A98" s="105"/>
      <c r="B98" s="107"/>
      <c r="C98" s="107"/>
      <c r="D98" s="107"/>
      <c r="E98" s="107"/>
      <c r="G98" s="113"/>
      <c r="H98" s="114"/>
      <c r="I98" s="114"/>
      <c r="J98" s="114"/>
      <c r="K98" s="114"/>
      <c r="L98" s="18"/>
      <c r="M98" s="18"/>
      <c r="N98" s="18"/>
      <c r="O98" s="18"/>
      <c r="P98" s="18"/>
      <c r="W98" s="34">
        <v>36</v>
      </c>
      <c r="X98" s="13">
        <f>X36/Production!T40</f>
        <v>1.2900475634927758E-3</v>
      </c>
      <c r="Y98" s="13">
        <f>Y36/Production!U40</f>
        <v>1.6522587841606247E-3</v>
      </c>
      <c r="Z98" s="13">
        <f>Z36/Production!V40</f>
        <v>2.7084223197297403E-3</v>
      </c>
      <c r="AA98" s="13">
        <f>AA36/Production!W40</f>
        <v>4.7913147035200934E-3</v>
      </c>
      <c r="AB98" s="58"/>
      <c r="AC98" s="34">
        <v>36</v>
      </c>
      <c r="AD98" s="13">
        <f>AD36/Production!T40</f>
        <v>1.6714529300906398E-3</v>
      </c>
      <c r="AE98" s="13">
        <f>AE36/Production!U40</f>
        <v>4.5803123257110983E-3</v>
      </c>
      <c r="AF98" s="13">
        <f>AF36/Production!V40</f>
        <v>1.8153224867005786E-3</v>
      </c>
      <c r="AG98" s="13">
        <f>AG36/Production!W40</f>
        <v>5.2205943445869218E-3</v>
      </c>
      <c r="AI98" s="34">
        <v>36</v>
      </c>
      <c r="AJ98" s="13">
        <f>AJ36/Production!T40</f>
        <v>3.8981872027281702E-3</v>
      </c>
      <c r="AK98" s="13">
        <f>AK36/Production!U40</f>
        <v>2.7328499721137756E-3</v>
      </c>
      <c r="AL98" s="13">
        <f>AL36/Production!V40</f>
        <v>4.2228089931270144E-3</v>
      </c>
      <c r="AM98" s="13">
        <f>AM36/Production!W40</f>
        <v>5.8160467499376849E-3</v>
      </c>
      <c r="AO98" s="34">
        <v>36</v>
      </c>
      <c r="AP98" s="13">
        <f>AP36/Production!T40</f>
        <v>2.5352239073858029E-3</v>
      </c>
      <c r="AQ98" s="13">
        <f>AQ36/Production!U40</f>
        <v>4.4339096486335754E-3</v>
      </c>
      <c r="AR98" s="13">
        <f>AR36/Production!V40</f>
        <v>5.0091251504679069E-3</v>
      </c>
      <c r="AS98" s="13">
        <f>AS36/Production!W40</f>
        <v>7.0484947517101947E-3</v>
      </c>
    </row>
    <row r="99" spans="1:45" x14ac:dyDescent="0.2">
      <c r="A99" s="105"/>
      <c r="B99" s="107"/>
      <c r="C99" s="107"/>
      <c r="D99" s="107"/>
      <c r="E99" s="107"/>
      <c r="G99" s="113"/>
      <c r="H99" s="114"/>
      <c r="I99" s="114"/>
      <c r="J99" s="114"/>
      <c r="K99" s="114"/>
      <c r="L99" s="18"/>
      <c r="M99" s="18"/>
      <c r="N99" s="18"/>
      <c r="O99" s="18"/>
      <c r="P99" s="18"/>
      <c r="W99" s="60">
        <v>37</v>
      </c>
      <c r="X99" s="14">
        <f>_xlfn.FORECAST.LINEAR($W99,X$70:X$98,$W$70:$W$98)</f>
        <v>1.2710892457341702E-3</v>
      </c>
      <c r="Y99" s="14">
        <f>_xlfn.FORECAST.LINEAR($W99,Y$70:Y$98,$W$70:$W$98)</f>
        <v>1.6448323144847782E-3</v>
      </c>
      <c r="Z99" s="14">
        <f>_xlfn.FORECAST.LINEAR($W99,Z$70:Z$98,$W$70:$W$98)</f>
        <v>2.6652766469889544E-3</v>
      </c>
      <c r="AA99" s="14">
        <f>_xlfn.FORECAST.LINEAR($W99,AA$70:AA$98,$W$70:$W$98)</f>
        <v>4.7698425022327743E-3</v>
      </c>
      <c r="AB99" s="58"/>
      <c r="AC99" s="60">
        <v>37</v>
      </c>
      <c r="AD99" s="14">
        <f t="shared" ref="AD99:AG121" si="33">_xlfn.FORECAST.LINEAR($W99,AD$70:AD$98,$W$70:$W$98)</f>
        <v>1.6429210764625512E-3</v>
      </c>
      <c r="AE99" s="14">
        <f t="shared" si="33"/>
        <v>4.5598534069470386E-3</v>
      </c>
      <c r="AF99" s="14">
        <f t="shared" si="33"/>
        <v>1.7899819031339428E-3</v>
      </c>
      <c r="AG99" s="14">
        <f t="shared" si="33"/>
        <v>5.1994662046433351E-3</v>
      </c>
      <c r="AI99" s="60">
        <v>37</v>
      </c>
      <c r="AJ99" s="14">
        <f>_xlfn.FORECAST.LINEAR($W99,AJ$70:AJ$98,$W$70:$W$98)</f>
        <v>3.8309419436482134E-3</v>
      </c>
      <c r="AK99" s="14">
        <f>_xlfn.FORECAST.LINEAR($W99,AK$70:AK$98,$W$70:$W$98)</f>
        <v>2.7199850934568025E-3</v>
      </c>
      <c r="AL99" s="14">
        <f>_xlfn.FORECAST.LINEAR($W99,AL$70:AL$98,$W$70:$W$98)</f>
        <v>4.1540319257217231E-3</v>
      </c>
      <c r="AM99" s="14">
        <f>_xlfn.FORECAST.LINEAR($W99,AM$70:AM$98,$W$70:$W$98)</f>
        <v>5.7922290136808146E-3</v>
      </c>
      <c r="AO99" s="60">
        <v>37</v>
      </c>
      <c r="AP99" s="14">
        <f>_xlfn.FORECAST.LINEAR($W99,AP$70:AP$98,$W$70:$W$98)</f>
        <v>2.4942886912485865E-3</v>
      </c>
      <c r="AQ99" s="14">
        <f>_xlfn.FORECAST.LINEAR($W99,AQ$70:AQ$98,$W$70:$W$98)</f>
        <v>4.4135770010319325E-3</v>
      </c>
      <c r="AR99" s="14">
        <f>_xlfn.FORECAST.LINEAR($W99,AR$70:AR$98,$W$70:$W$98)</f>
        <v>4.92768653344709E-3</v>
      </c>
      <c r="AS99" s="14">
        <f>_xlfn.FORECAST.LINEAR($W99,AS$70:AS$98,$W$70:$W$98)</f>
        <v>7.0234332764011701E-3</v>
      </c>
    </row>
    <row r="100" spans="1:45" x14ac:dyDescent="0.2">
      <c r="A100" s="105"/>
      <c r="B100" s="107"/>
      <c r="C100" s="107"/>
      <c r="D100" s="107"/>
      <c r="E100" s="107"/>
      <c r="G100" s="113"/>
      <c r="H100" s="114"/>
      <c r="I100" s="114"/>
      <c r="J100" s="114"/>
      <c r="K100" s="114"/>
      <c r="L100" s="18"/>
      <c r="M100" s="18"/>
      <c r="N100" s="18"/>
      <c r="O100" s="18"/>
      <c r="P100" s="18"/>
      <c r="W100" s="60">
        <v>38</v>
      </c>
      <c r="X100" s="14">
        <f t="shared" ref="X100:X121" si="34">_xlfn.FORECAST.LINEAR(W100,$X$70:$X$98,$W$70:$W$98)</f>
        <v>1.2631262721145217E-3</v>
      </c>
      <c r="Y100" s="14">
        <f>_xlfn.FORECAST.LINEAR($W100,Y$70:Y$98,$W$70:$W$98)</f>
        <v>1.6410754474816861E-3</v>
      </c>
      <c r="Z100" s="14">
        <f t="shared" ref="Y100:AA121" si="35">_xlfn.FORECAST.LINEAR($W100,Z$70:Z$98,$W$70:$W$98)</f>
        <v>2.6477832886861812E-3</v>
      </c>
      <c r="AA100" s="14">
        <f t="shared" si="35"/>
        <v>4.7552037928584598E-3</v>
      </c>
      <c r="AB100" s="58"/>
      <c r="AC100" s="60">
        <v>38</v>
      </c>
      <c r="AD100" s="14">
        <f t="shared" si="33"/>
        <v>1.6325989021267479E-3</v>
      </c>
      <c r="AE100" s="14">
        <f t="shared" si="33"/>
        <v>4.5494198902703321E-3</v>
      </c>
      <c r="AF100" s="14">
        <f t="shared" si="33"/>
        <v>1.7782148391278345E-3</v>
      </c>
      <c r="AG100" s="14">
        <f t="shared" si="33"/>
        <v>5.1834201476144686E-3</v>
      </c>
      <c r="AI100" s="60">
        <v>38</v>
      </c>
      <c r="AJ100" s="14">
        <f t="shared" ref="AJ100:AM121" si="36">_xlfn.FORECAST.LINEAR($W100,AJ$70:AJ$98,$W$70:$W$98)</f>
        <v>3.8069549778568736E-3</v>
      </c>
      <c r="AK100" s="14">
        <f t="shared" si="36"/>
        <v>2.7137891754188681E-3</v>
      </c>
      <c r="AL100" s="14">
        <f t="shared" si="36"/>
        <v>4.1266999656724172E-3</v>
      </c>
      <c r="AM100" s="14">
        <f t="shared" si="36"/>
        <v>5.7742766020239108E-3</v>
      </c>
      <c r="AO100" s="60">
        <v>38</v>
      </c>
      <c r="AP100" s="14">
        <f t="shared" ref="AP100:AS121" si="37">_xlfn.FORECAST.LINEAR($W100,AP$70:AP$98,$W$70:$W$98)</f>
        <v>2.4786800789526227E-3</v>
      </c>
      <c r="AQ100" s="14">
        <f t="shared" si="37"/>
        <v>4.4036533724018641E-3</v>
      </c>
      <c r="AR100" s="14">
        <f t="shared" si="37"/>
        <v>4.8953526124360927E-3</v>
      </c>
      <c r="AS100" s="14">
        <f t="shared" si="37"/>
        <v>7.0015912795264616E-3</v>
      </c>
    </row>
    <row r="101" spans="1:45" x14ac:dyDescent="0.2">
      <c r="A101" s="105"/>
      <c r="B101" s="107"/>
      <c r="C101" s="107"/>
      <c r="D101" s="107"/>
      <c r="E101" s="107"/>
      <c r="G101" s="113"/>
      <c r="H101" s="114"/>
      <c r="I101" s="114"/>
      <c r="J101" s="114"/>
      <c r="K101" s="114"/>
      <c r="L101" s="18"/>
      <c r="M101" s="18"/>
      <c r="N101" s="18"/>
      <c r="O101" s="18"/>
      <c r="P101" s="18"/>
      <c r="W101" s="60">
        <v>39</v>
      </c>
      <c r="X101" s="14">
        <f t="shared" si="34"/>
        <v>1.255163298494873E-3</v>
      </c>
      <c r="Y101" s="14">
        <f>_xlfn.FORECAST.LINEAR($W101,Y$70:Y$98,$W$70:$W$98)</f>
        <v>1.637318580478594E-3</v>
      </c>
      <c r="Z101" s="14">
        <f t="shared" si="35"/>
        <v>2.630289930383408E-3</v>
      </c>
      <c r="AA101" s="14">
        <f t="shared" si="35"/>
        <v>4.7405650834841453E-3</v>
      </c>
      <c r="AB101" s="58"/>
      <c r="AC101" s="60">
        <v>39</v>
      </c>
      <c r="AD101" s="14">
        <f t="shared" si="33"/>
        <v>1.6222767277909445E-3</v>
      </c>
      <c r="AE101" s="14">
        <f t="shared" si="33"/>
        <v>4.5389863735936248E-3</v>
      </c>
      <c r="AF101" s="14">
        <f t="shared" si="33"/>
        <v>1.7664477751217259E-3</v>
      </c>
      <c r="AG101" s="14">
        <f t="shared" si="33"/>
        <v>5.167374090585603E-3</v>
      </c>
      <c r="AI101" s="60">
        <v>39</v>
      </c>
      <c r="AJ101" s="14">
        <f t="shared" si="36"/>
        <v>3.7829680120655337E-3</v>
      </c>
      <c r="AK101" s="14">
        <f t="shared" si="36"/>
        <v>2.7075932573809337E-3</v>
      </c>
      <c r="AL101" s="14">
        <f t="shared" si="36"/>
        <v>4.0993680056231122E-3</v>
      </c>
      <c r="AM101" s="14">
        <f t="shared" si="36"/>
        <v>5.756324190367007E-3</v>
      </c>
      <c r="AO101" s="60">
        <v>39</v>
      </c>
      <c r="AP101" s="14">
        <f t="shared" si="37"/>
        <v>2.4630714666566593E-3</v>
      </c>
      <c r="AQ101" s="14">
        <f t="shared" si="37"/>
        <v>4.3937297437717958E-3</v>
      </c>
      <c r="AR101" s="14">
        <f t="shared" si="37"/>
        <v>4.8630186914250962E-3</v>
      </c>
      <c r="AS101" s="14">
        <f t="shared" si="37"/>
        <v>6.9797492826517531E-3</v>
      </c>
    </row>
    <row r="102" spans="1:45" x14ac:dyDescent="0.2">
      <c r="A102" s="105"/>
      <c r="B102" s="107"/>
      <c r="C102" s="107"/>
      <c r="D102" s="107"/>
      <c r="E102" s="107"/>
      <c r="G102" s="113"/>
      <c r="H102" s="114"/>
      <c r="I102" s="114"/>
      <c r="J102" s="114"/>
      <c r="K102" s="114"/>
      <c r="L102" s="18"/>
      <c r="M102" s="18"/>
      <c r="N102" s="18"/>
      <c r="O102" s="18"/>
      <c r="P102" s="18"/>
      <c r="W102" s="60">
        <v>40</v>
      </c>
      <c r="X102" s="14">
        <f t="shared" si="34"/>
        <v>1.2472003248752243E-3</v>
      </c>
      <c r="Y102" s="14">
        <f>_xlfn.FORECAST.LINEAR($W102,Y$70:Y$98,$W$70:$W$98)</f>
        <v>1.6335617134755019E-3</v>
      </c>
      <c r="Z102" s="14">
        <f t="shared" si="35"/>
        <v>2.6127965720806347E-3</v>
      </c>
      <c r="AA102" s="14">
        <f t="shared" si="35"/>
        <v>4.7259263741098309E-3</v>
      </c>
      <c r="AB102" s="58"/>
      <c r="AC102" s="60">
        <v>40</v>
      </c>
      <c r="AD102" s="14">
        <f t="shared" si="33"/>
        <v>1.6119545534551412E-3</v>
      </c>
      <c r="AE102" s="14">
        <f t="shared" si="33"/>
        <v>4.5285528569169176E-3</v>
      </c>
      <c r="AF102" s="14">
        <f t="shared" si="33"/>
        <v>1.7546807111156176E-3</v>
      </c>
      <c r="AG102" s="14">
        <f t="shared" si="33"/>
        <v>5.1513280335567365E-3</v>
      </c>
      <c r="AI102" s="60">
        <v>40</v>
      </c>
      <c r="AJ102" s="14">
        <f t="shared" si="36"/>
        <v>3.7589810462741939E-3</v>
      </c>
      <c r="AK102" s="14">
        <f t="shared" si="36"/>
        <v>2.7013973393429994E-3</v>
      </c>
      <c r="AL102" s="14">
        <f t="shared" si="36"/>
        <v>4.0720360455738062E-3</v>
      </c>
      <c r="AM102" s="14">
        <f t="shared" si="36"/>
        <v>5.7383717787101033E-3</v>
      </c>
      <c r="AO102" s="60">
        <v>40</v>
      </c>
      <c r="AP102" s="14">
        <f t="shared" si="37"/>
        <v>2.4474628543606955E-3</v>
      </c>
      <c r="AQ102" s="14">
        <f t="shared" si="37"/>
        <v>4.3838061151417274E-3</v>
      </c>
      <c r="AR102" s="14">
        <f t="shared" si="37"/>
        <v>4.8306847704140989E-3</v>
      </c>
      <c r="AS102" s="14">
        <f t="shared" si="37"/>
        <v>6.9579072857770437E-3</v>
      </c>
    </row>
    <row r="103" spans="1:45" x14ac:dyDescent="0.2">
      <c r="A103" s="105"/>
      <c r="B103" s="107"/>
      <c r="C103" s="107"/>
      <c r="D103" s="107"/>
      <c r="E103" s="107"/>
      <c r="G103" s="113"/>
      <c r="H103" s="114"/>
      <c r="I103" s="114"/>
      <c r="J103" s="114"/>
      <c r="K103" s="114"/>
      <c r="L103" s="18"/>
      <c r="M103" s="18"/>
      <c r="N103" s="18"/>
      <c r="O103" s="18"/>
      <c r="P103" s="18"/>
      <c r="W103" s="60">
        <v>41</v>
      </c>
      <c r="X103" s="14">
        <f t="shared" si="34"/>
        <v>1.2392373512555756E-3</v>
      </c>
      <c r="Y103" s="14">
        <f>_xlfn.FORECAST.LINEAR($W103,Y$70:Y$98,$W$70:$W$98)</f>
        <v>1.6298048464724098E-3</v>
      </c>
      <c r="Z103" s="14">
        <f t="shared" si="35"/>
        <v>2.5953032137778615E-3</v>
      </c>
      <c r="AA103" s="14">
        <f t="shared" si="35"/>
        <v>4.7112876647355164E-3</v>
      </c>
      <c r="AB103" s="58"/>
      <c r="AC103" s="60">
        <v>41</v>
      </c>
      <c r="AD103" s="14">
        <f t="shared" si="33"/>
        <v>1.6016323791193379E-3</v>
      </c>
      <c r="AE103" s="14">
        <f t="shared" si="33"/>
        <v>4.5181193402402111E-3</v>
      </c>
      <c r="AF103" s="14">
        <f t="shared" si="33"/>
        <v>1.7429136471095092E-3</v>
      </c>
      <c r="AG103" s="14">
        <f t="shared" si="33"/>
        <v>5.1352819765278709E-3</v>
      </c>
      <c r="AI103" s="60">
        <v>41</v>
      </c>
      <c r="AJ103" s="14">
        <f t="shared" si="36"/>
        <v>3.734994080482854E-3</v>
      </c>
      <c r="AK103" s="14">
        <f t="shared" si="36"/>
        <v>2.695201421305065E-3</v>
      </c>
      <c r="AL103" s="14">
        <f t="shared" si="36"/>
        <v>4.0447040855245003E-3</v>
      </c>
      <c r="AM103" s="14">
        <f t="shared" si="36"/>
        <v>5.7204193670531995E-3</v>
      </c>
      <c r="AO103" s="60">
        <v>41</v>
      </c>
      <c r="AP103" s="14">
        <f t="shared" si="37"/>
        <v>2.4318542420647322E-3</v>
      </c>
      <c r="AQ103" s="14">
        <f t="shared" si="37"/>
        <v>4.373882486511659E-3</v>
      </c>
      <c r="AR103" s="14">
        <f t="shared" si="37"/>
        <v>4.7983508494031015E-3</v>
      </c>
      <c r="AS103" s="14">
        <f t="shared" si="37"/>
        <v>6.9360652889023352E-3</v>
      </c>
    </row>
    <row r="104" spans="1:45" x14ac:dyDescent="0.2">
      <c r="A104" s="105"/>
      <c r="B104" s="107"/>
      <c r="C104" s="107"/>
      <c r="D104" s="107"/>
      <c r="E104" s="107"/>
      <c r="G104" s="113"/>
      <c r="H104" s="114"/>
      <c r="I104" s="114"/>
      <c r="J104" s="114"/>
      <c r="K104" s="114"/>
      <c r="L104" s="18"/>
      <c r="M104" s="18"/>
      <c r="N104" s="18"/>
      <c r="O104" s="18"/>
      <c r="P104" s="18"/>
      <c r="W104" s="60">
        <v>42</v>
      </c>
      <c r="X104" s="14">
        <f t="shared" si="34"/>
        <v>1.2312743776359272E-3</v>
      </c>
      <c r="Y104" s="14">
        <f t="shared" si="35"/>
        <v>1.626047979469318E-3</v>
      </c>
      <c r="Z104" s="14">
        <f t="shared" si="35"/>
        <v>2.5778098554750883E-3</v>
      </c>
      <c r="AA104" s="14">
        <f t="shared" si="35"/>
        <v>4.6966489553612019E-3</v>
      </c>
      <c r="AB104" s="58"/>
      <c r="AC104" s="60">
        <v>42</v>
      </c>
      <c r="AD104" s="14">
        <f t="shared" si="33"/>
        <v>1.5913102047835344E-3</v>
      </c>
      <c r="AE104" s="14">
        <f t="shared" si="33"/>
        <v>4.5076858235635038E-3</v>
      </c>
      <c r="AF104" s="14">
        <f t="shared" si="33"/>
        <v>1.7311465831034007E-3</v>
      </c>
      <c r="AG104" s="14">
        <f t="shared" si="33"/>
        <v>5.1192359194990045E-3</v>
      </c>
      <c r="AI104" s="60">
        <v>42</v>
      </c>
      <c r="AJ104" s="14">
        <f t="shared" si="36"/>
        <v>3.7110071146915142E-3</v>
      </c>
      <c r="AK104" s="14">
        <f t="shared" si="36"/>
        <v>2.6890055032671306E-3</v>
      </c>
      <c r="AL104" s="14">
        <f t="shared" si="36"/>
        <v>4.0173721254751944E-3</v>
      </c>
      <c r="AM104" s="14">
        <f t="shared" si="36"/>
        <v>5.7024669553962957E-3</v>
      </c>
      <c r="AO104" s="60">
        <v>42</v>
      </c>
      <c r="AP104" s="14">
        <f t="shared" si="37"/>
        <v>2.4162456297687684E-3</v>
      </c>
      <c r="AQ104" s="14">
        <f t="shared" si="37"/>
        <v>4.3639588578815898E-3</v>
      </c>
      <c r="AR104" s="14">
        <f t="shared" si="37"/>
        <v>4.766016928392105E-3</v>
      </c>
      <c r="AS104" s="14">
        <f t="shared" si="37"/>
        <v>6.9142232920276258E-3</v>
      </c>
    </row>
    <row r="105" spans="1:45" x14ac:dyDescent="0.2">
      <c r="A105" s="105"/>
      <c r="B105" s="107"/>
      <c r="C105" s="107"/>
      <c r="D105" s="107"/>
      <c r="E105" s="107"/>
      <c r="G105" s="113"/>
      <c r="H105" s="114"/>
      <c r="I105" s="114"/>
      <c r="J105" s="114"/>
      <c r="K105" s="114"/>
      <c r="L105" s="18"/>
      <c r="M105" s="18"/>
      <c r="N105" s="18"/>
      <c r="O105" s="18"/>
      <c r="P105" s="18"/>
      <c r="W105" s="60">
        <v>43</v>
      </c>
      <c r="X105" s="14">
        <f t="shared" si="34"/>
        <v>1.2233114040162785E-3</v>
      </c>
      <c r="Y105" s="14">
        <f t="shared" si="35"/>
        <v>1.6222911124662259E-3</v>
      </c>
      <c r="Z105" s="14">
        <f t="shared" si="35"/>
        <v>2.560316497172315E-3</v>
      </c>
      <c r="AA105" s="14">
        <f t="shared" si="35"/>
        <v>4.6820102459868874E-3</v>
      </c>
      <c r="AB105" s="58"/>
      <c r="AC105" s="60">
        <v>43</v>
      </c>
      <c r="AD105" s="14">
        <f t="shared" si="33"/>
        <v>1.5809880304477311E-3</v>
      </c>
      <c r="AE105" s="14">
        <f t="shared" si="33"/>
        <v>4.4972523068867966E-3</v>
      </c>
      <c r="AF105" s="14">
        <f t="shared" si="33"/>
        <v>1.7193795190972921E-3</v>
      </c>
      <c r="AG105" s="14">
        <f t="shared" si="33"/>
        <v>5.103189862470138E-3</v>
      </c>
      <c r="AI105" s="60">
        <v>43</v>
      </c>
      <c r="AJ105" s="14">
        <f t="shared" si="36"/>
        <v>3.6870201489001744E-3</v>
      </c>
      <c r="AK105" s="14">
        <f t="shared" si="36"/>
        <v>2.6828095852291962E-3</v>
      </c>
      <c r="AL105" s="14">
        <f t="shared" si="36"/>
        <v>3.9900401654258885E-3</v>
      </c>
      <c r="AM105" s="14">
        <f t="shared" si="36"/>
        <v>5.6845145437393919E-3</v>
      </c>
      <c r="AO105" s="60">
        <v>43</v>
      </c>
      <c r="AP105" s="14">
        <f t="shared" si="37"/>
        <v>2.4006370174728051E-3</v>
      </c>
      <c r="AQ105" s="14">
        <f t="shared" si="37"/>
        <v>4.3540352292515214E-3</v>
      </c>
      <c r="AR105" s="14">
        <f t="shared" si="37"/>
        <v>4.7336830073811077E-3</v>
      </c>
      <c r="AS105" s="14">
        <f t="shared" si="37"/>
        <v>6.8923812951529172E-3</v>
      </c>
    </row>
    <row r="106" spans="1:45" x14ac:dyDescent="0.2">
      <c r="A106" s="105"/>
      <c r="B106" s="107"/>
      <c r="C106" s="107"/>
      <c r="D106" s="107"/>
      <c r="E106" s="107"/>
      <c r="G106" s="113"/>
      <c r="H106" s="114"/>
      <c r="I106" s="114"/>
      <c r="J106" s="114"/>
      <c r="K106" s="114"/>
      <c r="L106" s="18"/>
      <c r="M106" s="18"/>
      <c r="N106" s="18"/>
      <c r="O106" s="18"/>
      <c r="P106" s="18"/>
      <c r="W106" s="60">
        <v>44</v>
      </c>
      <c r="X106" s="14">
        <f t="shared" si="34"/>
        <v>1.21534843039663E-3</v>
      </c>
      <c r="Y106" s="14">
        <f t="shared" si="35"/>
        <v>1.6185342454631338E-3</v>
      </c>
      <c r="Z106" s="14">
        <f t="shared" si="35"/>
        <v>2.5428231388695413E-3</v>
      </c>
      <c r="AA106" s="14">
        <f t="shared" si="35"/>
        <v>4.6673715366125721E-3</v>
      </c>
      <c r="AB106" s="58"/>
      <c r="AC106" s="60">
        <v>44</v>
      </c>
      <c r="AD106" s="14">
        <f t="shared" si="33"/>
        <v>1.5706658561119276E-3</v>
      </c>
      <c r="AE106" s="14">
        <f t="shared" si="33"/>
        <v>4.4868187902100901E-3</v>
      </c>
      <c r="AF106" s="14">
        <f t="shared" si="33"/>
        <v>1.7076124550911838E-3</v>
      </c>
      <c r="AG106" s="14">
        <f t="shared" si="33"/>
        <v>5.0871438054412724E-3</v>
      </c>
      <c r="AI106" s="60">
        <v>44</v>
      </c>
      <c r="AJ106" s="14">
        <f t="shared" si="36"/>
        <v>3.6630331831088345E-3</v>
      </c>
      <c r="AK106" s="14">
        <f t="shared" si="36"/>
        <v>2.6766136671912619E-3</v>
      </c>
      <c r="AL106" s="14">
        <f t="shared" si="36"/>
        <v>3.9627082053765826E-3</v>
      </c>
      <c r="AM106" s="14">
        <f t="shared" si="36"/>
        <v>5.6665621320824873E-3</v>
      </c>
      <c r="AO106" s="60">
        <v>44</v>
      </c>
      <c r="AP106" s="14">
        <f t="shared" si="37"/>
        <v>2.3850284051768413E-3</v>
      </c>
      <c r="AQ106" s="14">
        <f t="shared" si="37"/>
        <v>4.3441116006214531E-3</v>
      </c>
      <c r="AR106" s="14">
        <f t="shared" si="37"/>
        <v>4.7013490863701112E-3</v>
      </c>
      <c r="AS106" s="14">
        <f t="shared" si="37"/>
        <v>6.8705392982782078E-3</v>
      </c>
    </row>
    <row r="107" spans="1:45" x14ac:dyDescent="0.2">
      <c r="A107" s="105"/>
      <c r="B107" s="107"/>
      <c r="C107" s="107"/>
      <c r="D107" s="107"/>
      <c r="E107" s="107"/>
      <c r="G107" s="113"/>
      <c r="H107" s="114"/>
      <c r="I107" s="114"/>
      <c r="J107" s="114"/>
      <c r="K107" s="114"/>
      <c r="L107" s="18"/>
      <c r="M107" s="18"/>
      <c r="N107" s="18"/>
      <c r="O107" s="18"/>
      <c r="P107" s="18"/>
      <c r="W107" s="60">
        <v>45</v>
      </c>
      <c r="X107" s="14">
        <f t="shared" si="34"/>
        <v>1.2073854567769813E-3</v>
      </c>
      <c r="Y107" s="14">
        <f t="shared" si="35"/>
        <v>1.6147773784600417E-3</v>
      </c>
      <c r="Z107" s="14">
        <f t="shared" si="35"/>
        <v>2.5253297805667681E-3</v>
      </c>
      <c r="AA107" s="14">
        <f t="shared" si="35"/>
        <v>4.6527328272382576E-3</v>
      </c>
      <c r="AB107" s="58"/>
      <c r="AC107" s="60">
        <v>45</v>
      </c>
      <c r="AD107" s="14">
        <f t="shared" si="33"/>
        <v>1.5603436817761243E-3</v>
      </c>
      <c r="AE107" s="14">
        <f t="shared" si="33"/>
        <v>4.4763852735333828E-3</v>
      </c>
      <c r="AF107" s="14">
        <f t="shared" si="33"/>
        <v>1.6958453910850754E-3</v>
      </c>
      <c r="AG107" s="14">
        <f t="shared" si="33"/>
        <v>5.0710977484124059E-3</v>
      </c>
      <c r="AI107" s="60">
        <v>45</v>
      </c>
      <c r="AJ107" s="14">
        <f t="shared" si="36"/>
        <v>3.6390462173174947E-3</v>
      </c>
      <c r="AK107" s="14">
        <f t="shared" si="36"/>
        <v>2.6704177491533275E-3</v>
      </c>
      <c r="AL107" s="14">
        <f t="shared" si="36"/>
        <v>3.9353762453272767E-3</v>
      </c>
      <c r="AM107" s="14">
        <f t="shared" si="36"/>
        <v>5.6486097204255835E-3</v>
      </c>
      <c r="AO107" s="60">
        <v>45</v>
      </c>
      <c r="AP107" s="14">
        <f t="shared" si="37"/>
        <v>2.3694197928808775E-3</v>
      </c>
      <c r="AQ107" s="14">
        <f t="shared" si="37"/>
        <v>4.3341879719913847E-3</v>
      </c>
      <c r="AR107" s="14">
        <f t="shared" si="37"/>
        <v>4.6690151653591139E-3</v>
      </c>
      <c r="AS107" s="14">
        <f t="shared" si="37"/>
        <v>6.8486973014034993E-3</v>
      </c>
    </row>
    <row r="108" spans="1:45" x14ac:dyDescent="0.2">
      <c r="A108" s="105"/>
      <c r="B108" s="107"/>
      <c r="C108" s="107"/>
      <c r="D108" s="107"/>
      <c r="E108" s="107"/>
      <c r="G108" s="113"/>
      <c r="H108" s="114"/>
      <c r="I108" s="114"/>
      <c r="J108" s="114"/>
      <c r="K108" s="114"/>
      <c r="L108" s="18"/>
      <c r="M108" s="18"/>
      <c r="N108" s="18"/>
      <c r="O108" s="18"/>
      <c r="P108" s="18"/>
      <c r="W108" s="60">
        <v>46</v>
      </c>
      <c r="X108" s="14">
        <f t="shared" si="34"/>
        <v>1.1994224831573326E-3</v>
      </c>
      <c r="Y108" s="14">
        <f t="shared" si="35"/>
        <v>1.6110205114569496E-3</v>
      </c>
      <c r="Z108" s="14">
        <f t="shared" si="35"/>
        <v>2.5078364222639949E-3</v>
      </c>
      <c r="AA108" s="14">
        <f t="shared" si="35"/>
        <v>4.6380941178639432E-3</v>
      </c>
      <c r="AB108" s="58"/>
      <c r="AC108" s="60">
        <v>46</v>
      </c>
      <c r="AD108" s="14">
        <f t="shared" si="33"/>
        <v>1.5500215074403211E-3</v>
      </c>
      <c r="AE108" s="14">
        <f t="shared" si="33"/>
        <v>4.4659517568566755E-3</v>
      </c>
      <c r="AF108" s="14">
        <f t="shared" si="33"/>
        <v>1.6840783270789669E-3</v>
      </c>
      <c r="AG108" s="14">
        <f t="shared" si="33"/>
        <v>5.0550516913835403E-3</v>
      </c>
      <c r="AI108" s="60">
        <v>46</v>
      </c>
      <c r="AJ108" s="14">
        <f t="shared" si="36"/>
        <v>3.6150592515261548E-3</v>
      </c>
      <c r="AK108" s="14">
        <f t="shared" si="36"/>
        <v>2.6642218311153927E-3</v>
      </c>
      <c r="AL108" s="14">
        <f t="shared" si="36"/>
        <v>3.9080442852779717E-3</v>
      </c>
      <c r="AM108" s="14">
        <f t="shared" si="36"/>
        <v>5.6306573087686797E-3</v>
      </c>
      <c r="AO108" s="60">
        <v>46</v>
      </c>
      <c r="AP108" s="14">
        <f t="shared" si="37"/>
        <v>2.3538111805849141E-3</v>
      </c>
      <c r="AQ108" s="14">
        <f t="shared" si="37"/>
        <v>4.3242643433613163E-3</v>
      </c>
      <c r="AR108" s="14">
        <f t="shared" si="37"/>
        <v>4.6366812443481165E-3</v>
      </c>
      <c r="AS108" s="14">
        <f t="shared" si="37"/>
        <v>6.8268553045287908E-3</v>
      </c>
    </row>
    <row r="109" spans="1:45" x14ac:dyDescent="0.2">
      <c r="A109" s="105"/>
      <c r="B109" s="107"/>
      <c r="C109" s="107"/>
      <c r="D109" s="107"/>
      <c r="E109" s="107"/>
      <c r="G109" s="113"/>
      <c r="H109" s="114"/>
      <c r="I109" s="114"/>
      <c r="J109" s="114"/>
      <c r="K109" s="114"/>
      <c r="L109" s="18"/>
      <c r="M109" s="18"/>
      <c r="N109" s="18"/>
      <c r="O109" s="18"/>
      <c r="P109" s="18"/>
      <c r="W109" s="60">
        <v>47</v>
      </c>
      <c r="X109" s="14">
        <f t="shared" si="34"/>
        <v>1.1914595095376839E-3</v>
      </c>
      <c r="Y109" s="14">
        <f t="shared" si="35"/>
        <v>1.6072636444538577E-3</v>
      </c>
      <c r="Z109" s="14">
        <f t="shared" si="35"/>
        <v>2.4903430639612216E-3</v>
      </c>
      <c r="AA109" s="14">
        <f t="shared" si="35"/>
        <v>4.6234554084896287E-3</v>
      </c>
      <c r="AB109" s="58"/>
      <c r="AC109" s="60">
        <v>47</v>
      </c>
      <c r="AD109" s="14">
        <f t="shared" si="33"/>
        <v>1.5396993331045176E-3</v>
      </c>
      <c r="AE109" s="14">
        <f t="shared" si="33"/>
        <v>4.4555182401799691E-3</v>
      </c>
      <c r="AF109" s="14">
        <f t="shared" si="33"/>
        <v>1.6723112630728583E-3</v>
      </c>
      <c r="AG109" s="14">
        <f t="shared" si="33"/>
        <v>5.0390056343546739E-3</v>
      </c>
      <c r="AI109" s="60">
        <v>47</v>
      </c>
      <c r="AJ109" s="14">
        <f t="shared" si="36"/>
        <v>3.591072285734815E-3</v>
      </c>
      <c r="AK109" s="14">
        <f t="shared" si="36"/>
        <v>2.6580259130774583E-3</v>
      </c>
      <c r="AL109" s="14">
        <f t="shared" si="36"/>
        <v>3.8807123252286658E-3</v>
      </c>
      <c r="AM109" s="14">
        <f t="shared" si="36"/>
        <v>5.612704897111776E-3</v>
      </c>
      <c r="AO109" s="60">
        <v>47</v>
      </c>
      <c r="AP109" s="14">
        <f t="shared" si="37"/>
        <v>2.3382025682889503E-3</v>
      </c>
      <c r="AQ109" s="14">
        <f t="shared" si="37"/>
        <v>4.314340714731248E-3</v>
      </c>
      <c r="AR109" s="14">
        <f t="shared" si="37"/>
        <v>4.6043473233371192E-3</v>
      </c>
      <c r="AS109" s="14">
        <f t="shared" si="37"/>
        <v>6.8050133076540814E-3</v>
      </c>
    </row>
    <row r="110" spans="1:45" x14ac:dyDescent="0.2">
      <c r="A110" s="105"/>
      <c r="B110" s="107"/>
      <c r="C110" s="107"/>
      <c r="D110" s="107"/>
      <c r="E110" s="107"/>
      <c r="G110" s="113"/>
      <c r="H110" s="114"/>
      <c r="I110" s="114"/>
      <c r="J110" s="114"/>
      <c r="K110" s="114"/>
      <c r="L110" s="18"/>
      <c r="M110" s="18"/>
      <c r="N110" s="18"/>
      <c r="O110" s="18"/>
      <c r="P110" s="18"/>
      <c r="W110" s="60">
        <v>48</v>
      </c>
      <c r="X110" s="14">
        <f t="shared" si="34"/>
        <v>1.1834965359180355E-3</v>
      </c>
      <c r="Y110" s="14">
        <f t="shared" si="35"/>
        <v>1.6035067774507656E-3</v>
      </c>
      <c r="Z110" s="14">
        <f t="shared" si="35"/>
        <v>2.4728497056584484E-3</v>
      </c>
      <c r="AA110" s="14">
        <f t="shared" si="35"/>
        <v>4.6088166991153142E-3</v>
      </c>
      <c r="AB110" s="58"/>
      <c r="AC110" s="60">
        <v>48</v>
      </c>
      <c r="AD110" s="14">
        <f t="shared" si="33"/>
        <v>1.5293771587687143E-3</v>
      </c>
      <c r="AE110" s="14">
        <f t="shared" si="33"/>
        <v>4.4450847235032618E-3</v>
      </c>
      <c r="AF110" s="14">
        <f t="shared" si="33"/>
        <v>1.66054419906675E-3</v>
      </c>
      <c r="AG110" s="14">
        <f t="shared" si="33"/>
        <v>5.0229595773258074E-3</v>
      </c>
      <c r="AI110" s="60">
        <v>48</v>
      </c>
      <c r="AJ110" s="14">
        <f t="shared" si="36"/>
        <v>3.5670853199434751E-3</v>
      </c>
      <c r="AK110" s="14">
        <f t="shared" si="36"/>
        <v>2.6518299950395239E-3</v>
      </c>
      <c r="AL110" s="14">
        <f t="shared" si="36"/>
        <v>3.8533803651793598E-3</v>
      </c>
      <c r="AM110" s="14">
        <f t="shared" si="36"/>
        <v>5.5947524854548722E-3</v>
      </c>
      <c r="AO110" s="60">
        <v>48</v>
      </c>
      <c r="AP110" s="14">
        <f t="shared" si="37"/>
        <v>2.3225939559929866E-3</v>
      </c>
      <c r="AQ110" s="14">
        <f t="shared" si="37"/>
        <v>4.3044170861011796E-3</v>
      </c>
      <c r="AR110" s="14">
        <f t="shared" si="37"/>
        <v>4.5720134023261227E-3</v>
      </c>
      <c r="AS110" s="14">
        <f t="shared" si="37"/>
        <v>6.783171310779372E-3</v>
      </c>
    </row>
    <row r="111" spans="1:45" x14ac:dyDescent="0.2">
      <c r="A111" s="105"/>
      <c r="B111" s="107"/>
      <c r="C111" s="107"/>
      <c r="D111" s="107"/>
      <c r="E111" s="107"/>
      <c r="G111" s="113"/>
      <c r="H111" s="114"/>
      <c r="I111" s="114"/>
      <c r="J111" s="114"/>
      <c r="K111" s="114"/>
      <c r="L111" s="18"/>
      <c r="M111" s="18"/>
      <c r="N111" s="18"/>
      <c r="O111" s="18"/>
      <c r="P111" s="18"/>
      <c r="W111" s="60">
        <v>49</v>
      </c>
      <c r="X111" s="14">
        <f t="shared" si="34"/>
        <v>1.1755335622983868E-3</v>
      </c>
      <c r="Y111" s="14">
        <f t="shared" si="35"/>
        <v>1.5997499104476736E-3</v>
      </c>
      <c r="Z111" s="14">
        <f t="shared" si="35"/>
        <v>2.4553563473556752E-3</v>
      </c>
      <c r="AA111" s="14">
        <f t="shared" si="35"/>
        <v>4.5941779897409997E-3</v>
      </c>
      <c r="AB111" s="58"/>
      <c r="AC111" s="60">
        <v>49</v>
      </c>
      <c r="AD111" s="14">
        <f t="shared" si="33"/>
        <v>1.5190549844329108E-3</v>
      </c>
      <c r="AE111" s="14">
        <f t="shared" si="33"/>
        <v>4.4346512068265545E-3</v>
      </c>
      <c r="AF111" s="14">
        <f t="shared" si="33"/>
        <v>1.6487771350606416E-3</v>
      </c>
      <c r="AG111" s="14">
        <f t="shared" si="33"/>
        <v>5.0069135202969418E-3</v>
      </c>
      <c r="AI111" s="60">
        <v>49</v>
      </c>
      <c r="AJ111" s="14">
        <f t="shared" si="36"/>
        <v>3.5430983541521353E-3</v>
      </c>
      <c r="AK111" s="14">
        <f t="shared" si="36"/>
        <v>2.6456340770015896E-3</v>
      </c>
      <c r="AL111" s="14">
        <f t="shared" si="36"/>
        <v>3.8260484051300544E-3</v>
      </c>
      <c r="AM111" s="14">
        <f t="shared" si="36"/>
        <v>5.5768000737979684E-3</v>
      </c>
      <c r="AO111" s="60">
        <v>49</v>
      </c>
      <c r="AP111" s="14">
        <f t="shared" si="37"/>
        <v>2.3069853436970232E-3</v>
      </c>
      <c r="AQ111" s="14">
        <f t="shared" si="37"/>
        <v>4.2944934574711113E-3</v>
      </c>
      <c r="AR111" s="14">
        <f t="shared" si="37"/>
        <v>4.5396794813151262E-3</v>
      </c>
      <c r="AS111" s="14">
        <f t="shared" si="37"/>
        <v>6.7613293139046635E-3</v>
      </c>
    </row>
    <row r="112" spans="1:45" x14ac:dyDescent="0.2">
      <c r="A112" s="105"/>
      <c r="B112" s="107"/>
      <c r="C112" s="107"/>
      <c r="D112" s="107"/>
      <c r="E112" s="107"/>
      <c r="G112" s="113"/>
      <c r="H112" s="114"/>
      <c r="I112" s="114"/>
      <c r="J112" s="114"/>
      <c r="K112" s="114"/>
      <c r="L112" s="18"/>
      <c r="M112" s="18"/>
      <c r="N112" s="18"/>
      <c r="O112" s="18"/>
      <c r="P112" s="18"/>
      <c r="W112" s="60">
        <v>50</v>
      </c>
      <c r="X112" s="14">
        <f t="shared" si="34"/>
        <v>1.1675705886787383E-3</v>
      </c>
      <c r="Y112" s="14">
        <f t="shared" si="35"/>
        <v>1.5959930434445815E-3</v>
      </c>
      <c r="Z112" s="14">
        <f t="shared" si="35"/>
        <v>2.4378629890529019E-3</v>
      </c>
      <c r="AA112" s="14">
        <f t="shared" si="35"/>
        <v>4.5795392803666853E-3</v>
      </c>
      <c r="AB112" s="58"/>
      <c r="AC112" s="60">
        <v>50</v>
      </c>
      <c r="AD112" s="14">
        <f t="shared" si="33"/>
        <v>1.5087328100971075E-3</v>
      </c>
      <c r="AE112" s="14">
        <f t="shared" si="33"/>
        <v>4.4242176901498481E-3</v>
      </c>
      <c r="AF112" s="14">
        <f t="shared" si="33"/>
        <v>1.6370100710545333E-3</v>
      </c>
      <c r="AG112" s="14">
        <f t="shared" si="33"/>
        <v>4.9908674632680753E-3</v>
      </c>
      <c r="AI112" s="60">
        <v>50</v>
      </c>
      <c r="AJ112" s="14">
        <f t="shared" si="36"/>
        <v>3.5191113883607955E-3</v>
      </c>
      <c r="AK112" s="14">
        <f t="shared" si="36"/>
        <v>2.6394381589636552E-3</v>
      </c>
      <c r="AL112" s="14">
        <f t="shared" si="36"/>
        <v>3.7987164450807485E-3</v>
      </c>
      <c r="AM112" s="14">
        <f t="shared" si="36"/>
        <v>5.5588476621410646E-3</v>
      </c>
      <c r="AO112" s="60">
        <v>50</v>
      </c>
      <c r="AP112" s="14">
        <f t="shared" si="37"/>
        <v>2.2913767314010594E-3</v>
      </c>
      <c r="AQ112" s="14">
        <f t="shared" si="37"/>
        <v>4.2845698288410429E-3</v>
      </c>
      <c r="AR112" s="14">
        <f t="shared" si="37"/>
        <v>4.5073455603041289E-3</v>
      </c>
      <c r="AS112" s="14">
        <f t="shared" si="37"/>
        <v>6.739487317029955E-3</v>
      </c>
    </row>
    <row r="113" spans="1:45" x14ac:dyDescent="0.2">
      <c r="A113" s="105"/>
      <c r="B113" s="107"/>
      <c r="C113" s="107"/>
      <c r="D113" s="107"/>
      <c r="E113" s="107"/>
      <c r="G113" s="113"/>
      <c r="H113" s="114"/>
      <c r="I113" s="114"/>
      <c r="J113" s="114"/>
      <c r="K113" s="114"/>
      <c r="L113" s="18"/>
      <c r="M113" s="18"/>
      <c r="N113" s="18"/>
      <c r="O113" s="18"/>
      <c r="P113" s="18"/>
      <c r="W113" s="60">
        <v>51</v>
      </c>
      <c r="X113" s="14">
        <f t="shared" si="34"/>
        <v>1.1596076150590896E-3</v>
      </c>
      <c r="Y113" s="14">
        <f t="shared" si="35"/>
        <v>1.5922361764414894E-3</v>
      </c>
      <c r="Z113" s="14">
        <f t="shared" si="35"/>
        <v>2.4203696307501287E-3</v>
      </c>
      <c r="AA113" s="14">
        <f t="shared" si="35"/>
        <v>4.5649005709923699E-3</v>
      </c>
      <c r="AB113" s="58"/>
      <c r="AC113" s="60">
        <v>51</v>
      </c>
      <c r="AD113" s="14">
        <f t="shared" si="33"/>
        <v>1.4984106357613042E-3</v>
      </c>
      <c r="AE113" s="14">
        <f t="shared" si="33"/>
        <v>4.4137841734731408E-3</v>
      </c>
      <c r="AF113" s="14">
        <f t="shared" si="33"/>
        <v>1.6252430070484247E-3</v>
      </c>
      <c r="AG113" s="14">
        <f t="shared" si="33"/>
        <v>4.9748214062392097E-3</v>
      </c>
      <c r="AI113" s="60">
        <v>51</v>
      </c>
      <c r="AJ113" s="14">
        <f t="shared" si="36"/>
        <v>3.4951244225694556E-3</v>
      </c>
      <c r="AK113" s="14">
        <f t="shared" si="36"/>
        <v>2.6332422409257208E-3</v>
      </c>
      <c r="AL113" s="14">
        <f t="shared" si="36"/>
        <v>3.771384485031443E-3</v>
      </c>
      <c r="AM113" s="14">
        <f t="shared" si="36"/>
        <v>5.54089525048416E-3</v>
      </c>
      <c r="AO113" s="60">
        <v>51</v>
      </c>
      <c r="AP113" s="14">
        <f t="shared" si="37"/>
        <v>2.2757681191050961E-3</v>
      </c>
      <c r="AQ113" s="14">
        <f t="shared" si="37"/>
        <v>4.2746462002109745E-3</v>
      </c>
      <c r="AR113" s="14">
        <f t="shared" si="37"/>
        <v>4.4750116392931315E-3</v>
      </c>
      <c r="AS113" s="14">
        <f t="shared" si="37"/>
        <v>6.7176453201552456E-3</v>
      </c>
    </row>
    <row r="114" spans="1:45" x14ac:dyDescent="0.2">
      <c r="A114" s="105"/>
      <c r="B114" s="107"/>
      <c r="C114" s="107"/>
      <c r="D114" s="107"/>
      <c r="E114" s="107"/>
      <c r="G114" s="113"/>
      <c r="H114" s="114"/>
      <c r="I114" s="114"/>
      <c r="J114" s="114"/>
      <c r="K114" s="114"/>
      <c r="L114" s="18"/>
      <c r="M114" s="18"/>
      <c r="N114" s="18"/>
      <c r="O114" s="18"/>
      <c r="P114" s="18"/>
      <c r="W114" s="60">
        <v>52</v>
      </c>
      <c r="X114" s="14">
        <f t="shared" si="34"/>
        <v>1.1516446414394409E-3</v>
      </c>
      <c r="Y114" s="14">
        <f t="shared" si="35"/>
        <v>1.5884793094383975E-3</v>
      </c>
      <c r="Z114" s="14">
        <f t="shared" si="35"/>
        <v>2.4028762724473554E-3</v>
      </c>
      <c r="AA114" s="14">
        <f t="shared" si="35"/>
        <v>4.5502618616180554E-3</v>
      </c>
      <c r="AB114" s="58"/>
      <c r="AC114" s="60">
        <v>52</v>
      </c>
      <c r="AD114" s="14">
        <f t="shared" si="33"/>
        <v>1.4880884614255009E-3</v>
      </c>
      <c r="AE114" s="14">
        <f t="shared" si="33"/>
        <v>4.4033506567964335E-3</v>
      </c>
      <c r="AF114" s="14">
        <f t="shared" si="33"/>
        <v>1.6134759430423162E-3</v>
      </c>
      <c r="AG114" s="14">
        <f t="shared" si="33"/>
        <v>4.9587753492103433E-3</v>
      </c>
      <c r="AI114" s="60">
        <v>52</v>
      </c>
      <c r="AJ114" s="14">
        <f t="shared" si="36"/>
        <v>3.4711374567781158E-3</v>
      </c>
      <c r="AK114" s="14">
        <f t="shared" si="36"/>
        <v>2.6270463228877865E-3</v>
      </c>
      <c r="AL114" s="14">
        <f t="shared" si="36"/>
        <v>3.7440525249821371E-3</v>
      </c>
      <c r="AM114" s="14">
        <f t="shared" si="36"/>
        <v>5.5229428388272562E-3</v>
      </c>
      <c r="AO114" s="60">
        <v>52</v>
      </c>
      <c r="AP114" s="14">
        <f t="shared" si="37"/>
        <v>2.2601595068091323E-3</v>
      </c>
      <c r="AQ114" s="14">
        <f t="shared" si="37"/>
        <v>4.2647225715809062E-3</v>
      </c>
      <c r="AR114" s="14">
        <f t="shared" si="37"/>
        <v>4.4426777182821342E-3</v>
      </c>
      <c r="AS114" s="14">
        <f t="shared" si="37"/>
        <v>6.6958033232805371E-3</v>
      </c>
    </row>
    <row r="115" spans="1:45" x14ac:dyDescent="0.2">
      <c r="A115" s="105"/>
      <c r="B115" s="107"/>
      <c r="C115" s="107"/>
      <c r="D115" s="107"/>
      <c r="E115" s="107"/>
      <c r="G115" s="113"/>
      <c r="H115" s="114"/>
      <c r="I115" s="114"/>
      <c r="J115" s="114"/>
      <c r="K115" s="114"/>
      <c r="L115" s="18"/>
      <c r="M115" s="18"/>
      <c r="N115" s="18"/>
      <c r="O115" s="18"/>
      <c r="P115" s="18"/>
      <c r="W115" s="60">
        <v>53</v>
      </c>
      <c r="X115" s="14">
        <f t="shared" si="34"/>
        <v>1.1436816678197922E-3</v>
      </c>
      <c r="Y115" s="14">
        <f t="shared" si="35"/>
        <v>1.5847224424353054E-3</v>
      </c>
      <c r="Z115" s="14">
        <f t="shared" si="35"/>
        <v>2.3853829141445822E-3</v>
      </c>
      <c r="AA115" s="14">
        <f t="shared" si="35"/>
        <v>4.535623152243741E-3</v>
      </c>
      <c r="AB115" s="58"/>
      <c r="AC115" s="60">
        <v>53</v>
      </c>
      <c r="AD115" s="14">
        <f t="shared" si="33"/>
        <v>1.4777662870896974E-3</v>
      </c>
      <c r="AE115" s="14">
        <f t="shared" si="33"/>
        <v>4.3929171401197271E-3</v>
      </c>
      <c r="AF115" s="14">
        <f t="shared" si="33"/>
        <v>1.6017088790362078E-3</v>
      </c>
      <c r="AG115" s="14">
        <f t="shared" si="33"/>
        <v>4.9427292921814768E-3</v>
      </c>
      <c r="AI115" s="60">
        <v>53</v>
      </c>
      <c r="AJ115" s="14">
        <f t="shared" si="36"/>
        <v>3.4471504909867759E-3</v>
      </c>
      <c r="AK115" s="14">
        <f t="shared" si="36"/>
        <v>2.6208504048498516E-3</v>
      </c>
      <c r="AL115" s="14">
        <f t="shared" si="36"/>
        <v>3.7167205649328312E-3</v>
      </c>
      <c r="AM115" s="14">
        <f t="shared" si="36"/>
        <v>5.5049904271703524E-3</v>
      </c>
      <c r="AO115" s="60">
        <v>53</v>
      </c>
      <c r="AP115" s="14">
        <f t="shared" si="37"/>
        <v>2.2445508945131689E-3</v>
      </c>
      <c r="AQ115" s="14">
        <f t="shared" si="37"/>
        <v>4.2547989429508378E-3</v>
      </c>
      <c r="AR115" s="14">
        <f t="shared" si="37"/>
        <v>4.4103437972711377E-3</v>
      </c>
      <c r="AS115" s="14">
        <f t="shared" si="37"/>
        <v>6.6739613264058285E-3</v>
      </c>
    </row>
    <row r="116" spans="1:45" x14ac:dyDescent="0.2">
      <c r="A116" s="105"/>
      <c r="B116" s="107"/>
      <c r="C116" s="107"/>
      <c r="D116" s="107"/>
      <c r="E116" s="107"/>
      <c r="G116" s="113"/>
      <c r="H116" s="114"/>
      <c r="I116" s="114"/>
      <c r="J116" s="114"/>
      <c r="K116" s="114"/>
      <c r="L116" s="18"/>
      <c r="M116" s="18"/>
      <c r="N116" s="18"/>
      <c r="O116" s="18"/>
      <c r="P116" s="18"/>
      <c r="W116" s="60">
        <v>54</v>
      </c>
      <c r="X116" s="14">
        <f t="shared" si="34"/>
        <v>1.1357186942001437E-3</v>
      </c>
      <c r="Y116" s="14">
        <f t="shared" si="35"/>
        <v>1.5809655754322133E-3</v>
      </c>
      <c r="Z116" s="14">
        <f t="shared" si="35"/>
        <v>2.367889555841809E-3</v>
      </c>
      <c r="AA116" s="14">
        <f t="shared" si="35"/>
        <v>4.5209844428694265E-3</v>
      </c>
      <c r="AB116" s="58"/>
      <c r="AC116" s="60">
        <v>54</v>
      </c>
      <c r="AD116" s="14">
        <f t="shared" si="33"/>
        <v>1.4674441127538939E-3</v>
      </c>
      <c r="AE116" s="14">
        <f t="shared" si="33"/>
        <v>4.3824836234430198E-3</v>
      </c>
      <c r="AF116" s="14">
        <f t="shared" si="33"/>
        <v>1.5899418150300995E-3</v>
      </c>
      <c r="AG116" s="14">
        <f t="shared" si="33"/>
        <v>4.9266832351526112E-3</v>
      </c>
      <c r="AI116" s="60">
        <v>54</v>
      </c>
      <c r="AJ116" s="14">
        <f t="shared" si="36"/>
        <v>3.4231635251954357E-3</v>
      </c>
      <c r="AK116" s="14">
        <f t="shared" si="36"/>
        <v>2.6146544868119173E-3</v>
      </c>
      <c r="AL116" s="14">
        <f t="shared" si="36"/>
        <v>3.6893886048835253E-3</v>
      </c>
      <c r="AM116" s="14">
        <f t="shared" si="36"/>
        <v>5.4870380155134487E-3</v>
      </c>
      <c r="AO116" s="60">
        <v>54</v>
      </c>
      <c r="AP116" s="14">
        <f t="shared" si="37"/>
        <v>2.2289422822172052E-3</v>
      </c>
      <c r="AQ116" s="14">
        <f t="shared" si="37"/>
        <v>4.2448753143207694E-3</v>
      </c>
      <c r="AR116" s="14">
        <f t="shared" si="37"/>
        <v>4.3780098762601404E-3</v>
      </c>
      <c r="AS116" s="14">
        <f t="shared" si="37"/>
        <v>6.6521193295311191E-3</v>
      </c>
    </row>
    <row r="117" spans="1:45" x14ac:dyDescent="0.2">
      <c r="A117" s="105"/>
      <c r="B117" s="107"/>
      <c r="C117" s="107"/>
      <c r="D117" s="107"/>
      <c r="E117" s="107"/>
      <c r="G117" s="113"/>
      <c r="H117" s="114"/>
      <c r="I117" s="114"/>
      <c r="J117" s="114"/>
      <c r="K117" s="114"/>
      <c r="L117" s="18"/>
      <c r="M117" s="18"/>
      <c r="N117" s="18"/>
      <c r="O117" s="18"/>
      <c r="P117" s="18"/>
      <c r="W117" s="60">
        <v>55</v>
      </c>
      <c r="X117" s="14">
        <f t="shared" si="34"/>
        <v>1.127755720580495E-3</v>
      </c>
      <c r="Y117" s="14">
        <f t="shared" si="35"/>
        <v>1.5772087084291212E-3</v>
      </c>
      <c r="Z117" s="14">
        <f t="shared" si="35"/>
        <v>2.3503961975390357E-3</v>
      </c>
      <c r="AA117" s="14">
        <f t="shared" si="35"/>
        <v>4.506345733495112E-3</v>
      </c>
      <c r="AB117" s="58"/>
      <c r="AC117" s="60">
        <v>55</v>
      </c>
      <c r="AD117" s="14">
        <f t="shared" si="33"/>
        <v>1.4571219384180907E-3</v>
      </c>
      <c r="AE117" s="14">
        <f t="shared" si="33"/>
        <v>4.3720501067663134E-3</v>
      </c>
      <c r="AF117" s="14">
        <f t="shared" si="33"/>
        <v>1.5781747510239909E-3</v>
      </c>
      <c r="AG117" s="14">
        <f t="shared" si="33"/>
        <v>4.9106371781237447E-3</v>
      </c>
      <c r="AI117" s="60">
        <v>55</v>
      </c>
      <c r="AJ117" s="14">
        <f t="shared" si="36"/>
        <v>3.3991765594040962E-3</v>
      </c>
      <c r="AK117" s="14">
        <f t="shared" si="36"/>
        <v>2.6084585687739829E-3</v>
      </c>
      <c r="AL117" s="14">
        <f t="shared" si="36"/>
        <v>3.6620566448342198E-3</v>
      </c>
      <c r="AM117" s="14">
        <f t="shared" si="36"/>
        <v>5.4690856038565449E-3</v>
      </c>
      <c r="AO117" s="60">
        <v>55</v>
      </c>
      <c r="AP117" s="14">
        <f t="shared" si="37"/>
        <v>2.2133336699212414E-3</v>
      </c>
      <c r="AQ117" s="14">
        <f t="shared" si="37"/>
        <v>4.2349516856907002E-3</v>
      </c>
      <c r="AR117" s="14">
        <f t="shared" si="37"/>
        <v>4.3456759552491439E-3</v>
      </c>
      <c r="AS117" s="14">
        <f t="shared" si="37"/>
        <v>6.6302773326564098E-3</v>
      </c>
    </row>
    <row r="118" spans="1:45" x14ac:dyDescent="0.2">
      <c r="A118" s="105"/>
      <c r="B118" s="107"/>
      <c r="C118" s="107"/>
      <c r="D118" s="107"/>
      <c r="E118" s="107"/>
      <c r="G118" s="113"/>
      <c r="H118" s="114"/>
      <c r="I118" s="114"/>
      <c r="J118" s="114"/>
      <c r="K118" s="114"/>
      <c r="L118" s="18"/>
      <c r="M118" s="18"/>
      <c r="N118" s="18"/>
      <c r="O118" s="18"/>
      <c r="P118" s="18"/>
      <c r="W118" s="60">
        <v>56</v>
      </c>
      <c r="X118" s="14">
        <f t="shared" si="34"/>
        <v>1.1197927469608466E-3</v>
      </c>
      <c r="Y118" s="14">
        <f t="shared" si="35"/>
        <v>1.5734518414260291E-3</v>
      </c>
      <c r="Z118" s="14">
        <f t="shared" si="35"/>
        <v>2.3329028392362625E-3</v>
      </c>
      <c r="AA118" s="14">
        <f t="shared" si="35"/>
        <v>4.4917070241207975E-3</v>
      </c>
      <c r="AB118" s="58"/>
      <c r="AC118" s="60">
        <v>56</v>
      </c>
      <c r="AD118" s="14">
        <f t="shared" si="33"/>
        <v>1.4467997640822874E-3</v>
      </c>
      <c r="AE118" s="14">
        <f t="shared" si="33"/>
        <v>4.3616165900896061E-3</v>
      </c>
      <c r="AF118" s="14">
        <f t="shared" si="33"/>
        <v>1.5664076870178824E-3</v>
      </c>
      <c r="AG118" s="14">
        <f t="shared" si="33"/>
        <v>4.8945911210948791E-3</v>
      </c>
      <c r="AI118" s="60">
        <v>56</v>
      </c>
      <c r="AJ118" s="14">
        <f t="shared" si="36"/>
        <v>3.375189593612756E-3</v>
      </c>
      <c r="AK118" s="14">
        <f t="shared" si="36"/>
        <v>2.6022626507360485E-3</v>
      </c>
      <c r="AL118" s="14">
        <f t="shared" si="36"/>
        <v>3.6347246847849143E-3</v>
      </c>
      <c r="AM118" s="14">
        <f t="shared" si="36"/>
        <v>5.4511331921996411E-3</v>
      </c>
      <c r="AO118" s="60">
        <v>56</v>
      </c>
      <c r="AP118" s="14">
        <f t="shared" si="37"/>
        <v>2.197725057625278E-3</v>
      </c>
      <c r="AQ118" s="14">
        <f t="shared" si="37"/>
        <v>4.2250280570606319E-3</v>
      </c>
      <c r="AR118" s="14">
        <f t="shared" si="37"/>
        <v>4.3133420342381466E-3</v>
      </c>
      <c r="AS118" s="14">
        <f t="shared" si="37"/>
        <v>6.6084353357817012E-3</v>
      </c>
    </row>
    <row r="119" spans="1:45" x14ac:dyDescent="0.2">
      <c r="G119" s="113"/>
      <c r="H119" s="114"/>
      <c r="I119" s="114"/>
      <c r="J119" s="114"/>
      <c r="K119" s="114"/>
      <c r="L119" s="18"/>
      <c r="M119" s="18"/>
      <c r="N119" s="18"/>
      <c r="O119" s="18"/>
      <c r="P119" s="18"/>
      <c r="W119" s="60">
        <v>57</v>
      </c>
      <c r="X119" s="14">
        <f t="shared" si="34"/>
        <v>1.1118297733411979E-3</v>
      </c>
      <c r="Y119" s="14">
        <f t="shared" si="35"/>
        <v>1.569694974422937E-3</v>
      </c>
      <c r="Z119" s="14">
        <f t="shared" si="35"/>
        <v>2.3154094809334893E-3</v>
      </c>
      <c r="AA119" s="14">
        <f t="shared" si="35"/>
        <v>4.4770683147464822E-3</v>
      </c>
      <c r="AB119" s="58"/>
      <c r="AC119" s="60">
        <v>57</v>
      </c>
      <c r="AD119" s="14">
        <f t="shared" si="33"/>
        <v>1.4364775897464841E-3</v>
      </c>
      <c r="AE119" s="14">
        <f t="shared" si="33"/>
        <v>4.3511830734128988E-3</v>
      </c>
      <c r="AF119" s="14">
        <f t="shared" si="33"/>
        <v>1.554640623011774E-3</v>
      </c>
      <c r="AG119" s="14">
        <f t="shared" si="33"/>
        <v>4.8785450640660127E-3</v>
      </c>
      <c r="AI119" s="60">
        <v>57</v>
      </c>
      <c r="AJ119" s="14">
        <f t="shared" si="36"/>
        <v>3.3512026278214166E-3</v>
      </c>
      <c r="AK119" s="14">
        <f t="shared" si="36"/>
        <v>2.5960667326981142E-3</v>
      </c>
      <c r="AL119" s="14">
        <f t="shared" si="36"/>
        <v>3.6073927247356084E-3</v>
      </c>
      <c r="AM119" s="14">
        <f t="shared" si="36"/>
        <v>5.4331807805427373E-3</v>
      </c>
      <c r="AO119" s="60">
        <v>57</v>
      </c>
      <c r="AP119" s="14">
        <f t="shared" si="37"/>
        <v>2.1821164453293142E-3</v>
      </c>
      <c r="AQ119" s="14">
        <f t="shared" si="37"/>
        <v>4.2151044284305635E-3</v>
      </c>
      <c r="AR119" s="14">
        <f t="shared" si="37"/>
        <v>4.2810081132271492E-3</v>
      </c>
      <c r="AS119" s="14">
        <f t="shared" si="37"/>
        <v>6.5865933389069927E-3</v>
      </c>
    </row>
    <row r="120" spans="1:45" x14ac:dyDescent="0.2">
      <c r="G120" s="113"/>
      <c r="H120" s="114"/>
      <c r="I120" s="114"/>
      <c r="J120" s="114"/>
      <c r="K120" s="114"/>
      <c r="L120" s="18"/>
      <c r="M120" s="18"/>
      <c r="N120" s="18"/>
      <c r="O120" s="18"/>
      <c r="P120" s="18"/>
      <c r="W120" s="60">
        <v>58</v>
      </c>
      <c r="X120" s="14">
        <f t="shared" si="34"/>
        <v>1.1038667997215492E-3</v>
      </c>
      <c r="Y120" s="14">
        <f t="shared" si="35"/>
        <v>1.5659381074198449E-3</v>
      </c>
      <c r="Z120" s="14">
        <f t="shared" si="35"/>
        <v>2.297916122630716E-3</v>
      </c>
      <c r="AA120" s="14">
        <f t="shared" si="35"/>
        <v>4.4624296053721677E-3</v>
      </c>
      <c r="AB120" s="58"/>
      <c r="AC120" s="60">
        <v>58</v>
      </c>
      <c r="AD120" s="14">
        <f t="shared" si="33"/>
        <v>1.4261554154106806E-3</v>
      </c>
      <c r="AE120" s="14">
        <f t="shared" si="33"/>
        <v>4.3407495567361924E-3</v>
      </c>
      <c r="AF120" s="14">
        <f t="shared" si="33"/>
        <v>1.5428735590056657E-3</v>
      </c>
      <c r="AG120" s="14">
        <f t="shared" si="33"/>
        <v>4.8624990070371462E-3</v>
      </c>
      <c r="AI120" s="60">
        <v>58</v>
      </c>
      <c r="AJ120" s="14">
        <f t="shared" si="36"/>
        <v>3.3272156620300763E-3</v>
      </c>
      <c r="AK120" s="14">
        <f t="shared" si="36"/>
        <v>2.5898708146601798E-3</v>
      </c>
      <c r="AL120" s="14">
        <f t="shared" si="36"/>
        <v>3.5800607646863025E-3</v>
      </c>
      <c r="AM120" s="14">
        <f t="shared" si="36"/>
        <v>5.4152283688858327E-3</v>
      </c>
      <c r="AO120" s="60">
        <v>58</v>
      </c>
      <c r="AP120" s="14">
        <f t="shared" si="37"/>
        <v>2.1665078330333504E-3</v>
      </c>
      <c r="AQ120" s="14">
        <f t="shared" si="37"/>
        <v>4.2051807998004951E-3</v>
      </c>
      <c r="AR120" s="14">
        <f t="shared" si="37"/>
        <v>4.2486741922161527E-3</v>
      </c>
      <c r="AS120" s="14">
        <f t="shared" si="37"/>
        <v>6.5647513420322833E-3</v>
      </c>
    </row>
    <row r="121" spans="1:45" x14ac:dyDescent="0.2">
      <c r="G121" s="18"/>
      <c r="H121" s="18"/>
      <c r="I121" s="18"/>
      <c r="J121" s="18"/>
      <c r="K121" s="18"/>
      <c r="L121" s="18"/>
      <c r="M121" s="18"/>
      <c r="N121" s="18"/>
      <c r="O121" s="18"/>
      <c r="P121" s="18"/>
      <c r="W121" s="60">
        <v>59</v>
      </c>
      <c r="X121" s="14">
        <f t="shared" si="34"/>
        <v>1.0959038261019005E-3</v>
      </c>
      <c r="Y121" s="14">
        <f t="shared" si="35"/>
        <v>1.5621812404167531E-3</v>
      </c>
      <c r="Z121" s="14">
        <f t="shared" si="35"/>
        <v>2.2804227643279428E-3</v>
      </c>
      <c r="AA121" s="14">
        <f t="shared" si="35"/>
        <v>4.4477908959978532E-3</v>
      </c>
      <c r="AB121" s="58"/>
      <c r="AC121" s="60">
        <v>59</v>
      </c>
      <c r="AD121" s="14">
        <f t="shared" si="33"/>
        <v>1.4158332410748771E-3</v>
      </c>
      <c r="AE121" s="14">
        <f t="shared" si="33"/>
        <v>4.3303160400594851E-3</v>
      </c>
      <c r="AF121" s="14">
        <f t="shared" si="33"/>
        <v>1.5311064949995574E-3</v>
      </c>
      <c r="AG121" s="14">
        <f t="shared" si="33"/>
        <v>4.8464529500082806E-3</v>
      </c>
      <c r="AI121" s="60">
        <v>59</v>
      </c>
      <c r="AJ121" s="14">
        <f t="shared" si="36"/>
        <v>3.3032286962387369E-3</v>
      </c>
      <c r="AK121" s="14">
        <f t="shared" si="36"/>
        <v>2.5836748966222454E-3</v>
      </c>
      <c r="AL121" s="14">
        <f t="shared" si="36"/>
        <v>3.5527288046369966E-3</v>
      </c>
      <c r="AM121" s="14">
        <f t="shared" si="36"/>
        <v>5.3972759572289298E-3</v>
      </c>
      <c r="AO121" s="60">
        <v>59</v>
      </c>
      <c r="AP121" s="14">
        <f t="shared" si="37"/>
        <v>2.1508992207373871E-3</v>
      </c>
      <c r="AQ121" s="14">
        <f t="shared" si="37"/>
        <v>4.1952571711704268E-3</v>
      </c>
      <c r="AR121" s="14">
        <f t="shared" si="37"/>
        <v>4.2163402712051554E-3</v>
      </c>
      <c r="AS121" s="14">
        <f t="shared" si="37"/>
        <v>6.5429093451575748E-3</v>
      </c>
    </row>
    <row r="122" spans="1:45" x14ac:dyDescent="0.2">
      <c r="G122" s="18"/>
      <c r="H122" s="18"/>
      <c r="I122" s="18"/>
      <c r="J122" s="18"/>
      <c r="K122" s="18"/>
      <c r="L122" s="18"/>
      <c r="M122" s="18"/>
      <c r="N122" s="18"/>
      <c r="O122" s="18"/>
      <c r="P122" s="18"/>
      <c r="AB122" s="58"/>
    </row>
    <row r="123" spans="1:45" x14ac:dyDescent="0.2">
      <c r="G123" s="18"/>
      <c r="H123" s="18"/>
      <c r="I123" s="18"/>
      <c r="J123" s="18"/>
      <c r="K123" s="18"/>
      <c r="L123" s="18"/>
      <c r="M123" s="18"/>
      <c r="N123" s="18"/>
      <c r="O123" s="18"/>
      <c r="P123" s="18"/>
    </row>
    <row r="124" spans="1:45" x14ac:dyDescent="0.2">
      <c r="G124" s="18"/>
      <c r="H124" s="18"/>
      <c r="I124" s="18"/>
      <c r="J124" s="18"/>
      <c r="K124" s="18"/>
      <c r="L124" s="18"/>
      <c r="M124" s="18"/>
      <c r="N124" s="18"/>
      <c r="O124" s="18"/>
      <c r="P124" s="18"/>
    </row>
    <row r="125" spans="1:45" x14ac:dyDescent="0.2">
      <c r="G125" s="18"/>
      <c r="H125" s="18"/>
      <c r="I125" s="18"/>
      <c r="J125" s="18"/>
      <c r="K125" s="18"/>
      <c r="L125" s="18"/>
      <c r="M125" s="18"/>
      <c r="N125" s="18"/>
      <c r="O125" s="18"/>
      <c r="P125" s="18"/>
    </row>
    <row r="126" spans="1:45" x14ac:dyDescent="0.2">
      <c r="G126" s="18"/>
      <c r="H126" s="18"/>
      <c r="I126" s="18"/>
      <c r="J126" s="18"/>
      <c r="K126" s="18"/>
      <c r="L126" s="18"/>
      <c r="M126" s="18"/>
      <c r="N126" s="18"/>
      <c r="O126" s="18"/>
      <c r="P126" s="18"/>
    </row>
    <row r="127" spans="1:45" x14ac:dyDescent="0.2">
      <c r="G127" s="18"/>
      <c r="H127" s="18"/>
      <c r="I127" s="18"/>
      <c r="J127" s="18"/>
      <c r="K127" s="18"/>
      <c r="L127" s="18"/>
      <c r="M127" s="18"/>
      <c r="N127" s="18"/>
      <c r="O127" s="18"/>
      <c r="P127" s="18"/>
    </row>
    <row r="128" spans="1:45" x14ac:dyDescent="0.2">
      <c r="G128" s="18"/>
      <c r="H128" s="18"/>
      <c r="I128" s="18"/>
      <c r="J128" s="18"/>
      <c r="K128" s="18"/>
      <c r="L128" s="18"/>
      <c r="M128" s="18"/>
      <c r="N128" s="18"/>
      <c r="O128" s="18"/>
      <c r="P128" s="18"/>
    </row>
    <row r="129" spans="7:16" x14ac:dyDescent="0.2">
      <c r="G129" s="18"/>
      <c r="H129" s="18"/>
      <c r="I129" s="18"/>
      <c r="J129" s="18"/>
      <c r="K129" s="18"/>
      <c r="L129" s="18"/>
      <c r="M129" s="18"/>
      <c r="N129" s="18"/>
      <c r="O129" s="18"/>
      <c r="P129" s="18"/>
    </row>
    <row r="130" spans="7:16" x14ac:dyDescent="0.2">
      <c r="G130" s="18"/>
      <c r="H130" s="18"/>
      <c r="I130" s="18"/>
      <c r="J130" s="18"/>
      <c r="K130" s="18"/>
      <c r="L130" s="18"/>
      <c r="M130" s="18"/>
      <c r="N130" s="18"/>
      <c r="O130" s="18"/>
      <c r="P130" s="18"/>
    </row>
    <row r="131" spans="7:16" x14ac:dyDescent="0.2">
      <c r="G131" s="18"/>
      <c r="H131" s="18"/>
      <c r="I131" s="18"/>
      <c r="J131" s="18"/>
      <c r="K131" s="18"/>
      <c r="L131" s="18"/>
      <c r="M131" s="18"/>
      <c r="N131" s="18"/>
      <c r="O131" s="18"/>
      <c r="P131" s="18"/>
    </row>
    <row r="132" spans="7:16" x14ac:dyDescent="0.2">
      <c r="G132" s="18"/>
      <c r="H132" s="18"/>
      <c r="I132" s="18"/>
      <c r="J132" s="18"/>
      <c r="K132" s="18"/>
      <c r="L132" s="18"/>
      <c r="M132" s="18"/>
      <c r="N132" s="18"/>
      <c r="O132" s="18"/>
      <c r="P132" s="18"/>
    </row>
    <row r="133" spans="7:16" x14ac:dyDescent="0.2">
      <c r="G133" s="18"/>
      <c r="H133" s="18"/>
      <c r="I133" s="18"/>
      <c r="J133" s="18"/>
      <c r="K133" s="18"/>
      <c r="L133" s="18"/>
      <c r="M133" s="18"/>
      <c r="N133" s="18"/>
      <c r="O133" s="18"/>
      <c r="P133" s="18"/>
    </row>
    <row r="134" spans="7:16" x14ac:dyDescent="0.2">
      <c r="G134" s="18"/>
      <c r="H134" s="18"/>
      <c r="I134" s="18"/>
      <c r="J134" s="18"/>
      <c r="K134" s="18"/>
      <c r="L134" s="18"/>
      <c r="M134" s="18"/>
      <c r="N134" s="18"/>
      <c r="O134" s="18"/>
      <c r="P134" s="18"/>
    </row>
    <row r="135" spans="7:16" x14ac:dyDescent="0.2">
      <c r="G135" s="18"/>
      <c r="H135" s="18"/>
      <c r="I135" s="18"/>
      <c r="J135" s="18"/>
      <c r="K135" s="18"/>
      <c r="L135" s="18"/>
      <c r="M135" s="18"/>
      <c r="N135" s="18"/>
      <c r="O135" s="18"/>
      <c r="P135" s="18"/>
    </row>
    <row r="136" spans="7:16" x14ac:dyDescent="0.2">
      <c r="G136" s="18"/>
      <c r="H136" s="18"/>
      <c r="I136" s="18"/>
      <c r="J136" s="18"/>
      <c r="K136" s="18"/>
      <c r="L136" s="18"/>
      <c r="M136" s="18"/>
      <c r="N136" s="18"/>
      <c r="O136" s="18"/>
      <c r="P136" s="18"/>
    </row>
    <row r="137" spans="7:16" x14ac:dyDescent="0.2">
      <c r="G137" s="18"/>
      <c r="H137" s="18"/>
      <c r="I137" s="18"/>
      <c r="J137" s="18"/>
      <c r="K137" s="18"/>
      <c r="L137" s="18"/>
      <c r="M137" s="18"/>
      <c r="N137" s="18"/>
      <c r="O137" s="18"/>
      <c r="P137" s="18"/>
    </row>
    <row r="138" spans="7:16" x14ac:dyDescent="0.2">
      <c r="G138" s="18"/>
      <c r="H138" s="18"/>
      <c r="I138" s="18"/>
      <c r="J138" s="18"/>
      <c r="K138" s="18"/>
      <c r="L138" s="18"/>
      <c r="M138" s="18"/>
      <c r="N138" s="18"/>
      <c r="O138" s="18"/>
      <c r="P138" s="18"/>
    </row>
    <row r="139" spans="7:16" x14ac:dyDescent="0.2">
      <c r="G139" s="18"/>
      <c r="H139" s="18"/>
      <c r="I139" s="18"/>
      <c r="J139" s="18"/>
      <c r="K139" s="18"/>
      <c r="L139" s="18"/>
      <c r="M139" s="18"/>
      <c r="N139" s="18"/>
      <c r="O139" s="18"/>
      <c r="P139" s="18"/>
    </row>
    <row r="140" spans="7:16" x14ac:dyDescent="0.2">
      <c r="G140" s="18"/>
      <c r="H140" s="18"/>
      <c r="I140" s="18"/>
      <c r="J140" s="18"/>
      <c r="K140" s="18"/>
      <c r="L140" s="18"/>
      <c r="M140" s="18"/>
      <c r="N140" s="18"/>
      <c r="O140" s="18"/>
      <c r="P140" s="18"/>
    </row>
    <row r="141" spans="7:16" x14ac:dyDescent="0.2">
      <c r="G141" s="18"/>
      <c r="H141" s="18"/>
      <c r="I141" s="18"/>
      <c r="J141" s="18"/>
      <c r="K141" s="18"/>
      <c r="L141" s="18"/>
      <c r="M141" s="18"/>
      <c r="N141" s="18"/>
      <c r="O141" s="18"/>
      <c r="P141" s="18"/>
    </row>
    <row r="142" spans="7:16" x14ac:dyDescent="0.2">
      <c r="G142" s="18"/>
      <c r="H142" s="18"/>
      <c r="I142" s="18"/>
      <c r="J142" s="18"/>
      <c r="K142" s="18"/>
      <c r="L142" s="18"/>
      <c r="M142" s="18"/>
      <c r="N142" s="18"/>
      <c r="O142" s="18"/>
      <c r="P142" s="18"/>
    </row>
  </sheetData>
  <mergeCells count="16">
    <mergeCell ref="A62:E62"/>
    <mergeCell ref="A63:E63"/>
    <mergeCell ref="L63:P63"/>
    <mergeCell ref="G63:K65"/>
    <mergeCell ref="AI2:AM4"/>
    <mergeCell ref="AO2:AS4"/>
    <mergeCell ref="W64:AA66"/>
    <mergeCell ref="AC64:AG66"/>
    <mergeCell ref="AI64:AM66"/>
    <mergeCell ref="AO64:AS66"/>
    <mergeCell ref="AC2:AG4"/>
    <mergeCell ref="B7:G8"/>
    <mergeCell ref="B32:F34"/>
    <mergeCell ref="I2:M4"/>
    <mergeCell ref="P2:T4"/>
    <mergeCell ref="W2:AA4"/>
  </mergeCells>
  <phoneticPr fontId="2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6:AQ77"/>
  <sheetViews>
    <sheetView showGridLines="0" topLeftCell="A10" zoomScale="65" workbookViewId="0">
      <selection activeCell="E71" sqref="E71"/>
    </sheetView>
  </sheetViews>
  <sheetFormatPr baseColWidth="10" defaultColWidth="15.83203125" defaultRowHeight="16" x14ac:dyDescent="0.2"/>
  <cols>
    <col min="1" max="29" width="15.83203125" style="1"/>
    <col min="30" max="30" width="22" style="1" customWidth="1"/>
    <col min="31" max="16384" width="15.83203125" style="1"/>
  </cols>
  <sheetData>
    <row r="6" spans="3:43" x14ac:dyDescent="0.2">
      <c r="C6" s="95" t="s">
        <v>38</v>
      </c>
      <c r="D6" s="95"/>
      <c r="E6" s="95"/>
    </row>
    <row r="7" spans="3:43" ht="20.25" customHeight="1" x14ac:dyDescent="0.2">
      <c r="C7" s="95"/>
      <c r="D7" s="95"/>
      <c r="E7" s="95"/>
    </row>
    <row r="8" spans="3:43" ht="20.25" customHeight="1" x14ac:dyDescent="0.2">
      <c r="C8" s="28" t="s">
        <v>55</v>
      </c>
      <c r="D8" s="15"/>
      <c r="E8" s="30">
        <v>0.13</v>
      </c>
    </row>
    <row r="9" spans="3:43" ht="20.25" customHeight="1" x14ac:dyDescent="0.2">
      <c r="C9" s="28" t="s">
        <v>61</v>
      </c>
      <c r="D9" s="15"/>
      <c r="E9" s="31">
        <v>0.1</v>
      </c>
    </row>
    <row r="10" spans="3:43" ht="20.25" customHeight="1" x14ac:dyDescent="0.2">
      <c r="C10" s="28" t="s">
        <v>62</v>
      </c>
      <c r="D10" s="15"/>
      <c r="E10" s="31">
        <v>0.15</v>
      </c>
    </row>
    <row r="11" spans="3:43" ht="20.25" customHeight="1" x14ac:dyDescent="0.2">
      <c r="C11" s="29" t="s">
        <v>63</v>
      </c>
      <c r="D11" s="15"/>
      <c r="E11" s="31">
        <v>0.15</v>
      </c>
    </row>
    <row r="14" spans="3:43" ht="16" customHeight="1" x14ac:dyDescent="0.2">
      <c r="C14" s="96" t="s">
        <v>30</v>
      </c>
      <c r="D14" s="96"/>
      <c r="E14" s="96"/>
      <c r="F14" s="96"/>
      <c r="G14" s="96"/>
      <c r="H14" s="96"/>
      <c r="I14" s="96"/>
      <c r="J14" s="96"/>
      <c r="K14" s="96"/>
      <c r="L14" s="96"/>
      <c r="M14" s="96"/>
      <c r="N14" s="96"/>
      <c r="O14" s="96"/>
      <c r="R14" s="92" t="s">
        <v>44</v>
      </c>
      <c r="S14" s="92"/>
      <c r="T14" s="92"/>
      <c r="U14" s="92"/>
      <c r="V14" s="92"/>
      <c r="Y14" s="92" t="s">
        <v>45</v>
      </c>
      <c r="Z14" s="92"/>
      <c r="AA14" s="92"/>
      <c r="AB14" s="92"/>
      <c r="AC14" s="92"/>
      <c r="AF14" s="92" t="s">
        <v>46</v>
      </c>
      <c r="AG14" s="92"/>
      <c r="AH14" s="92"/>
      <c r="AI14" s="92"/>
      <c r="AJ14" s="92"/>
      <c r="AL14" s="92" t="s">
        <v>120</v>
      </c>
      <c r="AM14" s="92"/>
      <c r="AN14" s="92"/>
      <c r="AO14" s="92"/>
      <c r="AP14" s="92"/>
      <c r="AQ14" s="92"/>
    </row>
    <row r="15" spans="3:43" s="2" customFormat="1" ht="16" customHeight="1" x14ac:dyDescent="0.2">
      <c r="C15" s="96"/>
      <c r="D15" s="96"/>
      <c r="E15" s="96"/>
      <c r="F15" s="96"/>
      <c r="G15" s="96"/>
      <c r="H15" s="96"/>
      <c r="I15" s="96"/>
      <c r="J15" s="96"/>
      <c r="K15" s="96"/>
      <c r="L15" s="96"/>
      <c r="M15" s="96"/>
      <c r="N15" s="96"/>
      <c r="O15" s="96"/>
      <c r="R15" s="92"/>
      <c r="S15" s="92"/>
      <c r="T15" s="92"/>
      <c r="U15" s="92"/>
      <c r="V15" s="92"/>
      <c r="Y15" s="92"/>
      <c r="Z15" s="92"/>
      <c r="AA15" s="92"/>
      <c r="AB15" s="92"/>
      <c r="AC15" s="92"/>
      <c r="AF15" s="92"/>
      <c r="AG15" s="92"/>
      <c r="AH15" s="92"/>
      <c r="AI15" s="92"/>
      <c r="AJ15" s="92"/>
      <c r="AL15" s="92"/>
      <c r="AM15" s="92"/>
      <c r="AN15" s="92"/>
      <c r="AO15" s="92"/>
      <c r="AP15" s="92"/>
      <c r="AQ15" s="92"/>
    </row>
    <row r="16" spans="3:43" x14ac:dyDescent="0.2">
      <c r="C16" s="32"/>
      <c r="D16" s="23" t="s">
        <v>33</v>
      </c>
      <c r="E16" s="33"/>
      <c r="F16" s="33"/>
      <c r="G16" s="23" t="s">
        <v>34</v>
      </c>
      <c r="H16" s="33"/>
      <c r="I16" s="33"/>
      <c r="J16" s="23" t="s">
        <v>35</v>
      </c>
      <c r="K16" s="33"/>
      <c r="L16" s="33"/>
      <c r="M16" s="23" t="s">
        <v>36</v>
      </c>
      <c r="N16" s="33"/>
      <c r="O16" s="33"/>
      <c r="R16" s="19"/>
      <c r="S16" s="23" t="s">
        <v>33</v>
      </c>
      <c r="T16" s="23" t="s">
        <v>34</v>
      </c>
      <c r="U16" s="23" t="s">
        <v>35</v>
      </c>
      <c r="V16" s="23" t="s">
        <v>36</v>
      </c>
      <c r="Y16" s="19"/>
      <c r="Z16" s="23" t="s">
        <v>33</v>
      </c>
      <c r="AA16" s="23" t="s">
        <v>34</v>
      </c>
      <c r="AB16" s="23" t="s">
        <v>35</v>
      </c>
      <c r="AC16" s="23" t="s">
        <v>36</v>
      </c>
      <c r="AF16" s="19"/>
      <c r="AG16" s="23" t="s">
        <v>33</v>
      </c>
      <c r="AH16" s="23" t="s">
        <v>34</v>
      </c>
      <c r="AI16" s="23" t="s">
        <v>35</v>
      </c>
      <c r="AJ16" s="23" t="s">
        <v>36</v>
      </c>
      <c r="AL16" s="19"/>
      <c r="AM16" s="23" t="s">
        <v>33</v>
      </c>
      <c r="AN16" s="23" t="s">
        <v>34</v>
      </c>
      <c r="AO16" s="23" t="s">
        <v>35</v>
      </c>
      <c r="AP16" s="23" t="s">
        <v>36</v>
      </c>
      <c r="AQ16" s="93" t="s">
        <v>121</v>
      </c>
    </row>
    <row r="17" spans="3:43" x14ac:dyDescent="0.2">
      <c r="C17" s="24" t="s">
        <v>26</v>
      </c>
      <c r="D17" s="25" t="s">
        <v>31</v>
      </c>
      <c r="E17" s="25" t="s">
        <v>32</v>
      </c>
      <c r="F17" s="25" t="s">
        <v>37</v>
      </c>
      <c r="G17" s="25" t="s">
        <v>31</v>
      </c>
      <c r="H17" s="25" t="s">
        <v>32</v>
      </c>
      <c r="I17" s="25" t="s">
        <v>37</v>
      </c>
      <c r="J17" s="25" t="s">
        <v>31</v>
      </c>
      <c r="K17" s="25" t="s">
        <v>32</v>
      </c>
      <c r="L17" s="25" t="s">
        <v>37</v>
      </c>
      <c r="M17" s="25" t="s">
        <v>31</v>
      </c>
      <c r="N17" s="25" t="s">
        <v>32</v>
      </c>
      <c r="O17" s="25" t="s">
        <v>37</v>
      </c>
      <c r="R17" s="24" t="s">
        <v>26</v>
      </c>
      <c r="S17" s="25" t="s">
        <v>31</v>
      </c>
      <c r="T17" s="25" t="s">
        <v>31</v>
      </c>
      <c r="U17" s="25" t="s">
        <v>31</v>
      </c>
      <c r="V17" s="25" t="s">
        <v>31</v>
      </c>
      <c r="Y17" s="24" t="s">
        <v>26</v>
      </c>
      <c r="Z17" s="25" t="s">
        <v>31</v>
      </c>
      <c r="AA17" s="25" t="s">
        <v>31</v>
      </c>
      <c r="AB17" s="25" t="s">
        <v>31</v>
      </c>
      <c r="AC17" s="25" t="s">
        <v>31</v>
      </c>
      <c r="AF17" s="24" t="s">
        <v>26</v>
      </c>
      <c r="AG17" s="25" t="s">
        <v>31</v>
      </c>
      <c r="AH17" s="25" t="s">
        <v>31</v>
      </c>
      <c r="AI17" s="25" t="s">
        <v>31</v>
      </c>
      <c r="AJ17" s="25" t="s">
        <v>31</v>
      </c>
      <c r="AL17" s="24" t="s">
        <v>26</v>
      </c>
      <c r="AM17" s="25" t="s">
        <v>31</v>
      </c>
      <c r="AN17" s="25" t="s">
        <v>31</v>
      </c>
      <c r="AO17" s="25" t="s">
        <v>31</v>
      </c>
      <c r="AP17" s="25" t="s">
        <v>31</v>
      </c>
      <c r="AQ17" s="93"/>
    </row>
    <row r="18" spans="3:43" x14ac:dyDescent="0.2">
      <c r="C18" s="34">
        <v>7</v>
      </c>
      <c r="D18" s="4">
        <v>163736</v>
      </c>
      <c r="E18" s="16" t="s">
        <v>29</v>
      </c>
      <c r="F18" s="35" t="s">
        <v>29</v>
      </c>
      <c r="G18" s="4">
        <v>154121</v>
      </c>
      <c r="H18" s="16" t="s">
        <v>29</v>
      </c>
      <c r="I18" s="35" t="s">
        <v>29</v>
      </c>
      <c r="J18" s="4">
        <v>100398</v>
      </c>
      <c r="K18" s="16" t="s">
        <v>29</v>
      </c>
      <c r="L18" s="36" t="s">
        <v>29</v>
      </c>
      <c r="M18" s="4">
        <v>49617</v>
      </c>
      <c r="N18" s="16" t="s">
        <v>29</v>
      </c>
      <c r="O18" s="35" t="s">
        <v>29</v>
      </c>
      <c r="R18" s="34">
        <v>7</v>
      </c>
      <c r="S18" s="39">
        <v>163736</v>
      </c>
      <c r="T18" s="39">
        <v>154121</v>
      </c>
      <c r="U18" s="39">
        <v>100398</v>
      </c>
      <c r="V18" s="39">
        <v>49617</v>
      </c>
      <c r="Y18" s="34">
        <v>7</v>
      </c>
      <c r="Z18" s="39">
        <v>0</v>
      </c>
      <c r="AA18" s="39">
        <v>0</v>
      </c>
      <c r="AB18" s="39">
        <v>0</v>
      </c>
      <c r="AC18" s="39">
        <v>0</v>
      </c>
      <c r="AF18" s="34">
        <v>7</v>
      </c>
      <c r="AG18" s="39">
        <v>0</v>
      </c>
      <c r="AH18" s="39">
        <v>0</v>
      </c>
      <c r="AI18" s="39">
        <v>0</v>
      </c>
      <c r="AJ18" s="39">
        <v>0</v>
      </c>
      <c r="AL18" s="34">
        <v>7</v>
      </c>
      <c r="AM18" s="39">
        <f>(Z18)*'Pricing and Costs'!$C$22</f>
        <v>0</v>
      </c>
      <c r="AN18" s="39">
        <f>(AA18)*'Pricing and Costs'!$D$22</f>
        <v>0</v>
      </c>
      <c r="AO18" s="39">
        <f>(AB18)*'Pricing and Costs'!$E$22</f>
        <v>0</v>
      </c>
      <c r="AP18" s="39">
        <f>(AC18)*'Pricing and Costs'!$F$22</f>
        <v>0</v>
      </c>
      <c r="AQ18" s="3">
        <f>SUM(AM18:AP18)</f>
        <v>0</v>
      </c>
    </row>
    <row r="19" spans="3:43" x14ac:dyDescent="0.2">
      <c r="C19" s="34">
        <v>8</v>
      </c>
      <c r="D19" s="4">
        <v>178412</v>
      </c>
      <c r="E19" s="16" t="s">
        <v>29</v>
      </c>
      <c r="F19" s="37" t="s">
        <v>29</v>
      </c>
      <c r="G19" s="4">
        <v>152566</v>
      </c>
      <c r="H19" s="16" t="s">
        <v>29</v>
      </c>
      <c r="I19" s="36" t="s">
        <v>29</v>
      </c>
      <c r="J19" s="4">
        <v>96137</v>
      </c>
      <c r="K19" s="16" t="s">
        <v>29</v>
      </c>
      <c r="L19" s="36" t="s">
        <v>29</v>
      </c>
      <c r="M19" s="4">
        <v>49795</v>
      </c>
      <c r="N19" s="16" t="s">
        <v>29</v>
      </c>
      <c r="O19" s="37" t="s">
        <v>29</v>
      </c>
      <c r="R19" s="34">
        <v>8</v>
      </c>
      <c r="S19" s="39">
        <v>178412</v>
      </c>
      <c r="T19" s="39">
        <v>152566</v>
      </c>
      <c r="U19" s="39">
        <v>96137</v>
      </c>
      <c r="V19" s="39">
        <v>49795</v>
      </c>
      <c r="Y19" s="34">
        <v>8</v>
      </c>
      <c r="Z19" s="39">
        <f>IFERROR(IF($D18&gt;$S18,($D18-$S18)+$Z18-$AG18,IF($D18&lt;$S18,($S18-$D18)-$Z18+$AG18,0)),0)</f>
        <v>0</v>
      </c>
      <c r="AA19" s="39">
        <f>IFERROR(IF($G18&gt;$T18,($G18-$T18)+$AA18-$AH18,IF($G18&lt;$T18,($T18-$G18)-$AA18+$AH18,0)),0)</f>
        <v>0</v>
      </c>
      <c r="AB19" s="39">
        <f>IFERROR(IF($J18&gt;$U18,($J18-$U18)+$AB18-$AI18,IF($J18&lt;$U18,($U18-$J18)-$AB18+$AI18,0)),0)</f>
        <v>0</v>
      </c>
      <c r="AC19" s="39">
        <f>IFERROR(IF($M18&gt;$V18,($M18-$V18)+$AC18-$AJ18,IF($M18&lt;$V18,($V18-$M18)-$AC18+$AJ18,0)),0)</f>
        <v>0</v>
      </c>
      <c r="AF19" s="34">
        <v>8</v>
      </c>
      <c r="AG19" s="39">
        <v>0</v>
      </c>
      <c r="AH19" s="39">
        <v>0</v>
      </c>
      <c r="AI19" s="39">
        <v>0</v>
      </c>
      <c r="AJ19" s="39">
        <v>0</v>
      </c>
      <c r="AL19" s="34">
        <v>8</v>
      </c>
      <c r="AM19" s="39">
        <f>(Z19)*'Pricing and Costs'!$C$22</f>
        <v>0</v>
      </c>
      <c r="AN19" s="39">
        <f>(AA19)*'Pricing and Costs'!$D$22</f>
        <v>0</v>
      </c>
      <c r="AO19" s="39">
        <f>(AB19)*'Pricing and Costs'!$E$22</f>
        <v>0</v>
      </c>
      <c r="AP19" s="39">
        <f>(AC19)*'Pricing and Costs'!$F$22</f>
        <v>0</v>
      </c>
      <c r="AQ19" s="3">
        <f t="shared" ref="AQ19:AQ70" si="0">SUM(AM19:AP19)</f>
        <v>0</v>
      </c>
    </row>
    <row r="20" spans="3:43" x14ac:dyDescent="0.2">
      <c r="C20" s="34">
        <v>9</v>
      </c>
      <c r="D20" s="4">
        <v>170397</v>
      </c>
      <c r="E20" s="16" t="s">
        <v>29</v>
      </c>
      <c r="F20" s="37" t="s">
        <v>29</v>
      </c>
      <c r="G20" s="4">
        <v>157613</v>
      </c>
      <c r="H20" s="16" t="s">
        <v>29</v>
      </c>
      <c r="I20" s="35" t="s">
        <v>29</v>
      </c>
      <c r="J20" s="4">
        <v>94491</v>
      </c>
      <c r="K20" s="16" t="s">
        <v>29</v>
      </c>
      <c r="L20" s="36" t="s">
        <v>29</v>
      </c>
      <c r="M20" s="4">
        <v>54869</v>
      </c>
      <c r="N20" s="16" t="s">
        <v>29</v>
      </c>
      <c r="O20" s="37" t="s">
        <v>29</v>
      </c>
      <c r="R20" s="34">
        <v>9</v>
      </c>
      <c r="S20" s="39">
        <v>170397</v>
      </c>
      <c r="T20" s="39">
        <v>157613</v>
      </c>
      <c r="U20" s="39">
        <v>94491</v>
      </c>
      <c r="V20" s="39">
        <v>54869</v>
      </c>
      <c r="Y20" s="34">
        <v>9</v>
      </c>
      <c r="Z20" s="39">
        <f t="shared" ref="Z20:Z27" si="1">IFERROR(IF($D19&gt;$S19,($D19-$S19)+$Z19-$AG19,IF($D19&lt;$S19,($S19-$D19)-$Z2+$AG19,0)),0)</f>
        <v>0</v>
      </c>
      <c r="AA20" s="39">
        <f t="shared" ref="AA20:AA47" si="2">IFERROR(IF($G19&gt;$T19,($G19-$T19)+$AA19-$AH19,IF($G19&lt;$T19,($T19-$G19)-$AA19+$AH19,0)),0)</f>
        <v>0</v>
      </c>
      <c r="AB20" s="39">
        <f t="shared" ref="AB20:AB46" si="3">IFERROR(IF($J19&gt;$U19,($J19-$U19)+$AB19-$AI19,IF($J19&lt;$U19,($U19-$J19)-$AB19+$AI19,0)),0)</f>
        <v>0</v>
      </c>
      <c r="AC20" s="39">
        <f t="shared" ref="AC20:AC47" si="4">IFERROR(IF($M19&gt;$V19,($M19-$V19)+$AC19-$AJ19,IF($M19&lt;$V19,($V19-$M19)-$AC19+$AJ19,0)),0)</f>
        <v>0</v>
      </c>
      <c r="AF20" s="34">
        <v>9</v>
      </c>
      <c r="AG20" s="39">
        <v>0</v>
      </c>
      <c r="AH20" s="39">
        <v>0</v>
      </c>
      <c r="AI20" s="39">
        <v>0</v>
      </c>
      <c r="AJ20" s="39">
        <v>0</v>
      </c>
      <c r="AL20" s="34">
        <v>9</v>
      </c>
      <c r="AM20" s="39">
        <f>(Z20)*'Pricing and Costs'!$C$22</f>
        <v>0</v>
      </c>
      <c r="AN20" s="39">
        <f>(AA20)*'Pricing and Costs'!$D$22</f>
        <v>0</v>
      </c>
      <c r="AO20" s="39">
        <f>(AB20)*'Pricing and Costs'!$E$22</f>
        <v>0</v>
      </c>
      <c r="AP20" s="39">
        <f>(AC20)*'Pricing and Costs'!$F$22</f>
        <v>0</v>
      </c>
      <c r="AQ20" s="3">
        <f t="shared" si="0"/>
        <v>0</v>
      </c>
    </row>
    <row r="21" spans="3:43" x14ac:dyDescent="0.2">
      <c r="C21" s="34">
        <v>10</v>
      </c>
      <c r="D21" s="4">
        <v>176245</v>
      </c>
      <c r="E21" s="16" t="s">
        <v>29</v>
      </c>
      <c r="F21" s="37" t="s">
        <v>29</v>
      </c>
      <c r="G21" s="4">
        <v>147898</v>
      </c>
      <c r="H21" s="16" t="s">
        <v>29</v>
      </c>
      <c r="I21" s="36" t="s">
        <v>29</v>
      </c>
      <c r="J21" s="4">
        <v>105218</v>
      </c>
      <c r="K21" s="16" t="s">
        <v>29</v>
      </c>
      <c r="L21" s="36" t="s">
        <v>29</v>
      </c>
      <c r="M21" s="4">
        <v>51886</v>
      </c>
      <c r="N21" s="16" t="s">
        <v>29</v>
      </c>
      <c r="O21" s="37" t="s">
        <v>29</v>
      </c>
      <c r="R21" s="34">
        <v>10</v>
      </c>
      <c r="S21" s="39">
        <v>176245</v>
      </c>
      <c r="T21" s="39">
        <v>147898</v>
      </c>
      <c r="U21" s="39">
        <v>105218</v>
      </c>
      <c r="V21" s="39">
        <v>51886</v>
      </c>
      <c r="Y21" s="34">
        <v>10</v>
      </c>
      <c r="Z21" s="39">
        <f t="shared" si="1"/>
        <v>0</v>
      </c>
      <c r="AA21" s="39">
        <f t="shared" si="2"/>
        <v>0</v>
      </c>
      <c r="AB21" s="39">
        <f t="shared" si="3"/>
        <v>0</v>
      </c>
      <c r="AC21" s="39">
        <f t="shared" si="4"/>
        <v>0</v>
      </c>
      <c r="AF21" s="34">
        <v>10</v>
      </c>
      <c r="AG21" s="39">
        <v>0</v>
      </c>
      <c r="AH21" s="39">
        <v>0</v>
      </c>
      <c r="AI21" s="39">
        <v>0</v>
      </c>
      <c r="AJ21" s="39">
        <v>0</v>
      </c>
      <c r="AL21" s="34">
        <v>10</v>
      </c>
      <c r="AM21" s="39">
        <f>(Z21)*'Pricing and Costs'!$C$22</f>
        <v>0</v>
      </c>
      <c r="AN21" s="39">
        <f>(AA21)*'Pricing and Costs'!$D$22</f>
        <v>0</v>
      </c>
      <c r="AO21" s="39">
        <f>(AB21)*'Pricing and Costs'!$E$22</f>
        <v>0</v>
      </c>
      <c r="AP21" s="39">
        <f>(AC21)*'Pricing and Costs'!$F$22</f>
        <v>0</v>
      </c>
      <c r="AQ21" s="3">
        <f t="shared" si="0"/>
        <v>0</v>
      </c>
    </row>
    <row r="22" spans="3:43" x14ac:dyDescent="0.2">
      <c r="C22" s="34">
        <v>11</v>
      </c>
      <c r="D22" s="4">
        <v>172112</v>
      </c>
      <c r="E22" s="16" t="s">
        <v>29</v>
      </c>
      <c r="F22" s="37" t="s">
        <v>29</v>
      </c>
      <c r="G22" s="4">
        <v>156184</v>
      </c>
      <c r="H22" s="16" t="s">
        <v>29</v>
      </c>
      <c r="I22" s="36" t="s">
        <v>29</v>
      </c>
      <c r="J22" s="4">
        <v>104197</v>
      </c>
      <c r="K22" s="16" t="s">
        <v>29</v>
      </c>
      <c r="L22" s="36" t="s">
        <v>29</v>
      </c>
      <c r="M22" s="4">
        <v>54377</v>
      </c>
      <c r="N22" s="16" t="s">
        <v>29</v>
      </c>
      <c r="O22" s="37" t="s">
        <v>29</v>
      </c>
      <c r="R22" s="34">
        <v>11</v>
      </c>
      <c r="S22" s="39">
        <v>172112</v>
      </c>
      <c r="T22" s="39">
        <v>156184</v>
      </c>
      <c r="U22" s="39">
        <v>104197</v>
      </c>
      <c r="V22" s="39">
        <v>54377</v>
      </c>
      <c r="Y22" s="34">
        <v>11</v>
      </c>
      <c r="Z22" s="39">
        <f t="shared" si="1"/>
        <v>0</v>
      </c>
      <c r="AA22" s="39">
        <f>IFERROR(IF($G21&gt;$T21,($G21-$T21)+$AA21-$AH21,IF($G21&lt;$T21,($T21-$G21)-$AA21+$AH21,0)),0)</f>
        <v>0</v>
      </c>
      <c r="AB22" s="39">
        <f t="shared" si="3"/>
        <v>0</v>
      </c>
      <c r="AC22" s="39">
        <f t="shared" si="4"/>
        <v>0</v>
      </c>
      <c r="AF22" s="34">
        <v>11</v>
      </c>
      <c r="AG22" s="39">
        <v>0</v>
      </c>
      <c r="AH22" s="39">
        <v>0</v>
      </c>
      <c r="AI22" s="39">
        <v>0</v>
      </c>
      <c r="AJ22" s="39">
        <v>0</v>
      </c>
      <c r="AL22" s="34">
        <v>11</v>
      </c>
      <c r="AM22" s="39">
        <f>(Z22)*'Pricing and Costs'!$C$22</f>
        <v>0</v>
      </c>
      <c r="AN22" s="39">
        <f>(AA22)*'Pricing and Costs'!$D$22</f>
        <v>0</v>
      </c>
      <c r="AO22" s="39">
        <f>(AB22)*'Pricing and Costs'!$E$22</f>
        <v>0</v>
      </c>
      <c r="AP22" s="39">
        <f>(AC22)*'Pricing and Costs'!$F$22</f>
        <v>0</v>
      </c>
      <c r="AQ22" s="3">
        <f t="shared" si="0"/>
        <v>0</v>
      </c>
    </row>
    <row r="23" spans="3:43" x14ac:dyDescent="0.2">
      <c r="C23" s="34">
        <v>12</v>
      </c>
      <c r="D23" s="4">
        <v>182341</v>
      </c>
      <c r="E23" s="16" t="s">
        <v>29</v>
      </c>
      <c r="F23" s="37" t="s">
        <v>29</v>
      </c>
      <c r="G23" s="4">
        <v>151617</v>
      </c>
      <c r="H23" s="16" t="s">
        <v>29</v>
      </c>
      <c r="I23" s="36" t="s">
        <v>29</v>
      </c>
      <c r="J23" s="4">
        <v>103991</v>
      </c>
      <c r="K23" s="16" t="s">
        <v>29</v>
      </c>
      <c r="L23" s="36" t="s">
        <v>29</v>
      </c>
      <c r="M23" s="4">
        <v>49720</v>
      </c>
      <c r="N23" s="16" t="s">
        <v>29</v>
      </c>
      <c r="O23" s="37" t="s">
        <v>29</v>
      </c>
      <c r="R23" s="34">
        <v>12</v>
      </c>
      <c r="S23" s="39">
        <v>182341</v>
      </c>
      <c r="T23" s="39">
        <v>151617</v>
      </c>
      <c r="U23" s="39">
        <v>103991</v>
      </c>
      <c r="V23" s="39">
        <v>49720</v>
      </c>
      <c r="Y23" s="34">
        <v>12</v>
      </c>
      <c r="Z23" s="39">
        <f t="shared" si="1"/>
        <v>0</v>
      </c>
      <c r="AA23" s="39">
        <f>IFERROR(IF($G22&gt;$T22,($G22-$T22)+$AA22-$AH22,IF($G22&lt;$T22,($T22-$G22)-$AA22+$AH22,0)),0)</f>
        <v>0</v>
      </c>
      <c r="AB23" s="39">
        <f t="shared" si="3"/>
        <v>0</v>
      </c>
      <c r="AC23" s="39">
        <f t="shared" si="4"/>
        <v>0</v>
      </c>
      <c r="AF23" s="34">
        <v>12</v>
      </c>
      <c r="AG23" s="39">
        <v>0</v>
      </c>
      <c r="AH23" s="39">
        <v>0</v>
      </c>
      <c r="AI23" s="39">
        <v>0</v>
      </c>
      <c r="AJ23" s="39">
        <v>0</v>
      </c>
      <c r="AL23" s="34">
        <v>12</v>
      </c>
      <c r="AM23" s="39">
        <f>(Z23)*'Pricing and Costs'!$C$22</f>
        <v>0</v>
      </c>
      <c r="AN23" s="39">
        <f>(AA23)*'Pricing and Costs'!$D$22</f>
        <v>0</v>
      </c>
      <c r="AO23" s="39">
        <f>(AB23)*'Pricing and Costs'!$E$22</f>
        <v>0</v>
      </c>
      <c r="AP23" s="39">
        <f>(AC23)*'Pricing and Costs'!$F$22</f>
        <v>0</v>
      </c>
      <c r="AQ23" s="3">
        <f t="shared" si="0"/>
        <v>0</v>
      </c>
    </row>
    <row r="24" spans="3:43" x14ac:dyDescent="0.2">
      <c r="C24" s="34">
        <v>13</v>
      </c>
      <c r="D24" s="4">
        <v>195932</v>
      </c>
      <c r="E24" s="16" t="s">
        <v>29</v>
      </c>
      <c r="F24" s="37" t="s">
        <v>29</v>
      </c>
      <c r="G24" s="4">
        <v>158364</v>
      </c>
      <c r="H24" s="16" t="s">
        <v>29</v>
      </c>
      <c r="I24" s="36" t="s">
        <v>29</v>
      </c>
      <c r="J24" s="4">
        <v>97811</v>
      </c>
      <c r="K24" s="16" t="s">
        <v>29</v>
      </c>
      <c r="L24" s="36" t="s">
        <v>29</v>
      </c>
      <c r="M24" s="4">
        <v>53142</v>
      </c>
      <c r="N24" s="16" t="s">
        <v>29</v>
      </c>
      <c r="O24" s="37" t="s">
        <v>29</v>
      </c>
      <c r="R24" s="34">
        <v>13</v>
      </c>
      <c r="S24" s="39">
        <v>195932</v>
      </c>
      <c r="T24" s="39">
        <v>158364</v>
      </c>
      <c r="U24" s="39">
        <v>97811</v>
      </c>
      <c r="V24" s="39">
        <v>53142</v>
      </c>
      <c r="Y24" s="34">
        <v>13</v>
      </c>
      <c r="Z24" s="39">
        <f t="shared" si="1"/>
        <v>0</v>
      </c>
      <c r="AA24" s="39">
        <f>IFERROR(IF($G23&gt;$T23,($G23-$T23)+$AA23-$AH23,IF($G23&lt;$T23,($T23-$G23)-$AA23+$AH23,0)),0)</f>
        <v>0</v>
      </c>
      <c r="AB24" s="39">
        <f t="shared" si="3"/>
        <v>0</v>
      </c>
      <c r="AC24" s="39">
        <f t="shared" si="4"/>
        <v>0</v>
      </c>
      <c r="AF24" s="34">
        <v>13</v>
      </c>
      <c r="AG24" s="39">
        <v>0</v>
      </c>
      <c r="AH24" s="39">
        <v>0</v>
      </c>
      <c r="AI24" s="39">
        <v>0</v>
      </c>
      <c r="AJ24" s="39">
        <v>0</v>
      </c>
      <c r="AL24" s="34">
        <v>13</v>
      </c>
      <c r="AM24" s="39">
        <f>(Z24)*'Pricing and Costs'!$C$22</f>
        <v>0</v>
      </c>
      <c r="AN24" s="39">
        <f>(AA24)*'Pricing and Costs'!$D$22</f>
        <v>0</v>
      </c>
      <c r="AO24" s="39">
        <f>(AB24)*'Pricing and Costs'!$E$22</f>
        <v>0</v>
      </c>
      <c r="AP24" s="39">
        <f>(AC24)*'Pricing and Costs'!$F$22</f>
        <v>0</v>
      </c>
      <c r="AQ24" s="3">
        <f t="shared" si="0"/>
        <v>0</v>
      </c>
    </row>
    <row r="25" spans="3:43" x14ac:dyDescent="0.2">
      <c r="C25" s="34">
        <v>14</v>
      </c>
      <c r="D25" s="4">
        <v>199356</v>
      </c>
      <c r="E25" s="16" t="s">
        <v>29</v>
      </c>
      <c r="F25" s="37" t="s">
        <v>29</v>
      </c>
      <c r="G25" s="4">
        <v>151371</v>
      </c>
      <c r="H25" s="16" t="s">
        <v>29</v>
      </c>
      <c r="I25" s="36" t="s">
        <v>29</v>
      </c>
      <c r="J25" s="4">
        <v>84195</v>
      </c>
      <c r="K25" s="16" t="s">
        <v>29</v>
      </c>
      <c r="L25" s="36" t="s">
        <v>29</v>
      </c>
      <c r="M25" s="4">
        <v>57619</v>
      </c>
      <c r="N25" s="16" t="s">
        <v>29</v>
      </c>
      <c r="O25" s="37" t="s">
        <v>29</v>
      </c>
      <c r="R25" s="34">
        <v>14</v>
      </c>
      <c r="S25" s="39">
        <v>199356</v>
      </c>
      <c r="T25" s="39">
        <v>151371</v>
      </c>
      <c r="U25" s="39">
        <v>84195</v>
      </c>
      <c r="V25" s="39">
        <v>57619</v>
      </c>
      <c r="Y25" s="34">
        <v>14</v>
      </c>
      <c r="Z25" s="39">
        <f t="shared" si="1"/>
        <v>0</v>
      </c>
      <c r="AA25" s="39">
        <f t="shared" si="2"/>
        <v>0</v>
      </c>
      <c r="AB25" s="39">
        <f t="shared" si="3"/>
        <v>0</v>
      </c>
      <c r="AC25" s="39">
        <f t="shared" si="4"/>
        <v>0</v>
      </c>
      <c r="AF25" s="34">
        <v>14</v>
      </c>
      <c r="AG25" s="39">
        <v>0</v>
      </c>
      <c r="AH25" s="39">
        <v>0</v>
      </c>
      <c r="AI25" s="39">
        <v>0</v>
      </c>
      <c r="AJ25" s="39">
        <v>0</v>
      </c>
      <c r="AL25" s="34">
        <v>14</v>
      </c>
      <c r="AM25" s="39">
        <f>(Z25)*'Pricing and Costs'!$C$22</f>
        <v>0</v>
      </c>
      <c r="AN25" s="39">
        <f>(AA25)*'Pricing and Costs'!$D$22</f>
        <v>0</v>
      </c>
      <c r="AO25" s="39">
        <f>(AB25)*'Pricing and Costs'!$E$22</f>
        <v>0</v>
      </c>
      <c r="AP25" s="39">
        <f>(AC25)*'Pricing and Costs'!$F$22</f>
        <v>0</v>
      </c>
      <c r="AQ25" s="3">
        <f t="shared" si="0"/>
        <v>0</v>
      </c>
    </row>
    <row r="26" spans="3:43" x14ac:dyDescent="0.2">
      <c r="C26" s="34">
        <v>15</v>
      </c>
      <c r="D26" s="4">
        <v>182296</v>
      </c>
      <c r="E26" s="16" t="s">
        <v>29</v>
      </c>
      <c r="F26" s="37" t="s">
        <v>29</v>
      </c>
      <c r="G26" s="4">
        <v>155286</v>
      </c>
      <c r="H26" s="16" t="s">
        <v>29</v>
      </c>
      <c r="I26" s="36" t="s">
        <v>29</v>
      </c>
      <c r="J26" s="4">
        <v>85131</v>
      </c>
      <c r="K26" s="16" t="s">
        <v>29</v>
      </c>
      <c r="L26" s="36" t="s">
        <v>29</v>
      </c>
      <c r="M26" s="4">
        <v>50884</v>
      </c>
      <c r="N26" s="16" t="s">
        <v>29</v>
      </c>
      <c r="O26" s="37" t="s">
        <v>29</v>
      </c>
      <c r="R26" s="34">
        <v>15</v>
      </c>
      <c r="S26" s="39">
        <v>182296</v>
      </c>
      <c r="T26" s="39">
        <v>155286</v>
      </c>
      <c r="U26" s="39">
        <v>85131</v>
      </c>
      <c r="V26" s="39">
        <v>50884</v>
      </c>
      <c r="Y26" s="34">
        <v>15</v>
      </c>
      <c r="Z26" s="39">
        <f t="shared" si="1"/>
        <v>0</v>
      </c>
      <c r="AA26" s="39">
        <f>IFERROR(IF($G25&gt;$T25,($G25-$T25)+$AA25-$AH25,IF($G25&lt;$T25,($T25-$G25)-$AA25+$AH25,0)),0)</f>
        <v>0</v>
      </c>
      <c r="AB26" s="39">
        <f t="shared" si="3"/>
        <v>0</v>
      </c>
      <c r="AC26" s="39">
        <f t="shared" si="4"/>
        <v>0</v>
      </c>
      <c r="AF26" s="34">
        <v>15</v>
      </c>
      <c r="AG26" s="39">
        <v>0</v>
      </c>
      <c r="AH26" s="39">
        <v>0</v>
      </c>
      <c r="AI26" s="39">
        <v>0</v>
      </c>
      <c r="AJ26" s="39">
        <v>0</v>
      </c>
      <c r="AL26" s="34">
        <v>15</v>
      </c>
      <c r="AM26" s="39">
        <f>(Z26)*'Pricing and Costs'!$C$22</f>
        <v>0</v>
      </c>
      <c r="AN26" s="39">
        <f>(AA26)*'Pricing and Costs'!$D$22</f>
        <v>0</v>
      </c>
      <c r="AO26" s="39">
        <f>(AB26)*'Pricing and Costs'!$E$22</f>
        <v>0</v>
      </c>
      <c r="AP26" s="39">
        <f>(AC26)*'Pricing and Costs'!$F$22</f>
        <v>0</v>
      </c>
      <c r="AQ26" s="3">
        <f t="shared" si="0"/>
        <v>0</v>
      </c>
    </row>
    <row r="27" spans="3:43" x14ac:dyDescent="0.2">
      <c r="C27" s="34">
        <v>16</v>
      </c>
      <c r="D27" s="4">
        <v>190347</v>
      </c>
      <c r="E27" s="16" t="s">
        <v>29</v>
      </c>
      <c r="F27" s="37" t="s">
        <v>29</v>
      </c>
      <c r="G27" s="4">
        <v>153507</v>
      </c>
      <c r="H27" s="16" t="s">
        <v>29</v>
      </c>
      <c r="I27" s="36" t="s">
        <v>29</v>
      </c>
      <c r="J27" s="4">
        <v>81897</v>
      </c>
      <c r="K27" s="16" t="s">
        <v>29</v>
      </c>
      <c r="L27" s="36" t="s">
        <v>29</v>
      </c>
      <c r="M27" s="4">
        <v>58592</v>
      </c>
      <c r="N27" s="16" t="s">
        <v>29</v>
      </c>
      <c r="O27" s="37" t="s">
        <v>29</v>
      </c>
      <c r="R27" s="34">
        <v>16</v>
      </c>
      <c r="S27" s="39">
        <v>190347</v>
      </c>
      <c r="T27" s="39">
        <v>153507</v>
      </c>
      <c r="U27" s="39">
        <v>81897</v>
      </c>
      <c r="V27" s="39">
        <v>58592</v>
      </c>
      <c r="Y27" s="34">
        <v>16</v>
      </c>
      <c r="Z27" s="39">
        <f t="shared" si="1"/>
        <v>0</v>
      </c>
      <c r="AA27" s="39">
        <f>IFERROR(IF($G26&gt;$T26,($G26-$T26)+$AA26-$AH26,IF($G26&lt;$T26,($T26-$G26)-$AA26+$AH26,0)),0)</f>
        <v>0</v>
      </c>
      <c r="AB27" s="39">
        <f t="shared" si="3"/>
        <v>0</v>
      </c>
      <c r="AC27" s="39">
        <f t="shared" si="4"/>
        <v>0</v>
      </c>
      <c r="AF27" s="34">
        <v>16</v>
      </c>
      <c r="AG27" s="39">
        <v>0</v>
      </c>
      <c r="AH27" s="39">
        <v>0</v>
      </c>
      <c r="AI27" s="39">
        <v>0</v>
      </c>
      <c r="AJ27" s="39">
        <v>0</v>
      </c>
      <c r="AL27" s="34">
        <v>16</v>
      </c>
      <c r="AM27" s="39">
        <f>(Z27)*'Pricing and Costs'!$C$22</f>
        <v>0</v>
      </c>
      <c r="AN27" s="39">
        <f>(AA27)*'Pricing and Costs'!$D$22</f>
        <v>0</v>
      </c>
      <c r="AO27" s="39">
        <f>(AB27)*'Pricing and Costs'!$E$22</f>
        <v>0</v>
      </c>
      <c r="AP27" s="39">
        <f>(AC27)*'Pricing and Costs'!$F$22</f>
        <v>0</v>
      </c>
      <c r="AQ27" s="3">
        <f t="shared" si="0"/>
        <v>0</v>
      </c>
    </row>
    <row r="28" spans="3:43" x14ac:dyDescent="0.2">
      <c r="C28" s="34">
        <v>17</v>
      </c>
      <c r="D28" s="4">
        <v>174161</v>
      </c>
      <c r="E28" s="16" t="s">
        <v>29</v>
      </c>
      <c r="F28" s="37" t="s">
        <v>29</v>
      </c>
      <c r="G28" s="4">
        <v>144088</v>
      </c>
      <c r="H28" s="16" t="s">
        <v>29</v>
      </c>
      <c r="I28" s="36" t="s">
        <v>29</v>
      </c>
      <c r="J28" s="4">
        <v>91686</v>
      </c>
      <c r="K28" s="16" t="s">
        <v>29</v>
      </c>
      <c r="L28" s="36" t="s">
        <v>29</v>
      </c>
      <c r="M28" s="4">
        <v>59582</v>
      </c>
      <c r="N28" s="16" t="s">
        <v>29</v>
      </c>
      <c r="O28" s="37" t="s">
        <v>29</v>
      </c>
      <c r="R28" s="34">
        <v>17</v>
      </c>
      <c r="S28" s="39">
        <v>174161</v>
      </c>
      <c r="T28" s="39">
        <v>144088</v>
      </c>
      <c r="U28" s="39">
        <v>91686</v>
      </c>
      <c r="V28" s="39">
        <v>59582</v>
      </c>
      <c r="Y28" s="34">
        <v>17</v>
      </c>
      <c r="Z28" s="39">
        <f t="shared" ref="Z28:Z47" si="5">IFERROR(IF($D27&gt;$S27,($D27-$S27)+$Z27-$AG27,IF($D27&lt;$S27,($S27-$D27)-$Z11+$AG27,0)),0)</f>
        <v>0</v>
      </c>
      <c r="AA28" s="39">
        <f>IFERROR(IF($G27&gt;$T27,($G27-$T27)+$AA27-$AH27,IF($G27&lt;$T27,($T27-$G27)-$AA27+$AH27,0)),0)</f>
        <v>0</v>
      </c>
      <c r="AB28" s="39">
        <f t="shared" si="3"/>
        <v>0</v>
      </c>
      <c r="AC28" s="39">
        <f t="shared" si="4"/>
        <v>0</v>
      </c>
      <c r="AF28" s="34">
        <v>17</v>
      </c>
      <c r="AG28" s="39">
        <v>0</v>
      </c>
      <c r="AH28" s="39">
        <v>0</v>
      </c>
      <c r="AI28" s="39">
        <v>0</v>
      </c>
      <c r="AJ28" s="39">
        <v>0</v>
      </c>
      <c r="AL28" s="34">
        <v>17</v>
      </c>
      <c r="AM28" s="39">
        <f>(Z28)*'Pricing and Costs'!$C$22</f>
        <v>0</v>
      </c>
      <c r="AN28" s="39">
        <f>(AA28)*'Pricing and Costs'!$D$22</f>
        <v>0</v>
      </c>
      <c r="AO28" s="39">
        <f>(AB28)*'Pricing and Costs'!$E$22</f>
        <v>0</v>
      </c>
      <c r="AP28" s="39">
        <f>(AC28)*'Pricing and Costs'!$F$22</f>
        <v>0</v>
      </c>
      <c r="AQ28" s="3">
        <f t="shared" si="0"/>
        <v>0</v>
      </c>
    </row>
    <row r="29" spans="3:43" x14ac:dyDescent="0.2">
      <c r="C29" s="34">
        <v>18</v>
      </c>
      <c r="D29" s="4">
        <v>170665</v>
      </c>
      <c r="E29" s="16" t="s">
        <v>29</v>
      </c>
      <c r="F29" s="37" t="s">
        <v>29</v>
      </c>
      <c r="G29" s="4">
        <v>148360</v>
      </c>
      <c r="H29" s="16" t="s">
        <v>29</v>
      </c>
      <c r="I29" s="36" t="s">
        <v>29</v>
      </c>
      <c r="J29" s="4">
        <v>100344</v>
      </c>
      <c r="K29" s="16" t="s">
        <v>29</v>
      </c>
      <c r="L29" s="36" t="s">
        <v>29</v>
      </c>
      <c r="M29" s="4">
        <v>60381</v>
      </c>
      <c r="N29" s="16" t="s">
        <v>29</v>
      </c>
      <c r="O29" s="37" t="s">
        <v>29</v>
      </c>
      <c r="R29" s="34">
        <v>18</v>
      </c>
      <c r="S29" s="39">
        <v>170665</v>
      </c>
      <c r="T29" s="39">
        <v>148360</v>
      </c>
      <c r="U29" s="39">
        <v>100344</v>
      </c>
      <c r="V29" s="39">
        <v>60381</v>
      </c>
      <c r="Y29" s="34">
        <v>18</v>
      </c>
      <c r="Z29" s="39">
        <f t="shared" si="5"/>
        <v>0</v>
      </c>
      <c r="AA29" s="39">
        <f>IFERROR(IF($G28&gt;$T28,($G28-$T28)+$AA28-$AH28,IF($G28&lt;$T28,($T28-$G28)-$AA28+$AH28,0)),0)</f>
        <v>0</v>
      </c>
      <c r="AB29" s="39">
        <f t="shared" si="3"/>
        <v>0</v>
      </c>
      <c r="AC29" s="39">
        <f t="shared" si="4"/>
        <v>0</v>
      </c>
      <c r="AF29" s="34">
        <v>18</v>
      </c>
      <c r="AG29" s="39">
        <v>0</v>
      </c>
      <c r="AH29" s="39">
        <v>0</v>
      </c>
      <c r="AI29" s="39">
        <v>0</v>
      </c>
      <c r="AJ29" s="39">
        <v>0</v>
      </c>
      <c r="AL29" s="34">
        <v>18</v>
      </c>
      <c r="AM29" s="39">
        <f>(Z29)*'Pricing and Costs'!$C$22</f>
        <v>0</v>
      </c>
      <c r="AN29" s="39">
        <f>(AA29)*'Pricing and Costs'!$D$22</f>
        <v>0</v>
      </c>
      <c r="AO29" s="39">
        <f>(AB29)*'Pricing and Costs'!$E$22</f>
        <v>0</v>
      </c>
      <c r="AP29" s="39">
        <f>(AC29)*'Pricing and Costs'!$F$22</f>
        <v>0</v>
      </c>
      <c r="AQ29" s="3">
        <f t="shared" si="0"/>
        <v>0</v>
      </c>
    </row>
    <row r="30" spans="3:43" x14ac:dyDescent="0.2">
      <c r="C30" s="34">
        <v>19</v>
      </c>
      <c r="D30" s="4">
        <v>161677</v>
      </c>
      <c r="E30" s="16" t="s">
        <v>29</v>
      </c>
      <c r="F30" s="37" t="s">
        <v>29</v>
      </c>
      <c r="G30" s="4">
        <v>151487</v>
      </c>
      <c r="H30" s="16" t="s">
        <v>29</v>
      </c>
      <c r="I30" s="36" t="s">
        <v>29</v>
      </c>
      <c r="J30" s="4">
        <v>96570</v>
      </c>
      <c r="K30" s="16" t="s">
        <v>29</v>
      </c>
      <c r="L30" s="36" t="s">
        <v>29</v>
      </c>
      <c r="M30" s="4">
        <v>60334</v>
      </c>
      <c r="N30" s="16" t="s">
        <v>29</v>
      </c>
      <c r="O30" s="37" t="s">
        <v>29</v>
      </c>
      <c r="R30" s="34">
        <v>19</v>
      </c>
      <c r="S30" s="39">
        <v>161677</v>
      </c>
      <c r="T30" s="39">
        <v>151487</v>
      </c>
      <c r="U30" s="39">
        <v>96570</v>
      </c>
      <c r="V30" s="39">
        <v>60334</v>
      </c>
      <c r="Y30" s="34">
        <v>19</v>
      </c>
      <c r="Z30" s="39">
        <f t="shared" si="5"/>
        <v>0</v>
      </c>
      <c r="AA30" s="39">
        <f>IFERROR(IF($G29&gt;$T29,($G29-$T29)+$AA29-$AH29,IF($G29&lt;$T29,($T29-$G29)-$AA29+$AH29,0)),0)</f>
        <v>0</v>
      </c>
      <c r="AB30" s="39">
        <f t="shared" si="3"/>
        <v>0</v>
      </c>
      <c r="AC30" s="39">
        <f t="shared" si="4"/>
        <v>0</v>
      </c>
      <c r="AF30" s="34">
        <v>19</v>
      </c>
      <c r="AG30" s="39">
        <v>0</v>
      </c>
      <c r="AH30" s="39">
        <v>0</v>
      </c>
      <c r="AI30" s="39">
        <v>0</v>
      </c>
      <c r="AJ30" s="39">
        <v>0</v>
      </c>
      <c r="AL30" s="34">
        <v>19</v>
      </c>
      <c r="AM30" s="39">
        <f>(Z30)*'Pricing and Costs'!$C$22</f>
        <v>0</v>
      </c>
      <c r="AN30" s="39">
        <f>(AA30)*'Pricing and Costs'!$D$22</f>
        <v>0</v>
      </c>
      <c r="AO30" s="39">
        <f>(AB30)*'Pricing and Costs'!$E$22</f>
        <v>0</v>
      </c>
      <c r="AP30" s="39">
        <f>(AC30)*'Pricing and Costs'!$F$22</f>
        <v>0</v>
      </c>
      <c r="AQ30" s="3">
        <f t="shared" si="0"/>
        <v>0</v>
      </c>
    </row>
    <row r="31" spans="3:43" x14ac:dyDescent="0.2">
      <c r="C31" s="34">
        <v>20</v>
      </c>
      <c r="D31" s="4">
        <v>161408</v>
      </c>
      <c r="E31" s="16" t="s">
        <v>29</v>
      </c>
      <c r="F31" s="37" t="s">
        <v>29</v>
      </c>
      <c r="G31" s="4">
        <v>143333</v>
      </c>
      <c r="H31" s="16" t="s">
        <v>29</v>
      </c>
      <c r="I31" s="36" t="s">
        <v>29</v>
      </c>
      <c r="J31" s="4">
        <v>96713</v>
      </c>
      <c r="K31" s="16" t="s">
        <v>29</v>
      </c>
      <c r="L31" s="36" t="s">
        <v>29</v>
      </c>
      <c r="M31" s="4">
        <v>60254</v>
      </c>
      <c r="N31" s="16" t="s">
        <v>29</v>
      </c>
      <c r="O31" s="37" t="s">
        <v>29</v>
      </c>
      <c r="R31" s="34">
        <v>20</v>
      </c>
      <c r="S31" s="39">
        <v>161408</v>
      </c>
      <c r="T31" s="39">
        <v>143333</v>
      </c>
      <c r="U31" s="39">
        <v>96713</v>
      </c>
      <c r="V31" s="39">
        <v>60254</v>
      </c>
      <c r="Y31" s="34">
        <v>20</v>
      </c>
      <c r="Z31" s="39">
        <f t="shared" si="5"/>
        <v>0</v>
      </c>
      <c r="AA31" s="39">
        <f t="shared" si="2"/>
        <v>0</v>
      </c>
      <c r="AB31" s="39">
        <f t="shared" si="3"/>
        <v>0</v>
      </c>
      <c r="AC31" s="39">
        <f t="shared" si="4"/>
        <v>0</v>
      </c>
      <c r="AF31" s="34">
        <v>20</v>
      </c>
      <c r="AG31" s="39">
        <v>0</v>
      </c>
      <c r="AH31" s="39">
        <v>0</v>
      </c>
      <c r="AI31" s="39">
        <v>0</v>
      </c>
      <c r="AJ31" s="39">
        <v>0</v>
      </c>
      <c r="AL31" s="34">
        <v>20</v>
      </c>
      <c r="AM31" s="39">
        <f>(Z31)*'Pricing and Costs'!$C$22</f>
        <v>0</v>
      </c>
      <c r="AN31" s="39">
        <f>(AA31)*'Pricing and Costs'!$D$22</f>
        <v>0</v>
      </c>
      <c r="AO31" s="39">
        <f>(AB31)*'Pricing and Costs'!$E$22</f>
        <v>0</v>
      </c>
      <c r="AP31" s="39">
        <f>(AC31)*'Pricing and Costs'!$F$22</f>
        <v>0</v>
      </c>
      <c r="AQ31" s="3">
        <f t="shared" si="0"/>
        <v>0</v>
      </c>
    </row>
    <row r="32" spans="3:43" x14ac:dyDescent="0.2">
      <c r="C32" s="34">
        <v>21</v>
      </c>
      <c r="D32" s="4">
        <v>181141</v>
      </c>
      <c r="E32" s="16" t="s">
        <v>29</v>
      </c>
      <c r="F32" s="37" t="s">
        <v>29</v>
      </c>
      <c r="G32" s="4">
        <v>142662</v>
      </c>
      <c r="H32" s="16" t="s">
        <v>29</v>
      </c>
      <c r="I32" s="36" t="s">
        <v>29</v>
      </c>
      <c r="J32" s="4">
        <v>111717</v>
      </c>
      <c r="K32" s="16" t="s">
        <v>29</v>
      </c>
      <c r="L32" s="36" t="s">
        <v>29</v>
      </c>
      <c r="M32" s="4">
        <v>65537</v>
      </c>
      <c r="N32" s="16" t="s">
        <v>29</v>
      </c>
      <c r="O32" s="37" t="s">
        <v>29</v>
      </c>
      <c r="R32" s="34">
        <v>21</v>
      </c>
      <c r="S32" s="39">
        <v>181141</v>
      </c>
      <c r="T32" s="39">
        <v>142662</v>
      </c>
      <c r="U32" s="39">
        <v>111717</v>
      </c>
      <c r="V32" s="39">
        <v>65537</v>
      </c>
      <c r="Y32" s="34">
        <v>21</v>
      </c>
      <c r="Z32" s="39">
        <f t="shared" si="5"/>
        <v>0</v>
      </c>
      <c r="AA32" s="39">
        <f t="shared" si="2"/>
        <v>0</v>
      </c>
      <c r="AB32" s="39">
        <f t="shared" si="3"/>
        <v>0</v>
      </c>
      <c r="AC32" s="39">
        <f t="shared" si="4"/>
        <v>0</v>
      </c>
      <c r="AF32" s="34">
        <v>21</v>
      </c>
      <c r="AG32" s="39">
        <v>0</v>
      </c>
      <c r="AH32" s="39">
        <v>0</v>
      </c>
      <c r="AI32" s="39">
        <v>0</v>
      </c>
      <c r="AJ32" s="39">
        <v>0</v>
      </c>
      <c r="AL32" s="34">
        <v>21</v>
      </c>
      <c r="AM32" s="39">
        <f>(Z32)*'Pricing and Costs'!$C$22</f>
        <v>0</v>
      </c>
      <c r="AN32" s="39">
        <f>(AA32)*'Pricing and Costs'!$D$22</f>
        <v>0</v>
      </c>
      <c r="AO32" s="39">
        <f>(AB32)*'Pricing and Costs'!$E$22</f>
        <v>0</v>
      </c>
      <c r="AP32" s="39">
        <f>(AC32)*'Pricing and Costs'!$F$22</f>
        <v>0</v>
      </c>
      <c r="AQ32" s="3">
        <f t="shared" si="0"/>
        <v>0</v>
      </c>
    </row>
    <row r="33" spans="3:43" x14ac:dyDescent="0.2">
      <c r="C33" s="34">
        <v>22</v>
      </c>
      <c r="D33" s="4">
        <v>179096</v>
      </c>
      <c r="E33" s="16" t="s">
        <v>29</v>
      </c>
      <c r="F33" s="37" t="s">
        <v>29</v>
      </c>
      <c r="G33" s="4">
        <v>142874</v>
      </c>
      <c r="H33" s="16" t="s">
        <v>29</v>
      </c>
      <c r="I33" s="36" t="s">
        <v>29</v>
      </c>
      <c r="J33" s="4">
        <v>100540</v>
      </c>
      <c r="K33" s="16" t="s">
        <v>29</v>
      </c>
      <c r="L33" s="36" t="s">
        <v>29</v>
      </c>
      <c r="M33" s="4">
        <v>59009</v>
      </c>
      <c r="N33" s="16" t="s">
        <v>29</v>
      </c>
      <c r="O33" s="37" t="s">
        <v>29</v>
      </c>
      <c r="R33" s="34">
        <v>22</v>
      </c>
      <c r="S33" s="39">
        <v>179096</v>
      </c>
      <c r="T33" s="39">
        <v>142874</v>
      </c>
      <c r="U33" s="39">
        <v>100540</v>
      </c>
      <c r="V33" s="39">
        <v>59009</v>
      </c>
      <c r="Y33" s="34">
        <v>22</v>
      </c>
      <c r="Z33" s="39">
        <f t="shared" si="5"/>
        <v>0</v>
      </c>
      <c r="AA33" s="39">
        <f t="shared" si="2"/>
        <v>0</v>
      </c>
      <c r="AB33" s="39">
        <f t="shared" si="3"/>
        <v>0</v>
      </c>
      <c r="AC33" s="39">
        <f t="shared" si="4"/>
        <v>0</v>
      </c>
      <c r="AF33" s="34">
        <v>22</v>
      </c>
      <c r="AG33" s="39">
        <v>0</v>
      </c>
      <c r="AH33" s="39">
        <v>0</v>
      </c>
      <c r="AI33" s="39">
        <v>0</v>
      </c>
      <c r="AJ33" s="39">
        <v>0</v>
      </c>
      <c r="AL33" s="34">
        <v>22</v>
      </c>
      <c r="AM33" s="39">
        <f>(Z33)*'Pricing and Costs'!$C$22</f>
        <v>0</v>
      </c>
      <c r="AN33" s="39">
        <f>(AA33)*'Pricing and Costs'!$D$22</f>
        <v>0</v>
      </c>
      <c r="AO33" s="39">
        <f>(AB33)*'Pricing and Costs'!$E$22</f>
        <v>0</v>
      </c>
      <c r="AP33" s="39">
        <f>(AC33)*'Pricing and Costs'!$F$22</f>
        <v>0</v>
      </c>
      <c r="AQ33" s="3">
        <f t="shared" si="0"/>
        <v>0</v>
      </c>
    </row>
    <row r="34" spans="3:43" x14ac:dyDescent="0.2">
      <c r="C34" s="34">
        <v>23</v>
      </c>
      <c r="D34" s="4">
        <v>182659</v>
      </c>
      <c r="E34" s="16" t="s">
        <v>29</v>
      </c>
      <c r="F34" s="37" t="s">
        <v>29</v>
      </c>
      <c r="G34" s="4">
        <v>144340</v>
      </c>
      <c r="H34" s="16" t="s">
        <v>29</v>
      </c>
      <c r="I34" s="36" t="s">
        <v>29</v>
      </c>
      <c r="J34" s="4">
        <v>98428</v>
      </c>
      <c r="K34" s="16" t="s">
        <v>29</v>
      </c>
      <c r="L34" s="36" t="s">
        <v>29</v>
      </c>
      <c r="M34" s="4">
        <v>66690</v>
      </c>
      <c r="N34" s="16" t="s">
        <v>29</v>
      </c>
      <c r="O34" s="37" t="s">
        <v>29</v>
      </c>
      <c r="R34" s="34">
        <v>23</v>
      </c>
      <c r="S34" s="39">
        <v>182659</v>
      </c>
      <c r="T34" s="39">
        <v>144340</v>
      </c>
      <c r="U34" s="39">
        <v>98428</v>
      </c>
      <c r="V34" s="39">
        <v>66690</v>
      </c>
      <c r="Y34" s="34">
        <v>23</v>
      </c>
      <c r="Z34" s="39">
        <f t="shared" si="5"/>
        <v>0</v>
      </c>
      <c r="AA34" s="39">
        <f t="shared" si="2"/>
        <v>0</v>
      </c>
      <c r="AB34" s="39">
        <f t="shared" si="3"/>
        <v>0</v>
      </c>
      <c r="AC34" s="39">
        <f t="shared" si="4"/>
        <v>0</v>
      </c>
      <c r="AF34" s="34">
        <v>23</v>
      </c>
      <c r="AG34" s="39">
        <v>0</v>
      </c>
      <c r="AH34" s="39">
        <v>0</v>
      </c>
      <c r="AI34" s="39">
        <v>0</v>
      </c>
      <c r="AJ34" s="39">
        <v>0</v>
      </c>
      <c r="AL34" s="34">
        <v>23</v>
      </c>
      <c r="AM34" s="39">
        <f>(Z34)*'Pricing and Costs'!$C$22</f>
        <v>0</v>
      </c>
      <c r="AN34" s="39">
        <f>(AA34)*'Pricing and Costs'!$D$22</f>
        <v>0</v>
      </c>
      <c r="AO34" s="39">
        <f>(AB34)*'Pricing and Costs'!$E$22</f>
        <v>0</v>
      </c>
      <c r="AP34" s="39">
        <f>(AC34)*'Pricing and Costs'!$F$22</f>
        <v>0</v>
      </c>
      <c r="AQ34" s="3">
        <f t="shared" si="0"/>
        <v>0</v>
      </c>
    </row>
    <row r="35" spans="3:43" x14ac:dyDescent="0.2">
      <c r="C35" s="34">
        <v>24</v>
      </c>
      <c r="D35" s="4">
        <v>187480</v>
      </c>
      <c r="E35" s="16" t="s">
        <v>29</v>
      </c>
      <c r="F35" s="37" t="s">
        <v>29</v>
      </c>
      <c r="G35" s="4">
        <v>144531</v>
      </c>
      <c r="H35" s="16" t="s">
        <v>29</v>
      </c>
      <c r="I35" s="36" t="s">
        <v>29</v>
      </c>
      <c r="J35" s="4">
        <v>99410</v>
      </c>
      <c r="K35" s="16" t="s">
        <v>29</v>
      </c>
      <c r="L35" s="36" t="s">
        <v>29</v>
      </c>
      <c r="M35" s="4">
        <v>69410</v>
      </c>
      <c r="N35" s="16" t="s">
        <v>29</v>
      </c>
      <c r="O35" s="37" t="s">
        <v>29</v>
      </c>
      <c r="R35" s="34">
        <v>24</v>
      </c>
      <c r="S35" s="39">
        <v>187480</v>
      </c>
      <c r="T35" s="39">
        <v>144531</v>
      </c>
      <c r="U35" s="39">
        <v>99410</v>
      </c>
      <c r="V35" s="39">
        <v>69410</v>
      </c>
      <c r="Y35" s="34">
        <v>24</v>
      </c>
      <c r="Z35" s="39">
        <f t="shared" si="5"/>
        <v>0</v>
      </c>
      <c r="AA35" s="39">
        <f t="shared" si="2"/>
        <v>0</v>
      </c>
      <c r="AB35" s="39">
        <f t="shared" si="3"/>
        <v>0</v>
      </c>
      <c r="AC35" s="39">
        <f t="shared" si="4"/>
        <v>0</v>
      </c>
      <c r="AF35" s="34">
        <v>24</v>
      </c>
      <c r="AG35" s="39">
        <v>0</v>
      </c>
      <c r="AH35" s="39">
        <v>0</v>
      </c>
      <c r="AI35" s="39">
        <v>0</v>
      </c>
      <c r="AJ35" s="39">
        <v>0</v>
      </c>
      <c r="AL35" s="34">
        <v>24</v>
      </c>
      <c r="AM35" s="39">
        <f>(Z35)*'Pricing and Costs'!$C$22</f>
        <v>0</v>
      </c>
      <c r="AN35" s="39">
        <f>(AA35)*'Pricing and Costs'!$D$22</f>
        <v>0</v>
      </c>
      <c r="AO35" s="39">
        <f>(AB35)*'Pricing and Costs'!$E$22</f>
        <v>0</v>
      </c>
      <c r="AP35" s="39">
        <f>(AC35)*'Pricing and Costs'!$F$22</f>
        <v>0</v>
      </c>
      <c r="AQ35" s="3">
        <f t="shared" si="0"/>
        <v>0</v>
      </c>
    </row>
    <row r="36" spans="3:43" x14ac:dyDescent="0.2">
      <c r="C36" s="34">
        <v>25</v>
      </c>
      <c r="D36" s="4">
        <v>187779</v>
      </c>
      <c r="E36" s="16" t="s">
        <v>29</v>
      </c>
      <c r="F36" s="37" t="s">
        <v>29</v>
      </c>
      <c r="G36" s="4">
        <v>153423</v>
      </c>
      <c r="H36" s="16" t="s">
        <v>29</v>
      </c>
      <c r="I36" s="36" t="s">
        <v>29</v>
      </c>
      <c r="J36" s="4">
        <v>99987</v>
      </c>
      <c r="K36" s="16" t="s">
        <v>29</v>
      </c>
      <c r="L36" s="36" t="s">
        <v>29</v>
      </c>
      <c r="M36" s="4">
        <v>62771</v>
      </c>
      <c r="N36" s="16" t="s">
        <v>29</v>
      </c>
      <c r="O36" s="37" t="s">
        <v>29</v>
      </c>
      <c r="R36" s="34">
        <v>25</v>
      </c>
      <c r="S36" s="39">
        <v>187779</v>
      </c>
      <c r="T36" s="39">
        <v>153423</v>
      </c>
      <c r="U36" s="39">
        <v>97053</v>
      </c>
      <c r="V36" s="39">
        <v>62771</v>
      </c>
      <c r="Y36" s="34">
        <v>25</v>
      </c>
      <c r="Z36" s="39">
        <f t="shared" si="5"/>
        <v>0</v>
      </c>
      <c r="AA36" s="39">
        <f t="shared" si="2"/>
        <v>0</v>
      </c>
      <c r="AB36" s="39">
        <f t="shared" si="3"/>
        <v>0</v>
      </c>
      <c r="AC36" s="39">
        <f t="shared" si="4"/>
        <v>0</v>
      </c>
      <c r="AF36" s="34">
        <v>25</v>
      </c>
      <c r="AG36" s="39">
        <v>0</v>
      </c>
      <c r="AH36" s="39">
        <v>0</v>
      </c>
      <c r="AI36" s="39">
        <v>0</v>
      </c>
      <c r="AJ36" s="39">
        <v>0</v>
      </c>
      <c r="AL36" s="34">
        <v>25</v>
      </c>
      <c r="AM36" s="39">
        <f>(Z36)*'Pricing and Costs'!$C$22</f>
        <v>0</v>
      </c>
      <c r="AN36" s="39">
        <f>(AA36)*'Pricing and Costs'!$D$22</f>
        <v>0</v>
      </c>
      <c r="AO36" s="39">
        <f>(AB36)*'Pricing and Costs'!$E$22</f>
        <v>0</v>
      </c>
      <c r="AP36" s="39">
        <f>(AC36)*'Pricing and Costs'!$F$22</f>
        <v>0</v>
      </c>
      <c r="AQ36" s="3">
        <f t="shared" si="0"/>
        <v>0</v>
      </c>
    </row>
    <row r="37" spans="3:43" x14ac:dyDescent="0.2">
      <c r="C37" s="34">
        <v>26</v>
      </c>
      <c r="D37" s="4">
        <v>200973</v>
      </c>
      <c r="E37" s="16" t="s">
        <v>29</v>
      </c>
      <c r="F37" s="37" t="s">
        <v>29</v>
      </c>
      <c r="G37" s="4">
        <v>143576</v>
      </c>
      <c r="H37" s="16" t="s">
        <v>29</v>
      </c>
      <c r="I37" s="36" t="s">
        <v>29</v>
      </c>
      <c r="J37" s="4">
        <v>91122</v>
      </c>
      <c r="K37" s="16" t="s">
        <v>29</v>
      </c>
      <c r="L37" s="36" t="s">
        <v>29</v>
      </c>
      <c r="M37" s="4">
        <v>71032</v>
      </c>
      <c r="N37" s="16" t="s">
        <v>29</v>
      </c>
      <c r="O37" s="37" t="s">
        <v>29</v>
      </c>
      <c r="R37" s="34">
        <v>26</v>
      </c>
      <c r="S37" s="39">
        <v>200973</v>
      </c>
      <c r="T37" s="39">
        <v>143576</v>
      </c>
      <c r="U37" s="39">
        <v>93763</v>
      </c>
      <c r="V37" s="39">
        <v>71032</v>
      </c>
      <c r="Y37" s="34">
        <v>26</v>
      </c>
      <c r="Z37" s="39">
        <f t="shared" si="5"/>
        <v>0</v>
      </c>
      <c r="AA37" s="39">
        <f t="shared" si="2"/>
        <v>0</v>
      </c>
      <c r="AB37" s="39">
        <f t="shared" si="3"/>
        <v>2934</v>
      </c>
      <c r="AC37" s="39">
        <f t="shared" si="4"/>
        <v>0</v>
      </c>
      <c r="AF37" s="34">
        <v>26</v>
      </c>
      <c r="AG37" s="39">
        <v>0</v>
      </c>
      <c r="AH37" s="39">
        <v>0</v>
      </c>
      <c r="AI37" s="39">
        <v>293</v>
      </c>
      <c r="AJ37" s="39">
        <v>0</v>
      </c>
      <c r="AL37" s="34">
        <v>26</v>
      </c>
      <c r="AM37" s="39">
        <f>(Z37)*'Pricing and Costs'!$C$22</f>
        <v>0</v>
      </c>
      <c r="AN37" s="39">
        <f>(AA37)*'Pricing and Costs'!$D$22</f>
        <v>0</v>
      </c>
      <c r="AO37" s="39">
        <f>(AB37)*'Pricing and Costs'!$E$22</f>
        <v>3256.7400000000002</v>
      </c>
      <c r="AP37" s="39">
        <f>(AC37)*'Pricing and Costs'!$F$22</f>
        <v>0</v>
      </c>
      <c r="AQ37" s="3">
        <f t="shared" si="0"/>
        <v>3256.7400000000002</v>
      </c>
    </row>
    <row r="38" spans="3:43" x14ac:dyDescent="0.2">
      <c r="C38" s="34">
        <v>27</v>
      </c>
      <c r="D38" s="4">
        <v>189938</v>
      </c>
      <c r="E38" s="16" t="s">
        <v>29</v>
      </c>
      <c r="F38" s="37" t="s">
        <v>29</v>
      </c>
      <c r="G38" s="4">
        <v>144195</v>
      </c>
      <c r="H38" s="16" t="s">
        <v>29</v>
      </c>
      <c r="I38" s="36" t="s">
        <v>29</v>
      </c>
      <c r="J38" s="4">
        <v>98405</v>
      </c>
      <c r="K38" s="16" t="s">
        <v>29</v>
      </c>
      <c r="L38" s="36" t="s">
        <v>29</v>
      </c>
      <c r="M38" s="4">
        <v>68634</v>
      </c>
      <c r="N38" s="16" t="s">
        <v>29</v>
      </c>
      <c r="O38" s="37" t="s">
        <v>29</v>
      </c>
      <c r="R38" s="34">
        <v>27</v>
      </c>
      <c r="S38" s="39">
        <v>189938</v>
      </c>
      <c r="T38" s="39">
        <v>144195</v>
      </c>
      <c r="U38" s="39">
        <v>98405</v>
      </c>
      <c r="V38" s="39">
        <v>68634</v>
      </c>
      <c r="Y38" s="34">
        <v>27</v>
      </c>
      <c r="Z38" s="39">
        <f t="shared" si="5"/>
        <v>0</v>
      </c>
      <c r="AA38" s="39">
        <f t="shared" si="2"/>
        <v>0</v>
      </c>
      <c r="AB38" s="39">
        <f t="shared" si="3"/>
        <v>0</v>
      </c>
      <c r="AC38" s="39">
        <f t="shared" si="4"/>
        <v>0</v>
      </c>
      <c r="AF38" s="34">
        <v>27</v>
      </c>
      <c r="AG38" s="39">
        <v>0</v>
      </c>
      <c r="AH38" s="39">
        <v>0</v>
      </c>
      <c r="AI38" s="39">
        <v>0</v>
      </c>
      <c r="AJ38" s="39">
        <v>0</v>
      </c>
      <c r="AL38" s="34">
        <v>27</v>
      </c>
      <c r="AM38" s="39">
        <f>(Z38)*'Pricing and Costs'!$C$22</f>
        <v>0</v>
      </c>
      <c r="AN38" s="39">
        <f>(AA38)*'Pricing and Costs'!$D$22</f>
        <v>0</v>
      </c>
      <c r="AO38" s="39">
        <f>(AB38)*'Pricing and Costs'!$E$22</f>
        <v>0</v>
      </c>
      <c r="AP38" s="39">
        <f>(AC38)*'Pricing and Costs'!$F$22</f>
        <v>0</v>
      </c>
      <c r="AQ38" s="3">
        <f t="shared" si="0"/>
        <v>0</v>
      </c>
    </row>
    <row r="39" spans="3:43" x14ac:dyDescent="0.2">
      <c r="C39" s="34">
        <v>28</v>
      </c>
      <c r="D39" s="4">
        <v>180289</v>
      </c>
      <c r="E39" s="16" t="s">
        <v>29</v>
      </c>
      <c r="F39" s="37" t="s">
        <v>29</v>
      </c>
      <c r="G39" s="4">
        <v>144909</v>
      </c>
      <c r="H39" s="16" t="s">
        <v>29</v>
      </c>
      <c r="I39" s="36" t="s">
        <v>29</v>
      </c>
      <c r="J39" s="4">
        <v>90519</v>
      </c>
      <c r="K39" s="16" t="s">
        <v>29</v>
      </c>
      <c r="L39" s="36" t="s">
        <v>29</v>
      </c>
      <c r="M39" s="4">
        <v>70302</v>
      </c>
      <c r="N39" s="16" t="s">
        <v>29</v>
      </c>
      <c r="O39" s="37" t="s">
        <v>29</v>
      </c>
      <c r="R39" s="34">
        <v>28</v>
      </c>
      <c r="S39" s="39">
        <v>180289</v>
      </c>
      <c r="T39" s="39">
        <v>144909</v>
      </c>
      <c r="U39" s="39">
        <v>90519</v>
      </c>
      <c r="V39" s="39">
        <v>70302</v>
      </c>
      <c r="Y39" s="34">
        <v>28</v>
      </c>
      <c r="Z39" s="39">
        <f t="shared" si="5"/>
        <v>0</v>
      </c>
      <c r="AA39" s="39">
        <f t="shared" si="2"/>
        <v>0</v>
      </c>
      <c r="AB39" s="39">
        <f t="shared" si="3"/>
        <v>0</v>
      </c>
      <c r="AC39" s="39">
        <f t="shared" si="4"/>
        <v>0</v>
      </c>
      <c r="AF39" s="34">
        <v>28</v>
      </c>
      <c r="AG39" s="39">
        <v>0</v>
      </c>
      <c r="AH39" s="39">
        <v>0</v>
      </c>
      <c r="AI39" s="39">
        <v>0</v>
      </c>
      <c r="AJ39" s="39">
        <v>0</v>
      </c>
      <c r="AL39" s="34">
        <v>28</v>
      </c>
      <c r="AM39" s="39">
        <f>(Z39)*'Pricing and Costs'!$C$22</f>
        <v>0</v>
      </c>
      <c r="AN39" s="39">
        <f>(AA39)*'Pricing and Costs'!$D$22</f>
        <v>0</v>
      </c>
      <c r="AO39" s="39">
        <f>(AB39)*'Pricing and Costs'!$E$22</f>
        <v>0</v>
      </c>
      <c r="AP39" s="39">
        <f>(AC39)*'Pricing and Costs'!$F$22</f>
        <v>0</v>
      </c>
      <c r="AQ39" s="3">
        <f t="shared" si="0"/>
        <v>0</v>
      </c>
    </row>
    <row r="40" spans="3:43" x14ac:dyDescent="0.2">
      <c r="C40" s="34">
        <v>29</v>
      </c>
      <c r="D40" s="4">
        <v>182034</v>
      </c>
      <c r="E40" s="16" t="s">
        <v>29</v>
      </c>
      <c r="F40" s="37" t="s">
        <v>29</v>
      </c>
      <c r="G40" s="4">
        <v>149310</v>
      </c>
      <c r="H40" s="16" t="s">
        <v>29</v>
      </c>
      <c r="I40" s="36" t="s">
        <v>29</v>
      </c>
      <c r="J40" s="4">
        <v>90909</v>
      </c>
      <c r="K40" s="16" t="s">
        <v>29</v>
      </c>
      <c r="L40" s="36" t="s">
        <v>29</v>
      </c>
      <c r="M40" s="4">
        <v>73056</v>
      </c>
      <c r="N40" s="16" t="s">
        <v>29</v>
      </c>
      <c r="O40" s="37" t="s">
        <v>29</v>
      </c>
      <c r="R40" s="34">
        <v>29</v>
      </c>
      <c r="S40" s="39">
        <v>182034</v>
      </c>
      <c r="T40" s="39">
        <v>149310</v>
      </c>
      <c r="U40" s="39">
        <v>90909</v>
      </c>
      <c r="V40" s="39">
        <v>73056</v>
      </c>
      <c r="Y40" s="34">
        <v>29</v>
      </c>
      <c r="Z40" s="39">
        <f t="shared" si="5"/>
        <v>0</v>
      </c>
      <c r="AA40" s="39">
        <f t="shared" si="2"/>
        <v>0</v>
      </c>
      <c r="AB40" s="39">
        <f t="shared" si="3"/>
        <v>0</v>
      </c>
      <c r="AC40" s="39">
        <f t="shared" si="4"/>
        <v>0</v>
      </c>
      <c r="AF40" s="34">
        <v>29</v>
      </c>
      <c r="AG40" s="39">
        <v>0</v>
      </c>
      <c r="AH40" s="39">
        <v>0</v>
      </c>
      <c r="AI40" s="39">
        <v>0</v>
      </c>
      <c r="AJ40" s="39">
        <v>0</v>
      </c>
      <c r="AL40" s="34">
        <v>29</v>
      </c>
      <c r="AM40" s="39">
        <f>(Z40)*'Pricing and Costs'!$C$22</f>
        <v>0</v>
      </c>
      <c r="AN40" s="39">
        <f>(AA40)*'Pricing and Costs'!$D$22</f>
        <v>0</v>
      </c>
      <c r="AO40" s="39">
        <f>(AB40)*'Pricing and Costs'!$E$22</f>
        <v>0</v>
      </c>
      <c r="AP40" s="39">
        <f>(AC40)*'Pricing and Costs'!$F$22</f>
        <v>0</v>
      </c>
      <c r="AQ40" s="3">
        <f t="shared" si="0"/>
        <v>0</v>
      </c>
    </row>
    <row r="41" spans="3:43" x14ac:dyDescent="0.2">
      <c r="C41" s="34">
        <v>30</v>
      </c>
      <c r="D41" s="4">
        <v>171589</v>
      </c>
      <c r="E41" s="16" t="s">
        <v>29</v>
      </c>
      <c r="F41" s="37" t="s">
        <v>29</v>
      </c>
      <c r="G41" s="4">
        <v>148036</v>
      </c>
      <c r="H41" s="16" t="s">
        <v>29</v>
      </c>
      <c r="I41" s="36" t="s">
        <v>29</v>
      </c>
      <c r="J41" s="4">
        <v>105772</v>
      </c>
      <c r="K41" s="16" t="s">
        <v>29</v>
      </c>
      <c r="L41" s="36" t="s">
        <v>29</v>
      </c>
      <c r="M41" s="4">
        <v>72665</v>
      </c>
      <c r="N41" s="16" t="s">
        <v>29</v>
      </c>
      <c r="O41" s="37" t="s">
        <v>29</v>
      </c>
      <c r="R41" s="34">
        <v>30</v>
      </c>
      <c r="S41" s="39">
        <v>171589</v>
      </c>
      <c r="T41" s="39">
        <v>148036</v>
      </c>
      <c r="U41" s="39">
        <v>105772</v>
      </c>
      <c r="V41" s="39">
        <v>72665</v>
      </c>
      <c r="Y41" s="34">
        <v>30</v>
      </c>
      <c r="Z41" s="39">
        <f t="shared" si="5"/>
        <v>0</v>
      </c>
      <c r="AA41" s="39">
        <f t="shared" si="2"/>
        <v>0</v>
      </c>
      <c r="AB41" s="39">
        <f t="shared" si="3"/>
        <v>0</v>
      </c>
      <c r="AC41" s="39">
        <f t="shared" si="4"/>
        <v>0</v>
      </c>
      <c r="AF41" s="34">
        <v>30</v>
      </c>
      <c r="AG41" s="39">
        <v>0</v>
      </c>
      <c r="AH41" s="39">
        <v>0</v>
      </c>
      <c r="AI41" s="39">
        <v>0</v>
      </c>
      <c r="AJ41" s="39">
        <v>0</v>
      </c>
      <c r="AL41" s="34">
        <v>30</v>
      </c>
      <c r="AM41" s="39">
        <f>(Z41)*'Pricing and Costs'!$C$22</f>
        <v>0</v>
      </c>
      <c r="AN41" s="39">
        <f>(AA41)*'Pricing and Costs'!$D$22</f>
        <v>0</v>
      </c>
      <c r="AO41" s="39">
        <f>(AB41)*'Pricing and Costs'!$E$22</f>
        <v>0</v>
      </c>
      <c r="AP41" s="39">
        <f>(AC41)*'Pricing and Costs'!$F$22</f>
        <v>0</v>
      </c>
      <c r="AQ41" s="3">
        <f t="shared" si="0"/>
        <v>0</v>
      </c>
    </row>
    <row r="42" spans="3:43" x14ac:dyDescent="0.2">
      <c r="C42" s="34">
        <v>31</v>
      </c>
      <c r="D42" s="4">
        <v>181189</v>
      </c>
      <c r="E42" s="16" t="s">
        <v>29</v>
      </c>
      <c r="F42" s="37" t="s">
        <v>29</v>
      </c>
      <c r="G42" s="4">
        <v>144901</v>
      </c>
      <c r="H42" s="16" t="s">
        <v>29</v>
      </c>
      <c r="I42" s="36" t="s">
        <v>29</v>
      </c>
      <c r="J42" s="4">
        <v>104800</v>
      </c>
      <c r="K42" s="16" t="s">
        <v>29</v>
      </c>
      <c r="L42" s="36" t="s">
        <v>29</v>
      </c>
      <c r="M42" s="4">
        <v>73297</v>
      </c>
      <c r="N42" s="16" t="s">
        <v>29</v>
      </c>
      <c r="O42" s="37" t="s">
        <v>29</v>
      </c>
      <c r="R42" s="34">
        <v>31</v>
      </c>
      <c r="S42" s="39">
        <v>181189</v>
      </c>
      <c r="T42" s="39">
        <v>144901</v>
      </c>
      <c r="U42" s="39">
        <v>104800</v>
      </c>
      <c r="V42" s="39">
        <v>73297</v>
      </c>
      <c r="Y42" s="34">
        <v>31</v>
      </c>
      <c r="Z42" s="39">
        <f t="shared" si="5"/>
        <v>0</v>
      </c>
      <c r="AA42" s="39">
        <f t="shared" si="2"/>
        <v>0</v>
      </c>
      <c r="AB42" s="39">
        <f t="shared" si="3"/>
        <v>0</v>
      </c>
      <c r="AC42" s="39">
        <f t="shared" si="4"/>
        <v>0</v>
      </c>
      <c r="AF42" s="34">
        <v>31</v>
      </c>
      <c r="AG42" s="39">
        <v>0</v>
      </c>
      <c r="AH42" s="39">
        <v>0</v>
      </c>
      <c r="AI42" s="39">
        <v>0</v>
      </c>
      <c r="AJ42" s="39">
        <v>0</v>
      </c>
      <c r="AL42" s="34">
        <v>31</v>
      </c>
      <c r="AM42" s="39">
        <f>(Z42)*'Pricing and Costs'!$C$22</f>
        <v>0</v>
      </c>
      <c r="AN42" s="39">
        <f>(AA42)*'Pricing and Costs'!$D$22</f>
        <v>0</v>
      </c>
      <c r="AO42" s="39">
        <f>(AB42)*'Pricing and Costs'!$E$22</f>
        <v>0</v>
      </c>
      <c r="AP42" s="39">
        <f>(AC42)*'Pricing and Costs'!$F$22</f>
        <v>0</v>
      </c>
      <c r="AQ42" s="3">
        <f t="shared" si="0"/>
        <v>0</v>
      </c>
    </row>
    <row r="43" spans="3:43" x14ac:dyDescent="0.2">
      <c r="C43" s="34">
        <v>32</v>
      </c>
      <c r="D43" s="4">
        <v>167840</v>
      </c>
      <c r="E43" s="16" t="s">
        <v>29</v>
      </c>
      <c r="F43" s="37" t="s">
        <v>29</v>
      </c>
      <c r="G43" s="4">
        <v>136734</v>
      </c>
      <c r="H43" s="16" t="s">
        <v>29</v>
      </c>
      <c r="I43" s="36" t="s">
        <v>29</v>
      </c>
      <c r="J43" s="4">
        <v>107001</v>
      </c>
      <c r="K43" s="16" t="s">
        <v>29</v>
      </c>
      <c r="L43" s="36" t="s">
        <v>29</v>
      </c>
      <c r="M43" s="4">
        <v>75996</v>
      </c>
      <c r="N43" s="16" t="s">
        <v>29</v>
      </c>
      <c r="O43" s="37" t="s">
        <v>29</v>
      </c>
      <c r="R43" s="34">
        <v>32</v>
      </c>
      <c r="S43" s="39">
        <v>167840</v>
      </c>
      <c r="T43" s="39">
        <v>136734</v>
      </c>
      <c r="U43" s="39">
        <v>98262</v>
      </c>
      <c r="V43" s="39">
        <v>75996</v>
      </c>
      <c r="Y43" s="34">
        <v>32</v>
      </c>
      <c r="Z43" s="39">
        <f t="shared" si="5"/>
        <v>0</v>
      </c>
      <c r="AA43" s="39">
        <f t="shared" si="2"/>
        <v>0</v>
      </c>
      <c r="AB43" s="39">
        <f t="shared" si="3"/>
        <v>0</v>
      </c>
      <c r="AC43" s="39">
        <f t="shared" si="4"/>
        <v>0</v>
      </c>
      <c r="AF43" s="34">
        <v>32</v>
      </c>
      <c r="AG43" s="39">
        <v>0</v>
      </c>
      <c r="AH43" s="39">
        <v>0</v>
      </c>
      <c r="AI43" s="39">
        <v>0</v>
      </c>
      <c r="AJ43" s="39">
        <v>0</v>
      </c>
      <c r="AL43" s="34">
        <v>32</v>
      </c>
      <c r="AM43" s="39">
        <f>(Z43)*'Pricing and Costs'!$C$22</f>
        <v>0</v>
      </c>
      <c r="AN43" s="39">
        <f>(AA43)*'Pricing and Costs'!$D$22</f>
        <v>0</v>
      </c>
      <c r="AO43" s="39">
        <f>(AB43)*'Pricing and Costs'!$E$22</f>
        <v>0</v>
      </c>
      <c r="AP43" s="39">
        <f>(AC43)*'Pricing and Costs'!$F$22</f>
        <v>0</v>
      </c>
      <c r="AQ43" s="3">
        <f t="shared" si="0"/>
        <v>0</v>
      </c>
    </row>
    <row r="44" spans="3:43" x14ac:dyDescent="0.2">
      <c r="C44" s="34">
        <v>33</v>
      </c>
      <c r="D44" s="4">
        <v>187091</v>
      </c>
      <c r="E44" s="16" t="s">
        <v>29</v>
      </c>
      <c r="F44" s="37" t="s">
        <v>29</v>
      </c>
      <c r="G44" s="4">
        <v>137299</v>
      </c>
      <c r="H44" s="16" t="s">
        <v>29</v>
      </c>
      <c r="I44" s="36" t="s">
        <v>29</v>
      </c>
      <c r="J44" s="4">
        <v>102308</v>
      </c>
      <c r="K44" s="16" t="s">
        <v>29</v>
      </c>
      <c r="L44" s="36" t="s">
        <v>29</v>
      </c>
      <c r="M44" s="4">
        <v>81416</v>
      </c>
      <c r="N44" s="16" t="s">
        <v>29</v>
      </c>
      <c r="O44" s="37" t="s">
        <v>29</v>
      </c>
      <c r="R44" s="34">
        <v>33</v>
      </c>
      <c r="S44" s="39">
        <v>187091</v>
      </c>
      <c r="T44" s="39">
        <v>137299</v>
      </c>
      <c r="U44" s="39">
        <v>95330</v>
      </c>
      <c r="V44" s="39">
        <v>76049</v>
      </c>
      <c r="Y44" s="34">
        <v>33</v>
      </c>
      <c r="Z44" s="39">
        <f t="shared" si="5"/>
        <v>0</v>
      </c>
      <c r="AA44" s="39">
        <f t="shared" si="2"/>
        <v>0</v>
      </c>
      <c r="AB44" s="39">
        <f t="shared" si="3"/>
        <v>8739</v>
      </c>
      <c r="AC44" s="39">
        <f t="shared" si="4"/>
        <v>0</v>
      </c>
      <c r="AF44" s="34">
        <v>33</v>
      </c>
      <c r="AG44" s="39">
        <v>0</v>
      </c>
      <c r="AH44" s="39">
        <v>0</v>
      </c>
      <c r="AI44" s="39">
        <v>873</v>
      </c>
      <c r="AJ44" s="39">
        <v>0</v>
      </c>
      <c r="AL44" s="34">
        <v>33</v>
      </c>
      <c r="AM44" s="39">
        <f>(Z44)*'Pricing and Costs'!$C$22</f>
        <v>0</v>
      </c>
      <c r="AN44" s="39">
        <f>(AA44)*'Pricing and Costs'!$D$22</f>
        <v>0</v>
      </c>
      <c r="AO44" s="39">
        <f>(AB44)*'Pricing and Costs'!$E$22</f>
        <v>9700.2900000000009</v>
      </c>
      <c r="AP44" s="39">
        <f>(AC44)*'Pricing and Costs'!$F$22</f>
        <v>0</v>
      </c>
      <c r="AQ44" s="3">
        <f t="shared" si="0"/>
        <v>9700.2900000000009</v>
      </c>
    </row>
    <row r="45" spans="3:43" x14ac:dyDescent="0.2">
      <c r="C45" s="34">
        <v>34</v>
      </c>
      <c r="D45" s="4">
        <v>166375</v>
      </c>
      <c r="E45" s="16" t="s">
        <v>29</v>
      </c>
      <c r="F45" s="37" t="s">
        <v>29</v>
      </c>
      <c r="G45" s="4">
        <v>141565</v>
      </c>
      <c r="H45" s="16" t="s">
        <v>29</v>
      </c>
      <c r="I45" s="36" t="s">
        <v>29</v>
      </c>
      <c r="J45" s="4">
        <v>116989</v>
      </c>
      <c r="K45" s="16" t="s">
        <v>29</v>
      </c>
      <c r="L45" s="36" t="s">
        <v>29</v>
      </c>
      <c r="M45" s="4">
        <v>75108</v>
      </c>
      <c r="N45" s="16" t="s">
        <v>29</v>
      </c>
      <c r="O45" s="37" t="s">
        <v>29</v>
      </c>
      <c r="R45" s="34">
        <v>34</v>
      </c>
      <c r="S45" s="39">
        <v>166375</v>
      </c>
      <c r="T45" s="39">
        <v>141565</v>
      </c>
      <c r="U45" s="39">
        <v>97070</v>
      </c>
      <c r="V45" s="39">
        <v>67440</v>
      </c>
      <c r="Y45" s="34">
        <v>34</v>
      </c>
      <c r="Z45" s="39">
        <f t="shared" si="5"/>
        <v>0</v>
      </c>
      <c r="AA45" s="39">
        <f t="shared" si="2"/>
        <v>0</v>
      </c>
      <c r="AB45" s="39">
        <f t="shared" si="3"/>
        <v>14844</v>
      </c>
      <c r="AC45" s="39">
        <f t="shared" si="4"/>
        <v>5367</v>
      </c>
      <c r="AF45" s="34">
        <v>34</v>
      </c>
      <c r="AG45" s="39">
        <v>0</v>
      </c>
      <c r="AH45" s="39">
        <v>0</v>
      </c>
      <c r="AI45" s="39">
        <v>1484</v>
      </c>
      <c r="AJ45" s="39">
        <v>536</v>
      </c>
      <c r="AL45" s="34">
        <v>34</v>
      </c>
      <c r="AM45" s="39">
        <f>(Z45)*'Pricing and Costs'!$C$22</f>
        <v>0</v>
      </c>
      <c r="AN45" s="39">
        <f>(AA45)*'Pricing and Costs'!$D$22</f>
        <v>0</v>
      </c>
      <c r="AO45" s="39">
        <f>(AB45)*'Pricing and Costs'!$E$22</f>
        <v>16476.84</v>
      </c>
      <c r="AP45" s="39">
        <f>(AC45)*'Pricing and Costs'!$F$22</f>
        <v>11217.029999999999</v>
      </c>
      <c r="AQ45" s="3">
        <f t="shared" si="0"/>
        <v>27693.87</v>
      </c>
    </row>
    <row r="46" spans="3:43" x14ac:dyDescent="0.2">
      <c r="C46" s="34">
        <v>35</v>
      </c>
      <c r="D46" s="4">
        <v>179338</v>
      </c>
      <c r="E46" s="16" t="s">
        <v>29</v>
      </c>
      <c r="F46" s="37" t="s">
        <v>29</v>
      </c>
      <c r="G46" s="4">
        <v>139858</v>
      </c>
      <c r="H46" s="16" t="s">
        <v>29</v>
      </c>
      <c r="I46" s="36" t="s">
        <v>29</v>
      </c>
      <c r="J46" s="4">
        <v>121111</v>
      </c>
      <c r="K46" s="16" t="s">
        <v>29</v>
      </c>
      <c r="L46" s="36" t="s">
        <v>29</v>
      </c>
      <c r="M46" s="4">
        <v>81139</v>
      </c>
      <c r="N46" s="16" t="s">
        <v>29</v>
      </c>
      <c r="O46" s="37" t="s">
        <v>29</v>
      </c>
      <c r="R46" s="34">
        <v>35</v>
      </c>
      <c r="S46" s="39">
        <v>179338</v>
      </c>
      <c r="T46" s="39">
        <v>139858</v>
      </c>
      <c r="U46" s="39">
        <v>98359</v>
      </c>
      <c r="V46" s="39">
        <v>68416</v>
      </c>
      <c r="Y46" s="34">
        <v>35</v>
      </c>
      <c r="Z46" s="39">
        <f t="shared" si="5"/>
        <v>0</v>
      </c>
      <c r="AA46" s="39">
        <f t="shared" si="2"/>
        <v>0</v>
      </c>
      <c r="AB46" s="39">
        <f t="shared" si="3"/>
        <v>33279</v>
      </c>
      <c r="AC46" s="39">
        <f t="shared" si="4"/>
        <v>12499</v>
      </c>
      <c r="AF46" s="34">
        <v>35</v>
      </c>
      <c r="AG46" s="39">
        <v>0</v>
      </c>
      <c r="AH46" s="39">
        <v>0</v>
      </c>
      <c r="AI46" s="39">
        <v>3486</v>
      </c>
      <c r="AJ46" s="39">
        <v>1249</v>
      </c>
      <c r="AL46" s="34">
        <v>35</v>
      </c>
      <c r="AM46" s="39">
        <f>(Z46)*'Pricing and Costs'!$C$22</f>
        <v>0</v>
      </c>
      <c r="AN46" s="39">
        <f>(AA46)*'Pricing and Costs'!$D$22</f>
        <v>0</v>
      </c>
      <c r="AO46" s="39">
        <f>(AB46)*'Pricing and Costs'!$E$22</f>
        <v>36939.69</v>
      </c>
      <c r="AP46" s="39">
        <f>(AC46)*'Pricing and Costs'!$F$22</f>
        <v>26122.91</v>
      </c>
      <c r="AQ46" s="3">
        <f t="shared" si="0"/>
        <v>63062.600000000006</v>
      </c>
    </row>
    <row r="47" spans="3:43" x14ac:dyDescent="0.2">
      <c r="C47" s="34">
        <v>36</v>
      </c>
      <c r="D47" s="4">
        <v>195065</v>
      </c>
      <c r="E47" s="16" t="s">
        <v>29</v>
      </c>
      <c r="F47" s="37" t="s">
        <v>29</v>
      </c>
      <c r="G47" s="4">
        <v>135834</v>
      </c>
      <c r="H47" s="16" t="s">
        <v>29</v>
      </c>
      <c r="I47" s="36" t="s">
        <v>29</v>
      </c>
      <c r="J47" s="4">
        <v>115461</v>
      </c>
      <c r="K47" s="16" t="s">
        <v>29</v>
      </c>
      <c r="L47" s="36" t="s">
        <v>29</v>
      </c>
      <c r="M47" s="4">
        <v>86880</v>
      </c>
      <c r="N47" s="16" t="s">
        <v>29</v>
      </c>
      <c r="O47" s="37" t="s">
        <v>29</v>
      </c>
      <c r="R47" s="34">
        <v>36</v>
      </c>
      <c r="S47" s="39">
        <v>195065</v>
      </c>
      <c r="T47" s="39">
        <v>135834</v>
      </c>
      <c r="U47" s="39">
        <v>99799</v>
      </c>
      <c r="V47" s="39">
        <v>69680</v>
      </c>
      <c r="Y47" s="34">
        <v>36</v>
      </c>
      <c r="Z47" s="39">
        <f t="shared" si="5"/>
        <v>0</v>
      </c>
      <c r="AA47" s="39">
        <f t="shared" si="2"/>
        <v>0</v>
      </c>
      <c r="AB47" s="39">
        <f>IFERROR(IF($J46&gt;$U46,($J46-$U46)+$AB46-$AI46,IF($J46&lt;$U46,($U46-$J46)-$AB46+$AI46,0)),0)</f>
        <v>52545</v>
      </c>
      <c r="AC47" s="39">
        <f t="shared" si="4"/>
        <v>23973</v>
      </c>
      <c r="AF47" s="34">
        <v>36</v>
      </c>
      <c r="AG47" s="39">
        <v>0</v>
      </c>
      <c r="AH47" s="39">
        <v>0</v>
      </c>
      <c r="AI47" s="39">
        <v>5814</v>
      </c>
      <c r="AJ47" s="39">
        <v>2520</v>
      </c>
      <c r="AL47" s="34">
        <v>36</v>
      </c>
      <c r="AM47" s="39">
        <f>(Z47)*'Pricing and Costs'!$C$22</f>
        <v>0</v>
      </c>
      <c r="AN47" s="39">
        <f>(AA47)*'Pricing and Costs'!$D$22</f>
        <v>0</v>
      </c>
      <c r="AO47" s="39">
        <f>(AB47)*'Pricing and Costs'!$E$22</f>
        <v>58324.950000000004</v>
      </c>
      <c r="AP47" s="39">
        <f>(AC47)*'Pricing and Costs'!$F$22</f>
        <v>50103.57</v>
      </c>
      <c r="AQ47" s="3">
        <f t="shared" si="0"/>
        <v>108428.52</v>
      </c>
    </row>
    <row r="48" spans="3:43" ht="16" customHeight="1" x14ac:dyDescent="0.2">
      <c r="C48" s="38">
        <v>37</v>
      </c>
      <c r="D48" s="4" t="s">
        <v>29</v>
      </c>
      <c r="E48" s="16">
        <f t="shared" ref="E48:E69" si="6">_xlfn.FORECAST.ETS(C48,$D$18:$D$47,$C$18:$C$47,1,1)</f>
        <v>194225.85368626821</v>
      </c>
      <c r="F48" s="6" t="str">
        <f t="shared" ref="F48:F70" si="7">IFERROR(D48-E48,"-")</f>
        <v>-</v>
      </c>
      <c r="G48" s="4" t="s">
        <v>29</v>
      </c>
      <c r="H48" s="16">
        <f t="shared" ref="H48:H70" si="8">_xlfn.FORECAST.LINEAR(C48,$G$18:$G$47,$C$18:$C$47)</f>
        <v>138710.79770114942</v>
      </c>
      <c r="I48" s="35" t="str">
        <f>IFERROR(H48-G48,"-")</f>
        <v>-</v>
      </c>
      <c r="J48" s="4" t="s">
        <v>29</v>
      </c>
      <c r="K48" s="16">
        <f t="shared" ref="K48:K70" si="9">_xlfn.FORECAST.ETS(C48,$J$18:$J$47,$C$18:$C$47,1,1)</f>
        <v>112664.82913597206</v>
      </c>
      <c r="L48" s="35" t="str">
        <f>IFERROR(K48-J48,"-")</f>
        <v>-</v>
      </c>
      <c r="M48" s="4" t="s">
        <v>29</v>
      </c>
      <c r="N48" s="16">
        <f>_xlfn.FORECAST.LINEAR(C48,$M$18:$M$47,$C$18:$C$47)</f>
        <v>81782.526436781613</v>
      </c>
      <c r="O48" s="35" t="str">
        <f>IFERROR(N48-M48,"-")</f>
        <v>-</v>
      </c>
      <c r="R48" s="38">
        <v>37</v>
      </c>
      <c r="S48" s="8">
        <f>IF(Inventory!D38+Production!AB41&gt;Orders!E48,IF(Inventory!D38&gt;(Orders!E48+Orders!Z48),Orders!E48+Orders!Z48,Orders!E48),Inventory!D38+Production!AB41)</f>
        <v>194225.85368626821</v>
      </c>
      <c r="T48" s="8">
        <f>IF(Inventory!E38+Production!AC41&gt;Orders!H48,IF(Inventory!E38&gt;(Orders!H48+Orders!AA48),Orders!H48+Orders!AA48,Orders!H48),Inventory!E38+Production!AC41)</f>
        <v>138710.79770114942</v>
      </c>
      <c r="U48" s="8">
        <f>IF(Inventory!F38+Production!AD41&gt;Orders!K48,IF(Inventory!F38+Production!AD41&gt;(Orders!K48+Orders!AB47),Orders!K48+Orders!AB47,Orders!K48),Inventory!F38+Production!AD41)</f>
        <v>100217</v>
      </c>
      <c r="V48" s="8">
        <f>IF(Inventory!G38+Production!AE41&gt;Orders!N48,IF(Inventory!G38+Production!AE41&gt;(Orders!N48+Orders!AC47),Orders!N48+Orders!AC47,Orders!N48),Inventory!G38+Production!AE41)</f>
        <v>71636</v>
      </c>
      <c r="X48" s="3"/>
      <c r="Y48" s="38">
        <v>37</v>
      </c>
      <c r="Z48" s="7">
        <f>IF(Inventory!D38+Production!AB41&gt;Orders!E48,IF(Inventory!D38+Production!AB41&gt;(Orders!E48+Orders!Z47),0,(Orders!E48+Orders!Z47)-(Inventory!D38+Production!AB41)),(Orders!E48+Orders!Z47)-(Inventory!D38+Production!AB41))</f>
        <v>0</v>
      </c>
      <c r="AA48" s="7">
        <f>IF(Inventory!E38+Production!AC41&gt;Orders!H48,IF(Inventory!E38+Production!AC41&gt;(Orders!H48+Orders!AA47),0,(Orders!H48+Orders!AA47)-(Inventory!E38+Production!AC41)),(Orders!H48+Orders!AA47)-(Inventory!E38+Production!AC41))</f>
        <v>0</v>
      </c>
      <c r="AB48" s="41">
        <f>IF(Inventory!F38+Production!AD41&gt;Orders!K48,IF(Inventory!F38+Production!AD41&gt;(Orders!K48+Orders!AB47),0,(Orders!K48+Orders!AB47)-(Inventory!F38+Production!AD41)),(Orders!K48+Orders!AB47)-(Inventory!F38+Production!AD41))</f>
        <v>64992.829135972075</v>
      </c>
      <c r="AC48" s="41">
        <f>IF(Inventory!G38+Production!AE41&gt;Orders!N48,IF(Inventory!G38+Production!AE41&gt;(Orders!N48+Orders!AC47),0,(Orders!N48+Orders!AC47)-(Inventory!G38+Production!AE41)),(Orders!N48+Orders!AC47)-(Inventory!G38+Production!AE41))</f>
        <v>34119.526436781613</v>
      </c>
      <c r="AD48" s="94" t="s">
        <v>73</v>
      </c>
      <c r="AF48" s="38">
        <v>37</v>
      </c>
      <c r="AG48" s="79"/>
      <c r="AH48" s="79"/>
      <c r="AI48" s="79"/>
      <c r="AJ48" s="79"/>
      <c r="AL48" s="38">
        <v>37</v>
      </c>
      <c r="AM48" s="39">
        <f>(Z48)*'Pricing and Costs'!$C$22</f>
        <v>0</v>
      </c>
      <c r="AN48" s="39">
        <f>(AA48)*'Pricing and Costs'!$D$22</f>
        <v>0</v>
      </c>
      <c r="AO48" s="39">
        <f>(AB48)*'Pricing and Costs'!$E$22</f>
        <v>72142.040340929016</v>
      </c>
      <c r="AP48" s="39">
        <f>(AC48)*'Pricing and Costs'!$F$22</f>
        <v>71309.810252873562</v>
      </c>
      <c r="AQ48" s="3">
        <f t="shared" si="0"/>
        <v>143451.85059380258</v>
      </c>
    </row>
    <row r="49" spans="3:43" ht="16" customHeight="1" x14ac:dyDescent="0.2">
      <c r="C49" s="38">
        <v>38</v>
      </c>
      <c r="D49" s="4" t="s">
        <v>29</v>
      </c>
      <c r="E49" s="16">
        <f t="shared" si="6"/>
        <v>202744.63313981966</v>
      </c>
      <c r="F49" s="6" t="str">
        <f t="shared" si="7"/>
        <v>-</v>
      </c>
      <c r="G49" s="4" t="s">
        <v>29</v>
      </c>
      <c r="H49" s="16">
        <f t="shared" si="8"/>
        <v>138154.84486466442</v>
      </c>
      <c r="I49" s="35" t="str">
        <f>IFERROR(H49-G49,"-")</f>
        <v>-</v>
      </c>
      <c r="J49" s="4" t="s">
        <v>29</v>
      </c>
      <c r="K49" s="16">
        <f t="shared" si="9"/>
        <v>113141.98817070191</v>
      </c>
      <c r="L49" s="35" t="str">
        <f t="shared" ref="L49:L70" si="10">IFERROR(K49-J49,"-")</f>
        <v>-</v>
      </c>
      <c r="M49" s="4" t="s">
        <v>29</v>
      </c>
      <c r="N49" s="16">
        <f t="shared" ref="N49:N70" si="11">_xlfn.FORECAST.LINEAR(C49,$M$18:$M$47,$C$18:$C$47)</f>
        <v>82921.196959584719</v>
      </c>
      <c r="O49" s="35" t="str">
        <f>IFERROR(N49-M49,"-")</f>
        <v>-</v>
      </c>
      <c r="R49" s="38">
        <v>38</v>
      </c>
      <c r="S49" s="8">
        <f>IF(Inventory!D39+Production!AB42&gt;Orders!E49,IF(Inventory!D39&gt;(Orders!E49+Orders!Z49),Orders!E49+Orders!Z49,Orders!E49),Inventory!D39+Production!AB42)</f>
        <v>202744.63313981966</v>
      </c>
      <c r="T49" s="8">
        <f>IF(Inventory!E39+Production!AC42&gt;Orders!H49,IF(Inventory!E39&gt;(Orders!H49+Orders!AA49),Orders!H49+Orders!AA49,Orders!H49),Inventory!E39+Production!AC42)</f>
        <v>138154.84486466442</v>
      </c>
      <c r="U49" s="8">
        <f>IF(Inventory!F39+Production!AD42&gt;Orders!K49,IF(Inventory!F39+Production!AD42&gt;(Orders!K49+Orders!AB48),Orders!K49+Orders!AB48,Orders!K49),Inventory!F39+Production!AD42)</f>
        <v>103012</v>
      </c>
      <c r="V49" s="8">
        <f>IF(Inventory!G39+Production!AE42&gt;Orders!N49,IF(Inventory!G39+Production!AE42&gt;(Orders!N49+Orders!AC48),Orders!N49+Orders!AC48,Orders!N49),Inventory!G39+Production!AE42)</f>
        <v>72214</v>
      </c>
      <c r="X49" s="3"/>
      <c r="Y49" s="38">
        <v>38</v>
      </c>
      <c r="Z49" s="7">
        <f>IF(Inventory!D39+Production!AB42&gt;Orders!E49,IF(Inventory!D39+Production!AB42&gt;(Orders!E49+Orders!Z48),0,(Orders!E49+Orders!Z48)-(Inventory!D39+Production!AB42)),(Orders!E49+Orders!Z48)-(Inventory!D39+Production!AB42))</f>
        <v>0</v>
      </c>
      <c r="AA49" s="7">
        <f>IF(Inventory!E39+Production!AC42&gt;Orders!H49,IF(Inventory!E39+Production!AC42&gt;(Orders!H49+Orders!AA48),0,(Orders!H49+Orders!AA48)-(Inventory!E39+Production!AC42)),(Orders!H49+Orders!AA48)-(Inventory!E39+Production!AC42))</f>
        <v>0</v>
      </c>
      <c r="AB49" s="41">
        <f>IF(Inventory!F39+Production!AD42&gt;Orders!K49,IF(Inventory!F39+Production!AD42&gt;(Orders!K49+Orders!AB48),0,(Orders!K49+Orders!AB48)-(Inventory!F39+Production!AD42)),(Orders!K49+Orders!AB48)-(Inventory!F39+Production!AD42))</f>
        <v>75122.817306673969</v>
      </c>
      <c r="AC49" s="41">
        <f>IF(Inventory!G39+Production!AE42&gt;Orders!N49,IF(Inventory!G39+Production!AE42&gt;(Orders!N49+Orders!AC48),0,(Orders!N49+Orders!AC48)-(Inventory!G39+Production!AE42)),(Orders!N49+Orders!AC48)-(Inventory!G39+Production!AE42))</f>
        <v>44826.723396366331</v>
      </c>
      <c r="AD49" s="94"/>
      <c r="AF49" s="38">
        <v>38</v>
      </c>
      <c r="AG49" s="79"/>
      <c r="AH49" s="79"/>
      <c r="AI49" s="79"/>
      <c r="AJ49" s="79"/>
      <c r="AL49" s="38">
        <v>38</v>
      </c>
      <c r="AM49" s="39">
        <f>(Z49)*'Pricing and Costs'!$C$22</f>
        <v>0</v>
      </c>
      <c r="AN49" s="39">
        <f>(AA49)*'Pricing and Costs'!$D$22</f>
        <v>0</v>
      </c>
      <c r="AO49" s="39">
        <f>(AB49)*'Pricing and Costs'!$E$22</f>
        <v>83386.327210408112</v>
      </c>
      <c r="AP49" s="39">
        <f>(AC49)*'Pricing and Costs'!$F$22</f>
        <v>93687.851898405628</v>
      </c>
      <c r="AQ49" s="3">
        <f t="shared" si="0"/>
        <v>177074.17910881375</v>
      </c>
    </row>
    <row r="50" spans="3:43" ht="16" customHeight="1" x14ac:dyDescent="0.2">
      <c r="C50" s="38">
        <v>39</v>
      </c>
      <c r="D50" s="4" t="s">
        <v>29</v>
      </c>
      <c r="E50" s="16">
        <f t="shared" si="6"/>
        <v>188795.17904771844</v>
      </c>
      <c r="F50" s="6" t="str">
        <f t="shared" si="7"/>
        <v>-</v>
      </c>
      <c r="G50" s="4" t="s">
        <v>29</v>
      </c>
      <c r="H50" s="16">
        <f t="shared" si="8"/>
        <v>137598.89202817946</v>
      </c>
      <c r="I50" s="35" t="str">
        <f>IFERROR(H50-G50,"-")</f>
        <v>-</v>
      </c>
      <c r="J50" s="4" t="s">
        <v>29</v>
      </c>
      <c r="K50" s="16">
        <f t="shared" si="9"/>
        <v>113619.14720543177</v>
      </c>
      <c r="L50" s="35" t="str">
        <f t="shared" si="10"/>
        <v>-</v>
      </c>
      <c r="M50" s="4" t="s">
        <v>29</v>
      </c>
      <c r="N50" s="16">
        <f t="shared" si="11"/>
        <v>84059.867482387839</v>
      </c>
      <c r="O50" s="35" t="str">
        <f>IFERROR(N50-M50,"-")</f>
        <v>-</v>
      </c>
      <c r="R50" s="38">
        <v>39</v>
      </c>
      <c r="S50" s="8">
        <f>IF(Inventory!D40+Production!AB43&gt;Orders!E50,IF(Inventory!D40&gt;(Orders!E50+Orders!Z50),Orders!E50+Orders!Z50,Orders!E50),Inventory!D40+Production!AB43)</f>
        <v>188795.17904771844</v>
      </c>
      <c r="T50" s="8">
        <f>IF(Inventory!E40+Production!AC43&gt;Orders!H50,IF(Inventory!E40&gt;(Orders!H50+Orders!AA50),Orders!H50+Orders!AA50,Orders!H50),Inventory!E40+Production!AC43)</f>
        <v>137598.89202817946</v>
      </c>
      <c r="U50" s="8">
        <f>IF(Inventory!F40+Production!AD43&gt;Orders!K50,IF(Inventory!F40+Production!AD43&gt;(Orders!K50+Orders!AB49),Orders!K50+Orders!AB49,Orders!K50),Inventory!F40+Production!AD43)</f>
        <v>188741.96451210574</v>
      </c>
      <c r="V50" s="8">
        <f>IF(Inventory!G40+Production!AE43&gt;Orders!N50,IF(Inventory!G40+Production!AE43&gt;(Orders!N50+Orders!AC49),Orders!N50+Orders!AC49,Orders!N50),Inventory!G40+Production!AE43)</f>
        <v>128886.59087875417</v>
      </c>
      <c r="X50" s="3"/>
      <c r="Y50" s="38">
        <v>39</v>
      </c>
      <c r="Z50" s="7">
        <f>IF(Inventory!D40+Production!AB43&gt;Orders!E50,IF(Inventory!D40+Production!AB43&gt;(Orders!E50+Orders!Z49),0,(Orders!E50+Orders!Z49)-(Inventory!D40+Production!AB43)),(Orders!E50+Orders!Z49)-(Inventory!D40+Production!AB43))</f>
        <v>0</v>
      </c>
      <c r="AA50" s="7">
        <f>IF(Inventory!E40+Production!AC43&gt;Orders!H50,IF(Inventory!E40+Production!AC43&gt;(Orders!H50+Orders!AA49),0,(Orders!H50+Orders!AA49)-(Inventory!E40+Production!AC43)),(Orders!H50+Orders!AA49)-(Inventory!E40+Production!AC43))</f>
        <v>0</v>
      </c>
      <c r="AB50" s="7">
        <f>IF(Inventory!F40+Production!AD43&gt;Orders!K50,IF(Inventory!F40+Production!AD43&gt;(Orders!K50+Orders!AB49),0,(Orders!K50+Orders!AB49)-(Inventory!F40+Production!AD43)),(Orders!K50+Orders!AB49)-(Inventory!F40+Production!AD43))</f>
        <v>0</v>
      </c>
      <c r="AC50" s="7">
        <f>IF(Inventory!G40+Production!AE43&gt;Orders!N50,IF(Inventory!G40+Production!AE43&gt;(Orders!N50+Orders!AC49),0,(Orders!N50+Orders!AC49)-(Inventory!G40+Production!AE43)),(Orders!N50+Orders!AC49)-(Inventory!G40+Production!AE43))</f>
        <v>0</v>
      </c>
      <c r="AF50" s="38">
        <v>39</v>
      </c>
      <c r="AG50" s="79"/>
      <c r="AH50" s="79"/>
      <c r="AI50" s="79"/>
      <c r="AJ50" s="79"/>
      <c r="AL50" s="38">
        <v>39</v>
      </c>
      <c r="AM50" s="39">
        <f>(Z50)*'Pricing and Costs'!$C$22</f>
        <v>0</v>
      </c>
      <c r="AN50" s="39">
        <f>(AA50)*'Pricing and Costs'!$D$22</f>
        <v>0</v>
      </c>
      <c r="AO50" s="39">
        <f>(AB50)*'Pricing and Costs'!$E$22</f>
        <v>0</v>
      </c>
      <c r="AP50" s="39">
        <f>(AC50)*'Pricing and Costs'!$F$22</f>
        <v>0</v>
      </c>
      <c r="AQ50" s="3">
        <f t="shared" si="0"/>
        <v>0</v>
      </c>
    </row>
    <row r="51" spans="3:43" ht="16" customHeight="1" x14ac:dyDescent="0.2">
      <c r="C51" s="38">
        <v>40</v>
      </c>
      <c r="D51" s="4" t="s">
        <v>29</v>
      </c>
      <c r="E51" s="16">
        <f t="shared" si="6"/>
        <v>187571.311599215</v>
      </c>
      <c r="F51" s="6" t="str">
        <f t="shared" si="7"/>
        <v>-</v>
      </c>
      <c r="G51" s="4" t="s">
        <v>29</v>
      </c>
      <c r="H51" s="16">
        <f t="shared" si="8"/>
        <v>137042.93919169449</v>
      </c>
      <c r="I51" s="35" t="str">
        <f>IFERROR(H51-G51,"-")</f>
        <v>-</v>
      </c>
      <c r="J51" s="4" t="s">
        <v>29</v>
      </c>
      <c r="K51" s="16">
        <f t="shared" si="9"/>
        <v>114096.30624016162</v>
      </c>
      <c r="L51" s="35" t="str">
        <f t="shared" si="10"/>
        <v>-</v>
      </c>
      <c r="M51" s="4" t="s">
        <v>29</v>
      </c>
      <c r="N51" s="16">
        <f t="shared" si="11"/>
        <v>85198.53800519096</v>
      </c>
      <c r="O51" s="35" t="str">
        <f>IFERROR(N51-M51,"-")</f>
        <v>-</v>
      </c>
      <c r="R51" s="38">
        <v>40</v>
      </c>
      <c r="S51" s="8">
        <f>IF(Inventory!D41+Production!AB44&gt;Orders!E51,IF(Inventory!D41&gt;(Orders!E51+Orders!Z51),Orders!E51+Orders!Z51,Orders!E51),Inventory!D41+Production!AB44)</f>
        <v>187571.311599215</v>
      </c>
      <c r="T51" s="8">
        <f>IF(Inventory!E41+Production!AC44&gt;Orders!H51,IF(Inventory!E41&gt;(Orders!H51+Orders!AA51),Orders!H51+Orders!AA51,Orders!H51),Inventory!E41+Production!AC44)</f>
        <v>137042.93919169449</v>
      </c>
      <c r="U51" s="8">
        <f>IF(Inventory!F41+Production!AD44&gt;Orders!K51,IF(Inventory!F41+Production!AD44&gt;(Orders!K51+Orders!AB50),Orders!K51+Orders!AB50,Orders!K51),Inventory!F41+Production!AD44)</f>
        <v>114096.30624016162</v>
      </c>
      <c r="V51" s="8">
        <f>IF(Inventory!G41+Production!AE44&gt;Orders!N51,IF(Inventory!G41+Production!AE44&gt;(Orders!N51+Orders!AC50),Orders!N51+Orders!AC50,Orders!N51),Inventory!G41+Production!AE44)</f>
        <v>85198.53800519096</v>
      </c>
      <c r="Y51" s="38">
        <v>40</v>
      </c>
      <c r="Z51" s="7">
        <f>IF(Inventory!D41+Production!AB44&gt;Orders!E51,IF(Inventory!D41+Production!AB44&gt;(Orders!E51+Orders!Z50),0,(Orders!E51+Orders!Z50)-(Inventory!D41+Production!AB44)),(Orders!E51+Orders!Z50)-(Inventory!D41+Production!AB44))</f>
        <v>0</v>
      </c>
      <c r="AA51" s="7">
        <f>IF(Inventory!E41+Production!AC44&gt;Orders!H51,IF(Inventory!E41+Production!AC44&gt;(Orders!H51+Orders!AA50),0,(Orders!H51+Orders!AA50)-(Inventory!E41+Production!AC44)),(Orders!H51+Orders!AA50)-(Inventory!E41+Production!AC44))</f>
        <v>0</v>
      </c>
      <c r="AB51" s="7">
        <f>IF(Inventory!F41+Production!AD44&gt;Orders!K51,IF(Inventory!F41+Production!AD44&gt;(Orders!K51+Orders!AB50),0,(Orders!K51+Orders!AB50)-(Inventory!F41+Production!AD44)),(Orders!K51+Orders!AB50)-(Inventory!F41+Production!AD44))</f>
        <v>0</v>
      </c>
      <c r="AC51" s="7">
        <f>IF(Inventory!G41+Production!AE44&gt;Orders!N51,IF(Inventory!G41+Production!AE44&gt;(Orders!N51+Orders!AC50),0,(Orders!N51+Orders!AC50)-(Inventory!G41+Production!AE44)),(Orders!N51+Orders!AC50)-(Inventory!G41+Production!AE44))</f>
        <v>0</v>
      </c>
      <c r="AF51" s="38">
        <v>40</v>
      </c>
      <c r="AG51" s="79"/>
      <c r="AH51" s="79"/>
      <c r="AI51" s="79"/>
      <c r="AJ51" s="79"/>
      <c r="AL51" s="38">
        <v>40</v>
      </c>
      <c r="AM51" s="39">
        <f>(Z51)*'Pricing and Costs'!$C$22</f>
        <v>0</v>
      </c>
      <c r="AN51" s="39">
        <f>(AA51)*'Pricing and Costs'!$D$22</f>
        <v>0</v>
      </c>
      <c r="AO51" s="39">
        <f>(AB51)*'Pricing and Costs'!$E$22</f>
        <v>0</v>
      </c>
      <c r="AP51" s="39">
        <f>(AC51)*'Pricing and Costs'!$F$22</f>
        <v>0</v>
      </c>
      <c r="AQ51" s="3">
        <f t="shared" si="0"/>
        <v>0</v>
      </c>
    </row>
    <row r="52" spans="3:43" ht="16" customHeight="1" x14ac:dyDescent="0.2">
      <c r="C52" s="38">
        <v>41</v>
      </c>
      <c r="D52" s="4" t="s">
        <v>29</v>
      </c>
      <c r="E52" s="16">
        <f t="shared" si="6"/>
        <v>180933.40284791338</v>
      </c>
      <c r="F52" s="6" t="str">
        <f t="shared" si="7"/>
        <v>-</v>
      </c>
      <c r="G52" s="4" t="s">
        <v>29</v>
      </c>
      <c r="H52" s="16">
        <f t="shared" si="8"/>
        <v>136486.98635520949</v>
      </c>
      <c r="I52" s="35" t="str">
        <f t="shared" ref="I52:I70" si="12">IFERROR(H52-G52,"-")</f>
        <v>-</v>
      </c>
      <c r="J52" s="4" t="s">
        <v>29</v>
      </c>
      <c r="K52" s="16">
        <f t="shared" si="9"/>
        <v>114573.46527489147</v>
      </c>
      <c r="L52" s="35" t="str">
        <f t="shared" si="10"/>
        <v>-</v>
      </c>
      <c r="M52" s="4" t="s">
        <v>29</v>
      </c>
      <c r="N52" s="16">
        <f t="shared" si="11"/>
        <v>86337.20852799408</v>
      </c>
      <c r="O52" s="35" t="str">
        <f>IFERROR(N52-M52,"-")</f>
        <v>-</v>
      </c>
      <c r="R52" s="38">
        <v>41</v>
      </c>
      <c r="S52" s="8">
        <f>IF(Inventory!D42+Production!AB45&gt;Orders!E52,IF(Inventory!D42&gt;(Orders!E52+Orders!Z52),Orders!E52+Orders!Z52,Orders!E52),Inventory!D42+Production!AB45)</f>
        <v>180933.40284791338</v>
      </c>
      <c r="T52" s="8">
        <f>IF(Inventory!E42+Production!AC45&gt;Orders!H52,IF(Inventory!E42&gt;(Orders!H52+Orders!AA52),Orders!H52+Orders!AA52,Orders!H52),Inventory!E42+Production!AC45)</f>
        <v>136486.98635520949</v>
      </c>
      <c r="U52" s="8">
        <f>IF(Inventory!F42+Production!AD45&gt;Orders!K52,IF(Inventory!F42+Production!AD45&gt;(Orders!K52+Orders!AB51),Orders!K52+Orders!AB51,Orders!K52),Inventory!F42+Production!AD45)</f>
        <v>114573.46527489147</v>
      </c>
      <c r="V52" s="8">
        <f>IF(Inventory!G42+Production!AE45&gt;Orders!N52,IF(Inventory!G42+Production!AE45&gt;(Orders!N52+Orders!AC51),Orders!N52+Orders!AC51,Orders!N52),Inventory!G42+Production!AE45)</f>
        <v>86337.20852799408</v>
      </c>
      <c r="W52" s="3"/>
      <c r="Y52" s="38">
        <v>41</v>
      </c>
      <c r="Z52" s="7">
        <f>IF(Inventory!D42+Production!AB45&gt;Orders!E52,IF(Inventory!D42+Production!AB45&gt;(Orders!E52+Orders!Z51),0,(Orders!E52+Orders!Z51)-(Inventory!D42+Production!AB45)),(Orders!E52+Orders!Z51)-(Inventory!D42+Production!AB45))</f>
        <v>0</v>
      </c>
      <c r="AA52" s="7">
        <f>IF(Inventory!E42+Production!AC45&gt;Orders!H52,IF(Inventory!E42+Production!AC45&gt;(Orders!H52+Orders!AA51),0,(Orders!H52+Orders!AA51)-(Inventory!E42+Production!AC45)),(Orders!H52+Orders!AA51)-(Inventory!E42+Production!AC45))</f>
        <v>0</v>
      </c>
      <c r="AB52" s="7">
        <f>IF(Inventory!F42+Production!AD45&gt;Orders!K52,IF(Inventory!F42+Production!AD45&gt;(Orders!K52+Orders!AB51),0,(Orders!K52+Orders!AB51)-(Inventory!F42+Production!AD45)),(Orders!K52+Orders!AB51)-(Inventory!F42+Production!AD45))</f>
        <v>0</v>
      </c>
      <c r="AC52" s="7">
        <f>IF(Inventory!G42+Production!AE45&gt;Orders!N52,IF(Inventory!G42+Production!AE45&gt;(Orders!N52+Orders!AC51),0,(Orders!N52+Orders!AC51)-(Inventory!G42+Production!AE45)),(Orders!N52+Orders!AC51)-(Inventory!G42+Production!AE45))</f>
        <v>0</v>
      </c>
      <c r="AF52" s="38">
        <v>41</v>
      </c>
      <c r="AG52" s="79"/>
      <c r="AH52" s="79"/>
      <c r="AI52" s="79"/>
      <c r="AJ52" s="79"/>
      <c r="AL52" s="38">
        <v>41</v>
      </c>
      <c r="AM52" s="39">
        <f>(Z52)*'Pricing and Costs'!$C$22</f>
        <v>0</v>
      </c>
      <c r="AN52" s="39">
        <f>(AA52)*'Pricing and Costs'!$D$22</f>
        <v>0</v>
      </c>
      <c r="AO52" s="39">
        <f>(AB52)*'Pricing and Costs'!$E$22</f>
        <v>0</v>
      </c>
      <c r="AP52" s="39">
        <f>(AC52)*'Pricing and Costs'!$F$22</f>
        <v>0</v>
      </c>
      <c r="AQ52" s="3">
        <f t="shared" si="0"/>
        <v>0</v>
      </c>
    </row>
    <row r="53" spans="3:43" ht="16" customHeight="1" x14ac:dyDescent="0.2">
      <c r="C53" s="38">
        <v>42</v>
      </c>
      <c r="D53" s="4" t="s">
        <v>29</v>
      </c>
      <c r="E53" s="16">
        <f t="shared" si="6"/>
        <v>173747.44793573266</v>
      </c>
      <c r="F53" s="6" t="str">
        <f t="shared" si="7"/>
        <v>-</v>
      </c>
      <c r="G53" s="4" t="s">
        <v>29</v>
      </c>
      <c r="H53" s="16">
        <f t="shared" si="8"/>
        <v>135931.03351872449</v>
      </c>
      <c r="I53" s="35" t="str">
        <f>IFERROR(H53-G53,"-")</f>
        <v>-</v>
      </c>
      <c r="J53" s="4" t="s">
        <v>29</v>
      </c>
      <c r="K53" s="16">
        <f t="shared" si="9"/>
        <v>115050.62430962131</v>
      </c>
      <c r="L53" s="35" t="str">
        <f t="shared" si="10"/>
        <v>-</v>
      </c>
      <c r="M53" s="4" t="s">
        <v>29</v>
      </c>
      <c r="N53" s="16">
        <f t="shared" si="11"/>
        <v>87475.879050797186</v>
      </c>
      <c r="O53" s="35" t="str">
        <f t="shared" ref="O53:O70" si="13">IFERROR(N53-M53,"-")</f>
        <v>-</v>
      </c>
      <c r="R53" s="38">
        <v>42</v>
      </c>
      <c r="S53" s="8">
        <f>IF(Inventory!D43+Production!AB46&gt;Orders!E53,IF(Inventory!D43&gt;(Orders!E53+Orders!Z53),Orders!E53+Orders!Z53,Orders!E53),Inventory!D43+Production!AB46)</f>
        <v>173747.44793573266</v>
      </c>
      <c r="T53" s="8">
        <f>IF(Inventory!E43+Production!AC46&gt;Orders!H53,IF(Inventory!E43&gt;(Orders!H53+Orders!AA53),Orders!H53+Orders!AA53,Orders!H53),Inventory!E43+Production!AC46)</f>
        <v>135931.03351872449</v>
      </c>
      <c r="U53" s="8">
        <f>IF(Inventory!F43+Production!AD46&gt;Orders!K53,IF(Inventory!F43+Production!AD46&gt;(Orders!K53+Orders!AB52),Orders!K53+Orders!AB52,Orders!K53),Inventory!F43+Production!AD46)</f>
        <v>115050.62430962131</v>
      </c>
      <c r="V53" s="8">
        <f>IF(Inventory!G43+Production!AE46&gt;Orders!N53,IF(Inventory!G43+Production!AE46&gt;(Orders!N53+Orders!AC52),Orders!N53+Orders!AC52,Orders!N53),Inventory!G43+Production!AE46)</f>
        <v>87475.879050797186</v>
      </c>
      <c r="Y53" s="38">
        <v>42</v>
      </c>
      <c r="Z53" s="7">
        <f>IF(Inventory!D43+Production!AB46&gt;Orders!E53,IF(Inventory!D43+Production!AB46&gt;(Orders!E53+Orders!Z52),0,(Orders!E53+Orders!Z52)-(Inventory!D43+Production!AB46)),(Orders!E53+Orders!Z52)-(Inventory!D43+Production!AB46))</f>
        <v>0</v>
      </c>
      <c r="AA53" s="7">
        <f>IF(Inventory!E43+Production!AC46&gt;Orders!H53,IF(Inventory!E43+Production!AC46&gt;(Orders!H53+Orders!AA52),0,(Orders!H53+Orders!AA52)-(Inventory!E43+Production!AC46)),(Orders!H53+Orders!AA52)-(Inventory!E43+Production!AC46))</f>
        <v>0</v>
      </c>
      <c r="AB53" s="7">
        <f>IF(Inventory!F43+Production!AD46&gt;Orders!K53,IF(Inventory!F43+Production!AD46&gt;(Orders!K53+Orders!AB52),0,(Orders!K53+Orders!AB52)-(Inventory!F43+Production!AD46)),(Orders!K53+Orders!AB52)-(Inventory!F43+Production!AD46))</f>
        <v>0</v>
      </c>
      <c r="AC53" s="7">
        <f>IF(Inventory!G43+Production!AE46&gt;Orders!N53,IF(Inventory!G43+Production!AE46&gt;(Orders!N53+Orders!AC52),0,(Orders!N53+Orders!AC52)-(Inventory!G43+Production!AE46)),(Orders!N53+Orders!AC52)-(Inventory!G43+Production!AE46))</f>
        <v>0</v>
      </c>
      <c r="AF53" s="38">
        <v>42</v>
      </c>
      <c r="AG53" s="79"/>
      <c r="AH53" s="79"/>
      <c r="AI53" s="79"/>
      <c r="AJ53" s="79"/>
      <c r="AL53" s="38">
        <v>42</v>
      </c>
      <c r="AM53" s="39">
        <f>(Z53)*'Pricing and Costs'!$C$22</f>
        <v>0</v>
      </c>
      <c r="AN53" s="39">
        <f>(AA53)*'Pricing and Costs'!$D$22</f>
        <v>0</v>
      </c>
      <c r="AO53" s="39">
        <f>(AB53)*'Pricing and Costs'!$E$22</f>
        <v>0</v>
      </c>
      <c r="AP53" s="39">
        <f>(AC53)*'Pricing and Costs'!$F$22</f>
        <v>0</v>
      </c>
      <c r="AQ53" s="3">
        <f t="shared" si="0"/>
        <v>0</v>
      </c>
    </row>
    <row r="54" spans="3:43" ht="16" customHeight="1" x14ac:dyDescent="0.2">
      <c r="C54" s="38">
        <v>43</v>
      </c>
      <c r="D54" s="4" t="s">
        <v>29</v>
      </c>
      <c r="E54" s="16">
        <f t="shared" si="6"/>
        <v>169373.86813727726</v>
      </c>
      <c r="F54" s="6" t="str">
        <f t="shared" si="7"/>
        <v>-</v>
      </c>
      <c r="G54" s="4" t="s">
        <v>29</v>
      </c>
      <c r="H54" s="16">
        <f t="shared" si="8"/>
        <v>135375.08068223952</v>
      </c>
      <c r="I54" s="35" t="str">
        <f>IFERROR(H54-G54,"-")</f>
        <v>-</v>
      </c>
      <c r="J54" s="4" t="s">
        <v>29</v>
      </c>
      <c r="K54" s="16">
        <f t="shared" si="9"/>
        <v>115527.78334435116</v>
      </c>
      <c r="L54" s="35" t="str">
        <f t="shared" si="10"/>
        <v>-</v>
      </c>
      <c r="M54" s="4" t="s">
        <v>29</v>
      </c>
      <c r="N54" s="16">
        <f t="shared" si="11"/>
        <v>88614.549573600292</v>
      </c>
      <c r="O54" s="35" t="str">
        <f>IFERROR(N54-M54,"-")</f>
        <v>-</v>
      </c>
      <c r="R54" s="38">
        <v>43</v>
      </c>
      <c r="S54" s="8">
        <f>IF(Inventory!D44+Production!AB47&gt;Orders!E54,IF(Inventory!D44&gt;(Orders!E54+Orders!Z54),Orders!E54+Orders!Z54,Orders!E54),Inventory!D44+Production!AB47)</f>
        <v>169373.86813727726</v>
      </c>
      <c r="T54" s="8">
        <f>IF(Inventory!E44+Production!AC47&gt;Orders!H54,IF(Inventory!E44&gt;(Orders!H54+Orders!AA54),Orders!H54+Orders!AA54,Orders!H54),Inventory!E44+Production!AC47)</f>
        <v>135375.08068223952</v>
      </c>
      <c r="U54" s="8">
        <f>IF(Inventory!F44+Production!AD47&gt;Orders!K54,IF(Inventory!F44+Production!AD47&gt;(Orders!K54+Orders!AB53),Orders!K54+Orders!AB53,Orders!K54),Inventory!F44+Production!AD47)</f>
        <v>115527.78334435116</v>
      </c>
      <c r="V54" s="8">
        <f>IF(Inventory!G44+Production!AE47&gt;Orders!N54,IF(Inventory!G44+Production!AE47&gt;(Orders!N54+Orders!AC53),Orders!N54+Orders!AC53,Orders!N54),Inventory!G44+Production!AE47)</f>
        <v>88614.549573600292</v>
      </c>
      <c r="Y54" s="38">
        <v>43</v>
      </c>
      <c r="Z54" s="7">
        <f>IF(Inventory!D44+Production!AB47&gt;Orders!E54,IF(Inventory!D44+Production!AB47&gt;(Orders!E54+Orders!Z53),0,(Orders!E54+Orders!Z53)-(Inventory!D44+Production!AB47)),(Orders!E54+Orders!Z53)-(Inventory!D44+Production!AB47))</f>
        <v>0</v>
      </c>
      <c r="AA54" s="7">
        <f>IF(Inventory!E44+Production!AC47&gt;Orders!H54,IF(Inventory!E44+Production!AC47&gt;(Orders!H54+Orders!AA53),0,(Orders!H54+Orders!AA53)-(Inventory!E44+Production!AC47)),(Orders!H54+Orders!AA53)-(Inventory!E44+Production!AC47))</f>
        <v>0</v>
      </c>
      <c r="AB54" s="7">
        <f>IF(Inventory!F44+Production!AD47&gt;Orders!K54,IF(Inventory!F44+Production!AD47&gt;(Orders!K54+Orders!AB53),0,(Orders!K54+Orders!AB53)-(Inventory!F44+Production!AD47)),(Orders!K54+Orders!AB53)-(Inventory!F44+Production!AD47))</f>
        <v>0</v>
      </c>
      <c r="AC54" s="7">
        <f>IF(Inventory!G44+Production!AE47&gt;Orders!N54,IF(Inventory!G44+Production!AE47&gt;(Orders!N54+Orders!AC53),0,(Orders!N54+Orders!AC53)-(Inventory!G44+Production!AE47)),(Orders!N54+Orders!AC53)-(Inventory!G44+Production!AE47))</f>
        <v>0</v>
      </c>
      <c r="AF54" s="38">
        <v>43</v>
      </c>
      <c r="AG54" s="79"/>
      <c r="AH54" s="79"/>
      <c r="AI54" s="79"/>
      <c r="AJ54" s="79"/>
      <c r="AL54" s="38">
        <v>43</v>
      </c>
      <c r="AM54" s="39">
        <f>(Z54)*'Pricing and Costs'!$C$22</f>
        <v>0</v>
      </c>
      <c r="AN54" s="39">
        <f>(AA54)*'Pricing and Costs'!$D$22</f>
        <v>0</v>
      </c>
      <c r="AO54" s="39">
        <f>(AB54)*'Pricing and Costs'!$E$22</f>
        <v>0</v>
      </c>
      <c r="AP54" s="39">
        <f>(AC54)*'Pricing and Costs'!$F$22</f>
        <v>0</v>
      </c>
      <c r="AQ54" s="3">
        <f t="shared" si="0"/>
        <v>0</v>
      </c>
    </row>
    <row r="55" spans="3:43" ht="16" customHeight="1" x14ac:dyDescent="0.2">
      <c r="C55" s="38">
        <v>44</v>
      </c>
      <c r="D55" s="4" t="s">
        <v>29</v>
      </c>
      <c r="E55" s="16">
        <f t="shared" si="6"/>
        <v>167892.67637202563</v>
      </c>
      <c r="F55" s="6" t="str">
        <f t="shared" si="7"/>
        <v>-</v>
      </c>
      <c r="G55" s="4" t="s">
        <v>29</v>
      </c>
      <c r="H55" s="16">
        <f t="shared" si="8"/>
        <v>134819.12784575456</v>
      </c>
      <c r="I55" s="35" t="str">
        <f t="shared" si="12"/>
        <v>-</v>
      </c>
      <c r="J55" s="4" t="s">
        <v>29</v>
      </c>
      <c r="K55" s="16">
        <f t="shared" si="9"/>
        <v>116004.94237908103</v>
      </c>
      <c r="L55" s="35" t="str">
        <f t="shared" si="10"/>
        <v>-</v>
      </c>
      <c r="M55" s="4" t="s">
        <v>29</v>
      </c>
      <c r="N55" s="16">
        <f t="shared" si="11"/>
        <v>89753.220096403413</v>
      </c>
      <c r="O55" s="35" t="str">
        <f>IFERROR(N55-M55,"-")</f>
        <v>-</v>
      </c>
      <c r="R55" s="38">
        <v>44</v>
      </c>
      <c r="S55" s="8">
        <f>IF(Inventory!D45+Production!AB48&gt;Orders!E55,IF(Inventory!D45&gt;(Orders!E55+Orders!Z55),Orders!E55+Orders!Z55,Orders!E55),Inventory!D45+Production!AB48)</f>
        <v>167892.67637202563</v>
      </c>
      <c r="T55" s="8">
        <f>IF(Inventory!E45+Production!AC48&gt;Orders!H55,IF(Inventory!E45&gt;(Orders!H55+Orders!AA55),Orders!H55+Orders!AA55,Orders!H55),Inventory!E45+Production!AC48)</f>
        <v>134819.12784575456</v>
      </c>
      <c r="U55" s="8">
        <f>IF(Inventory!F45+Production!AD48&gt;Orders!K55,IF(Inventory!F45+Production!AD48&gt;(Orders!K55+Orders!AB54),Orders!K55+Orders!AB54,Orders!K55),Inventory!F45+Production!AD48)</f>
        <v>116004.94237908103</v>
      </c>
      <c r="V55" s="8">
        <f>IF(Inventory!G45+Production!AE48&gt;Orders!N55,IF(Inventory!G45+Production!AE48&gt;(Orders!N55+Orders!AC54),Orders!N55+Orders!AC54,Orders!N55),Inventory!G45+Production!AE48)</f>
        <v>89753.220096403413</v>
      </c>
      <c r="Y55" s="38">
        <v>44</v>
      </c>
      <c r="Z55" s="7">
        <f>IF(Inventory!D45+Production!AB48&gt;Orders!E55,IF(Inventory!D45+Production!AB48&gt;(Orders!E55+Orders!Z54),0,(Orders!E55+Orders!Z54)-(Inventory!D45+Production!AB48)),(Orders!E55+Orders!Z54)-(Inventory!D45+Production!AB48))</f>
        <v>0</v>
      </c>
      <c r="AA55" s="7">
        <f>IF(Inventory!E45+Production!AC48&gt;Orders!H55,IF(Inventory!E45+Production!AC48&gt;(Orders!H55+Orders!AA54),0,(Orders!H55+Orders!AA54)-(Inventory!E45+Production!AC48)),(Orders!H55+Orders!AA54)-(Inventory!E45+Production!AC48))</f>
        <v>0</v>
      </c>
      <c r="AB55" s="7">
        <f>IF(Inventory!F45+Production!AD48&gt;Orders!K55,IF(Inventory!F45+Production!AD48&gt;(Orders!K55+Orders!AB54),0,(Orders!K55+Orders!AB54)-(Inventory!F45+Production!AD48)),(Orders!K55+Orders!AB54)-(Inventory!F45+Production!AD48))</f>
        <v>0</v>
      </c>
      <c r="AC55" s="7">
        <f>IF(Inventory!G45+Production!AE48&gt;Orders!N55,IF(Inventory!G45+Production!AE48&gt;(Orders!N55+Orders!AC54),0,(Orders!N55+Orders!AC54)-(Inventory!G45+Production!AE48)),(Orders!N55+Orders!AC54)-(Inventory!G45+Production!AE48))</f>
        <v>0</v>
      </c>
      <c r="AF55" s="38">
        <v>44</v>
      </c>
      <c r="AG55" s="79"/>
      <c r="AH55" s="79"/>
      <c r="AI55" s="79"/>
      <c r="AJ55" s="79"/>
      <c r="AL55" s="38">
        <v>44</v>
      </c>
      <c r="AM55" s="39">
        <f>(Z55)*'Pricing and Costs'!$C$22</f>
        <v>0</v>
      </c>
      <c r="AN55" s="39">
        <f>(AA55)*'Pricing and Costs'!$D$22</f>
        <v>0</v>
      </c>
      <c r="AO55" s="39">
        <f>(AB55)*'Pricing and Costs'!$E$22</f>
        <v>0</v>
      </c>
      <c r="AP55" s="39">
        <f>(AC55)*'Pricing and Costs'!$F$22</f>
        <v>0</v>
      </c>
      <c r="AQ55" s="3">
        <f t="shared" si="0"/>
        <v>0</v>
      </c>
    </row>
    <row r="56" spans="3:43" ht="16" customHeight="1" x14ac:dyDescent="0.2">
      <c r="C56" s="38">
        <v>45</v>
      </c>
      <c r="D56" s="4" t="s">
        <v>29</v>
      </c>
      <c r="E56" s="16">
        <f t="shared" si="6"/>
        <v>183563.35543025349</v>
      </c>
      <c r="F56" s="6" t="str">
        <f t="shared" si="7"/>
        <v>-</v>
      </c>
      <c r="G56" s="4" t="s">
        <v>29</v>
      </c>
      <c r="H56" s="16">
        <f t="shared" si="8"/>
        <v>134263.17500926956</v>
      </c>
      <c r="I56" s="35" t="str">
        <f t="shared" si="12"/>
        <v>-</v>
      </c>
      <c r="J56" s="4" t="s">
        <v>29</v>
      </c>
      <c r="K56" s="16">
        <f t="shared" si="9"/>
        <v>116482.10141381087</v>
      </c>
      <c r="L56" s="35" t="str">
        <f t="shared" si="10"/>
        <v>-</v>
      </c>
      <c r="M56" s="4" t="s">
        <v>29</v>
      </c>
      <c r="N56" s="16">
        <f t="shared" si="11"/>
        <v>90891.890619206533</v>
      </c>
      <c r="O56" s="35" t="str">
        <f t="shared" si="13"/>
        <v>-</v>
      </c>
      <c r="R56" s="38">
        <v>45</v>
      </c>
      <c r="S56" s="8">
        <f>IF(Inventory!D46+Production!AB49&gt;Orders!E56,IF(Inventory!D46&gt;(Orders!E56+Orders!Z56),Orders!E56+Orders!Z56,Orders!E56),Inventory!D46+Production!AB49)</f>
        <v>183563.35543025349</v>
      </c>
      <c r="T56" s="8">
        <f>IF(Inventory!E46+Production!AC49&gt;Orders!H56,IF(Inventory!E46&gt;(Orders!H56+Orders!AA56),Orders!H56+Orders!AA56,Orders!H56),Inventory!E46+Production!AC49)</f>
        <v>134263.17500926956</v>
      </c>
      <c r="U56" s="8">
        <f>IF(Inventory!F46+Production!AD49&gt;Orders!K56,IF(Inventory!F46+Production!AD49&gt;(Orders!K56+Orders!AB55),Orders!K56+Orders!AB55,Orders!K56),Inventory!F46+Production!AD49)</f>
        <v>116482.10141381087</v>
      </c>
      <c r="V56" s="8">
        <f>IF(Inventory!G46+Production!AE49&gt;Orders!N56,IF(Inventory!G46+Production!AE49&gt;(Orders!N56+Orders!AC55),Orders!N56+Orders!AC55,Orders!N56),Inventory!G46+Production!AE49)</f>
        <v>90891.890619206533</v>
      </c>
      <c r="Y56" s="38">
        <v>45</v>
      </c>
      <c r="Z56" s="7">
        <f>IF(Inventory!D46+Production!AB49&gt;Orders!E56,IF(Inventory!D46+Production!AB49&gt;(Orders!E56+Orders!Z55),0,(Orders!E56+Orders!Z55)-(Inventory!D46+Production!AB49)),(Orders!E56+Orders!Z55)-(Inventory!D46+Production!AB49))</f>
        <v>0</v>
      </c>
      <c r="AA56" s="7">
        <f>IF(Inventory!E46+Production!AC49&gt;Orders!H56,IF(Inventory!E46+Production!AC49&gt;(Orders!H56+Orders!AA55),0,(Orders!H56+Orders!AA55)-(Inventory!E46+Production!AC49)),(Orders!H56+Orders!AA55)-(Inventory!E46+Production!AC49))</f>
        <v>0</v>
      </c>
      <c r="AB56" s="7">
        <f>IF(Inventory!F46+Production!AD49&gt;Orders!K56,IF(Inventory!F46+Production!AD49&gt;(Orders!K56+Orders!AB55),0,(Orders!K56+Orders!AB55)-(Inventory!F46+Production!AD49)),(Orders!K56+Orders!AB55)-(Inventory!F46+Production!AD49))</f>
        <v>0</v>
      </c>
      <c r="AC56" s="7">
        <f>IF(Inventory!G46+Production!AE49&gt;Orders!N56,IF(Inventory!G46+Production!AE49&gt;(Orders!N56+Orders!AC55),0,(Orders!N56+Orders!AC55)-(Inventory!G46+Production!AE49)),(Orders!N56+Orders!AC55)-(Inventory!G46+Production!AE49))</f>
        <v>0</v>
      </c>
      <c r="AF56" s="38">
        <v>45</v>
      </c>
      <c r="AG56" s="79"/>
      <c r="AH56" s="79"/>
      <c r="AI56" s="79"/>
      <c r="AJ56" s="79"/>
      <c r="AL56" s="38">
        <v>45</v>
      </c>
      <c r="AM56" s="39">
        <f>(Z56)*'Pricing and Costs'!$C$22</f>
        <v>0</v>
      </c>
      <c r="AN56" s="39">
        <f>(AA56)*'Pricing and Costs'!$D$22</f>
        <v>0</v>
      </c>
      <c r="AO56" s="39">
        <f>(AB56)*'Pricing and Costs'!$E$22</f>
        <v>0</v>
      </c>
      <c r="AP56" s="39">
        <f>(AC56)*'Pricing and Costs'!$F$22</f>
        <v>0</v>
      </c>
      <c r="AQ56" s="3">
        <f t="shared" si="0"/>
        <v>0</v>
      </c>
    </row>
    <row r="57" spans="3:43" ht="16" customHeight="1" x14ac:dyDescent="0.2">
      <c r="C57" s="38">
        <v>46</v>
      </c>
      <c r="D57" s="4" t="s">
        <v>29</v>
      </c>
      <c r="E57" s="16">
        <f t="shared" si="6"/>
        <v>177923.96276489121</v>
      </c>
      <c r="F57" s="6" t="str">
        <f t="shared" si="7"/>
        <v>-</v>
      </c>
      <c r="G57" s="4" t="s">
        <v>29</v>
      </c>
      <c r="H57" s="16">
        <f t="shared" si="8"/>
        <v>133707.22217278456</v>
      </c>
      <c r="I57" s="35" t="str">
        <f t="shared" si="12"/>
        <v>-</v>
      </c>
      <c r="J57" s="4" t="s">
        <v>29</v>
      </c>
      <c r="K57" s="16">
        <f t="shared" si="9"/>
        <v>116959.26044854072</v>
      </c>
      <c r="L57" s="35" t="str">
        <f t="shared" si="10"/>
        <v>-</v>
      </c>
      <c r="M57" s="4" t="s">
        <v>29</v>
      </c>
      <c r="N57" s="16">
        <f t="shared" si="11"/>
        <v>92030.561142009654</v>
      </c>
      <c r="O57" s="35" t="str">
        <f t="shared" si="13"/>
        <v>-</v>
      </c>
      <c r="R57" s="38">
        <v>46</v>
      </c>
      <c r="S57" s="8">
        <f>IF(Inventory!D47+Production!AB50&gt;Orders!E57,IF(Inventory!D47&gt;(Orders!E57+Orders!Z57),Orders!E57+Orders!Z57,Orders!E57),Inventory!D47+Production!AB50)</f>
        <v>177923.96276489121</v>
      </c>
      <c r="T57" s="8">
        <f>IF(Inventory!E47+Production!AC50&gt;Orders!H57,IF(Inventory!E47&gt;(Orders!H57+Orders!AA57),Orders!H57+Orders!AA57,Orders!H57),Inventory!E47+Production!AC50)</f>
        <v>133707.22217278456</v>
      </c>
      <c r="U57" s="8">
        <f>IF(Inventory!F47+Production!AD50&gt;Orders!K57,IF(Inventory!F47+Production!AD50&gt;(Orders!K57+Orders!AB56),Orders!K57+Orders!AB56,Orders!K57),Inventory!F47+Production!AD50)</f>
        <v>116959.26044854072</v>
      </c>
      <c r="V57" s="8">
        <f>IF(Inventory!G47+Production!AE50&gt;Orders!N57,IF(Inventory!G47+Production!AE50&gt;(Orders!N57+Orders!AC56),Orders!N57+Orders!AC56,Orders!N57),Inventory!G47+Production!AE50)</f>
        <v>92030.561142009654</v>
      </c>
      <c r="Y57" s="38">
        <v>46</v>
      </c>
      <c r="Z57" s="7">
        <f>IF(Inventory!D47+Production!AB50&gt;Orders!E57,IF(Inventory!D47+Production!AB50&gt;(Orders!E57+Orders!Z56),0,(Orders!E57+Orders!Z56)-(Inventory!D47+Production!AB50)),(Orders!E57+Orders!Z56)-(Inventory!D47+Production!AB50))</f>
        <v>0</v>
      </c>
      <c r="AA57" s="7">
        <f>IF(Inventory!E47+Production!AC50&gt;Orders!H57,IF(Inventory!E47+Production!AC50&gt;(Orders!H57+Orders!AA56),0,(Orders!H57+Orders!AA56)-(Inventory!E47+Production!AC50)),(Orders!H57+Orders!AA56)-(Inventory!E47+Production!AC50))</f>
        <v>0</v>
      </c>
      <c r="AB57" s="7">
        <f>IF(Inventory!F47+Production!AD50&gt;Orders!K57,IF(Inventory!F47+Production!AD50&gt;(Orders!K57+Orders!AB56),0,(Orders!K57+Orders!AB56)-(Inventory!F47+Production!AD50)),(Orders!K57+Orders!AB56)-(Inventory!F47+Production!AD50))</f>
        <v>0</v>
      </c>
      <c r="AC57" s="7">
        <f>IF(Inventory!G47+Production!AE50&gt;Orders!N57,IF(Inventory!G47+Production!AE50&gt;(Orders!N57+Orders!AC56),0,(Orders!N57+Orders!AC56)-(Inventory!G47+Production!AE50)),(Orders!N57+Orders!AC56)-(Inventory!G47+Production!AE50))</f>
        <v>0</v>
      </c>
      <c r="AF57" s="38">
        <v>46</v>
      </c>
      <c r="AG57" s="79"/>
      <c r="AH57" s="79"/>
      <c r="AI57" s="79"/>
      <c r="AJ57" s="79"/>
      <c r="AL57" s="38">
        <v>46</v>
      </c>
      <c r="AM57" s="39">
        <f>(Z57)*'Pricing and Costs'!$C$22</f>
        <v>0</v>
      </c>
      <c r="AN57" s="39">
        <f>(AA57)*'Pricing and Costs'!$D$22</f>
        <v>0</v>
      </c>
      <c r="AO57" s="39">
        <f>(AB57)*'Pricing and Costs'!$E$22</f>
        <v>0</v>
      </c>
      <c r="AP57" s="39">
        <f>(AC57)*'Pricing and Costs'!$F$22</f>
        <v>0</v>
      </c>
      <c r="AQ57" s="3">
        <f t="shared" si="0"/>
        <v>0</v>
      </c>
    </row>
    <row r="58" spans="3:43" ht="16" customHeight="1" x14ac:dyDescent="0.2">
      <c r="C58" s="38">
        <v>47</v>
      </c>
      <c r="D58" s="4" t="s">
        <v>29</v>
      </c>
      <c r="E58" s="16">
        <f t="shared" si="6"/>
        <v>182731.31645429443</v>
      </c>
      <c r="F58" s="6" t="str">
        <f t="shared" si="7"/>
        <v>-</v>
      </c>
      <c r="G58" s="4" t="s">
        <v>29</v>
      </c>
      <c r="H58" s="16">
        <f t="shared" si="8"/>
        <v>133151.26933629959</v>
      </c>
      <c r="I58" s="35" t="str">
        <f t="shared" si="12"/>
        <v>-</v>
      </c>
      <c r="J58" s="4" t="s">
        <v>29</v>
      </c>
      <c r="K58" s="16">
        <f t="shared" si="9"/>
        <v>117436.41948327057</v>
      </c>
      <c r="L58" s="35" t="str">
        <f t="shared" si="10"/>
        <v>-</v>
      </c>
      <c r="M58" s="4" t="s">
        <v>29</v>
      </c>
      <c r="N58" s="16">
        <f t="shared" si="11"/>
        <v>93169.23166481276</v>
      </c>
      <c r="O58" s="35" t="str">
        <f t="shared" si="13"/>
        <v>-</v>
      </c>
      <c r="R58" s="38">
        <v>47</v>
      </c>
      <c r="S58" s="8">
        <f>IF(Inventory!D48+Production!AB51&gt;Orders!E58,IF(Inventory!D48&gt;(Orders!E58+Orders!Z58),Orders!E58+Orders!Z58,Orders!E58),Inventory!D48+Production!AB51)</f>
        <v>182731.31645429443</v>
      </c>
      <c r="T58" s="8">
        <f>IF(Inventory!E48+Production!AC51&gt;Orders!H58,IF(Inventory!E48&gt;(Orders!H58+Orders!AA58),Orders!H58+Orders!AA58,Orders!H58),Inventory!E48+Production!AC51)</f>
        <v>133151.26933629959</v>
      </c>
      <c r="U58" s="8">
        <f>IF(Inventory!F48+Production!AD51&gt;Orders!K58,IF(Inventory!F48+Production!AD51&gt;(Orders!K58+Orders!AB57),Orders!K58+Orders!AB57,Orders!K58),Inventory!F48+Production!AD51)</f>
        <v>117436.41948327057</v>
      </c>
      <c r="V58" s="8">
        <f>IF(Inventory!G48+Production!AE51&gt;Orders!N58,IF(Inventory!G48+Production!AE51&gt;(Orders!N58+Orders!AC57),Orders!N58+Orders!AC57,Orders!N58),Inventory!G48+Production!AE51)</f>
        <v>93169.23166481276</v>
      </c>
      <c r="Y58" s="38">
        <v>47</v>
      </c>
      <c r="Z58" s="7">
        <f>IF(Inventory!D48+Production!AB51&gt;Orders!E58,IF(Inventory!D48+Production!AB51&gt;(Orders!E58+Orders!Z57),0,(Orders!E58+Orders!Z57)-(Inventory!D48+Production!AB51)),(Orders!E58+Orders!Z57)-(Inventory!D48+Production!AB51))</f>
        <v>0</v>
      </c>
      <c r="AA58" s="7">
        <f>IF(Inventory!E48+Production!AC51&gt;Orders!H58,IF(Inventory!E48+Production!AC51&gt;(Orders!H58+Orders!AA57),0,(Orders!H58+Orders!AA57)-(Inventory!E48+Production!AC51)),(Orders!H58+Orders!AA57)-(Inventory!E48+Production!AC51))</f>
        <v>0</v>
      </c>
      <c r="AB58" s="7">
        <f>IF(Inventory!F48+Production!AD51&gt;Orders!K58,IF(Inventory!F48+Production!AD51&gt;(Orders!K58+Orders!AB57),0,(Orders!K58+Orders!AB57)-(Inventory!F48+Production!AD51)),(Orders!K58+Orders!AB57)-(Inventory!F48+Production!AD51))</f>
        <v>0</v>
      </c>
      <c r="AC58" s="7">
        <f>IF(Inventory!G48+Production!AE51&gt;Orders!N58,IF(Inventory!G48+Production!AE51&gt;(Orders!N58+Orders!AC57),0,(Orders!N58+Orders!AC57)-(Inventory!G48+Production!AE51)),(Orders!N58+Orders!AC57)-(Inventory!G48+Production!AE51))</f>
        <v>0</v>
      </c>
      <c r="AF58" s="38">
        <v>47</v>
      </c>
      <c r="AG58" s="79"/>
      <c r="AH58" s="79"/>
      <c r="AI58" s="79"/>
      <c r="AJ58" s="79"/>
      <c r="AL58" s="38">
        <v>47</v>
      </c>
      <c r="AM58" s="39">
        <f>(Z58)*'Pricing and Costs'!$C$22</f>
        <v>0</v>
      </c>
      <c r="AN58" s="39">
        <f>(AA58)*'Pricing and Costs'!$D$22</f>
        <v>0</v>
      </c>
      <c r="AO58" s="39">
        <f>(AB58)*'Pricing and Costs'!$E$22</f>
        <v>0</v>
      </c>
      <c r="AP58" s="39">
        <f>(AC58)*'Pricing and Costs'!$F$22</f>
        <v>0</v>
      </c>
      <c r="AQ58" s="3">
        <f t="shared" si="0"/>
        <v>0</v>
      </c>
    </row>
    <row r="59" spans="3:43" ht="16" customHeight="1" x14ac:dyDescent="0.2">
      <c r="C59" s="38">
        <v>48</v>
      </c>
      <c r="D59" s="4" t="s">
        <v>29</v>
      </c>
      <c r="E59" s="16">
        <f t="shared" si="6"/>
        <v>190372.81961964275</v>
      </c>
      <c r="F59" s="6" t="str">
        <f t="shared" si="7"/>
        <v>-</v>
      </c>
      <c r="G59" s="4" t="s">
        <v>29</v>
      </c>
      <c r="H59" s="16">
        <f t="shared" si="8"/>
        <v>132595.31649981462</v>
      </c>
      <c r="I59" s="35" t="str">
        <f t="shared" si="12"/>
        <v>-</v>
      </c>
      <c r="J59" s="4" t="s">
        <v>29</v>
      </c>
      <c r="K59" s="16">
        <f t="shared" si="9"/>
        <v>117913.57851800042</v>
      </c>
      <c r="L59" s="35" t="str">
        <f t="shared" si="10"/>
        <v>-</v>
      </c>
      <c r="M59" s="4" t="s">
        <v>29</v>
      </c>
      <c r="N59" s="16">
        <f t="shared" si="11"/>
        <v>94307.902187615866</v>
      </c>
      <c r="O59" s="35" t="str">
        <f t="shared" si="13"/>
        <v>-</v>
      </c>
      <c r="R59" s="38">
        <v>48</v>
      </c>
      <c r="S59" s="8">
        <f>IF(Inventory!D49+Production!AB52&gt;Orders!E59,IF(Inventory!D49&gt;(Orders!E59+Orders!Z59),Orders!E59+Orders!Z59,Orders!E59),Inventory!D49+Production!AB52)</f>
        <v>190372.81961964275</v>
      </c>
      <c r="T59" s="8">
        <f>IF(Inventory!E49+Production!AC52&gt;Orders!H59,IF(Inventory!E49&gt;(Orders!H59+Orders!AA59),Orders!H59+Orders!AA59,Orders!H59),Inventory!E49+Production!AC52)</f>
        <v>132595.31649981462</v>
      </c>
      <c r="U59" s="8">
        <f>IF(Inventory!F49+Production!AD52&gt;Orders!K59,IF(Inventory!F49+Production!AD52&gt;(Orders!K59+Orders!AB58),Orders!K59+Orders!AB58,Orders!K59),Inventory!F49+Production!AD52)</f>
        <v>117913.57851800042</v>
      </c>
      <c r="V59" s="8">
        <f>IF(Inventory!G49+Production!AE52&gt;Orders!N59,IF(Inventory!G49+Production!AE52&gt;(Orders!N59+Orders!AC58),Orders!N59+Orders!AC58,Orders!N59),Inventory!G49+Production!AE52)</f>
        <v>94307.902187615866</v>
      </c>
      <c r="Y59" s="38">
        <v>48</v>
      </c>
      <c r="Z59" s="7">
        <f>IF(Inventory!D49+Production!AB52&gt;Orders!E59,IF(Inventory!D49+Production!AB52&gt;(Orders!E59+Orders!Z58),0,(Orders!E59+Orders!Z58)-(Inventory!D49+Production!AB52)),(Orders!E59+Orders!Z58)-(Inventory!D49+Production!AB52))</f>
        <v>0</v>
      </c>
      <c r="AA59" s="7">
        <f>IF(Inventory!E49+Production!AC52&gt;Orders!H59,IF(Inventory!E49+Production!AC52&gt;(Orders!H59+Orders!AA58),0,(Orders!H59+Orders!AA58)-(Inventory!E49+Production!AC52)),(Orders!H59+Orders!AA58)-(Inventory!E49+Production!AC52))</f>
        <v>0</v>
      </c>
      <c r="AB59" s="7">
        <f>IF(Inventory!F49+Production!AD52&gt;Orders!K59,IF(Inventory!F49+Production!AD52&gt;(Orders!K59+Orders!AB58),0,(Orders!K59+Orders!AB58)-(Inventory!F49+Production!AD52)),(Orders!K59+Orders!AB58)-(Inventory!F49+Production!AD52))</f>
        <v>0</v>
      </c>
      <c r="AC59" s="7">
        <f>IF(Inventory!G49+Production!AE52&gt;Orders!N59,IF(Inventory!G49+Production!AE52&gt;(Orders!N59+Orders!AC58),0,(Orders!N59+Orders!AC58)-(Inventory!G49+Production!AE52)),(Orders!N59+Orders!AC58)-(Inventory!G49+Production!AE52))</f>
        <v>0</v>
      </c>
      <c r="AF59" s="38">
        <v>48</v>
      </c>
      <c r="AG59" s="79"/>
      <c r="AH59" s="79"/>
      <c r="AI59" s="79"/>
      <c r="AJ59" s="79"/>
      <c r="AL59" s="38">
        <v>48</v>
      </c>
      <c r="AM59" s="39">
        <f>(Z59)*'Pricing and Costs'!$C$22</f>
        <v>0</v>
      </c>
      <c r="AN59" s="39">
        <f>(AA59)*'Pricing and Costs'!$D$22</f>
        <v>0</v>
      </c>
      <c r="AO59" s="39">
        <f>(AB59)*'Pricing and Costs'!$E$22</f>
        <v>0</v>
      </c>
      <c r="AP59" s="39">
        <f>(AC59)*'Pricing and Costs'!$F$22</f>
        <v>0</v>
      </c>
      <c r="AQ59" s="3">
        <f t="shared" si="0"/>
        <v>0</v>
      </c>
    </row>
    <row r="60" spans="3:43" ht="16" customHeight="1" x14ac:dyDescent="0.2">
      <c r="C60" s="38">
        <v>49</v>
      </c>
      <c r="D60" s="4" t="s">
        <v>29</v>
      </c>
      <c r="E60" s="16">
        <f t="shared" si="6"/>
        <v>194867.81818953474</v>
      </c>
      <c r="F60" s="6" t="str">
        <f t="shared" si="7"/>
        <v>-</v>
      </c>
      <c r="G60" s="4" t="s">
        <v>29</v>
      </c>
      <c r="H60" s="16">
        <f t="shared" si="8"/>
        <v>132039.36366332963</v>
      </c>
      <c r="I60" s="35" t="str">
        <f t="shared" si="12"/>
        <v>-</v>
      </c>
      <c r="J60" s="4" t="s">
        <v>29</v>
      </c>
      <c r="K60" s="16">
        <f t="shared" si="9"/>
        <v>118390.73755273028</v>
      </c>
      <c r="L60" s="35" t="str">
        <f t="shared" si="10"/>
        <v>-</v>
      </c>
      <c r="M60" s="4" t="s">
        <v>29</v>
      </c>
      <c r="N60" s="16">
        <f t="shared" si="11"/>
        <v>95446.572710418986</v>
      </c>
      <c r="O60" s="35" t="str">
        <f t="shared" si="13"/>
        <v>-</v>
      </c>
      <c r="R60" s="38">
        <v>49</v>
      </c>
      <c r="S60" s="8">
        <f>IF(Inventory!D50+Production!AB53&gt;Orders!E60,IF(Inventory!D50&gt;(Orders!E60+Orders!Z60),Orders!E60+Orders!Z60,Orders!E60),Inventory!D50+Production!AB53)</f>
        <v>194867.81818953474</v>
      </c>
      <c r="T60" s="8">
        <f>IF(Inventory!E50+Production!AC53&gt;Orders!H60,IF(Inventory!E50&gt;(Orders!H60+Orders!AA60),Orders!H60+Orders!AA60,Orders!H60),Inventory!E50+Production!AC53)</f>
        <v>132039.36366332963</v>
      </c>
      <c r="U60" s="8">
        <f>IF(Inventory!F50+Production!AD53&gt;Orders!K60,IF(Inventory!F50+Production!AD53&gt;(Orders!K60+Orders!AB59),Orders!K60+Orders!AB59,Orders!K60),Inventory!F50+Production!AD53)</f>
        <v>118390.73755273028</v>
      </c>
      <c r="V60" s="8">
        <f>IF(Inventory!G50+Production!AE53&gt;Orders!N60,IF(Inventory!G50+Production!AE53&gt;(Orders!N60+Orders!AC59),Orders!N60+Orders!AC59,Orders!N60),Inventory!G50+Production!AE53)</f>
        <v>95446.572710418986</v>
      </c>
      <c r="Y60" s="38">
        <v>49</v>
      </c>
      <c r="Z60" s="7">
        <f>IF(Inventory!D50+Production!AB53&gt;Orders!E60,IF(Inventory!D50+Production!AB53&gt;(Orders!E60+Orders!Z59),0,(Orders!E60+Orders!Z59)-(Inventory!D50+Production!AB53)),(Orders!E60+Orders!Z59)-(Inventory!D50+Production!AB53))</f>
        <v>0</v>
      </c>
      <c r="AA60" s="7">
        <f>IF(Inventory!E50+Production!AC53&gt;Orders!H60,IF(Inventory!E50+Production!AC53&gt;(Orders!H60+Orders!AA59),0,(Orders!H60+Orders!AA59)-(Inventory!E50+Production!AC53)),(Orders!H60+Orders!AA59)-(Inventory!E50+Production!AC53))</f>
        <v>0</v>
      </c>
      <c r="AB60" s="7">
        <f>IF(Inventory!F50+Production!AD53&gt;Orders!K60,IF(Inventory!F50+Production!AD53&gt;(Orders!K60+Orders!AB59),0,(Orders!K60+Orders!AB59)-(Inventory!F50+Production!AD53)),(Orders!K60+Orders!AB59)-(Inventory!F50+Production!AD53))</f>
        <v>0</v>
      </c>
      <c r="AC60" s="7">
        <f>IF(Inventory!G50+Production!AE53&gt;Orders!N60,IF(Inventory!G50+Production!AE53&gt;(Orders!N60+Orders!AC59),0,(Orders!N60+Orders!AC59)-(Inventory!G50+Production!AE53)),(Orders!N60+Orders!AC59)-(Inventory!G50+Production!AE53))</f>
        <v>0</v>
      </c>
      <c r="AF60" s="38">
        <v>49</v>
      </c>
      <c r="AG60" s="79"/>
      <c r="AH60" s="79"/>
      <c r="AI60" s="79"/>
      <c r="AJ60" s="79"/>
      <c r="AL60" s="38">
        <v>49</v>
      </c>
      <c r="AM60" s="39">
        <f>(Z60)*'Pricing and Costs'!$C$22</f>
        <v>0</v>
      </c>
      <c r="AN60" s="39">
        <f>(AA60)*'Pricing and Costs'!$D$22</f>
        <v>0</v>
      </c>
      <c r="AO60" s="39">
        <f>(AB60)*'Pricing and Costs'!$E$22</f>
        <v>0</v>
      </c>
      <c r="AP60" s="39">
        <f>(AC60)*'Pricing and Costs'!$F$22</f>
        <v>0</v>
      </c>
      <c r="AQ60" s="3">
        <f t="shared" si="0"/>
        <v>0</v>
      </c>
    </row>
    <row r="61" spans="3:43" ht="16" customHeight="1" x14ac:dyDescent="0.2">
      <c r="C61" s="38">
        <v>50</v>
      </c>
      <c r="D61" s="4" t="s">
        <v>29</v>
      </c>
      <c r="E61" s="16">
        <f t="shared" si="6"/>
        <v>203386.59764308619</v>
      </c>
      <c r="F61" s="6" t="str">
        <f t="shared" si="7"/>
        <v>-</v>
      </c>
      <c r="G61" s="4" t="s">
        <v>29</v>
      </c>
      <c r="H61" s="16">
        <f t="shared" si="8"/>
        <v>131483.41082684463</v>
      </c>
      <c r="I61" s="35" t="str">
        <f t="shared" si="12"/>
        <v>-</v>
      </c>
      <c r="J61" s="4" t="s">
        <v>29</v>
      </c>
      <c r="K61" s="16">
        <f t="shared" si="9"/>
        <v>118867.89658746013</v>
      </c>
      <c r="L61" s="35" t="str">
        <f t="shared" si="10"/>
        <v>-</v>
      </c>
      <c r="M61" s="4" t="s">
        <v>29</v>
      </c>
      <c r="N61" s="16">
        <f t="shared" si="11"/>
        <v>96585.243233222107</v>
      </c>
      <c r="O61" s="35" t="str">
        <f t="shared" si="13"/>
        <v>-</v>
      </c>
      <c r="R61" s="38">
        <v>50</v>
      </c>
      <c r="S61" s="8">
        <f>IF(Inventory!D51+Production!AB54&gt;Orders!E61,IF(Inventory!D51&gt;(Orders!E61+Orders!Z61),Orders!E61+Orders!Z61,Orders!E61),Inventory!D51+Production!AB54)</f>
        <v>203386.59764308619</v>
      </c>
      <c r="T61" s="8">
        <f>IF(Inventory!E51+Production!AC54&gt;Orders!H61,IF(Inventory!E51&gt;(Orders!H61+Orders!AA61),Orders!H61+Orders!AA61,Orders!H61),Inventory!E51+Production!AC54)</f>
        <v>131483.41082684463</v>
      </c>
      <c r="U61" s="8">
        <f>IF(Inventory!F51+Production!AD54&gt;Orders!K61,IF(Inventory!F51+Production!AD54&gt;(Orders!K61+Orders!AB60),Orders!K61+Orders!AB60,Orders!K61),Inventory!F51+Production!AD54)</f>
        <v>118867.89658746013</v>
      </c>
      <c r="V61" s="8">
        <f>IF(Inventory!G51+Production!AE54&gt;Orders!N61,IF(Inventory!G51+Production!AE54&gt;(Orders!N61+Orders!AC60),Orders!N61+Orders!AC60,Orders!N61),Inventory!G51+Production!AE54)</f>
        <v>96585.243233222107</v>
      </c>
      <c r="Y61" s="38">
        <v>50</v>
      </c>
      <c r="Z61" s="7">
        <f>IF(Inventory!D51+Production!AB54&gt;Orders!E61,IF(Inventory!D51+Production!AB54&gt;(Orders!E61+Orders!Z60),0,(Orders!E61+Orders!Z60)-(Inventory!D51+Production!AB54)),(Orders!E61+Orders!Z60)-(Inventory!D51+Production!AB54))</f>
        <v>0</v>
      </c>
      <c r="AA61" s="7">
        <f>IF(Inventory!E51+Production!AC54&gt;Orders!H61,IF(Inventory!E51+Production!AC54&gt;(Orders!H61+Orders!AA60),0,(Orders!H61+Orders!AA60)-(Inventory!E51+Production!AC54)),(Orders!H61+Orders!AA60)-(Inventory!E51+Production!AC54))</f>
        <v>0</v>
      </c>
      <c r="AB61" s="7">
        <f>IF(Inventory!F51+Production!AD54&gt;Orders!K61,IF(Inventory!F51+Production!AD54&gt;(Orders!K61+Orders!AB60),0,(Orders!K61+Orders!AB60)-(Inventory!F51+Production!AD54)),(Orders!K61+Orders!AB60)-(Inventory!F51+Production!AD54))</f>
        <v>0</v>
      </c>
      <c r="AC61" s="7">
        <f>IF(Inventory!G51+Production!AE54&gt;Orders!N61,IF(Inventory!G51+Production!AE54&gt;(Orders!N61+Orders!AC60),0,(Orders!N61+Orders!AC60)-(Inventory!G51+Production!AE54)),(Orders!N61+Orders!AC60)-(Inventory!G51+Production!AE54))</f>
        <v>0</v>
      </c>
      <c r="AF61" s="38">
        <v>50</v>
      </c>
      <c r="AG61" s="79"/>
      <c r="AH61" s="79"/>
      <c r="AI61" s="79"/>
      <c r="AJ61" s="79"/>
      <c r="AL61" s="38">
        <v>50</v>
      </c>
      <c r="AM61" s="39">
        <f>(Z61)*'Pricing and Costs'!$C$22</f>
        <v>0</v>
      </c>
      <c r="AN61" s="39">
        <f>(AA61)*'Pricing and Costs'!$D$22</f>
        <v>0</v>
      </c>
      <c r="AO61" s="39">
        <f>(AB61)*'Pricing and Costs'!$E$22</f>
        <v>0</v>
      </c>
      <c r="AP61" s="39">
        <f>(AC61)*'Pricing and Costs'!$F$22</f>
        <v>0</v>
      </c>
      <c r="AQ61" s="3">
        <f t="shared" si="0"/>
        <v>0</v>
      </c>
    </row>
    <row r="62" spans="3:43" ht="16" customHeight="1" x14ac:dyDescent="0.2">
      <c r="C62" s="38">
        <v>51</v>
      </c>
      <c r="D62" s="4" t="s">
        <v>29</v>
      </c>
      <c r="E62" s="16">
        <f t="shared" si="6"/>
        <v>189437.14355098497</v>
      </c>
      <c r="F62" s="6" t="str">
        <f t="shared" si="7"/>
        <v>-</v>
      </c>
      <c r="G62" s="4" t="s">
        <v>29</v>
      </c>
      <c r="H62" s="16">
        <f t="shared" si="8"/>
        <v>130927.45799035966</v>
      </c>
      <c r="I62" s="35" t="str">
        <f t="shared" si="12"/>
        <v>-</v>
      </c>
      <c r="J62" s="4" t="s">
        <v>29</v>
      </c>
      <c r="K62" s="16">
        <f t="shared" si="9"/>
        <v>119345.05562218998</v>
      </c>
      <c r="L62" s="35" t="str">
        <f t="shared" si="10"/>
        <v>-</v>
      </c>
      <c r="M62" s="4" t="s">
        <v>29</v>
      </c>
      <c r="N62" s="16">
        <f t="shared" si="11"/>
        <v>97723.913756025227</v>
      </c>
      <c r="O62" s="35" t="str">
        <f t="shared" si="13"/>
        <v>-</v>
      </c>
      <c r="R62" s="38">
        <v>51</v>
      </c>
      <c r="S62" s="8">
        <f>IF(Inventory!D52+Production!AB55&gt;Orders!E62,IF(Inventory!D52&gt;(Orders!E62+Orders!Z62),Orders!E62+Orders!Z62,Orders!E62),Inventory!D52+Production!AB55)</f>
        <v>189437.14355098497</v>
      </c>
      <c r="T62" s="8">
        <f>IF(Inventory!E52+Production!AC55&gt;Orders!H62,IF(Inventory!E52&gt;(Orders!H62+Orders!AA62),Orders!H62+Orders!AA62,Orders!H62),Inventory!E52+Production!AC55)</f>
        <v>130927.45799035966</v>
      </c>
      <c r="U62" s="8">
        <f>IF(Inventory!F52+Production!AD55&gt;Orders!K62,IF(Inventory!F52+Production!AD55&gt;(Orders!K62+Orders!AB61),Orders!K62+Orders!AB61,Orders!K62),Inventory!F52+Production!AD55)</f>
        <v>119345.05562218998</v>
      </c>
      <c r="V62" s="8">
        <f>IF(Inventory!G52+Production!AE55&gt;Orders!N62,IF(Inventory!G52+Production!AE55&gt;(Orders!N62+Orders!AC61),Orders!N62+Orders!AC61,Orders!N62),Inventory!G52+Production!AE55)</f>
        <v>97723.913756025227</v>
      </c>
      <c r="Y62" s="38">
        <v>51</v>
      </c>
      <c r="Z62" s="7">
        <f>IF(Inventory!D52+Production!AB55&gt;Orders!E62,IF(Inventory!D52+Production!AB55&gt;(Orders!E62+Orders!Z61),0,(Orders!E62+Orders!Z61)-(Inventory!D52+Production!AB55)),(Orders!E62+Orders!Z61)-(Inventory!D52+Production!AB55))</f>
        <v>0</v>
      </c>
      <c r="AA62" s="7">
        <f>IF(Inventory!E52+Production!AC55&gt;Orders!H62,IF(Inventory!E52+Production!AC55&gt;(Orders!H62+Orders!AA61),0,(Orders!H62+Orders!AA61)-(Inventory!E52+Production!AC55)),(Orders!H62+Orders!AA61)-(Inventory!E52+Production!AC55))</f>
        <v>0</v>
      </c>
      <c r="AB62" s="7">
        <f>IF(Inventory!F52+Production!AD55&gt;Orders!K62,IF(Inventory!F52+Production!AD55&gt;(Orders!K62+Orders!AB61),0,(Orders!K62+Orders!AB61)-(Inventory!F52+Production!AD55)),(Orders!K62+Orders!AB61)-(Inventory!F52+Production!AD55))</f>
        <v>0</v>
      </c>
      <c r="AC62" s="7">
        <f>IF(Inventory!G52+Production!AE55&gt;Orders!N62,IF(Inventory!G52+Production!AE55&gt;(Orders!N62+Orders!AC61),0,(Orders!N62+Orders!AC61)-(Inventory!G52+Production!AE55)),(Orders!N62+Orders!AC61)-(Inventory!G52+Production!AE55))</f>
        <v>0</v>
      </c>
      <c r="AF62" s="38">
        <v>51</v>
      </c>
      <c r="AG62" s="79"/>
      <c r="AH62" s="79"/>
      <c r="AI62" s="79"/>
      <c r="AJ62" s="79"/>
      <c r="AL62" s="38">
        <v>51</v>
      </c>
      <c r="AM62" s="39">
        <f>(Z62)*'Pricing and Costs'!$C$22</f>
        <v>0</v>
      </c>
      <c r="AN62" s="39">
        <f>(AA62)*'Pricing and Costs'!$D$22</f>
        <v>0</v>
      </c>
      <c r="AO62" s="39">
        <f>(AB62)*'Pricing and Costs'!$E$22</f>
        <v>0</v>
      </c>
      <c r="AP62" s="39">
        <f>(AC62)*'Pricing and Costs'!$F$22</f>
        <v>0</v>
      </c>
      <c r="AQ62" s="3">
        <f t="shared" si="0"/>
        <v>0</v>
      </c>
    </row>
    <row r="63" spans="3:43" ht="16" customHeight="1" x14ac:dyDescent="0.2">
      <c r="C63" s="38">
        <v>52</v>
      </c>
      <c r="D63" s="4" t="s">
        <v>29</v>
      </c>
      <c r="E63" s="16">
        <f t="shared" si="6"/>
        <v>188213.27610248153</v>
      </c>
      <c r="F63" s="6" t="str">
        <f t="shared" si="7"/>
        <v>-</v>
      </c>
      <c r="G63" s="4" t="s">
        <v>29</v>
      </c>
      <c r="H63" s="16">
        <f t="shared" si="8"/>
        <v>130371.50515387468</v>
      </c>
      <c r="I63" s="35" t="str">
        <f t="shared" si="12"/>
        <v>-</v>
      </c>
      <c r="J63" s="4" t="s">
        <v>29</v>
      </c>
      <c r="K63" s="16">
        <f t="shared" si="9"/>
        <v>119822.21465691982</v>
      </c>
      <c r="L63" s="35" t="str">
        <f t="shared" si="10"/>
        <v>-</v>
      </c>
      <c r="M63" s="4" t="s">
        <v>29</v>
      </c>
      <c r="N63" s="16">
        <f t="shared" si="11"/>
        <v>98862.584278828333</v>
      </c>
      <c r="O63" s="35" t="str">
        <f t="shared" si="13"/>
        <v>-</v>
      </c>
      <c r="R63" s="38">
        <v>52</v>
      </c>
      <c r="S63" s="8">
        <f>IF(Inventory!D53+Production!AB56&gt;Orders!E63,IF(Inventory!D53&gt;(Orders!E63+Orders!Z63),Orders!E63+Orders!Z63,Orders!E63),Inventory!D53+Production!AB56)</f>
        <v>188213.27610248153</v>
      </c>
      <c r="T63" s="8">
        <f>IF(Inventory!E53+Production!AC56&gt;Orders!H63,IF(Inventory!E53&gt;(Orders!H63+Orders!AA63),Orders!H63+Orders!AA63,Orders!H63),Inventory!E53+Production!AC56)</f>
        <v>130371.50515387468</v>
      </c>
      <c r="U63" s="8">
        <f>IF(Inventory!F53+Production!AD56&gt;Orders!K63,IF(Inventory!F53+Production!AD56&gt;(Orders!K63+Orders!AB62),Orders!K63+Orders!AB62,Orders!K63),Inventory!F53+Production!AD56)</f>
        <v>119822.21465691982</v>
      </c>
      <c r="V63" s="8">
        <f>IF(Inventory!G53+Production!AE56&gt;Orders!N63,IF(Inventory!G53+Production!AE56&gt;(Orders!N63+Orders!AC62),Orders!N63+Orders!AC62,Orders!N63),Inventory!G53+Production!AE56)</f>
        <v>98862.584278828333</v>
      </c>
      <c r="Y63" s="38">
        <v>52</v>
      </c>
      <c r="Z63" s="7">
        <f>IF(Inventory!D53+Production!AB56&gt;Orders!E63,IF(Inventory!D53+Production!AB56&gt;(Orders!E63+Orders!Z62),0,(Orders!E63+Orders!Z62)-(Inventory!D53+Production!AB56)),(Orders!E63+Orders!Z62)-(Inventory!D53+Production!AB56))</f>
        <v>0</v>
      </c>
      <c r="AA63" s="7">
        <f>IF(Inventory!E53+Production!AC56&gt;Orders!H63,IF(Inventory!E53+Production!AC56&gt;(Orders!H63+Orders!AA62),0,(Orders!H63+Orders!AA62)-(Inventory!E53+Production!AC56)),(Orders!H63+Orders!AA62)-(Inventory!E53+Production!AC56))</f>
        <v>0</v>
      </c>
      <c r="AB63" s="7">
        <f>IF(Inventory!F53+Production!AD56&gt;Orders!K63,IF(Inventory!F53+Production!AD56&gt;(Orders!K63+Orders!AB62),0,(Orders!K63+Orders!AB62)-(Inventory!F53+Production!AD56)),(Orders!K63+Orders!AB62)-(Inventory!F53+Production!AD56))</f>
        <v>0</v>
      </c>
      <c r="AC63" s="7">
        <f>IF(Inventory!G53+Production!AE56&gt;Orders!N63,IF(Inventory!G53+Production!AE56&gt;(Orders!N63+Orders!AC62),0,(Orders!N63+Orders!AC62)-(Inventory!G53+Production!AE56)),(Orders!N63+Orders!AC62)-(Inventory!G53+Production!AE56))</f>
        <v>0</v>
      </c>
      <c r="AF63" s="38">
        <v>52</v>
      </c>
      <c r="AG63" s="79"/>
      <c r="AH63" s="79"/>
      <c r="AI63" s="79"/>
      <c r="AJ63" s="79"/>
      <c r="AL63" s="38">
        <v>52</v>
      </c>
      <c r="AM63" s="39">
        <f>(Z63)*'Pricing and Costs'!$C$22</f>
        <v>0</v>
      </c>
      <c r="AN63" s="39">
        <f>(AA63)*'Pricing and Costs'!$D$22</f>
        <v>0</v>
      </c>
      <c r="AO63" s="39">
        <f>(AB63)*'Pricing and Costs'!$E$22</f>
        <v>0</v>
      </c>
      <c r="AP63" s="39">
        <f>(AC63)*'Pricing and Costs'!$F$22</f>
        <v>0</v>
      </c>
      <c r="AQ63" s="3">
        <f t="shared" si="0"/>
        <v>0</v>
      </c>
    </row>
    <row r="64" spans="3:43" ht="16" customHeight="1" x14ac:dyDescent="0.2">
      <c r="C64" s="38">
        <v>53</v>
      </c>
      <c r="D64" s="4" t="s">
        <v>29</v>
      </c>
      <c r="E64" s="16">
        <f t="shared" si="6"/>
        <v>181575.36735117991</v>
      </c>
      <c r="F64" s="6" t="str">
        <f t="shared" si="7"/>
        <v>-</v>
      </c>
      <c r="G64" s="4" t="s">
        <v>29</v>
      </c>
      <c r="H64" s="16">
        <f t="shared" si="8"/>
        <v>129815.55231738969</v>
      </c>
      <c r="I64" s="35" t="str">
        <f t="shared" si="12"/>
        <v>-</v>
      </c>
      <c r="J64" s="4" t="s">
        <v>29</v>
      </c>
      <c r="K64" s="16">
        <f t="shared" si="9"/>
        <v>120299.37369164967</v>
      </c>
      <c r="L64" s="35" t="str">
        <f t="shared" si="10"/>
        <v>-</v>
      </c>
      <c r="M64" s="4" t="s">
        <v>29</v>
      </c>
      <c r="N64" s="16">
        <f t="shared" si="11"/>
        <v>100001.25480163145</v>
      </c>
      <c r="O64" s="35" t="str">
        <f t="shared" si="13"/>
        <v>-</v>
      </c>
      <c r="R64" s="38">
        <v>53</v>
      </c>
      <c r="S64" s="8">
        <f>IF(Inventory!D54+Production!AB57&gt;Orders!E64,IF(Inventory!D54&gt;(Orders!E64+Orders!Z64),Orders!E64+Orders!Z64,Orders!E64),Inventory!D54+Production!AB57)</f>
        <v>181575.36735117991</v>
      </c>
      <c r="T64" s="8">
        <f>IF(Inventory!E54+Production!AC57&gt;Orders!H64,IF(Inventory!E54&gt;(Orders!H64+Orders!AA64),Orders!H64+Orders!AA64,Orders!H64),Inventory!E54+Production!AC57)</f>
        <v>129815.55231738969</v>
      </c>
      <c r="U64" s="8">
        <f>IF(Inventory!F54+Production!AD57&gt;Orders!K64,IF(Inventory!F54+Production!AD57&gt;(Orders!K64+Orders!AB63),Orders!K64+Orders!AB63,Orders!K64),Inventory!F54+Production!AD57)</f>
        <v>120299.37369164967</v>
      </c>
      <c r="V64" s="8">
        <f>IF(Inventory!G54+Production!AE57&gt;Orders!N64,IF(Inventory!G54+Production!AE57&gt;(Orders!N64+Orders!AC63),Orders!N64+Orders!AC63,Orders!N64),Inventory!G54+Production!AE57)</f>
        <v>100001.25480163145</v>
      </c>
      <c r="Y64" s="38">
        <v>53</v>
      </c>
      <c r="Z64" s="7">
        <f>IF(Inventory!D54+Production!AB57&gt;Orders!E64,IF(Inventory!D54+Production!AB57&gt;(Orders!E64+Orders!Z63),0,(Orders!E64+Orders!Z63)-(Inventory!D54+Production!AB57)),(Orders!E64+Orders!Z63)-(Inventory!D54+Production!AB57))</f>
        <v>0</v>
      </c>
      <c r="AA64" s="7">
        <f>IF(Inventory!E54+Production!AC57&gt;Orders!H64,IF(Inventory!E54+Production!AC57&gt;(Orders!H64+Orders!AA63),0,(Orders!H64+Orders!AA63)-(Inventory!E54+Production!AC57)),(Orders!H64+Orders!AA63)-(Inventory!E54+Production!AC57))</f>
        <v>0</v>
      </c>
      <c r="AB64" s="7">
        <f>IF(Inventory!F54+Production!AD57&gt;Orders!K64,IF(Inventory!F54+Production!AD57&gt;(Orders!K64+Orders!AB63),0,(Orders!K64+Orders!AB63)-(Inventory!F54+Production!AD57)),(Orders!K64+Orders!AB63)-(Inventory!F54+Production!AD57))</f>
        <v>0</v>
      </c>
      <c r="AC64" s="7">
        <f>IF(Inventory!G54+Production!AE57&gt;Orders!N64,IF(Inventory!G54+Production!AE57&gt;(Orders!N64+Orders!AC63),0,(Orders!N64+Orders!AC63)-(Inventory!G54+Production!AE57)),(Orders!N64+Orders!AC63)-(Inventory!G54+Production!AE57))</f>
        <v>0</v>
      </c>
      <c r="AF64" s="38">
        <v>53</v>
      </c>
      <c r="AG64" s="79"/>
      <c r="AH64" s="79"/>
      <c r="AI64" s="79"/>
      <c r="AJ64" s="79"/>
      <c r="AL64" s="38">
        <v>53</v>
      </c>
      <c r="AM64" s="39">
        <f>(Z64)*'Pricing and Costs'!$C$22</f>
        <v>0</v>
      </c>
      <c r="AN64" s="39">
        <f>(AA64)*'Pricing and Costs'!$D$22</f>
        <v>0</v>
      </c>
      <c r="AO64" s="39">
        <f>(AB64)*'Pricing and Costs'!$E$22</f>
        <v>0</v>
      </c>
      <c r="AP64" s="39">
        <f>(AC64)*'Pricing and Costs'!$F$22</f>
        <v>0</v>
      </c>
      <c r="AQ64" s="3">
        <f t="shared" si="0"/>
        <v>0</v>
      </c>
    </row>
    <row r="65" spans="3:43" ht="16" customHeight="1" x14ac:dyDescent="0.2">
      <c r="C65" s="38">
        <v>54</v>
      </c>
      <c r="D65" s="4" t="s">
        <v>29</v>
      </c>
      <c r="E65" s="16">
        <f t="shared" si="6"/>
        <v>174389.41243899919</v>
      </c>
      <c r="F65" s="6" t="str">
        <f t="shared" si="7"/>
        <v>-</v>
      </c>
      <c r="G65" s="4" t="s">
        <v>29</v>
      </c>
      <c r="H65" s="16">
        <f t="shared" si="8"/>
        <v>129259.59948090471</v>
      </c>
      <c r="I65" s="35" t="str">
        <f t="shared" si="12"/>
        <v>-</v>
      </c>
      <c r="J65" s="4" t="s">
        <v>29</v>
      </c>
      <c r="K65" s="16">
        <f t="shared" si="9"/>
        <v>120776.53272637952</v>
      </c>
      <c r="L65" s="35" t="str">
        <f t="shared" si="10"/>
        <v>-</v>
      </c>
      <c r="M65" s="4" t="s">
        <v>29</v>
      </c>
      <c r="N65" s="16">
        <f t="shared" si="11"/>
        <v>101139.92532443456</v>
      </c>
      <c r="O65" s="35" t="str">
        <f t="shared" si="13"/>
        <v>-</v>
      </c>
      <c r="R65" s="38">
        <v>54</v>
      </c>
      <c r="S65" s="8">
        <f>IF(Inventory!D55+Production!AB58&gt;Orders!E65,IF(Inventory!D55&gt;(Orders!E65+Orders!Z65),Orders!E65+Orders!Z65,Orders!E65),Inventory!D55+Production!AB58)</f>
        <v>174389.41243899919</v>
      </c>
      <c r="T65" s="8">
        <f>IF(Inventory!E55+Production!AC58&gt;Orders!H65,IF(Inventory!E55&gt;(Orders!H65+Orders!AA65),Orders!H65+Orders!AA65,Orders!H65),Inventory!E55+Production!AC58)</f>
        <v>129259.59948090471</v>
      </c>
      <c r="U65" s="8">
        <f>IF(Inventory!F55+Production!AD58&gt;Orders!K65,IF(Inventory!F55+Production!AD58&gt;(Orders!K65+Orders!AB64),Orders!K65+Orders!AB64,Orders!K65),Inventory!F55+Production!AD58)</f>
        <v>120776.53272637952</v>
      </c>
      <c r="V65" s="8">
        <f>IF(Inventory!G55+Production!AE58&gt;Orders!N65,IF(Inventory!G55+Production!AE58&gt;(Orders!N65+Orders!AC64),Orders!N65+Orders!AC64,Orders!N65),Inventory!G55+Production!AE58)</f>
        <v>101139.92532443456</v>
      </c>
      <c r="Y65" s="38">
        <v>54</v>
      </c>
      <c r="Z65" s="7">
        <f>IF(Inventory!D55+Production!AB58&gt;Orders!E65,IF(Inventory!D55+Production!AB58&gt;(Orders!E65+Orders!Z64),0,(Orders!E65+Orders!Z64)-(Inventory!D55+Production!AB58)),(Orders!E65+Orders!Z64)-(Inventory!D55+Production!AB58))</f>
        <v>0</v>
      </c>
      <c r="AA65" s="7">
        <f>IF(Inventory!E55+Production!AC58&gt;Orders!H65,IF(Inventory!E55+Production!AC58&gt;(Orders!H65+Orders!AA64),0,(Orders!H65+Orders!AA64)-(Inventory!E55+Production!AC58)),(Orders!H65+Orders!AA64)-(Inventory!E55+Production!AC58))</f>
        <v>0</v>
      </c>
      <c r="AB65" s="7">
        <f>IF(Inventory!F55+Production!AD58&gt;Orders!K65,IF(Inventory!F55+Production!AD58&gt;(Orders!K65+Orders!AB64),0,(Orders!K65+Orders!AB64)-(Inventory!F55+Production!AD58)),(Orders!K65+Orders!AB64)-(Inventory!F55+Production!AD58))</f>
        <v>0</v>
      </c>
      <c r="AC65" s="7">
        <f>IF(Inventory!G55+Production!AE58&gt;Orders!N65,IF(Inventory!G55+Production!AE58&gt;(Orders!N65+Orders!AC64),0,(Orders!N65+Orders!AC64)-(Inventory!G55+Production!AE58)),(Orders!N65+Orders!AC64)-(Inventory!G55+Production!AE58))</f>
        <v>0</v>
      </c>
      <c r="AF65" s="38">
        <v>54</v>
      </c>
      <c r="AG65" s="79"/>
      <c r="AH65" s="79"/>
      <c r="AI65" s="79"/>
      <c r="AJ65" s="79"/>
      <c r="AL65" s="38">
        <v>54</v>
      </c>
      <c r="AM65" s="39">
        <f>(Z65)*'Pricing and Costs'!$C$22</f>
        <v>0</v>
      </c>
      <c r="AN65" s="39">
        <f>(AA65)*'Pricing and Costs'!$D$22</f>
        <v>0</v>
      </c>
      <c r="AO65" s="39">
        <f>(AB65)*'Pricing and Costs'!$E$22</f>
        <v>0</v>
      </c>
      <c r="AP65" s="39">
        <f>(AC65)*'Pricing and Costs'!$F$22</f>
        <v>0</v>
      </c>
      <c r="AQ65" s="3">
        <f t="shared" si="0"/>
        <v>0</v>
      </c>
    </row>
    <row r="66" spans="3:43" ht="16" customHeight="1" x14ac:dyDescent="0.2">
      <c r="C66" s="38">
        <v>55</v>
      </c>
      <c r="D66" s="4" t="s">
        <v>29</v>
      </c>
      <c r="E66" s="16">
        <f t="shared" si="6"/>
        <v>170015.83264054378</v>
      </c>
      <c r="F66" s="6" t="str">
        <f t="shared" si="7"/>
        <v>-</v>
      </c>
      <c r="G66" s="4" t="s">
        <v>29</v>
      </c>
      <c r="H66" s="16">
        <f t="shared" si="8"/>
        <v>128703.64664441973</v>
      </c>
      <c r="I66" s="35" t="str">
        <f t="shared" si="12"/>
        <v>-</v>
      </c>
      <c r="J66" s="4" t="s">
        <v>29</v>
      </c>
      <c r="K66" s="16">
        <f t="shared" si="9"/>
        <v>121253.69176110938</v>
      </c>
      <c r="L66" s="35" t="str">
        <f t="shared" si="10"/>
        <v>-</v>
      </c>
      <c r="M66" s="4" t="s">
        <v>29</v>
      </c>
      <c r="N66" s="16">
        <f t="shared" si="11"/>
        <v>102278.59584723768</v>
      </c>
      <c r="O66" s="35" t="str">
        <f t="shared" si="13"/>
        <v>-</v>
      </c>
      <c r="R66" s="38">
        <v>55</v>
      </c>
      <c r="S66" s="8">
        <f>IF(Inventory!D56+Production!AB59&gt;Orders!E66,IF(Inventory!D56&gt;(Orders!E66+Orders!Z66),Orders!E66+Orders!Z66,Orders!E66),Inventory!D56+Production!AB59)</f>
        <v>170015.83264054378</v>
      </c>
      <c r="T66" s="8">
        <f>IF(Inventory!E56+Production!AC59&gt;Orders!H66,IF(Inventory!E56&gt;(Orders!H66+Orders!AA66),Orders!H66+Orders!AA66,Orders!H66),Inventory!E56+Production!AC59)</f>
        <v>128703.64664441973</v>
      </c>
      <c r="U66" s="8">
        <f>IF(Inventory!F56+Production!AD59&gt;Orders!K66,IF(Inventory!F56+Production!AD59&gt;(Orders!K66+Orders!AB65),Orders!K66+Orders!AB65,Orders!K66),Inventory!F56+Production!AD59)</f>
        <v>121253.69176110938</v>
      </c>
      <c r="V66" s="8">
        <f>IF(Inventory!G56+Production!AE59&gt;Orders!N66,IF(Inventory!G56+Production!AE59&gt;(Orders!N66+Orders!AC65),Orders!N66+Orders!AC65,Orders!N66),Inventory!G56+Production!AE59)</f>
        <v>102278.59584723768</v>
      </c>
      <c r="Y66" s="38">
        <v>55</v>
      </c>
      <c r="Z66" s="7">
        <f>IF(Inventory!D56+Production!AB59&gt;Orders!E66,IF(Inventory!D56+Production!AB59&gt;(Orders!E66+Orders!Z65),0,(Orders!E66+Orders!Z65)-(Inventory!D56+Production!AB59)),(Orders!E66+Orders!Z65)-(Inventory!D56+Production!AB59))</f>
        <v>0</v>
      </c>
      <c r="AA66" s="7">
        <f>IF(Inventory!E56+Production!AC59&gt;Orders!H66,IF(Inventory!E56+Production!AC59&gt;(Orders!H66+Orders!AA65),0,(Orders!H66+Orders!AA65)-(Inventory!E56+Production!AC59)),(Orders!H66+Orders!AA65)-(Inventory!E56+Production!AC59))</f>
        <v>0</v>
      </c>
      <c r="AB66" s="7">
        <f>IF(Inventory!F56+Production!AD59&gt;Orders!K66,IF(Inventory!F56+Production!AD59&gt;(Orders!K66+Orders!AB65),0,(Orders!K66+Orders!AB65)-(Inventory!F56+Production!AD59)),(Orders!K66+Orders!AB65)-(Inventory!F56+Production!AD59))</f>
        <v>0</v>
      </c>
      <c r="AC66" s="7">
        <f>IF(Inventory!G56+Production!AE59&gt;Orders!N66,IF(Inventory!G56+Production!AE59&gt;(Orders!N66+Orders!AC65),0,(Orders!N66+Orders!AC65)-(Inventory!G56+Production!AE59)),(Orders!N66+Orders!AC65)-(Inventory!G56+Production!AE59))</f>
        <v>0</v>
      </c>
      <c r="AF66" s="38">
        <v>55</v>
      </c>
      <c r="AG66" s="79"/>
      <c r="AH66" s="79"/>
      <c r="AI66" s="79"/>
      <c r="AJ66" s="79"/>
      <c r="AL66" s="38">
        <v>55</v>
      </c>
      <c r="AM66" s="39">
        <f>(Z66)*'Pricing and Costs'!$C$22</f>
        <v>0</v>
      </c>
      <c r="AN66" s="39">
        <f>(AA66)*'Pricing and Costs'!$D$22</f>
        <v>0</v>
      </c>
      <c r="AO66" s="39">
        <f>(AB66)*'Pricing and Costs'!$E$22</f>
        <v>0</v>
      </c>
      <c r="AP66" s="39">
        <f>(AC66)*'Pricing and Costs'!$F$22</f>
        <v>0</v>
      </c>
      <c r="AQ66" s="3">
        <f t="shared" si="0"/>
        <v>0</v>
      </c>
    </row>
    <row r="67" spans="3:43" ht="16" customHeight="1" x14ac:dyDescent="0.2">
      <c r="C67" s="38">
        <v>56</v>
      </c>
      <c r="D67" s="4" t="s">
        <v>29</v>
      </c>
      <c r="E67" s="16">
        <f t="shared" si="6"/>
        <v>168534.64087529216</v>
      </c>
      <c r="F67" s="6" t="str">
        <f t="shared" si="7"/>
        <v>-</v>
      </c>
      <c r="G67" s="4" t="s">
        <v>29</v>
      </c>
      <c r="H67" s="16">
        <f t="shared" si="8"/>
        <v>128147.69380793475</v>
      </c>
      <c r="I67" s="35" t="str">
        <f t="shared" si="12"/>
        <v>-</v>
      </c>
      <c r="J67" s="4" t="s">
        <v>29</v>
      </c>
      <c r="K67" s="16">
        <f t="shared" si="9"/>
        <v>121730.85079583923</v>
      </c>
      <c r="L67" s="35" t="str">
        <f t="shared" si="10"/>
        <v>-</v>
      </c>
      <c r="M67" s="4" t="s">
        <v>29</v>
      </c>
      <c r="N67" s="16">
        <f t="shared" si="11"/>
        <v>103417.2663700408</v>
      </c>
      <c r="O67" s="35" t="str">
        <f t="shared" si="13"/>
        <v>-</v>
      </c>
      <c r="R67" s="38">
        <v>56</v>
      </c>
      <c r="S67" s="8">
        <f>IF(Inventory!D57+Production!AB60&gt;Orders!E67,IF(Inventory!D57&gt;(Orders!E67+Orders!Z67),Orders!E67+Orders!Z67,Orders!E67),Inventory!D57+Production!AB60)</f>
        <v>168534.64087529216</v>
      </c>
      <c r="T67" s="8">
        <f>IF(Inventory!E57+Production!AC60&gt;Orders!H67,IF(Inventory!E57&gt;(Orders!H67+Orders!AA67),Orders!H67+Orders!AA67,Orders!H67),Inventory!E57+Production!AC60)</f>
        <v>128147.69380793475</v>
      </c>
      <c r="U67" s="8">
        <f>IF(Inventory!F57+Production!AD60&gt;Orders!K67,IF(Inventory!F57+Production!AD60&gt;(Orders!K67+Orders!AB66),Orders!K67+Orders!AB66,Orders!K67),Inventory!F57+Production!AD60)</f>
        <v>121730.85079583923</v>
      </c>
      <c r="V67" s="8">
        <f>IF(Inventory!G57+Production!AE60&gt;Orders!N67,IF(Inventory!G57+Production!AE60&gt;(Orders!N67+Orders!AC66),Orders!N67+Orders!AC66,Orders!N67),Inventory!G57+Production!AE60)</f>
        <v>103417.2663700408</v>
      </c>
      <c r="Y67" s="38">
        <v>56</v>
      </c>
      <c r="Z67" s="7">
        <f>IF(Inventory!D57+Production!AB60&gt;Orders!E67,IF(Inventory!D57+Production!AB60&gt;(Orders!E67+Orders!Z66),0,(Orders!E67+Orders!Z66)-(Inventory!D57+Production!AB60)),(Orders!E67+Orders!Z66)-(Inventory!D57+Production!AB60))</f>
        <v>0</v>
      </c>
      <c r="AA67" s="7">
        <f>IF(Inventory!E57+Production!AC60&gt;Orders!H67,IF(Inventory!E57+Production!AC60&gt;(Orders!H67+Orders!AA66),0,(Orders!H67+Orders!AA66)-(Inventory!E57+Production!AC60)),(Orders!H67+Orders!AA66)-(Inventory!E57+Production!AC60))</f>
        <v>0</v>
      </c>
      <c r="AB67" s="7">
        <f>IF(Inventory!F57+Production!AD60&gt;Orders!K67,IF(Inventory!F57+Production!AD60&gt;(Orders!K67+Orders!AB66),0,(Orders!K67+Orders!AB66)-(Inventory!F57+Production!AD60)),(Orders!K67+Orders!AB66)-(Inventory!F57+Production!AD60))</f>
        <v>0</v>
      </c>
      <c r="AC67" s="7">
        <f>IF(Inventory!G57+Production!AE60&gt;Orders!N67,IF(Inventory!G57+Production!AE60&gt;(Orders!N67+Orders!AC66),0,(Orders!N67+Orders!AC66)-(Inventory!G57+Production!AE60)),(Orders!N67+Orders!AC66)-(Inventory!G57+Production!AE60))</f>
        <v>0</v>
      </c>
      <c r="AF67" s="38">
        <v>56</v>
      </c>
      <c r="AG67" s="79"/>
      <c r="AH67" s="79"/>
      <c r="AI67" s="79"/>
      <c r="AJ67" s="79"/>
      <c r="AL67" s="38">
        <v>56</v>
      </c>
      <c r="AM67" s="39">
        <f>(Z67)*'Pricing and Costs'!$C$22</f>
        <v>0</v>
      </c>
      <c r="AN67" s="39">
        <f>(AA67)*'Pricing and Costs'!$D$22</f>
        <v>0</v>
      </c>
      <c r="AO67" s="39">
        <f>(AB67)*'Pricing and Costs'!$E$22</f>
        <v>0</v>
      </c>
      <c r="AP67" s="39">
        <f>(AC67)*'Pricing and Costs'!$F$22</f>
        <v>0</v>
      </c>
      <c r="AQ67" s="3">
        <f t="shared" si="0"/>
        <v>0</v>
      </c>
    </row>
    <row r="68" spans="3:43" ht="16" customHeight="1" x14ac:dyDescent="0.2">
      <c r="C68" s="38">
        <v>57</v>
      </c>
      <c r="D68" s="4" t="s">
        <v>29</v>
      </c>
      <c r="E68" s="16">
        <f t="shared" si="6"/>
        <v>184205.31993352002</v>
      </c>
      <c r="F68" s="6" t="str">
        <f t="shared" si="7"/>
        <v>-</v>
      </c>
      <c r="G68" s="4" t="s">
        <v>29</v>
      </c>
      <c r="H68" s="16">
        <f t="shared" si="8"/>
        <v>127591.74097144976</v>
      </c>
      <c r="I68" s="35" t="str">
        <f t="shared" si="12"/>
        <v>-</v>
      </c>
      <c r="J68" s="4" t="s">
        <v>29</v>
      </c>
      <c r="K68" s="16">
        <f t="shared" si="9"/>
        <v>122208.00983056908</v>
      </c>
      <c r="L68" s="35" t="str">
        <f t="shared" si="10"/>
        <v>-</v>
      </c>
      <c r="M68" s="4" t="s">
        <v>29</v>
      </c>
      <c r="N68" s="16">
        <f t="shared" si="11"/>
        <v>104555.93689284391</v>
      </c>
      <c r="O68" s="35" t="str">
        <f t="shared" si="13"/>
        <v>-</v>
      </c>
      <c r="R68" s="38">
        <v>57</v>
      </c>
      <c r="S68" s="8">
        <f>IF(Inventory!D58+Production!AB61&gt;Orders!E68,IF(Inventory!D58&gt;(Orders!E68+Orders!Z68),Orders!E68+Orders!Z68,Orders!E68),Inventory!D58+Production!AB61)</f>
        <v>184205.31993352002</v>
      </c>
      <c r="T68" s="8">
        <f>IF(Inventory!E58+Production!AC61&gt;Orders!H68,IF(Inventory!E58&gt;(Orders!H68+Orders!AA68),Orders!H68+Orders!AA68,Orders!H68),Inventory!E58+Production!AC61)</f>
        <v>127591.74097144976</v>
      </c>
      <c r="U68" s="8">
        <f>IF(Inventory!F58+Production!AD61&gt;Orders!K68,IF(Inventory!F58+Production!AD61&gt;(Orders!K68+Orders!AB67),Orders!K68+Orders!AB67,Orders!K68),Inventory!F58+Production!AD61)</f>
        <v>122208.00983056908</v>
      </c>
      <c r="V68" s="8">
        <f>IF(Inventory!G58+Production!AE61&gt;Orders!N68,IF(Inventory!G58+Production!AE61&gt;(Orders!N68+Orders!AC67),Orders!N68+Orders!AC67,Orders!N68),Inventory!G58+Production!AE61)</f>
        <v>104555.93689284391</v>
      </c>
      <c r="Y68" s="38">
        <v>57</v>
      </c>
      <c r="Z68" s="7">
        <f>IF(Inventory!D58+Production!AB61&gt;Orders!E68,IF(Inventory!D58+Production!AB61&gt;(Orders!E68+Orders!Z67),0,(Orders!E68+Orders!Z67)-(Inventory!D58+Production!AB61)),(Orders!E68+Orders!Z67)-(Inventory!D58+Production!AB61))</f>
        <v>0</v>
      </c>
      <c r="AA68" s="7">
        <f>IF(Inventory!E58+Production!AC61&gt;Orders!H68,IF(Inventory!E58+Production!AC61&gt;(Orders!H68+Orders!AA67),0,(Orders!H68+Orders!AA67)-(Inventory!E58+Production!AC61)),(Orders!H68+Orders!AA67)-(Inventory!E58+Production!AC61))</f>
        <v>0</v>
      </c>
      <c r="AB68" s="7">
        <f>IF(Inventory!F58+Production!AD61&gt;Orders!K68,IF(Inventory!F58+Production!AD61&gt;(Orders!K68+Orders!AB67),0,(Orders!K68+Orders!AB67)-(Inventory!F58+Production!AD61)),(Orders!K68+Orders!AB67)-(Inventory!F58+Production!AD61))</f>
        <v>0</v>
      </c>
      <c r="AC68" s="7">
        <f>IF(Inventory!G58+Production!AE61&gt;Orders!N68,IF(Inventory!G58+Production!AE61&gt;(Orders!N68+Orders!AC67),0,(Orders!N68+Orders!AC67)-(Inventory!G58+Production!AE61)),(Orders!N68+Orders!AC67)-(Inventory!G58+Production!AE61))</f>
        <v>0</v>
      </c>
      <c r="AF68" s="38">
        <v>57</v>
      </c>
      <c r="AG68" s="79"/>
      <c r="AH68" s="79"/>
      <c r="AI68" s="79"/>
      <c r="AJ68" s="79"/>
      <c r="AL68" s="38">
        <v>57</v>
      </c>
      <c r="AM68" s="39">
        <f>(Z68)*'Pricing and Costs'!$C$22</f>
        <v>0</v>
      </c>
      <c r="AN68" s="39">
        <f>(AA68)*'Pricing and Costs'!$D$22</f>
        <v>0</v>
      </c>
      <c r="AO68" s="39">
        <f>(AB68)*'Pricing and Costs'!$E$22</f>
        <v>0</v>
      </c>
      <c r="AP68" s="39">
        <f>(AC68)*'Pricing and Costs'!$F$22</f>
        <v>0</v>
      </c>
      <c r="AQ68" s="3">
        <f t="shared" si="0"/>
        <v>0</v>
      </c>
    </row>
    <row r="69" spans="3:43" ht="16" customHeight="1" x14ac:dyDescent="0.2">
      <c r="C69" s="38">
        <v>58</v>
      </c>
      <c r="D69" s="4" t="s">
        <v>29</v>
      </c>
      <c r="E69" s="16">
        <f t="shared" si="6"/>
        <v>178565.92726815774</v>
      </c>
      <c r="F69" s="6" t="str">
        <f t="shared" si="7"/>
        <v>-</v>
      </c>
      <c r="G69" s="4" t="s">
        <v>29</v>
      </c>
      <c r="H69" s="16">
        <f t="shared" si="8"/>
        <v>127035.78813496478</v>
      </c>
      <c r="I69" s="35" t="str">
        <f t="shared" si="12"/>
        <v>-</v>
      </c>
      <c r="J69" s="4" t="s">
        <v>29</v>
      </c>
      <c r="K69" s="16">
        <f t="shared" si="9"/>
        <v>122685.16886529893</v>
      </c>
      <c r="L69" s="35" t="str">
        <f t="shared" si="10"/>
        <v>-</v>
      </c>
      <c r="M69" s="4" t="s">
        <v>29</v>
      </c>
      <c r="N69" s="16">
        <f t="shared" si="11"/>
        <v>105694.60741564701</v>
      </c>
      <c r="O69" s="35" t="str">
        <f t="shared" si="13"/>
        <v>-</v>
      </c>
      <c r="R69" s="38">
        <v>58</v>
      </c>
      <c r="S69" s="8">
        <f>IF(Inventory!D59+Production!AB62&gt;Orders!E69,IF(Inventory!D59&gt;(Orders!E69+Orders!Z69),Orders!E69+Orders!Z69,Orders!E69),Inventory!D59+Production!AB62)</f>
        <v>178565.92726815774</v>
      </c>
      <c r="T69" s="8">
        <f>IF(Inventory!E59+Production!AC62&gt;Orders!H69,IF(Inventory!E59&gt;(Orders!H69+Orders!AA69),Orders!H69+Orders!AA69,Orders!H69),Inventory!E59+Production!AC62)</f>
        <v>127035.78813496478</v>
      </c>
      <c r="U69" s="8">
        <f>IF(Inventory!F59+Production!AD62&gt;Orders!K69,IF(Inventory!F59+Production!AD62&gt;(Orders!K69+Orders!AB68),Orders!K69+Orders!AB68,Orders!K69),Inventory!F59+Production!AD62)</f>
        <v>122685.16886529893</v>
      </c>
      <c r="V69" s="8">
        <f>IF(Inventory!G59+Production!AE62&gt;Orders!N69,IF(Inventory!G59+Production!AE62&gt;(Orders!N69+Orders!AC68),Orders!N69+Orders!AC68,Orders!N69),Inventory!G59+Production!AE62)</f>
        <v>105694.60741564701</v>
      </c>
      <c r="Y69" s="38">
        <v>58</v>
      </c>
      <c r="Z69" s="7">
        <f>IF(Inventory!D59+Production!AB62&gt;Orders!E69,IF(Inventory!D59+Production!AB62&gt;(Orders!E69+Orders!Z68),0,(Orders!E69+Orders!Z68)-(Inventory!D59+Production!AB62)),(Orders!E69+Orders!Z68)-(Inventory!D59+Production!AB62))</f>
        <v>0</v>
      </c>
      <c r="AA69" s="7">
        <f>IF(Inventory!E59+Production!AC62&gt;Orders!H69,IF(Inventory!E59+Production!AC62&gt;(Orders!H69+Orders!AA68),0,(Orders!H69+Orders!AA68)-(Inventory!E59+Production!AC62)),(Orders!H69+Orders!AA68)-(Inventory!E59+Production!AC62))</f>
        <v>0</v>
      </c>
      <c r="AB69" s="7">
        <f>IF(Inventory!F59+Production!AD62&gt;Orders!K69,IF(Inventory!F59+Production!AD62&gt;(Orders!K69+Orders!AB68),0,(Orders!K69+Orders!AB68)-(Inventory!F59+Production!AD62)),(Orders!K69+Orders!AB68)-(Inventory!F59+Production!AD62))</f>
        <v>0</v>
      </c>
      <c r="AC69" s="7">
        <f>IF(Inventory!G59+Production!AE62&gt;Orders!N69,IF(Inventory!G59+Production!AE62&gt;(Orders!N69+Orders!AC68),0,(Orders!N69+Orders!AC68)-(Inventory!G59+Production!AE62)),(Orders!N69+Orders!AC68)-(Inventory!G59+Production!AE62))</f>
        <v>0</v>
      </c>
      <c r="AF69" s="38">
        <v>58</v>
      </c>
      <c r="AG69" s="79"/>
      <c r="AH69" s="79"/>
      <c r="AI69" s="79"/>
      <c r="AJ69" s="79"/>
      <c r="AL69" s="38">
        <v>58</v>
      </c>
      <c r="AM69" s="39">
        <f>(Z69)*'Pricing and Costs'!$C$22</f>
        <v>0</v>
      </c>
      <c r="AN69" s="39">
        <f>(AA69)*'Pricing and Costs'!$D$22</f>
        <v>0</v>
      </c>
      <c r="AO69" s="39">
        <f>(AB69)*'Pricing and Costs'!$E$22</f>
        <v>0</v>
      </c>
      <c r="AP69" s="39">
        <f>(AC69)*'Pricing and Costs'!$F$22</f>
        <v>0</v>
      </c>
      <c r="AQ69" s="3">
        <f t="shared" si="0"/>
        <v>0</v>
      </c>
    </row>
    <row r="70" spans="3:43" ht="16" customHeight="1" x14ac:dyDescent="0.2">
      <c r="C70" s="38">
        <v>59</v>
      </c>
      <c r="D70" s="4" t="s">
        <v>29</v>
      </c>
      <c r="E70" s="16">
        <f>_xlfn.FORECAST.ETS(C70,$D$18:$D$47,$C$18:$C$47,1,1)</f>
        <v>183373.28095756096</v>
      </c>
      <c r="F70" s="6" t="str">
        <f>IFERROR(D70-E70,"-")</f>
        <v>-</v>
      </c>
      <c r="G70" s="4" t="s">
        <v>29</v>
      </c>
      <c r="H70" s="16">
        <f t="shared" si="8"/>
        <v>126479.8352984798</v>
      </c>
      <c r="I70" s="35" t="str">
        <f t="shared" si="12"/>
        <v>-</v>
      </c>
      <c r="J70" s="4" t="s">
        <v>29</v>
      </c>
      <c r="K70" s="16">
        <f t="shared" si="9"/>
        <v>123162.32790002877</v>
      </c>
      <c r="L70" s="35" t="str">
        <f t="shared" si="10"/>
        <v>-</v>
      </c>
      <c r="M70" s="4" t="s">
        <v>29</v>
      </c>
      <c r="N70" s="16">
        <f t="shared" si="11"/>
        <v>106833.27793845013</v>
      </c>
      <c r="O70" s="35" t="str">
        <f t="shared" si="13"/>
        <v>-</v>
      </c>
      <c r="R70" s="38">
        <v>59</v>
      </c>
      <c r="S70" s="8">
        <f>IF(Inventory!D60+Production!AB63&gt;Orders!E70,IF(Inventory!D60&gt;(Orders!E70+Orders!Z70),Orders!E70+Orders!Z70,Orders!E70),Inventory!D60+Production!AB63)</f>
        <v>183373.28095756096</v>
      </c>
      <c r="T70" s="8">
        <f>IF(Inventory!E60+Production!AC63&gt;Orders!H70,IF(Inventory!E60&gt;(Orders!H70+Orders!AA70),Orders!H70+Orders!AA70,Orders!H70),Inventory!E60+Production!AC63)</f>
        <v>126479.8352984798</v>
      </c>
      <c r="U70" s="8">
        <f>IF(Inventory!F60+Production!AD63&gt;Orders!K70,IF(Inventory!F60+Production!AD63&gt;(Orders!K70+Orders!AB69),Orders!K70+Orders!AB69,Orders!K70),Inventory!F60+Production!AD63)</f>
        <v>123162.32790002877</v>
      </c>
      <c r="V70" s="8">
        <f>IF(Inventory!G60+Production!AE63&gt;Orders!N70,IF(Inventory!G60+Production!AE63&gt;(Orders!N70+Orders!AC69),Orders!N70+Orders!AC69,Orders!N70),Inventory!G60+Production!AE63)</f>
        <v>106833.27793845013</v>
      </c>
      <c r="Y70" s="38">
        <v>59</v>
      </c>
      <c r="Z70" s="7">
        <f>IF(Inventory!D60+Production!AB63&gt;Orders!E70,IF(Inventory!D60+Production!AB63&gt;(Orders!E70+Orders!Z69),0,(Orders!E70+Orders!Z69)-(Inventory!D60+Production!AB63)),(Orders!E70+Orders!Z69)-(Inventory!D60+Production!AB63))</f>
        <v>0</v>
      </c>
      <c r="AA70" s="7">
        <f>IF(Inventory!E60+Production!AC63&gt;Orders!H70,IF(Inventory!E60+Production!AC63&gt;(Orders!H70+Orders!AA69),0,(Orders!H70+Orders!AA69)-(Inventory!E60+Production!AC63)),(Orders!H70+Orders!AA69)-(Inventory!E60+Production!AC63))</f>
        <v>0</v>
      </c>
      <c r="AB70" s="7">
        <f>IF(Inventory!F60+Production!AD63&gt;Orders!K70,IF(Inventory!F60+Production!AD63&gt;(Orders!K70+Orders!AB69),0,(Orders!K70+Orders!AB69)-(Inventory!F60+Production!AD63)),(Orders!K70+Orders!AB69)-(Inventory!F60+Production!AD63))</f>
        <v>0</v>
      </c>
      <c r="AC70" s="7">
        <f>IF(Inventory!G60+Production!AE63&gt;Orders!N70,IF(Inventory!G60+Production!AE63&gt;(Orders!N70+Orders!AC69),0,(Orders!N70+Orders!AC69)-(Inventory!G60+Production!AE63)),(Orders!N70+Orders!AC69)-(Inventory!G60+Production!AE63))</f>
        <v>0</v>
      </c>
      <c r="AF70" s="38">
        <v>59</v>
      </c>
      <c r="AG70" s="79"/>
      <c r="AH70" s="79"/>
      <c r="AI70" s="79"/>
      <c r="AJ70" s="79"/>
      <c r="AL70" s="38">
        <v>59</v>
      </c>
      <c r="AM70" s="39">
        <f>(Z70)*'Pricing and Costs'!$C$22</f>
        <v>0</v>
      </c>
      <c r="AN70" s="39">
        <f>(AA70)*'Pricing and Costs'!$D$22</f>
        <v>0</v>
      </c>
      <c r="AO70" s="39">
        <f>(AB70)*'Pricing and Costs'!$E$22</f>
        <v>0</v>
      </c>
      <c r="AP70" s="39">
        <f>(AC70)*'Pricing and Costs'!$F$22</f>
        <v>0</v>
      </c>
      <c r="AQ70" s="3">
        <f t="shared" si="0"/>
        <v>0</v>
      </c>
    </row>
    <row r="71" spans="3:43" x14ac:dyDescent="0.2">
      <c r="C71" s="38">
        <v>60</v>
      </c>
      <c r="D71" s="4" t="s">
        <v>29</v>
      </c>
      <c r="E71" s="16">
        <f>_xlfn.FORECAST.ETS(C71,$D$18:$D$47,$C$18:$C$47,1,1)</f>
        <v>191014.78412290927</v>
      </c>
      <c r="F71" s="6" t="str">
        <f>IFERROR(D71-E71,"-")</f>
        <v>-</v>
      </c>
      <c r="G71" s="4" t="s">
        <v>29</v>
      </c>
      <c r="H71" s="16">
        <f t="shared" ref="H71" si="14">_xlfn.FORECAST.LINEAR(C71,$G$18:$G$47,$C$18:$C$47)</f>
        <v>125923.8824619948</v>
      </c>
      <c r="I71" s="35" t="str">
        <f t="shared" ref="I71" si="15">IFERROR(H71-G71,"-")</f>
        <v>-</v>
      </c>
      <c r="J71" s="4" t="s">
        <v>29</v>
      </c>
      <c r="K71" s="16">
        <f t="shared" ref="K71" si="16">_xlfn.FORECAST.ETS(C71,$J$18:$J$47,$C$18:$C$47,1,1)</f>
        <v>123639.48693475864</v>
      </c>
      <c r="L71" s="35" t="str">
        <f t="shared" ref="L71" si="17">IFERROR(K71-J71,"-")</f>
        <v>-</v>
      </c>
      <c r="M71" s="4" t="s">
        <v>29</v>
      </c>
      <c r="N71" s="16">
        <f t="shared" ref="N71" si="18">_xlfn.FORECAST.LINEAR(C71,$M$18:$M$47,$C$18:$C$47)</f>
        <v>107971.94846125325</v>
      </c>
    </row>
    <row r="73" spans="3:43" x14ac:dyDescent="0.2">
      <c r="P73" s="17"/>
    </row>
    <row r="75" spans="3:43" x14ac:dyDescent="0.2">
      <c r="E75" s="3"/>
      <c r="G75" s="3"/>
      <c r="I75" s="3"/>
      <c r="Q75" s="3"/>
    </row>
    <row r="77" spans="3:43" x14ac:dyDescent="0.2">
      <c r="K77" s="3"/>
      <c r="Q77" s="3"/>
    </row>
  </sheetData>
  <mergeCells count="8">
    <mergeCell ref="AL14:AQ15"/>
    <mergeCell ref="AQ16:AQ17"/>
    <mergeCell ref="AD48:AD49"/>
    <mergeCell ref="C6:E7"/>
    <mergeCell ref="C14:O15"/>
    <mergeCell ref="R14:V15"/>
    <mergeCell ref="Y14:AC15"/>
    <mergeCell ref="AF14:AJ15"/>
  </mergeCells>
  <conditionalFormatting sqref="D18:O47 N48:O70 E48:E71 H48:H71 K48:L71 N71">
    <cfRule type="cellIs" dxfId="1" priority="3" operator="lessThan">
      <formula>0</formula>
    </cfRule>
  </conditionalFormatting>
  <conditionalFormatting sqref="Z48:AC70">
    <cfRule type="cellIs" dxfId="0" priority="2" operator="greaterThan">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AF73"/>
  <sheetViews>
    <sheetView showGridLines="0" zoomScale="67" workbookViewId="0">
      <selection activeCell="D38" sqref="D38"/>
    </sheetView>
  </sheetViews>
  <sheetFormatPr baseColWidth="10" defaultColWidth="14.5" defaultRowHeight="16" x14ac:dyDescent="0.2"/>
  <cols>
    <col min="1" max="16384" width="14.5" style="1"/>
  </cols>
  <sheetData>
    <row r="3" spans="3:32" ht="22" customHeight="1" x14ac:dyDescent="0.2">
      <c r="C3" s="97" t="s">
        <v>43</v>
      </c>
      <c r="D3" s="97"/>
      <c r="E3" s="97"/>
      <c r="F3" s="97"/>
      <c r="G3" s="97"/>
      <c r="K3" s="97" t="s">
        <v>42</v>
      </c>
      <c r="L3" s="97"/>
      <c r="M3" s="97"/>
      <c r="N3" s="97"/>
      <c r="O3" s="97"/>
      <c r="S3" s="97" t="s">
        <v>54</v>
      </c>
      <c r="T3" s="97"/>
      <c r="U3" s="97"/>
      <c r="V3" s="97"/>
      <c r="W3" s="97"/>
      <c r="AA3" s="97" t="s">
        <v>119</v>
      </c>
      <c r="AB3" s="97"/>
      <c r="AC3" s="97"/>
      <c r="AD3" s="97"/>
      <c r="AE3" s="97"/>
      <c r="AF3" s="97"/>
    </row>
    <row r="4" spans="3:32" ht="16" customHeight="1" x14ac:dyDescent="0.2">
      <c r="C4" s="97"/>
      <c r="D4" s="97"/>
      <c r="E4" s="97"/>
      <c r="F4" s="97"/>
      <c r="G4" s="97"/>
      <c r="K4" s="97"/>
      <c r="L4" s="97"/>
      <c r="M4" s="97"/>
      <c r="N4" s="97"/>
      <c r="O4" s="97"/>
      <c r="S4" s="97"/>
      <c r="T4" s="97"/>
      <c r="U4" s="97"/>
      <c r="V4" s="97"/>
      <c r="W4" s="97"/>
      <c r="AA4" s="97"/>
      <c r="AB4" s="97"/>
      <c r="AC4" s="97"/>
      <c r="AD4" s="97"/>
      <c r="AE4" s="97"/>
      <c r="AF4" s="97"/>
    </row>
    <row r="5" spans="3:32" ht="16" customHeight="1" x14ac:dyDescent="0.2">
      <c r="C5" s="97"/>
      <c r="D5" s="97"/>
      <c r="E5" s="97"/>
      <c r="F5" s="97"/>
      <c r="G5" s="97"/>
      <c r="K5" s="97"/>
      <c r="L5" s="97"/>
      <c r="M5" s="97"/>
      <c r="N5" s="97"/>
      <c r="O5" s="97"/>
      <c r="S5" s="97"/>
      <c r="T5" s="97"/>
      <c r="U5" s="97"/>
      <c r="V5" s="97"/>
      <c r="W5" s="97"/>
      <c r="AA5" s="97"/>
      <c r="AB5" s="97"/>
      <c r="AC5" s="97"/>
      <c r="AD5" s="97"/>
      <c r="AE5" s="97"/>
      <c r="AF5" s="97"/>
    </row>
    <row r="6" spans="3:32" x14ac:dyDescent="0.2">
      <c r="C6" s="19"/>
      <c r="D6" s="23" t="s">
        <v>33</v>
      </c>
      <c r="E6" s="23" t="s">
        <v>34</v>
      </c>
      <c r="F6" s="23" t="s">
        <v>35</v>
      </c>
      <c r="G6" s="23" t="s">
        <v>36</v>
      </c>
      <c r="K6" s="19"/>
      <c r="L6" s="23" t="s">
        <v>33</v>
      </c>
      <c r="M6" s="23" t="s">
        <v>34</v>
      </c>
      <c r="N6" s="23" t="s">
        <v>35</v>
      </c>
      <c r="O6" s="23" t="s">
        <v>36</v>
      </c>
      <c r="S6" s="19"/>
      <c r="T6" s="23" t="s">
        <v>33</v>
      </c>
      <c r="U6" s="23" t="s">
        <v>34</v>
      </c>
      <c r="V6" s="23" t="s">
        <v>35</v>
      </c>
      <c r="W6" s="23" t="s">
        <v>36</v>
      </c>
      <c r="AA6" s="19"/>
      <c r="AB6" s="23" t="s">
        <v>33</v>
      </c>
      <c r="AC6" s="23" t="s">
        <v>34</v>
      </c>
      <c r="AD6" s="23" t="s">
        <v>35</v>
      </c>
      <c r="AE6" s="23" t="s">
        <v>36</v>
      </c>
      <c r="AF6" s="93" t="s">
        <v>122</v>
      </c>
    </row>
    <row r="7" spans="3:32" x14ac:dyDescent="0.2">
      <c r="C7" s="24" t="s">
        <v>26</v>
      </c>
      <c r="D7" s="25" t="s">
        <v>31</v>
      </c>
      <c r="E7" s="25" t="s">
        <v>31</v>
      </c>
      <c r="F7" s="25" t="s">
        <v>31</v>
      </c>
      <c r="G7" s="25" t="s">
        <v>31</v>
      </c>
      <c r="K7" s="24" t="s">
        <v>26</v>
      </c>
      <c r="L7" s="25" t="s">
        <v>31</v>
      </c>
      <c r="M7" s="25" t="s">
        <v>31</v>
      </c>
      <c r="N7" s="25" t="s">
        <v>31</v>
      </c>
      <c r="O7" s="25" t="s">
        <v>31</v>
      </c>
      <c r="S7" s="24" t="s">
        <v>26</v>
      </c>
      <c r="T7" s="25" t="s">
        <v>31</v>
      </c>
      <c r="U7" s="25" t="s">
        <v>31</v>
      </c>
      <c r="V7" s="25" t="s">
        <v>31</v>
      </c>
      <c r="W7" s="25" t="s">
        <v>31</v>
      </c>
      <c r="AA7" s="24" t="s">
        <v>26</v>
      </c>
      <c r="AB7" s="25" t="s">
        <v>31</v>
      </c>
      <c r="AC7" s="25" t="s">
        <v>31</v>
      </c>
      <c r="AD7" s="25" t="s">
        <v>31</v>
      </c>
      <c r="AE7" s="25" t="s">
        <v>31</v>
      </c>
      <c r="AF7" s="93"/>
    </row>
    <row r="8" spans="3:32" x14ac:dyDescent="0.2">
      <c r="C8" s="22">
        <v>7</v>
      </c>
      <c r="D8" s="26">
        <v>305393</v>
      </c>
      <c r="E8" s="26">
        <v>394664</v>
      </c>
      <c r="F8" s="26">
        <v>89554</v>
      </c>
      <c r="G8" s="26">
        <v>218944</v>
      </c>
      <c r="K8" s="22">
        <v>7</v>
      </c>
      <c r="L8" s="26">
        <f>IFERROR(D9,0)</f>
        <v>329637</v>
      </c>
      <c r="M8" s="26">
        <f t="shared" ref="M8:O8" si="0">IFERROR(E9,0)</f>
        <v>399634</v>
      </c>
      <c r="N8" s="26">
        <f t="shared" si="0"/>
        <v>77790</v>
      </c>
      <c r="O8" s="26">
        <f t="shared" si="0"/>
        <v>214558</v>
      </c>
      <c r="S8" s="22">
        <v>7</v>
      </c>
      <c r="T8" s="26" t="s">
        <v>29</v>
      </c>
      <c r="U8" s="26" t="s">
        <v>29</v>
      </c>
      <c r="V8" s="26" t="s">
        <v>29</v>
      </c>
      <c r="W8" s="26" t="s">
        <v>29</v>
      </c>
      <c r="AA8" s="22">
        <v>7</v>
      </c>
      <c r="AB8" s="26">
        <f>D8*'Pricing and Costs'!$G$22</f>
        <v>45808.95</v>
      </c>
      <c r="AC8" s="26">
        <f>E8*'Pricing and Costs'!$H$22</f>
        <v>228905.12</v>
      </c>
      <c r="AD8" s="26">
        <f>F8*'Pricing and Costs'!$I$22</f>
        <v>197914.34</v>
      </c>
      <c r="AE8" s="26">
        <f>G8*'Pricing and Costs'!$J$22</f>
        <v>718136.31999999995</v>
      </c>
      <c r="AF8" s="80">
        <f>SUM(AB8:AE8)</f>
        <v>1190764.73</v>
      </c>
    </row>
    <row r="9" spans="3:32" x14ac:dyDescent="0.2">
      <c r="C9" s="22">
        <v>8</v>
      </c>
      <c r="D9" s="26">
        <v>329637</v>
      </c>
      <c r="E9" s="26">
        <v>399634</v>
      </c>
      <c r="F9" s="26">
        <v>77790</v>
      </c>
      <c r="G9" s="26">
        <v>214558</v>
      </c>
      <c r="K9" s="22">
        <v>8</v>
      </c>
      <c r="L9" s="26">
        <f t="shared" ref="L9:L60" si="1">IFERROR(D10,0)</f>
        <v>338345</v>
      </c>
      <c r="M9" s="26">
        <f t="shared" ref="M9:M60" si="2">IFERROR(E10,0)</f>
        <v>406286</v>
      </c>
      <c r="N9" s="26">
        <f t="shared" ref="N9:N60" si="3">IFERROR(F10,0)</f>
        <v>69472</v>
      </c>
      <c r="O9" s="26">
        <f t="shared" ref="O9:O60" si="4">IFERROR(G10,0)</f>
        <v>210232</v>
      </c>
      <c r="S9" s="22">
        <v>8</v>
      </c>
      <c r="T9" s="26" t="s">
        <v>29</v>
      </c>
      <c r="U9" s="26" t="s">
        <v>29</v>
      </c>
      <c r="V9" s="26" t="s">
        <v>29</v>
      </c>
      <c r="W9" s="26" t="s">
        <v>29</v>
      </c>
      <c r="AA9" s="22">
        <v>8</v>
      </c>
      <c r="AB9" s="26">
        <f>D9*'Pricing and Costs'!$G$22</f>
        <v>49445.549999999996</v>
      </c>
      <c r="AC9" s="26">
        <f>E9*'Pricing and Costs'!$H$22</f>
        <v>231787.71999999997</v>
      </c>
      <c r="AD9" s="26">
        <f>F9*'Pricing and Costs'!$I$22</f>
        <v>171915.9</v>
      </c>
      <c r="AE9" s="26">
        <f>G9*'Pricing and Costs'!$J$22</f>
        <v>703750.24</v>
      </c>
      <c r="AF9" s="80">
        <f t="shared" ref="AF9:AF60" si="5">SUM(AB9:AE9)</f>
        <v>1156899.4099999999</v>
      </c>
    </row>
    <row r="10" spans="3:32" x14ac:dyDescent="0.2">
      <c r="C10" s="22">
        <v>9</v>
      </c>
      <c r="D10" s="26">
        <v>338345</v>
      </c>
      <c r="E10" s="26">
        <v>406286</v>
      </c>
      <c r="F10" s="26">
        <v>69472</v>
      </c>
      <c r="G10" s="26">
        <v>210232</v>
      </c>
      <c r="K10" s="22">
        <v>9</v>
      </c>
      <c r="L10" s="26">
        <f t="shared" si="1"/>
        <v>353921</v>
      </c>
      <c r="M10" s="26">
        <f t="shared" si="2"/>
        <v>409308</v>
      </c>
      <c r="N10" s="26">
        <f t="shared" si="3"/>
        <v>61933</v>
      </c>
      <c r="O10" s="26">
        <f t="shared" si="4"/>
        <v>200663</v>
      </c>
      <c r="S10" s="22">
        <v>9</v>
      </c>
      <c r="T10" s="26" t="s">
        <v>29</v>
      </c>
      <c r="U10" s="26" t="s">
        <v>29</v>
      </c>
      <c r="V10" s="26" t="s">
        <v>29</v>
      </c>
      <c r="W10" s="26" t="s">
        <v>29</v>
      </c>
      <c r="AA10" s="22">
        <v>9</v>
      </c>
      <c r="AB10" s="26">
        <f>D10*'Pricing and Costs'!$G$22</f>
        <v>50751.75</v>
      </c>
      <c r="AC10" s="26">
        <f>E10*'Pricing and Costs'!$H$22</f>
        <v>235645.87999999998</v>
      </c>
      <c r="AD10" s="26">
        <f>F10*'Pricing and Costs'!$I$22</f>
        <v>153533.12</v>
      </c>
      <c r="AE10" s="26">
        <f>G10*'Pricing and Costs'!$J$22</f>
        <v>689560.96</v>
      </c>
      <c r="AF10" s="80">
        <f t="shared" si="5"/>
        <v>1129491.71</v>
      </c>
    </row>
    <row r="11" spans="3:32" x14ac:dyDescent="0.2">
      <c r="C11" s="22">
        <v>10</v>
      </c>
      <c r="D11" s="26">
        <v>353921</v>
      </c>
      <c r="E11" s="26">
        <v>409308</v>
      </c>
      <c r="F11" s="26">
        <v>61933</v>
      </c>
      <c r="G11" s="26">
        <v>200663</v>
      </c>
      <c r="K11" s="22">
        <v>10</v>
      </c>
      <c r="L11" s="26">
        <f t="shared" si="1"/>
        <v>359514</v>
      </c>
      <c r="M11" s="26">
        <f t="shared" si="2"/>
        <v>421568</v>
      </c>
      <c r="N11" s="26">
        <f t="shared" si="3"/>
        <v>44644</v>
      </c>
      <c r="O11" s="26">
        <f t="shared" si="4"/>
        <v>194619</v>
      </c>
      <c r="S11" s="22">
        <v>10</v>
      </c>
      <c r="T11" s="26">
        <f>SUM(Production!T12:T13)</f>
        <v>360659</v>
      </c>
      <c r="U11" s="26">
        <f>SUM(Production!U12:U13)</f>
        <v>319310</v>
      </c>
      <c r="V11" s="26">
        <f>SUM(Production!V12:V13)</f>
        <v>177936</v>
      </c>
      <c r="W11" s="26">
        <f>SUM(Production!W12:W13)</f>
        <v>92313</v>
      </c>
      <c r="AA11" s="22">
        <v>10</v>
      </c>
      <c r="AB11" s="26">
        <f>D11*'Pricing and Costs'!$G$22</f>
        <v>53088.15</v>
      </c>
      <c r="AC11" s="26">
        <f>E11*'Pricing and Costs'!$H$22</f>
        <v>237398.63999999998</v>
      </c>
      <c r="AD11" s="26">
        <f>F11*'Pricing and Costs'!$I$22</f>
        <v>136871.93</v>
      </c>
      <c r="AE11" s="26">
        <f>G11*'Pricing and Costs'!$J$22</f>
        <v>658174.64</v>
      </c>
      <c r="AF11" s="80">
        <f t="shared" si="5"/>
        <v>1085533.3599999999</v>
      </c>
    </row>
    <row r="12" spans="3:32" x14ac:dyDescent="0.2">
      <c r="C12" s="22">
        <v>11</v>
      </c>
      <c r="D12" s="26">
        <f>D11+Production!$AB14-Orders!$S21</f>
        <v>359514</v>
      </c>
      <c r="E12" s="26">
        <f>E11+Production!$AC14-Orders!$T21</f>
        <v>421568</v>
      </c>
      <c r="F12" s="26">
        <f>F11+Production!$AD14-Orders!$U21</f>
        <v>44644</v>
      </c>
      <c r="G12" s="26">
        <f>G11+Production!$AE14-Orders!$V21</f>
        <v>194619</v>
      </c>
      <c r="K12" s="22">
        <v>11</v>
      </c>
      <c r="L12" s="26">
        <f t="shared" si="1"/>
        <v>366223</v>
      </c>
      <c r="M12" s="26">
        <f t="shared" si="2"/>
        <v>424536</v>
      </c>
      <c r="N12" s="26">
        <f t="shared" si="3"/>
        <v>30454</v>
      </c>
      <c r="O12" s="26">
        <f t="shared" si="4"/>
        <v>186713</v>
      </c>
      <c r="S12" s="22">
        <v>11</v>
      </c>
      <c r="T12" s="26">
        <f>SUM(Production!T13:T14)</f>
        <v>357574</v>
      </c>
      <c r="U12" s="26">
        <f>SUM(Production!U13:U14)</f>
        <v>317206</v>
      </c>
      <c r="V12" s="26">
        <f>SUM(Production!V13:V14)</f>
        <v>181036</v>
      </c>
      <c r="W12" s="26">
        <f>SUM(Production!W13:W14)</f>
        <v>93496</v>
      </c>
      <c r="AA12" s="22">
        <v>11</v>
      </c>
      <c r="AB12" s="26">
        <f>D12*'Pricing and Costs'!$G$22</f>
        <v>53927.1</v>
      </c>
      <c r="AC12" s="26">
        <f>E12*'Pricing and Costs'!$H$22</f>
        <v>244509.43999999997</v>
      </c>
      <c r="AD12" s="26">
        <f>F12*'Pricing and Costs'!$I$22</f>
        <v>98663.24</v>
      </c>
      <c r="AE12" s="26">
        <f>G12*'Pricing and Costs'!$J$22</f>
        <v>638350.31999999995</v>
      </c>
      <c r="AF12" s="80">
        <f t="shared" si="5"/>
        <v>1035450.0999999999</v>
      </c>
    </row>
    <row r="13" spans="3:32" x14ac:dyDescent="0.2">
      <c r="C13" s="22">
        <v>12</v>
      </c>
      <c r="D13" s="26">
        <f>D12+Production!$AB15-Orders!$S22</f>
        <v>366223</v>
      </c>
      <c r="E13" s="26">
        <f>E12+Production!$AC15-Orders!$T22</f>
        <v>424536</v>
      </c>
      <c r="F13" s="26">
        <f>F12+Production!$AD15-Orders!$U22</f>
        <v>30454</v>
      </c>
      <c r="G13" s="26">
        <f>G12+Production!$AE15-Orders!$V22</f>
        <v>186713</v>
      </c>
      <c r="K13" s="22">
        <v>12</v>
      </c>
      <c r="L13" s="26">
        <f t="shared" si="1"/>
        <v>362635</v>
      </c>
      <c r="M13" s="26">
        <f t="shared" si="2"/>
        <v>430973</v>
      </c>
      <c r="N13" s="26">
        <f t="shared" si="3"/>
        <v>17492</v>
      </c>
      <c r="O13" s="26">
        <f t="shared" si="4"/>
        <v>184018</v>
      </c>
      <c r="S13" s="22">
        <v>12</v>
      </c>
      <c r="T13" s="26">
        <f>SUM(Production!T14:T15)</f>
        <v>356113</v>
      </c>
      <c r="U13" s="26">
        <f>SUM(Production!U14:U15)</f>
        <v>316034</v>
      </c>
      <c r="V13" s="26">
        <f>SUM(Production!V14:V15)</f>
        <v>182635</v>
      </c>
      <c r="W13" s="26">
        <f>SUM(Production!W14:W15)</f>
        <v>95357</v>
      </c>
      <c r="AA13" s="22">
        <v>12</v>
      </c>
      <c r="AB13" s="26">
        <f>D13*'Pricing and Costs'!$G$22</f>
        <v>54933.45</v>
      </c>
      <c r="AC13" s="26">
        <f>E13*'Pricing and Costs'!$H$22</f>
        <v>246230.87999999998</v>
      </c>
      <c r="AD13" s="26">
        <f>F13*'Pricing and Costs'!$I$22</f>
        <v>67303.34</v>
      </c>
      <c r="AE13" s="26">
        <f>G13*'Pricing and Costs'!$J$22</f>
        <v>612418.64</v>
      </c>
      <c r="AF13" s="80">
        <f t="shared" si="5"/>
        <v>980886.30999999994</v>
      </c>
    </row>
    <row r="14" spans="3:32" x14ac:dyDescent="0.2">
      <c r="C14" s="22">
        <v>13</v>
      </c>
      <c r="D14" s="26">
        <f>D13+Production!$AB16-Orders!$S23</f>
        <v>362635</v>
      </c>
      <c r="E14" s="26">
        <f>E13+Production!$AC16-Orders!$T23</f>
        <v>430973</v>
      </c>
      <c r="F14" s="26">
        <f>F13+Production!$AD16-Orders!$U23</f>
        <v>17492</v>
      </c>
      <c r="G14" s="26">
        <f>G13+Production!$AE16-Orders!$V23</f>
        <v>184018</v>
      </c>
      <c r="K14" s="22">
        <v>13</v>
      </c>
      <c r="L14" s="26">
        <f t="shared" si="1"/>
        <v>344063</v>
      </c>
      <c r="M14" s="26">
        <f t="shared" si="2"/>
        <v>430589</v>
      </c>
      <c r="N14" s="26">
        <f t="shared" si="3"/>
        <v>11287</v>
      </c>
      <c r="O14" s="26">
        <f t="shared" si="4"/>
        <v>179208</v>
      </c>
      <c r="S14" s="22">
        <v>13</v>
      </c>
      <c r="T14" s="26">
        <f>SUM(Production!T15:T16)</f>
        <v>354534</v>
      </c>
      <c r="U14" s="26">
        <f>SUM(Production!U15:U16)</f>
        <v>314280</v>
      </c>
      <c r="V14" s="26">
        <f>SUM(Production!V15:V16)</f>
        <v>185480</v>
      </c>
      <c r="W14" s="26">
        <f>SUM(Production!W15:W16)</f>
        <v>97256</v>
      </c>
      <c r="AA14" s="22">
        <v>13</v>
      </c>
      <c r="AB14" s="26">
        <f>D14*'Pricing and Costs'!$G$22</f>
        <v>54395.25</v>
      </c>
      <c r="AC14" s="26">
        <f>E14*'Pricing and Costs'!$H$22</f>
        <v>249964.34</v>
      </c>
      <c r="AD14" s="26">
        <f>F14*'Pricing and Costs'!$I$22</f>
        <v>38657.32</v>
      </c>
      <c r="AE14" s="26">
        <f>G14*'Pricing and Costs'!$J$22</f>
        <v>603579.03999999992</v>
      </c>
      <c r="AF14" s="80">
        <f t="shared" si="5"/>
        <v>946595.95</v>
      </c>
    </row>
    <row r="15" spans="3:32" x14ac:dyDescent="0.2">
      <c r="C15" s="22">
        <v>14</v>
      </c>
      <c r="D15" s="26">
        <f>D14+Production!$AB17-Orders!$S24</f>
        <v>344063</v>
      </c>
      <c r="E15" s="26">
        <f>E14+Production!$AC17-Orders!$T24</f>
        <v>430589</v>
      </c>
      <c r="F15" s="26">
        <f>F14+Production!$AD17-Orders!$U24</f>
        <v>11287</v>
      </c>
      <c r="G15" s="26">
        <f>G14+Production!$AE17-Orders!$V24</f>
        <v>179208</v>
      </c>
      <c r="K15" s="22">
        <v>14</v>
      </c>
      <c r="L15" s="26">
        <f t="shared" si="1"/>
        <v>321881</v>
      </c>
      <c r="M15" s="26">
        <f t="shared" si="2"/>
        <v>435518</v>
      </c>
      <c r="N15" s="26">
        <f t="shared" si="3"/>
        <v>20966</v>
      </c>
      <c r="O15" s="26">
        <f t="shared" si="4"/>
        <v>170513</v>
      </c>
      <c r="S15" s="22">
        <v>14</v>
      </c>
      <c r="T15" s="26">
        <f>SUM(Production!T16:T17)</f>
        <v>353504</v>
      </c>
      <c r="U15" s="26">
        <f>SUM(Production!U16:U17)</f>
        <v>312580</v>
      </c>
      <c r="V15" s="26">
        <f>SUM(Production!V16:V17)</f>
        <v>189469</v>
      </c>
      <c r="W15" s="26">
        <f>SUM(Production!W16:W17)</f>
        <v>98757</v>
      </c>
      <c r="AA15" s="22">
        <v>14</v>
      </c>
      <c r="AB15" s="26">
        <f>D15*'Pricing and Costs'!$G$22</f>
        <v>51609.45</v>
      </c>
      <c r="AC15" s="26">
        <f>E15*'Pricing and Costs'!$H$22</f>
        <v>249741.62</v>
      </c>
      <c r="AD15" s="26">
        <f>F15*'Pricing and Costs'!$I$22</f>
        <v>24944.27</v>
      </c>
      <c r="AE15" s="26">
        <f>G15*'Pricing and Costs'!$J$22</f>
        <v>587802.24</v>
      </c>
      <c r="AF15" s="80">
        <f t="shared" si="5"/>
        <v>914097.58000000007</v>
      </c>
    </row>
    <row r="16" spans="3:32" x14ac:dyDescent="0.2">
      <c r="C16" s="22">
        <v>15</v>
      </c>
      <c r="D16" s="26">
        <f>D15+Production!$AB18-Orders!$S25</f>
        <v>321881</v>
      </c>
      <c r="E16" s="26">
        <f>E15+Production!$AC18-Orders!$T25</f>
        <v>435518</v>
      </c>
      <c r="F16" s="26">
        <f>F15+Production!$AD18-Orders!$U25</f>
        <v>20966</v>
      </c>
      <c r="G16" s="26">
        <f>G15+Production!$AE18-Orders!$V25</f>
        <v>170513</v>
      </c>
      <c r="K16" s="22">
        <v>15</v>
      </c>
      <c r="L16" s="26">
        <f t="shared" si="1"/>
        <v>315915</v>
      </c>
      <c r="M16" s="26">
        <f t="shared" si="2"/>
        <v>436512</v>
      </c>
      <c r="N16" s="26">
        <f t="shared" si="3"/>
        <v>31430</v>
      </c>
      <c r="O16" s="26">
        <f t="shared" si="4"/>
        <v>169462</v>
      </c>
      <c r="S16" s="22">
        <v>15</v>
      </c>
      <c r="T16" s="26">
        <f>SUM(Production!T17:T18)</f>
        <v>353662</v>
      </c>
      <c r="U16" s="26">
        <f>SUM(Production!U17:U18)</f>
        <v>311783</v>
      </c>
      <c r="V16" s="26">
        <f>SUM(Production!V17:V18)</f>
        <v>192589</v>
      </c>
      <c r="W16" s="26">
        <f>SUM(Production!W17:W18)</f>
        <v>99647</v>
      </c>
      <c r="AA16" s="22">
        <v>15</v>
      </c>
      <c r="AB16" s="26">
        <f>D16*'Pricing and Costs'!$G$22</f>
        <v>48282.15</v>
      </c>
      <c r="AC16" s="26">
        <f>E16*'Pricing and Costs'!$H$22</f>
        <v>252600.43999999997</v>
      </c>
      <c r="AD16" s="26">
        <f>F16*'Pricing and Costs'!$I$22</f>
        <v>46334.86</v>
      </c>
      <c r="AE16" s="26">
        <f>G16*'Pricing and Costs'!$J$22</f>
        <v>559282.64</v>
      </c>
      <c r="AF16" s="80">
        <f t="shared" si="5"/>
        <v>906500.09</v>
      </c>
    </row>
    <row r="17" spans="3:32" x14ac:dyDescent="0.2">
      <c r="C17" s="22">
        <v>16</v>
      </c>
      <c r="D17" s="26">
        <f>D16+Production!$AB19-Orders!$S26</f>
        <v>315915</v>
      </c>
      <c r="E17" s="26">
        <f>E16+Production!$AC19-Orders!$T26</f>
        <v>436512</v>
      </c>
      <c r="F17" s="26">
        <f>F16+Production!$AD19-Orders!$U26</f>
        <v>31430</v>
      </c>
      <c r="G17" s="26">
        <f>G16+Production!$AE19-Orders!$V26</f>
        <v>169462</v>
      </c>
      <c r="K17" s="22">
        <v>16</v>
      </c>
      <c r="L17" s="26">
        <f t="shared" si="1"/>
        <v>302900</v>
      </c>
      <c r="M17" s="26">
        <f t="shared" si="2"/>
        <v>438508</v>
      </c>
      <c r="N17" s="26">
        <f t="shared" si="3"/>
        <v>46527</v>
      </c>
      <c r="O17" s="26">
        <f t="shared" si="4"/>
        <v>160684</v>
      </c>
      <c r="S17" s="22">
        <v>16</v>
      </c>
      <c r="T17" s="26">
        <f>SUM(Production!T18:T19)</f>
        <v>357764</v>
      </c>
      <c r="U17" s="26">
        <f>SUM(Production!U18:U19)</f>
        <v>311483</v>
      </c>
      <c r="V17" s="26">
        <f>SUM(Production!V18:V19)</f>
        <v>194124</v>
      </c>
      <c r="W17" s="26">
        <f>SUM(Production!W18:W19)</f>
        <v>100183</v>
      </c>
      <c r="AA17" s="22">
        <v>16</v>
      </c>
      <c r="AB17" s="26">
        <f>D17*'Pricing and Costs'!$G$22</f>
        <v>47387.25</v>
      </c>
      <c r="AC17" s="26">
        <f>E17*'Pricing and Costs'!$H$22</f>
        <v>253176.95999999999</v>
      </c>
      <c r="AD17" s="26">
        <f>F17*'Pricing and Costs'!$I$22</f>
        <v>69460.3</v>
      </c>
      <c r="AE17" s="26">
        <f>G17*'Pricing and Costs'!$J$22</f>
        <v>555835.36</v>
      </c>
      <c r="AF17" s="80">
        <f t="shared" si="5"/>
        <v>925859.86999999988</v>
      </c>
    </row>
    <row r="18" spans="3:32" x14ac:dyDescent="0.2">
      <c r="C18" s="22">
        <v>17</v>
      </c>
      <c r="D18" s="26">
        <f>D17+Production!$AB20-Orders!$S27</f>
        <v>302900</v>
      </c>
      <c r="E18" s="26">
        <f>E17+Production!$AC20-Orders!$T27</f>
        <v>438508</v>
      </c>
      <c r="F18" s="26">
        <f>F17+Production!$AD20-Orders!$U27</f>
        <v>46527</v>
      </c>
      <c r="G18" s="26">
        <f>G17+Production!$AE20-Orders!$V27</f>
        <v>160684</v>
      </c>
      <c r="K18" s="22">
        <v>17</v>
      </c>
      <c r="L18" s="26">
        <f t="shared" si="1"/>
        <v>309171</v>
      </c>
      <c r="M18" s="26">
        <f t="shared" si="2"/>
        <v>450400</v>
      </c>
      <c r="N18" s="26">
        <f t="shared" si="3"/>
        <v>51971</v>
      </c>
      <c r="O18" s="26">
        <f t="shared" si="4"/>
        <v>151471</v>
      </c>
      <c r="S18" s="22">
        <v>17</v>
      </c>
      <c r="T18" s="26">
        <f>SUM(Production!T19:T20)</f>
        <v>364018</v>
      </c>
      <c r="U18" s="26">
        <f>SUM(Production!U19:U20)</f>
        <v>311192</v>
      </c>
      <c r="V18" s="26">
        <f>SUM(Production!V19:V20)</f>
        <v>192104</v>
      </c>
      <c r="W18" s="26">
        <f>SUM(Production!W19:W20)</f>
        <v>101946</v>
      </c>
      <c r="AA18" s="22">
        <v>17</v>
      </c>
      <c r="AB18" s="26">
        <f>D18*'Pricing and Costs'!$G$22</f>
        <v>45435</v>
      </c>
      <c r="AC18" s="26">
        <f>E18*'Pricing and Costs'!$H$22</f>
        <v>254334.63999999998</v>
      </c>
      <c r="AD18" s="26">
        <f>F18*'Pricing and Costs'!$I$22</f>
        <v>102824.67</v>
      </c>
      <c r="AE18" s="26">
        <f>G18*'Pricing and Costs'!$J$22</f>
        <v>527043.52</v>
      </c>
      <c r="AF18" s="80">
        <f t="shared" si="5"/>
        <v>929637.83000000007</v>
      </c>
    </row>
    <row r="19" spans="3:32" x14ac:dyDescent="0.2">
      <c r="C19" s="22">
        <v>18</v>
      </c>
      <c r="D19" s="26">
        <f>D18+Production!$AB21-Orders!$S28</f>
        <v>309171</v>
      </c>
      <c r="E19" s="26">
        <f>E18+Production!$AC21-Orders!$T28</f>
        <v>450400</v>
      </c>
      <c r="F19" s="26">
        <f>F18+Production!$AD21-Orders!$U28</f>
        <v>51971</v>
      </c>
      <c r="G19" s="26">
        <f>G18+Production!$AE21-Orders!$V28</f>
        <v>151471</v>
      </c>
      <c r="K19" s="22">
        <v>18</v>
      </c>
      <c r="L19" s="26">
        <f t="shared" si="1"/>
        <v>322092</v>
      </c>
      <c r="M19" s="26">
        <f t="shared" si="2"/>
        <v>457252</v>
      </c>
      <c r="N19" s="26">
        <f t="shared" si="3"/>
        <v>46601</v>
      </c>
      <c r="O19" s="26">
        <f t="shared" si="4"/>
        <v>142667</v>
      </c>
      <c r="S19" s="22">
        <v>18</v>
      </c>
      <c r="T19" s="26">
        <f>SUM(Production!T20:T21)</f>
        <v>366957</v>
      </c>
      <c r="U19" s="26">
        <f>SUM(Production!U20:U21)</f>
        <v>310436</v>
      </c>
      <c r="V19" s="26">
        <f>SUM(Production!V20:V21)</f>
        <v>188307</v>
      </c>
      <c r="W19" s="26">
        <f>SUM(Production!W20:W21)</f>
        <v>103038</v>
      </c>
      <c r="AA19" s="22">
        <v>18</v>
      </c>
      <c r="AB19" s="26">
        <f>D19*'Pricing and Costs'!$G$22</f>
        <v>46375.65</v>
      </c>
      <c r="AC19" s="26">
        <f>E19*'Pricing and Costs'!$H$22</f>
        <v>261231.99999999997</v>
      </c>
      <c r="AD19" s="26">
        <f>F19*'Pricing and Costs'!$I$22</f>
        <v>114855.91</v>
      </c>
      <c r="AE19" s="26">
        <f>G19*'Pricing and Costs'!$J$22</f>
        <v>496824.87999999995</v>
      </c>
      <c r="AF19" s="80">
        <f t="shared" si="5"/>
        <v>919288.44</v>
      </c>
    </row>
    <row r="20" spans="3:32" x14ac:dyDescent="0.2">
      <c r="C20" s="22">
        <v>19</v>
      </c>
      <c r="D20" s="26">
        <f>D19+Production!$AB22-Orders!$S29</f>
        <v>322092</v>
      </c>
      <c r="E20" s="26">
        <f>E19+Production!$AC22-Orders!$T29</f>
        <v>457252</v>
      </c>
      <c r="F20" s="26">
        <f>F19+Production!$AD22-Orders!$U29</f>
        <v>46601</v>
      </c>
      <c r="G20" s="26">
        <f>G19+Production!$AE22-Orders!$V29</f>
        <v>142667</v>
      </c>
      <c r="K20" s="22">
        <v>19</v>
      </c>
      <c r="L20" s="26">
        <f t="shared" si="1"/>
        <v>343786</v>
      </c>
      <c r="M20" s="26">
        <f t="shared" si="2"/>
        <v>460989</v>
      </c>
      <c r="N20" s="26">
        <f t="shared" si="3"/>
        <v>43364</v>
      </c>
      <c r="O20" s="26">
        <f t="shared" si="4"/>
        <v>133794</v>
      </c>
      <c r="S20" s="22">
        <v>19</v>
      </c>
      <c r="T20" s="26">
        <f>SUM(Production!T21:T22)</f>
        <v>367904</v>
      </c>
      <c r="U20" s="26">
        <f>SUM(Production!U21:U22)</f>
        <v>310162</v>
      </c>
      <c r="V20" s="26">
        <f>SUM(Production!V21:V22)</f>
        <v>184760</v>
      </c>
      <c r="W20" s="26">
        <f>SUM(Production!W21:W22)</f>
        <v>104111</v>
      </c>
      <c r="AA20" s="22">
        <v>19</v>
      </c>
      <c r="AB20" s="26">
        <f>D20*'Pricing and Costs'!$G$22</f>
        <v>48313.799999999996</v>
      </c>
      <c r="AC20" s="26">
        <f>E20*'Pricing and Costs'!$H$22</f>
        <v>265206.15999999997</v>
      </c>
      <c r="AD20" s="26">
        <f>F20*'Pricing and Costs'!$I$22</f>
        <v>102988.20999999999</v>
      </c>
      <c r="AE20" s="26">
        <f>G20*'Pricing and Costs'!$J$22</f>
        <v>467947.75999999995</v>
      </c>
      <c r="AF20" s="80">
        <f t="shared" si="5"/>
        <v>884455.92999999993</v>
      </c>
    </row>
    <row r="21" spans="3:32" x14ac:dyDescent="0.2">
      <c r="C21" s="22">
        <v>20</v>
      </c>
      <c r="D21" s="26">
        <f>D20+Production!$AB23-Orders!$S30</f>
        <v>343786</v>
      </c>
      <c r="E21" s="26">
        <f>E20+Production!$AC23-Orders!$T30</f>
        <v>460989</v>
      </c>
      <c r="F21" s="26">
        <f>F20+Production!$AD23-Orders!$U30</f>
        <v>43364</v>
      </c>
      <c r="G21" s="26">
        <f>G20+Production!$AE23-Orders!$V30</f>
        <v>133794</v>
      </c>
      <c r="K21" s="22">
        <v>20</v>
      </c>
      <c r="L21" s="26">
        <f t="shared" si="1"/>
        <v>366911</v>
      </c>
      <c r="M21" s="26">
        <f t="shared" si="2"/>
        <v>472594</v>
      </c>
      <c r="N21" s="26">
        <f t="shared" si="3"/>
        <v>38078</v>
      </c>
      <c r="O21" s="26">
        <f t="shared" si="4"/>
        <v>126190</v>
      </c>
      <c r="S21" s="22">
        <v>20</v>
      </c>
      <c r="T21" s="26">
        <f>SUM(Production!T22:T23)</f>
        <v>367338</v>
      </c>
      <c r="U21" s="26">
        <f>SUM(Production!U22:U23)</f>
        <v>308067</v>
      </c>
      <c r="V21" s="26">
        <f>SUM(Production!V22:V23)</f>
        <v>182897</v>
      </c>
      <c r="W21" s="26">
        <f>SUM(Production!W22:W23)</f>
        <v>106455</v>
      </c>
      <c r="AA21" s="22">
        <v>20</v>
      </c>
      <c r="AB21" s="26">
        <f>D21*'Pricing and Costs'!$G$22</f>
        <v>51567.9</v>
      </c>
      <c r="AC21" s="26">
        <f>E21*'Pricing and Costs'!$H$22</f>
        <v>267373.62</v>
      </c>
      <c r="AD21" s="26">
        <f>F21*'Pricing and Costs'!$I$22</f>
        <v>95834.44</v>
      </c>
      <c r="AE21" s="26">
        <f>G21*'Pricing and Costs'!$J$22</f>
        <v>438844.31999999995</v>
      </c>
      <c r="AF21" s="80">
        <f t="shared" si="5"/>
        <v>853620.28</v>
      </c>
    </row>
    <row r="22" spans="3:32" x14ac:dyDescent="0.2">
      <c r="C22" s="22">
        <v>21</v>
      </c>
      <c r="D22" s="26">
        <f>D21+Production!$AB24-Orders!$S31</f>
        <v>366911</v>
      </c>
      <c r="E22" s="26">
        <f>E21+Production!$AC24-Orders!$T31</f>
        <v>472594</v>
      </c>
      <c r="F22" s="26">
        <f>F21+Production!$AD24-Orders!$U31</f>
        <v>38078</v>
      </c>
      <c r="G22" s="26">
        <f>G21+Production!$AE24-Orders!$V31</f>
        <v>126190</v>
      </c>
      <c r="K22" s="22">
        <v>21</v>
      </c>
      <c r="L22" s="26">
        <f t="shared" si="1"/>
        <v>368575</v>
      </c>
      <c r="M22" s="26">
        <f t="shared" si="2"/>
        <v>483061</v>
      </c>
      <c r="N22" s="26">
        <f t="shared" si="3"/>
        <v>17831</v>
      </c>
      <c r="O22" s="26">
        <f t="shared" si="4"/>
        <v>114458</v>
      </c>
      <c r="S22" s="22">
        <v>21</v>
      </c>
      <c r="T22" s="26">
        <f>SUM(Production!T23:T24)</f>
        <v>363586</v>
      </c>
      <c r="U22" s="26">
        <f>SUM(Production!U23:U24)</f>
        <v>305463</v>
      </c>
      <c r="V22" s="26">
        <f>SUM(Production!V23:V24)</f>
        <v>184419</v>
      </c>
      <c r="W22" s="26">
        <f>SUM(Production!W23:W24)</f>
        <v>108706</v>
      </c>
      <c r="AA22" s="22">
        <v>21</v>
      </c>
      <c r="AB22" s="26">
        <f>D22*'Pricing and Costs'!$G$22</f>
        <v>55036.65</v>
      </c>
      <c r="AC22" s="26">
        <f>E22*'Pricing and Costs'!$H$22</f>
        <v>274104.51999999996</v>
      </c>
      <c r="AD22" s="26">
        <f>F22*'Pricing and Costs'!$I$22</f>
        <v>84152.38</v>
      </c>
      <c r="AE22" s="26">
        <f>G22*'Pricing and Costs'!$J$22</f>
        <v>413903.19999999995</v>
      </c>
      <c r="AF22" s="80">
        <f t="shared" si="5"/>
        <v>827196.75</v>
      </c>
    </row>
    <row r="23" spans="3:32" x14ac:dyDescent="0.2">
      <c r="C23" s="22">
        <v>22</v>
      </c>
      <c r="D23" s="26">
        <f>D22+Production!$AB25-Orders!$S32</f>
        <v>368575</v>
      </c>
      <c r="E23" s="26">
        <f>E22+Production!$AC25-Orders!$T32</f>
        <v>483061</v>
      </c>
      <c r="F23" s="26">
        <f>F22+Production!$AD25-Orders!$U32</f>
        <v>17831</v>
      </c>
      <c r="G23" s="26">
        <f>G22+Production!$AE25-Orders!$V32</f>
        <v>114458</v>
      </c>
      <c r="K23" s="22">
        <v>22</v>
      </c>
      <c r="L23" s="26">
        <f t="shared" si="1"/>
        <v>370260</v>
      </c>
      <c r="M23" s="26">
        <f t="shared" si="2"/>
        <v>492521</v>
      </c>
      <c r="N23" s="26">
        <f t="shared" si="3"/>
        <v>10240</v>
      </c>
      <c r="O23" s="26">
        <f t="shared" si="4"/>
        <v>110350</v>
      </c>
      <c r="S23" s="22">
        <v>22</v>
      </c>
      <c r="T23" s="26">
        <f>SUM(Production!T24:T25)</f>
        <v>358378</v>
      </c>
      <c r="U23" s="26">
        <f>SUM(Production!U24:U25)</f>
        <v>304527</v>
      </c>
      <c r="V23" s="26">
        <f>SUM(Production!V24:V25)</f>
        <v>186502</v>
      </c>
      <c r="W23" s="26">
        <f>SUM(Production!W24:W25)</f>
        <v>110707</v>
      </c>
      <c r="AA23" s="22">
        <v>22</v>
      </c>
      <c r="AB23" s="26">
        <f>D23*'Pricing and Costs'!$G$22</f>
        <v>55286.25</v>
      </c>
      <c r="AC23" s="26">
        <f>E23*'Pricing and Costs'!$H$22</f>
        <v>280175.38</v>
      </c>
      <c r="AD23" s="26">
        <f>F23*'Pricing and Costs'!$I$22</f>
        <v>39406.51</v>
      </c>
      <c r="AE23" s="26">
        <f>G23*'Pricing and Costs'!$J$22</f>
        <v>375422.24</v>
      </c>
      <c r="AF23" s="80">
        <f t="shared" si="5"/>
        <v>750290.38</v>
      </c>
    </row>
    <row r="24" spans="3:32" x14ac:dyDescent="0.2">
      <c r="C24" s="22">
        <v>23</v>
      </c>
      <c r="D24" s="26">
        <f>D23+Production!$AB26-Orders!$S33</f>
        <v>370260</v>
      </c>
      <c r="E24" s="26">
        <f>E23+Production!$AC26-Orders!$T33</f>
        <v>492521</v>
      </c>
      <c r="F24" s="26">
        <f>F23+Production!$AD26-Orders!$U33</f>
        <v>10240</v>
      </c>
      <c r="G24" s="26">
        <f>G23+Production!$AE26-Orders!$V33</f>
        <v>110350</v>
      </c>
      <c r="K24" s="22">
        <v>23</v>
      </c>
      <c r="L24" s="26">
        <f t="shared" si="1"/>
        <v>365198</v>
      </c>
      <c r="M24" s="26">
        <f t="shared" si="2"/>
        <v>500374</v>
      </c>
      <c r="N24" s="26">
        <f t="shared" si="3"/>
        <v>5365</v>
      </c>
      <c r="O24" s="26">
        <f t="shared" si="4"/>
        <v>99466</v>
      </c>
      <c r="S24" s="22">
        <v>23</v>
      </c>
      <c r="T24" s="26">
        <f>SUM(Production!T25:T26)</f>
        <v>352496</v>
      </c>
      <c r="U24" s="26">
        <f>SUM(Production!U25:U26)</f>
        <v>302909</v>
      </c>
      <c r="V24" s="26">
        <f>SUM(Production!V25:V26)</f>
        <v>187632</v>
      </c>
      <c r="W24" s="26">
        <f>SUM(Production!W25:W26)</f>
        <v>112354</v>
      </c>
      <c r="AA24" s="22">
        <v>23</v>
      </c>
      <c r="AB24" s="26">
        <f>D24*'Pricing and Costs'!$G$22</f>
        <v>55539</v>
      </c>
      <c r="AC24" s="26">
        <f>E24*'Pricing and Costs'!$H$22</f>
        <v>285662.18</v>
      </c>
      <c r="AD24" s="26">
        <f>F24*'Pricing and Costs'!$I$22</f>
        <v>22630.400000000001</v>
      </c>
      <c r="AE24" s="26">
        <f>G24*'Pricing and Costs'!$J$22</f>
        <v>361948</v>
      </c>
      <c r="AF24" s="80">
        <f t="shared" si="5"/>
        <v>725779.58000000007</v>
      </c>
    </row>
    <row r="25" spans="3:32" x14ac:dyDescent="0.2">
      <c r="C25" s="22">
        <v>24</v>
      </c>
      <c r="D25" s="26">
        <f>D24+Production!$AB27-Orders!$S34</f>
        <v>365198</v>
      </c>
      <c r="E25" s="26">
        <f>E24+Production!$AC27-Orders!$T34</f>
        <v>500374</v>
      </c>
      <c r="F25" s="26">
        <f>F24+Production!$AD27-Orders!$U34</f>
        <v>5365</v>
      </c>
      <c r="G25" s="26">
        <f>G24+Production!$AE27-Orders!$V34</f>
        <v>99466</v>
      </c>
      <c r="K25" s="22">
        <v>24</v>
      </c>
      <c r="L25" s="26">
        <f t="shared" si="1"/>
        <v>352617</v>
      </c>
      <c r="M25" s="26">
        <f t="shared" si="2"/>
        <v>506559</v>
      </c>
      <c r="N25" s="26">
        <f t="shared" si="3"/>
        <v>34</v>
      </c>
      <c r="O25" s="26">
        <f t="shared" si="4"/>
        <v>86604</v>
      </c>
      <c r="S25" s="22">
        <v>24</v>
      </c>
      <c r="T25" s="26">
        <f>SUM(Production!T26:T27)</f>
        <v>350838</v>
      </c>
      <c r="U25" s="26">
        <f>SUM(Production!U26:U27)</f>
        <v>300090</v>
      </c>
      <c r="V25" s="26">
        <f>SUM(Production!V26:V27)</f>
        <v>191098</v>
      </c>
      <c r="W25" s="26">
        <f>SUM(Production!W26:W27)</f>
        <v>114594</v>
      </c>
      <c r="AA25" s="22">
        <v>24</v>
      </c>
      <c r="AB25" s="26">
        <f>D25*'Pricing and Costs'!$G$22</f>
        <v>54779.7</v>
      </c>
      <c r="AC25" s="26">
        <f>E25*'Pricing and Costs'!$H$22</f>
        <v>290216.92</v>
      </c>
      <c r="AD25" s="26">
        <f>F25*'Pricing and Costs'!$I$22</f>
        <v>11856.65</v>
      </c>
      <c r="AE25" s="26">
        <f>G25*'Pricing and Costs'!$J$22</f>
        <v>326248.48</v>
      </c>
      <c r="AF25" s="80">
        <f t="shared" si="5"/>
        <v>683101.75</v>
      </c>
    </row>
    <row r="26" spans="3:32" x14ac:dyDescent="0.2">
      <c r="C26" s="22">
        <v>25</v>
      </c>
      <c r="D26" s="26">
        <f>D25+Production!$AB28-Orders!$S35</f>
        <v>352617</v>
      </c>
      <c r="E26" s="26">
        <f>E25+Production!$AC28-Orders!$T35</f>
        <v>506559</v>
      </c>
      <c r="F26" s="26">
        <f>F25+Production!$AD28-Orders!$U35</f>
        <v>34</v>
      </c>
      <c r="G26" s="26">
        <f>G25+Production!$AE28-Orders!$V35</f>
        <v>86604</v>
      </c>
      <c r="K26" s="22">
        <v>25</v>
      </c>
      <c r="L26" s="26">
        <f t="shared" si="1"/>
        <v>340777</v>
      </c>
      <c r="M26" s="26">
        <f t="shared" si="2"/>
        <v>502510</v>
      </c>
      <c r="N26" s="26">
        <f t="shared" si="3"/>
        <v>0</v>
      </c>
      <c r="O26" s="26">
        <f t="shared" si="4"/>
        <v>81879</v>
      </c>
      <c r="S26" s="22">
        <v>25</v>
      </c>
      <c r="T26" s="26">
        <f>SUM(Production!T27:T28)</f>
        <v>352404</v>
      </c>
      <c r="U26" s="26">
        <f>SUM(Production!U27:U28)</f>
        <v>297664</v>
      </c>
      <c r="V26" s="26">
        <f>SUM(Production!V27:V28)</f>
        <v>194625</v>
      </c>
      <c r="W26" s="26">
        <f>SUM(Production!W27:W28)</f>
        <v>116252</v>
      </c>
      <c r="AA26" s="22">
        <v>25</v>
      </c>
      <c r="AB26" s="26">
        <f>D26*'Pricing and Costs'!$G$22</f>
        <v>52892.549999999996</v>
      </c>
      <c r="AC26" s="26">
        <f>E26*'Pricing and Costs'!$H$22</f>
        <v>293804.21999999997</v>
      </c>
      <c r="AD26" s="26">
        <f>F26*'Pricing and Costs'!$I$22</f>
        <v>75.14</v>
      </c>
      <c r="AE26" s="26">
        <f>G26*'Pricing and Costs'!$J$22</f>
        <v>284061.12</v>
      </c>
      <c r="AF26" s="80">
        <f t="shared" si="5"/>
        <v>630833.03</v>
      </c>
    </row>
    <row r="27" spans="3:32" x14ac:dyDescent="0.2">
      <c r="C27" s="22">
        <v>26</v>
      </c>
      <c r="D27" s="26">
        <f>D26+Production!$AB29-Orders!$S36</f>
        <v>340777</v>
      </c>
      <c r="E27" s="26">
        <f>E26+Production!$AC29-Orders!$T36</f>
        <v>502510</v>
      </c>
      <c r="F27" s="26">
        <f>F26+Production!$AD29-Orders!$U36</f>
        <v>0</v>
      </c>
      <c r="G27" s="26">
        <f>G26+Production!$AE29-Orders!$V36</f>
        <v>81879</v>
      </c>
      <c r="K27" s="22">
        <v>26</v>
      </c>
      <c r="L27" s="26">
        <f t="shared" si="1"/>
        <v>316269</v>
      </c>
      <c r="M27" s="26">
        <f t="shared" si="2"/>
        <v>507224</v>
      </c>
      <c r="N27" s="26">
        <f t="shared" si="3"/>
        <v>3843</v>
      </c>
      <c r="O27" s="26">
        <f t="shared" si="4"/>
        <v>69053</v>
      </c>
      <c r="S27" s="22">
        <v>26</v>
      </c>
      <c r="T27" s="26">
        <f>SUM(Production!T28:T29)</f>
        <v>353962</v>
      </c>
      <c r="U27" s="26">
        <f>SUM(Production!U28:U29)</f>
        <v>295922</v>
      </c>
      <c r="V27" s="26">
        <f>SUM(Production!V28:V29)</f>
        <v>195349</v>
      </c>
      <c r="W27" s="26">
        <f>SUM(Production!W28:W29)</f>
        <v>117826</v>
      </c>
      <c r="AA27" s="22">
        <v>26</v>
      </c>
      <c r="AB27" s="26">
        <f>D27*'Pricing and Costs'!$G$22</f>
        <v>51116.549999999996</v>
      </c>
      <c r="AC27" s="26">
        <f>E27*'Pricing and Costs'!$H$22</f>
        <v>291455.8</v>
      </c>
      <c r="AD27" s="26">
        <f>F27*'Pricing and Costs'!$I$22</f>
        <v>0</v>
      </c>
      <c r="AE27" s="26">
        <f>G27*'Pricing and Costs'!$J$22</f>
        <v>268563.12</v>
      </c>
      <c r="AF27" s="80">
        <f t="shared" si="5"/>
        <v>611135.47</v>
      </c>
    </row>
    <row r="28" spans="3:32" x14ac:dyDescent="0.2">
      <c r="C28" s="22">
        <v>27</v>
      </c>
      <c r="D28" s="26">
        <f>D27+Production!$AB30-Orders!$S37</f>
        <v>316269</v>
      </c>
      <c r="E28" s="26">
        <f>E27+Production!$AC30-Orders!$T37</f>
        <v>507224</v>
      </c>
      <c r="F28" s="26">
        <f>F27+Production!$AD30-Orders!$U37</f>
        <v>3843</v>
      </c>
      <c r="G28" s="26">
        <f>G27+Production!$AE30-Orders!$V37</f>
        <v>69053</v>
      </c>
      <c r="K28" s="22">
        <v>27</v>
      </c>
      <c r="L28" s="26">
        <f t="shared" si="1"/>
        <v>303828</v>
      </c>
      <c r="M28" s="26">
        <f t="shared" si="2"/>
        <v>510661</v>
      </c>
      <c r="N28" s="26">
        <f t="shared" si="3"/>
        <v>3181</v>
      </c>
      <c r="O28" s="26">
        <f t="shared" si="4"/>
        <v>60039</v>
      </c>
      <c r="S28" s="22">
        <v>27</v>
      </c>
      <c r="T28" s="26">
        <f>SUM(Production!T29:T30)</f>
        <v>356658</v>
      </c>
      <c r="U28" s="26">
        <f>SUM(Production!U29:U30)</f>
        <v>294747</v>
      </c>
      <c r="V28" s="26">
        <f>SUM(Production!V29:V30)</f>
        <v>195763</v>
      </c>
      <c r="W28" s="26">
        <f>SUM(Production!W29:W30)</f>
        <v>120872</v>
      </c>
      <c r="AA28" s="22">
        <v>27</v>
      </c>
      <c r="AB28" s="26">
        <f>D28*'Pricing and Costs'!$G$22</f>
        <v>47440.35</v>
      </c>
      <c r="AC28" s="26">
        <f>E28*'Pricing and Costs'!$H$22</f>
        <v>294189.92</v>
      </c>
      <c r="AD28" s="26">
        <f>F28*'Pricing and Costs'!$I$22</f>
        <v>8493.0300000000007</v>
      </c>
      <c r="AE28" s="26">
        <f>G28*'Pricing and Costs'!$J$22</f>
        <v>226493.84</v>
      </c>
      <c r="AF28" s="80">
        <f t="shared" si="5"/>
        <v>576617.14</v>
      </c>
    </row>
    <row r="29" spans="3:32" x14ac:dyDescent="0.2">
      <c r="C29" s="22">
        <v>28</v>
      </c>
      <c r="D29" s="26">
        <f>D28+Production!$AB31-Orders!$S38</f>
        <v>303828</v>
      </c>
      <c r="E29" s="26">
        <f>E28+Production!$AC31-Orders!$T38</f>
        <v>510661</v>
      </c>
      <c r="F29" s="26">
        <f>F28+Production!$AD31-Orders!$U38</f>
        <v>3181</v>
      </c>
      <c r="G29" s="26">
        <f>G28+Production!$AE31-Orders!$V38</f>
        <v>60039</v>
      </c>
      <c r="K29" s="22">
        <v>28</v>
      </c>
      <c r="L29" s="26">
        <f t="shared" si="1"/>
        <v>302700</v>
      </c>
      <c r="M29" s="26">
        <f t="shared" si="2"/>
        <v>512867</v>
      </c>
      <c r="N29" s="26">
        <f t="shared" si="3"/>
        <v>10682</v>
      </c>
      <c r="O29" s="26">
        <f t="shared" si="4"/>
        <v>50989</v>
      </c>
      <c r="S29" s="22">
        <v>28</v>
      </c>
      <c r="T29" s="26">
        <f>SUM(Production!T30:T31)</f>
        <v>359758</v>
      </c>
      <c r="U29" s="26">
        <f>SUM(Production!U30:U31)</f>
        <v>295281</v>
      </c>
      <c r="V29" s="26">
        <f>SUM(Production!V30:V31)</f>
        <v>196368</v>
      </c>
      <c r="W29" s="26">
        <f>SUM(Production!W30:W31)</f>
        <v>122757</v>
      </c>
      <c r="AA29" s="22">
        <v>28</v>
      </c>
      <c r="AB29" s="26">
        <f>D29*'Pricing and Costs'!$G$22</f>
        <v>45574.2</v>
      </c>
      <c r="AC29" s="26">
        <f>E29*'Pricing and Costs'!$H$22</f>
        <v>296183.38</v>
      </c>
      <c r="AD29" s="26">
        <f>F29*'Pricing and Costs'!$I$22</f>
        <v>7030.01</v>
      </c>
      <c r="AE29" s="26">
        <f>G29*'Pricing and Costs'!$J$22</f>
        <v>196927.91999999998</v>
      </c>
      <c r="AF29" s="80">
        <f t="shared" si="5"/>
        <v>545715.51</v>
      </c>
    </row>
    <row r="30" spans="3:32" x14ac:dyDescent="0.2">
      <c r="C30" s="22">
        <v>29</v>
      </c>
      <c r="D30" s="26">
        <f>D29+Production!$AB32-Orders!$S39</f>
        <v>302700</v>
      </c>
      <c r="E30" s="26">
        <f>E29+Production!$AC32-Orders!$T39</f>
        <v>512867</v>
      </c>
      <c r="F30" s="26">
        <f>F29+Production!$AD32-Orders!$U39</f>
        <v>10682</v>
      </c>
      <c r="G30" s="26">
        <f>G29+Production!$AE32-Orders!$V39</f>
        <v>50989</v>
      </c>
      <c r="K30" s="22">
        <v>29</v>
      </c>
      <c r="L30" s="26">
        <f t="shared" si="1"/>
        <v>301263</v>
      </c>
      <c r="M30" s="26">
        <f t="shared" si="2"/>
        <v>511723</v>
      </c>
      <c r="N30" s="26">
        <f t="shared" si="3"/>
        <v>18121</v>
      </c>
      <c r="O30" s="26">
        <f t="shared" si="4"/>
        <v>39438</v>
      </c>
      <c r="S30" s="22">
        <v>29</v>
      </c>
      <c r="T30" s="26">
        <f>SUM(Production!T31:T32)</f>
        <v>364590</v>
      </c>
      <c r="U30" s="26">
        <f>SUM(Production!U31:U32)</f>
        <v>295567</v>
      </c>
      <c r="V30" s="26">
        <f>SUM(Production!V31:V32)</f>
        <v>195492</v>
      </c>
      <c r="W30" s="26">
        <f>SUM(Production!W31:W32)</f>
        <v>124598</v>
      </c>
      <c r="AA30" s="22">
        <v>29</v>
      </c>
      <c r="AB30" s="26">
        <f>D30*'Pricing and Costs'!$G$22</f>
        <v>45405</v>
      </c>
      <c r="AC30" s="26">
        <f>E30*'Pricing and Costs'!$H$22</f>
        <v>297462.86</v>
      </c>
      <c r="AD30" s="26">
        <f>F30*'Pricing and Costs'!$I$22</f>
        <v>23607.22</v>
      </c>
      <c r="AE30" s="26">
        <f>G30*'Pricing and Costs'!$J$22</f>
        <v>167243.91999999998</v>
      </c>
      <c r="AF30" s="80">
        <f t="shared" si="5"/>
        <v>533719</v>
      </c>
    </row>
    <row r="31" spans="3:32" x14ac:dyDescent="0.2">
      <c r="C31" s="22">
        <v>30</v>
      </c>
      <c r="D31" s="26">
        <f>D30+Production!$AB33-Orders!$S40</f>
        <v>301263</v>
      </c>
      <c r="E31" s="26">
        <f>E30+Production!$AC33-Orders!$T40</f>
        <v>511723</v>
      </c>
      <c r="F31" s="26">
        <f>F30+Production!$AD33-Orders!$U40</f>
        <v>18121</v>
      </c>
      <c r="G31" s="26">
        <f>G30+Production!$AE33-Orders!$V40</f>
        <v>39438</v>
      </c>
      <c r="K31" s="22">
        <v>30</v>
      </c>
      <c r="L31" s="26">
        <f t="shared" si="1"/>
        <v>313667</v>
      </c>
      <c r="M31" s="26">
        <f t="shared" si="2"/>
        <v>511088</v>
      </c>
      <c r="N31" s="26">
        <f t="shared" si="3"/>
        <v>9493</v>
      </c>
      <c r="O31" s="26">
        <f t="shared" si="4"/>
        <v>29866</v>
      </c>
      <c r="S31" s="22">
        <v>30</v>
      </c>
      <c r="T31" s="26">
        <f>SUM(Production!T32:T33)</f>
        <v>368977</v>
      </c>
      <c r="U31" s="26">
        <f>SUM(Production!U32:U33)</f>
        <v>294268</v>
      </c>
      <c r="V31" s="26">
        <f>SUM(Production!V32:V33)</f>
        <v>194498</v>
      </c>
      <c r="W31" s="26">
        <f>SUM(Production!W32:W33)</f>
        <v>127109</v>
      </c>
      <c r="AA31" s="22">
        <v>30</v>
      </c>
      <c r="AB31" s="26">
        <f>D31*'Pricing and Costs'!$G$22</f>
        <v>45189.45</v>
      </c>
      <c r="AC31" s="26">
        <f>E31*'Pricing and Costs'!$H$22</f>
        <v>296799.33999999997</v>
      </c>
      <c r="AD31" s="26">
        <f>F31*'Pricing and Costs'!$I$22</f>
        <v>40047.409999999996</v>
      </c>
      <c r="AE31" s="26">
        <f>G31*'Pricing and Costs'!$J$22</f>
        <v>129356.64</v>
      </c>
      <c r="AF31" s="80">
        <f t="shared" si="5"/>
        <v>511392.83999999997</v>
      </c>
    </row>
    <row r="32" spans="3:32" x14ac:dyDescent="0.2">
      <c r="C32" s="22">
        <v>31</v>
      </c>
      <c r="D32" s="26">
        <f>D31+Production!$AB34-Orders!$S41</f>
        <v>313667</v>
      </c>
      <c r="E32" s="26">
        <f>E31+Production!$AC34-Orders!$T41</f>
        <v>511088</v>
      </c>
      <c r="F32" s="26">
        <f>F31+Production!$AD34-Orders!$U41</f>
        <v>9493</v>
      </c>
      <c r="G32" s="26">
        <f>G31+Production!$AE34-Orders!$V41</f>
        <v>29866</v>
      </c>
      <c r="K32" s="22">
        <v>31</v>
      </c>
      <c r="L32" s="26">
        <f t="shared" si="1"/>
        <v>317462</v>
      </c>
      <c r="M32" s="26">
        <f t="shared" si="2"/>
        <v>513054</v>
      </c>
      <c r="N32" s="26">
        <f>IFERROR(F33,0)</f>
        <v>2047</v>
      </c>
      <c r="O32" s="26">
        <f t="shared" si="4"/>
        <v>20585</v>
      </c>
      <c r="S32" s="22">
        <v>31</v>
      </c>
      <c r="T32" s="26">
        <f>SUM(Production!T33:T34)</f>
        <v>369185</v>
      </c>
      <c r="U32" s="26">
        <f>SUM(Production!U33:U34)</f>
        <v>293407</v>
      </c>
      <c r="V32" s="26">
        <f>SUM(Production!V33:V34)</f>
        <v>193569</v>
      </c>
      <c r="W32" s="26">
        <f>SUM(Production!W33:W34)</f>
        <v>129080</v>
      </c>
      <c r="AA32" s="22">
        <v>31</v>
      </c>
      <c r="AB32" s="26">
        <f>D32*'Pricing and Costs'!$G$22</f>
        <v>47050.049999999996</v>
      </c>
      <c r="AC32" s="26">
        <f>E32*'Pricing and Costs'!$H$22</f>
        <v>296431.03999999998</v>
      </c>
      <c r="AD32" s="26">
        <f>F32*'Pricing and Costs'!$I$22</f>
        <v>20979.53</v>
      </c>
      <c r="AE32" s="26">
        <f>G32*'Pricing and Costs'!$J$22</f>
        <v>97960.48</v>
      </c>
      <c r="AF32" s="80">
        <f t="shared" si="5"/>
        <v>462421.1</v>
      </c>
    </row>
    <row r="33" spans="3:32" x14ac:dyDescent="0.2">
      <c r="C33" s="22">
        <v>32</v>
      </c>
      <c r="D33" s="26">
        <f>D32+Production!$AB35-Orders!$S42</f>
        <v>317462</v>
      </c>
      <c r="E33" s="26">
        <f>E32+Production!$AC35-Orders!$T42</f>
        <v>513054</v>
      </c>
      <c r="F33" s="26">
        <f>F32+Production!$AD35-Orders!$U42</f>
        <v>2047</v>
      </c>
      <c r="G33" s="26">
        <f>G32+Production!$AE35-Orders!$V42</f>
        <v>20585</v>
      </c>
      <c r="K33" s="22">
        <v>32</v>
      </c>
      <c r="L33" s="26">
        <f t="shared" si="1"/>
        <v>333823</v>
      </c>
      <c r="M33" s="26">
        <f t="shared" si="2"/>
        <v>522860</v>
      </c>
      <c r="N33" s="26">
        <f t="shared" si="3"/>
        <v>0</v>
      </c>
      <c r="O33" s="26">
        <f t="shared" si="4"/>
        <v>9653</v>
      </c>
      <c r="S33" s="22">
        <v>32</v>
      </c>
      <c r="T33" s="26">
        <f>SUM(Production!T34:T35)</f>
        <v>368041</v>
      </c>
      <c r="U33" s="26">
        <f>SUM(Production!U34:U35)</f>
        <v>293542</v>
      </c>
      <c r="V33" s="26">
        <f>SUM(Production!V34:V35)</f>
        <v>191545</v>
      </c>
      <c r="W33" s="26">
        <f>SUM(Production!W34:W35)</f>
        <v>131460</v>
      </c>
      <c r="AA33" s="22">
        <v>32</v>
      </c>
      <c r="AB33" s="26">
        <f>D33*'Pricing and Costs'!$G$22</f>
        <v>47619.299999999996</v>
      </c>
      <c r="AC33" s="26">
        <f>E33*'Pricing and Costs'!$H$22</f>
        <v>297571.32</v>
      </c>
      <c r="AD33" s="26">
        <f>F33*'Pricing and Costs'!$I$22</f>
        <v>4523.87</v>
      </c>
      <c r="AE33" s="26">
        <f>G33*'Pricing and Costs'!$J$22</f>
        <v>67518.8</v>
      </c>
      <c r="AF33" s="80">
        <f t="shared" si="5"/>
        <v>417233.29</v>
      </c>
    </row>
    <row r="34" spans="3:32" x14ac:dyDescent="0.2">
      <c r="C34" s="22">
        <v>33</v>
      </c>
      <c r="D34" s="26">
        <f>D33+Production!$AB36-Orders!$S43</f>
        <v>333823</v>
      </c>
      <c r="E34" s="26">
        <f>E33+Production!$AC36-Orders!$T43</f>
        <v>522860</v>
      </c>
      <c r="F34" s="26">
        <f>F33+Production!$AD36-Orders!$U43</f>
        <v>0</v>
      </c>
      <c r="G34" s="26">
        <f>G33+Production!$AE36-Orders!$V43</f>
        <v>9653</v>
      </c>
      <c r="K34" s="22">
        <v>33</v>
      </c>
      <c r="L34" s="26">
        <f t="shared" si="1"/>
        <v>330572</v>
      </c>
      <c r="M34" s="26">
        <f t="shared" si="2"/>
        <v>532563</v>
      </c>
      <c r="N34" s="26">
        <f t="shared" si="3"/>
        <v>0</v>
      </c>
      <c r="O34" s="26">
        <f t="shared" si="4"/>
        <v>0</v>
      </c>
      <c r="S34" s="22">
        <v>33</v>
      </c>
      <c r="T34" s="26">
        <f>SUM(Production!T35:T36)</f>
        <v>365638</v>
      </c>
      <c r="U34" s="26">
        <f>SUM(Production!U35:U36)</f>
        <v>294176</v>
      </c>
      <c r="V34" s="26">
        <f>SUM(Production!V35:V36)</f>
        <v>192400</v>
      </c>
      <c r="W34" s="26">
        <f>SUM(Production!W35:W36)</f>
        <v>133836</v>
      </c>
      <c r="AA34" s="22">
        <v>33</v>
      </c>
      <c r="AB34" s="26">
        <f>D34*'Pricing and Costs'!$G$22</f>
        <v>50073.45</v>
      </c>
      <c r="AC34" s="26">
        <f>E34*'Pricing and Costs'!$H$22</f>
        <v>303258.8</v>
      </c>
      <c r="AD34" s="26">
        <f>F34*'Pricing and Costs'!$I$22</f>
        <v>0</v>
      </c>
      <c r="AE34" s="26">
        <f>G34*'Pricing and Costs'!$J$22</f>
        <v>31661.839999999997</v>
      </c>
      <c r="AF34" s="80">
        <f t="shared" si="5"/>
        <v>384994.08999999997</v>
      </c>
    </row>
    <row r="35" spans="3:32" x14ac:dyDescent="0.2">
      <c r="C35" s="22">
        <v>34</v>
      </c>
      <c r="D35" s="26">
        <f>D34+Production!$AB37-Orders!$S44</f>
        <v>330572</v>
      </c>
      <c r="E35" s="26">
        <f>E34+Production!$AC37-Orders!$T44</f>
        <v>532563</v>
      </c>
      <c r="F35" s="26">
        <f>F34+Production!$AD37-Orders!$U44</f>
        <v>0</v>
      </c>
      <c r="G35" s="26">
        <f>G34+Production!$AE37-Orders!$V44</f>
        <v>0</v>
      </c>
      <c r="K35" s="22">
        <v>34</v>
      </c>
      <c r="L35" s="26">
        <f t="shared" si="1"/>
        <v>345995</v>
      </c>
      <c r="M35" s="26">
        <f t="shared" si="2"/>
        <v>538172</v>
      </c>
      <c r="N35" s="26">
        <f t="shared" si="3"/>
        <v>0</v>
      </c>
      <c r="O35" s="26">
        <f t="shared" si="4"/>
        <v>0</v>
      </c>
      <c r="S35" s="22">
        <v>34</v>
      </c>
      <c r="T35" s="26">
        <f>SUM(Production!T36:T37)</f>
        <v>363495</v>
      </c>
      <c r="U35" s="26">
        <f>SUM(Production!U36:U37)</f>
        <v>293969</v>
      </c>
      <c r="V35" s="26">
        <f>SUM(Production!V36:V37)</f>
        <v>195429</v>
      </c>
      <c r="W35" s="26">
        <f>SUM(Production!W36:W37)</f>
        <v>135856</v>
      </c>
      <c r="AA35" s="22">
        <v>34</v>
      </c>
      <c r="AB35" s="26">
        <f>D35*'Pricing and Costs'!$G$22</f>
        <v>49585.799999999996</v>
      </c>
      <c r="AC35" s="26">
        <f>E35*'Pricing and Costs'!$H$22</f>
        <v>308886.53999999998</v>
      </c>
      <c r="AD35" s="26">
        <f>F35*'Pricing and Costs'!$I$22</f>
        <v>0</v>
      </c>
      <c r="AE35" s="26">
        <f>G35*'Pricing and Costs'!$J$22</f>
        <v>0</v>
      </c>
      <c r="AF35" s="80">
        <f t="shared" si="5"/>
        <v>358472.33999999997</v>
      </c>
    </row>
    <row r="36" spans="3:32" x14ac:dyDescent="0.2">
      <c r="C36" s="22">
        <v>35</v>
      </c>
      <c r="D36" s="26">
        <f>D35+Production!$AB38-Orders!$S45</f>
        <v>345995</v>
      </c>
      <c r="E36" s="26">
        <f>E35+Production!$AC38-Orders!$T45</f>
        <v>538172</v>
      </c>
      <c r="F36" s="26">
        <f>F35+Production!$AD38-Orders!$U45</f>
        <v>0</v>
      </c>
      <c r="G36" s="26">
        <f>G35+Production!$AE38-Orders!$V45</f>
        <v>0</v>
      </c>
      <c r="K36" s="22">
        <v>35</v>
      </c>
      <c r="L36" s="26">
        <f t="shared" si="1"/>
        <v>348354</v>
      </c>
      <c r="M36" s="26">
        <f t="shared" si="2"/>
        <v>545109</v>
      </c>
      <c r="N36" s="26">
        <f t="shared" si="3"/>
        <v>0</v>
      </c>
      <c r="O36" s="26">
        <f t="shared" si="4"/>
        <v>0</v>
      </c>
      <c r="S36" s="22">
        <v>35</v>
      </c>
      <c r="T36" s="26">
        <f>SUM(Production!T37:T38)</f>
        <v>361084</v>
      </c>
      <c r="U36" s="26">
        <f>SUM(Production!U37:U38)</f>
        <v>291913</v>
      </c>
      <c r="V36" s="26">
        <f>SUM(Production!V37:V38)</f>
        <v>198158</v>
      </c>
      <c r="W36" s="26">
        <f>SUM(Production!W37:W38)</f>
        <v>138096</v>
      </c>
      <c r="AA36" s="22">
        <v>35</v>
      </c>
      <c r="AB36" s="26">
        <f>D36*'Pricing and Costs'!$G$22</f>
        <v>51899.25</v>
      </c>
      <c r="AC36" s="26">
        <f>E36*'Pricing and Costs'!$H$22</f>
        <v>312139.75999999995</v>
      </c>
      <c r="AD36" s="26">
        <f>F36*'Pricing and Costs'!$I$22</f>
        <v>0</v>
      </c>
      <c r="AE36" s="26">
        <f>G36*'Pricing and Costs'!$J$22</f>
        <v>0</v>
      </c>
      <c r="AF36" s="80">
        <f t="shared" si="5"/>
        <v>364039.00999999995</v>
      </c>
    </row>
    <row r="37" spans="3:32" x14ac:dyDescent="0.2">
      <c r="C37" s="22">
        <v>36</v>
      </c>
      <c r="D37" s="26">
        <f>D36+Production!$AB39-Orders!$S46</f>
        <v>348354</v>
      </c>
      <c r="E37" s="26">
        <f>E36+Production!$AC39-Orders!$T46</f>
        <v>545109</v>
      </c>
      <c r="F37" s="26">
        <f>F36+Production!$AD39-Orders!$U46</f>
        <v>0</v>
      </c>
      <c r="G37" s="26">
        <f>G36+Production!$AE39-Orders!$V46</f>
        <v>0</v>
      </c>
      <c r="K37" s="22">
        <v>36</v>
      </c>
      <c r="L37" s="26">
        <f t="shared" si="1"/>
        <v>332676</v>
      </c>
      <c r="M37" s="26">
        <f t="shared" si="2"/>
        <v>554393</v>
      </c>
      <c r="N37" s="26">
        <f t="shared" si="3"/>
        <v>0</v>
      </c>
      <c r="O37" s="26">
        <f t="shared" si="4"/>
        <v>0</v>
      </c>
      <c r="S37" s="22">
        <v>36</v>
      </c>
      <c r="T37" s="26">
        <f>SUM(Production!T38:T39)</f>
        <v>360058</v>
      </c>
      <c r="U37" s="26">
        <f>SUM(Production!U38:U39)</f>
        <v>288933</v>
      </c>
      <c r="V37" s="26">
        <f>SUM(Production!V38:V39)</f>
        <v>200016</v>
      </c>
      <c r="W37" s="26">
        <f>SUM(Production!W38:W39)</f>
        <v>141316</v>
      </c>
      <c r="AA37" s="22">
        <v>36</v>
      </c>
      <c r="AB37" s="26">
        <f>D37*'Pricing and Costs'!$G$22</f>
        <v>52253.1</v>
      </c>
      <c r="AC37" s="26">
        <f>E37*'Pricing and Costs'!$H$22</f>
        <v>316163.21999999997</v>
      </c>
      <c r="AD37" s="26">
        <f>F37*'Pricing and Costs'!$I$22</f>
        <v>0</v>
      </c>
      <c r="AE37" s="26">
        <f>G37*'Pricing and Costs'!$J$22</f>
        <v>0</v>
      </c>
      <c r="AF37" s="80">
        <f t="shared" si="5"/>
        <v>368416.31999999995</v>
      </c>
    </row>
    <row r="38" spans="3:32" x14ac:dyDescent="0.2">
      <c r="C38" s="20">
        <v>37</v>
      </c>
      <c r="D38" s="21">
        <f>D37+Production!$AB40-Orders!S47-Orders!Z47</f>
        <v>332676</v>
      </c>
      <c r="E38" s="21">
        <f>E37+Production!$AC40-Orders!$T47-Orders!AA47</f>
        <v>554393</v>
      </c>
      <c r="F38" s="21">
        <f>IF((F37+Production!$AD40-Orders!$U47-Orders!AB47)&lt;0,0,F37+Production!$AD40-Orders!$U47-Orders!AB47)</f>
        <v>0</v>
      </c>
      <c r="G38" s="21">
        <f>IF((G37+Production!$AE40-Orders!$V47-Orders!AC47)&lt;0,0,G37+Production!$AE40-Orders!$V47-Orders!AC47)</f>
        <v>0</v>
      </c>
      <c r="K38" s="20">
        <v>37</v>
      </c>
      <c r="L38" s="21">
        <f t="shared" si="1"/>
        <v>319121.14631373179</v>
      </c>
      <c r="M38" s="21">
        <f t="shared" si="2"/>
        <v>559497.20229885052</v>
      </c>
      <c r="N38" s="21">
        <f t="shared" si="3"/>
        <v>0</v>
      </c>
      <c r="O38" s="21">
        <f t="shared" si="4"/>
        <v>0</v>
      </c>
      <c r="S38" s="20">
        <v>37</v>
      </c>
      <c r="T38" s="21">
        <f>SUM(Production!T39:T40)</f>
        <v>358959</v>
      </c>
      <c r="U38" s="21">
        <f>SUM(Production!U39:U40)</f>
        <v>287255</v>
      </c>
      <c r="V38" s="21">
        <f>SUM(Production!V39:V40)</f>
        <v>203229</v>
      </c>
      <c r="W38" s="21">
        <f>SUM(Production!W39:W40)</f>
        <v>143850</v>
      </c>
      <c r="AA38" s="20">
        <v>37</v>
      </c>
      <c r="AB38" s="26">
        <f>D38*'Pricing and Costs'!$G$22</f>
        <v>49901.4</v>
      </c>
      <c r="AC38" s="26">
        <f>E38*'Pricing and Costs'!$H$22</f>
        <v>321547.94</v>
      </c>
      <c r="AD38" s="26">
        <f>F38*'Pricing and Costs'!$I$22</f>
        <v>0</v>
      </c>
      <c r="AE38" s="26">
        <f>G38*'Pricing and Costs'!$J$22</f>
        <v>0</v>
      </c>
      <c r="AF38" s="80">
        <f t="shared" si="5"/>
        <v>371449.34</v>
      </c>
    </row>
    <row r="39" spans="3:32" x14ac:dyDescent="0.2">
      <c r="C39" s="20">
        <v>38</v>
      </c>
      <c r="D39" s="21">
        <f>D38+Production!$AB41-Orders!S48-Orders!Z48</f>
        <v>319121.14631373179</v>
      </c>
      <c r="E39" s="21">
        <f>E38+Production!$AC41-Orders!$T48-Orders!AA48</f>
        <v>559497.20229885052</v>
      </c>
      <c r="F39" s="21">
        <f>IF((F38+Production!$AD41-Orders!$U48-Orders!AB48)&lt;0,0,F38+Production!$AD41-Orders!$U48-Orders!AB48)</f>
        <v>0</v>
      </c>
      <c r="G39" s="21">
        <f>IF((G38+Production!$AE41-Orders!$V48-Orders!AC48)&lt;0,0,G38+Production!$AE41-Orders!$V48-Orders!AC48)</f>
        <v>0</v>
      </c>
      <c r="K39" s="20">
        <v>38</v>
      </c>
      <c r="L39" s="21">
        <f t="shared" si="1"/>
        <v>294664.51317391213</v>
      </c>
      <c r="M39" s="21">
        <f t="shared" si="2"/>
        <v>564782.35743418615</v>
      </c>
      <c r="N39" s="21">
        <f t="shared" si="3"/>
        <v>0</v>
      </c>
      <c r="O39" s="21">
        <f t="shared" si="4"/>
        <v>0</v>
      </c>
      <c r="S39" s="20">
        <v>38</v>
      </c>
      <c r="T39" s="21">
        <f>SUM(Production!T40:T41)</f>
        <v>178288</v>
      </c>
      <c r="U39" s="21">
        <f>SUM(Production!U40:U41)</f>
        <v>143440</v>
      </c>
      <c r="V39" s="21">
        <f>SUM(Production!V40:V41)</f>
        <v>308796.83659292047</v>
      </c>
      <c r="W39" s="21">
        <f>SUM(Production!W40:W41)</f>
        <v>213709.57100111234</v>
      </c>
      <c r="AA39" s="20">
        <v>38</v>
      </c>
      <c r="AB39" s="26">
        <f>D39*'Pricing and Costs'!$G$22</f>
        <v>47868.171947059767</v>
      </c>
      <c r="AC39" s="26">
        <f>E39*'Pricing and Costs'!$H$22</f>
        <v>324508.37733333325</v>
      </c>
      <c r="AD39" s="26">
        <f>F39*'Pricing and Costs'!$I$22</f>
        <v>0</v>
      </c>
      <c r="AE39" s="26">
        <f>G39*'Pricing and Costs'!$J$22</f>
        <v>0</v>
      </c>
      <c r="AF39" s="80">
        <f t="shared" si="5"/>
        <v>372376.549280393</v>
      </c>
    </row>
    <row r="40" spans="3:32" x14ac:dyDescent="0.2">
      <c r="C40" s="20">
        <v>39</v>
      </c>
      <c r="D40" s="21">
        <f>D39+Production!$AB42-Orders!S49-Orders!Z49</f>
        <v>294664.51317391213</v>
      </c>
      <c r="E40" s="21">
        <f>E39+Production!$AC42-Orders!$T49-Orders!AA49</f>
        <v>564782.35743418615</v>
      </c>
      <c r="F40" s="21">
        <f>IF((F39+Production!$AD42-Orders!$U49-Orders!AB49)&lt;0,0,F39+Production!$AD42-Orders!$U49-Orders!AB49)</f>
        <v>0</v>
      </c>
      <c r="G40" s="21">
        <f>IF((G39+Production!$AE42-Orders!$V49-Orders!AC49)&lt;0,0,G39+Production!$AE42-Orders!$V49-Orders!AC49)</f>
        <v>0</v>
      </c>
      <c r="H40" s="3"/>
      <c r="K40" s="20">
        <v>39</v>
      </c>
      <c r="L40" s="21">
        <f t="shared" si="1"/>
        <v>105869.33412619369</v>
      </c>
      <c r="M40" s="21">
        <f t="shared" si="2"/>
        <v>427183.46540600667</v>
      </c>
      <c r="N40" s="21">
        <f t="shared" si="3"/>
        <v>17042.872080814763</v>
      </c>
      <c r="O40" s="21">
        <f t="shared" si="4"/>
        <v>12608.980122358174</v>
      </c>
      <c r="S40" s="20">
        <v>39</v>
      </c>
      <c r="T40" s="21">
        <f>SUM(Production!T41:T42)</f>
        <v>106086.24798091923</v>
      </c>
      <c r="U40" s="21">
        <f>SUM(Production!U41:U42)</f>
        <v>0</v>
      </c>
      <c r="V40" s="21">
        <f>SUM(Production!V41:V42)</f>
        <v>319952.71668829164</v>
      </c>
      <c r="W40" s="21">
        <f>SUM(Production!W41:W42)</f>
        <v>226864.90958472376</v>
      </c>
      <c r="AA40" s="20">
        <v>39</v>
      </c>
      <c r="AB40" s="26">
        <f>D40*'Pricing and Costs'!$G$22</f>
        <v>44199.676976086819</v>
      </c>
      <c r="AC40" s="26">
        <f>E40*'Pricing and Costs'!$H$22</f>
        <v>327573.76731182792</v>
      </c>
      <c r="AD40" s="26">
        <f>F40*'Pricing and Costs'!$I$22</f>
        <v>0</v>
      </c>
      <c r="AE40" s="26">
        <f>G40*'Pricing and Costs'!$J$22</f>
        <v>0</v>
      </c>
      <c r="AF40" s="80">
        <f t="shared" si="5"/>
        <v>371773.44428791472</v>
      </c>
    </row>
    <row r="41" spans="3:32" x14ac:dyDescent="0.2">
      <c r="C41" s="20">
        <v>40</v>
      </c>
      <c r="D41" s="21">
        <f>D40+Production!$AB43-Orders!S50-Orders!Z50</f>
        <v>105869.33412619369</v>
      </c>
      <c r="E41" s="21">
        <f>E40+Production!$AC43-Orders!$T50-Orders!AA50</f>
        <v>427183.46540600667</v>
      </c>
      <c r="F41" s="21">
        <f>IF((F40+Production!$AD43-Orders!$U50-Orders!AB50)&lt;0,0,F40+Production!$AD43-Orders!$U50-Orders!AB50)</f>
        <v>17042.872080814763</v>
      </c>
      <c r="G41" s="21">
        <f>IF((G40+Production!$AE43-Orders!$V50-Orders!AC50)&lt;0,0,G40+Production!$AE43-Orders!$V50-Orders!AC50)</f>
        <v>12608.980122358174</v>
      </c>
      <c r="H41" s="3"/>
      <c r="K41" s="20">
        <v>40</v>
      </c>
      <c r="L41" s="21">
        <f t="shared" si="1"/>
        <v>24384.27050789792</v>
      </c>
      <c r="M41" s="21">
        <f t="shared" si="2"/>
        <v>290140.52621431218</v>
      </c>
      <c r="N41" s="21">
        <f t="shared" si="3"/>
        <v>17114.445936024247</v>
      </c>
      <c r="O41" s="21">
        <f t="shared" si="4"/>
        <v>12779.780700778632</v>
      </c>
      <c r="S41" s="20">
        <v>40</v>
      </c>
      <c r="T41" s="21">
        <f>SUM(Production!T42:T43)</f>
        <v>286156.72269116342</v>
      </c>
      <c r="U41" s="27">
        <f>SUM(Production!U42:U43)</f>
        <v>0</v>
      </c>
      <c r="V41" s="21">
        <f>SUM(Production!V42:V43)</f>
        <v>228812.91922547203</v>
      </c>
      <c r="W41" s="21">
        <f>SUM(Production!W42:W43)</f>
        <v>171877.34769002598</v>
      </c>
      <c r="AA41" s="20">
        <v>40</v>
      </c>
      <c r="AB41" s="26">
        <f>D41*'Pricing and Costs'!$G$22</f>
        <v>15880.400118929052</v>
      </c>
      <c r="AC41" s="26">
        <f>E41*'Pricing and Costs'!$H$22</f>
        <v>247766.40993548385</v>
      </c>
      <c r="AD41" s="26">
        <f>F41*'Pricing and Costs'!$I$22</f>
        <v>37664.747298600625</v>
      </c>
      <c r="AE41" s="26">
        <f>G41*'Pricing and Costs'!$J$22</f>
        <v>41357.45480133481</v>
      </c>
      <c r="AF41" s="80">
        <f t="shared" si="5"/>
        <v>342669.01215434837</v>
      </c>
    </row>
    <row r="42" spans="3:32" x14ac:dyDescent="0.2">
      <c r="C42" s="20">
        <v>41</v>
      </c>
      <c r="D42" s="21">
        <f>D41+Production!$AB44-Orders!S51-Orders!Z51</f>
        <v>24384.27050789792</v>
      </c>
      <c r="E42" s="21">
        <f>E41+Production!$AC44-Orders!$T51-Orders!AA51</f>
        <v>290140.52621431218</v>
      </c>
      <c r="F42" s="21">
        <f>IF((F41+Production!$AD44-Orders!$U51-Orders!AB51)&lt;0,0,F41+Production!$AD44-Orders!$U51-Orders!AB51)</f>
        <v>17114.445936024247</v>
      </c>
      <c r="G42" s="21">
        <f>IF((G41+Production!$AE44-Orders!$V51-Orders!AC51)&lt;0,0,G41+Production!$AE44-Orders!$V51-Orders!AC51)</f>
        <v>12779.780700778632</v>
      </c>
      <c r="H42" s="3"/>
      <c r="K42" s="20">
        <v>41</v>
      </c>
      <c r="L42" s="21">
        <f t="shared" si="1"/>
        <v>23521.342370228725</v>
      </c>
      <c r="M42" s="21">
        <f t="shared" si="2"/>
        <v>153653.53985910269</v>
      </c>
      <c r="N42" s="21">
        <f t="shared" si="3"/>
        <v>17186.019791233703</v>
      </c>
      <c r="O42" s="21">
        <f t="shared" si="4"/>
        <v>12950.581279199105</v>
      </c>
      <c r="S42" s="20">
        <v>41</v>
      </c>
      <c r="T42" s="21">
        <f>SUM(Production!T43:T44)</f>
        <v>352883.74850739335</v>
      </c>
      <c r="U42" s="21">
        <f>SUM(Production!U43:U44)</f>
        <v>0</v>
      </c>
      <c r="V42" s="21">
        <f>SUM(Production!V43:V44)</f>
        <v>229767.23729493172</v>
      </c>
      <c r="W42" s="21">
        <f>SUM(Production!W43:W44)</f>
        <v>174154.68873563223</v>
      </c>
      <c r="AA42" s="20">
        <v>41</v>
      </c>
      <c r="AB42" s="26">
        <f>D42*'Pricing and Costs'!$G$22</f>
        <v>3657.6405761846877</v>
      </c>
      <c r="AC42" s="26">
        <f>E42*'Pricing and Costs'!$H$22</f>
        <v>168281.50520430107</v>
      </c>
      <c r="AD42" s="26">
        <f>F42*'Pricing and Costs'!$I$22</f>
        <v>37822.925518613585</v>
      </c>
      <c r="AE42" s="26">
        <f>G42*'Pricing and Costs'!$J$22</f>
        <v>41917.680698553908</v>
      </c>
      <c r="AF42" s="80">
        <f t="shared" si="5"/>
        <v>251679.75199765328</v>
      </c>
    </row>
    <row r="43" spans="3:32" x14ac:dyDescent="0.2">
      <c r="C43" s="20">
        <v>42</v>
      </c>
      <c r="D43" s="21">
        <f>D42+Production!$AB45-Orders!S52-Orders!Z52</f>
        <v>23521.342370228725</v>
      </c>
      <c r="E43" s="21">
        <f>E42+Production!$AC45-Orders!$T52-Orders!AA52</f>
        <v>153653.53985910269</v>
      </c>
      <c r="F43" s="21">
        <f>IF((F42+Production!$AD45-Orders!$U52-Orders!AB52)&lt;0,0,F42+Production!$AD45-Orders!$U52-Orders!AB52)</f>
        <v>17186.019791233703</v>
      </c>
      <c r="G43" s="21">
        <f>IF((G42+Production!$AE45-Orders!$V52-Orders!AC52)&lt;0,0,G42+Production!$AE45-Orders!$V52-Orders!AC52)</f>
        <v>12950.581279199105</v>
      </c>
      <c r="H43" s="3"/>
      <c r="K43" s="20">
        <v>42</v>
      </c>
      <c r="L43" s="21">
        <f t="shared" si="1"/>
        <v>22587.168231645221</v>
      </c>
      <c r="M43" s="21">
        <f t="shared" si="2"/>
        <v>17722.506340378197</v>
      </c>
      <c r="N43" s="21">
        <f t="shared" si="3"/>
        <v>17257.593646443187</v>
      </c>
      <c r="O43" s="21">
        <f t="shared" si="4"/>
        <v>13121.381857619577</v>
      </c>
      <c r="S43" s="20">
        <v>42</v>
      </c>
      <c r="T43" s="21">
        <f>SUM(Production!T44:T45)</f>
        <v>341618.5765606272</v>
      </c>
      <c r="U43" s="21">
        <f>SUM(Production!U44:U45)</f>
        <v>131190.08241008531</v>
      </c>
      <c r="V43" s="21">
        <f>SUM(Production!V44:V45)</f>
        <v>230721.55536439145</v>
      </c>
      <c r="W43" s="21">
        <f>SUM(Production!W44:W45)</f>
        <v>176432.02978123841</v>
      </c>
      <c r="AA43" s="20">
        <v>42</v>
      </c>
      <c r="AB43" s="26">
        <f>D43*'Pricing and Costs'!$G$22</f>
        <v>3528.2013555343087</v>
      </c>
      <c r="AC43" s="26">
        <f>E43*'Pricing and Costs'!$H$22</f>
        <v>89119.053118279553</v>
      </c>
      <c r="AD43" s="26">
        <f>F43*'Pricing and Costs'!$I$22</f>
        <v>37981.10373862648</v>
      </c>
      <c r="AE43" s="26">
        <f>G43*'Pricing and Costs'!$J$22</f>
        <v>42477.906595773064</v>
      </c>
      <c r="AF43" s="80">
        <f t="shared" si="5"/>
        <v>173106.2648082134</v>
      </c>
    </row>
    <row r="44" spans="3:32" x14ac:dyDescent="0.2">
      <c r="C44" s="20">
        <v>43</v>
      </c>
      <c r="D44" s="21">
        <f>D43+Production!$AB46-Orders!S53-Orders!Z53</f>
        <v>22587.168231645221</v>
      </c>
      <c r="E44" s="21">
        <f>E43+Production!$AC46-Orders!$T53-Orders!AA53</f>
        <v>17722.506340378197</v>
      </c>
      <c r="F44" s="21">
        <f>IF((F43+Production!$AD46-Orders!$U53-Orders!AB53)&lt;0,0,F43+Production!$AD46-Orders!$U53-Orders!AB53)</f>
        <v>17257.593646443187</v>
      </c>
      <c r="G44" s="21">
        <f>IF((G43+Production!$AE46-Orders!$V53-Orders!AC53)&lt;0,0,G43+Production!$AE46-Orders!$V53-Orders!AC53)</f>
        <v>13121.381857619577</v>
      </c>
      <c r="K44" s="20">
        <v>43</v>
      </c>
      <c r="L44" s="21">
        <f>IFERROR(D45,0)</f>
        <v>22018.602857846039</v>
      </c>
      <c r="M44" s="21">
        <f t="shared" si="2"/>
        <v>13537.508068223979</v>
      </c>
      <c r="N44" s="21">
        <f t="shared" si="3"/>
        <v>17329.167501652671</v>
      </c>
      <c r="O44" s="21">
        <f>IFERROR(G45,0)</f>
        <v>13292.182436040035</v>
      </c>
      <c r="S44" s="20">
        <v>43</v>
      </c>
      <c r="T44" s="21">
        <f>SUM(Production!T45:T46)</f>
        <v>336505.42420602101</v>
      </c>
      <c r="U44" s="21">
        <f>SUM(Production!U45:U46)</f>
        <v>265953.61497219134</v>
      </c>
      <c r="V44" s="21">
        <f>SUM(Production!V45:V46)</f>
        <v>231675.87343385111</v>
      </c>
      <c r="W44" s="21">
        <f>SUM(Production!W45:W46)</f>
        <v>178709.37082684465</v>
      </c>
      <c r="AA44" s="20">
        <v>43</v>
      </c>
      <c r="AB44" s="26">
        <f>D44*'Pricing and Costs'!$G$22</f>
        <v>3388.0752347467828</v>
      </c>
      <c r="AC44" s="26">
        <f>E44*'Pricing and Costs'!$H$22</f>
        <v>10279.053677419353</v>
      </c>
      <c r="AD44" s="26">
        <f>F44*'Pricing and Costs'!$I$22</f>
        <v>38139.28195863944</v>
      </c>
      <c r="AE44" s="26">
        <f>G44*'Pricing and Costs'!$J$22</f>
        <v>43038.132492992212</v>
      </c>
      <c r="AF44" s="80">
        <f t="shared" si="5"/>
        <v>94844.543363797784</v>
      </c>
    </row>
    <row r="45" spans="3:32" x14ac:dyDescent="0.2">
      <c r="C45" s="20">
        <v>44</v>
      </c>
      <c r="D45" s="21">
        <f>D44+Production!$AB47-Orders!S54-Orders!Z54</f>
        <v>22018.602857846039</v>
      </c>
      <c r="E45" s="21">
        <f>E44+Production!$AC47-Orders!$T54-Orders!AA54</f>
        <v>13537.508068223979</v>
      </c>
      <c r="F45" s="21">
        <f>IF((F44+Production!$AD47-Orders!$U54-Orders!AB54)&lt;0,0,F44+Production!$AD47-Orders!$U54-Orders!AB54)</f>
        <v>17329.167501652671</v>
      </c>
      <c r="G45" s="21">
        <f>IF((G44+Production!$AE47-Orders!$V54-Orders!AC54)&lt;0,0,G44+Production!$AE47-Orders!$V54-Orders!AC54)</f>
        <v>13292.182436040035</v>
      </c>
      <c r="K45" s="20">
        <v>44</v>
      </c>
      <c r="L45" s="21">
        <f>IFERROR(D46,0)</f>
        <v>21826.047928363318</v>
      </c>
      <c r="M45" s="21">
        <f t="shared" si="2"/>
        <v>13481.912784575456</v>
      </c>
      <c r="N45" s="21">
        <f t="shared" si="3"/>
        <v>17400.741356862141</v>
      </c>
      <c r="O45" s="21">
        <f>IFERROR(G46,0)</f>
        <v>13462.983014460508</v>
      </c>
      <c r="S45" s="20">
        <v>44</v>
      </c>
      <c r="T45" s="21">
        <f>SUM(Production!T46:T47)</f>
        <v>353300.66515036603</v>
      </c>
      <c r="U45" s="21">
        <f>SUM(Production!U46:U47)</f>
        <v>268971.11228772707</v>
      </c>
      <c r="V45" s="21">
        <f>SUM(Production!V46:V47)</f>
        <v>232630.19150331084</v>
      </c>
      <c r="W45" s="21">
        <f>SUM(Production!W46:W47)</f>
        <v>180986.71187245089</v>
      </c>
      <c r="AA45" s="20">
        <v>44</v>
      </c>
      <c r="AB45" s="26">
        <f>D45*'Pricing and Costs'!$G$22</f>
        <v>3302.7904286769058</v>
      </c>
      <c r="AC45" s="26">
        <f>E45*'Pricing and Costs'!$H$22</f>
        <v>7851.7546795699072</v>
      </c>
      <c r="AD45" s="26">
        <f>F45*'Pricing and Costs'!$I$22</f>
        <v>38297.4601786524</v>
      </c>
      <c r="AE45" s="26">
        <f>G45*'Pricing and Costs'!$J$22</f>
        <v>43598.35839021131</v>
      </c>
      <c r="AF45" s="80">
        <f t="shared" si="5"/>
        <v>93050.363677110523</v>
      </c>
    </row>
    <row r="46" spans="3:32" x14ac:dyDescent="0.2">
      <c r="C46" s="20">
        <v>45</v>
      </c>
      <c r="D46" s="21">
        <f>D45+Production!$AB48-Orders!S55-Orders!Z55</f>
        <v>21826.047928363318</v>
      </c>
      <c r="E46" s="21">
        <f>E45+Production!$AC48-Orders!$T55-Orders!AA55</f>
        <v>13481.912784575456</v>
      </c>
      <c r="F46" s="21">
        <f>IF((F45+Production!$AD48-Orders!$U55-Orders!AB55)&lt;0,0,F45+Production!$AD48-Orders!$U55-Orders!AB55)</f>
        <v>17400.741356862141</v>
      </c>
      <c r="G46" s="21">
        <f>IF((G45+Production!$AE48-Orders!$V55-Orders!AC55)&lt;0,0,G45+Production!$AE48-Orders!$V55-Orders!AC55)</f>
        <v>13462.983014460508</v>
      </c>
      <c r="K46" s="20">
        <v>45</v>
      </c>
      <c r="L46" s="21">
        <f t="shared" si="1"/>
        <v>23863.236205932946</v>
      </c>
      <c r="M46" s="21">
        <f t="shared" si="2"/>
        <v>13426.317500926962</v>
      </c>
      <c r="N46" s="21">
        <f t="shared" si="3"/>
        <v>17472.315212071626</v>
      </c>
      <c r="O46" s="21">
        <f>IFERROR(G47,0)</f>
        <v>13633.783592880965</v>
      </c>
      <c r="S46" s="20">
        <v>45</v>
      </c>
      <c r="T46" s="21">
        <f>SUM(Production!T47:T48)</f>
        <v>362791.38542621722</v>
      </c>
      <c r="U46" s="21">
        <f>SUM(Production!U47:U48)</f>
        <v>267859.20661475713</v>
      </c>
      <c r="V46" s="21">
        <f>SUM(Production!V47:V48)</f>
        <v>233584.50957277056</v>
      </c>
      <c r="W46" s="21">
        <f>SUM(Production!W47:W48)</f>
        <v>183264.05291805713</v>
      </c>
      <c r="AA46" s="20">
        <v>45</v>
      </c>
      <c r="AB46" s="26">
        <f>D46*'Pricing and Costs'!$G$22</f>
        <v>3273.9071892544976</v>
      </c>
      <c r="AC46" s="26">
        <f>E46*'Pricing and Costs'!$H$22</f>
        <v>7819.5094150537634</v>
      </c>
      <c r="AD46" s="26">
        <f>F46*'Pricing and Costs'!$I$22</f>
        <v>38455.638398665331</v>
      </c>
      <c r="AE46" s="26">
        <f>G46*'Pricing and Costs'!$J$22</f>
        <v>44158.584287430465</v>
      </c>
      <c r="AF46" s="80">
        <f t="shared" si="5"/>
        <v>93707.639290404055</v>
      </c>
    </row>
    <row r="47" spans="3:32" x14ac:dyDescent="0.2">
      <c r="C47" s="20">
        <v>46</v>
      </c>
      <c r="D47" s="21">
        <f>D46+Production!$AB49-Orders!S56-Orders!Z56</f>
        <v>23863.236205932946</v>
      </c>
      <c r="E47" s="21">
        <f>E46+Production!$AC49-Orders!$T56-Orders!AA56</f>
        <v>13426.317500926962</v>
      </c>
      <c r="F47" s="21">
        <f>IF((F46+Production!$AD49-Orders!$U56-Orders!AB56)&lt;0,0,F46+Production!$AD49-Orders!$U56-Orders!AB56)</f>
        <v>17472.315212071626</v>
      </c>
      <c r="G47" s="21">
        <f>IF((G46+Production!$AE49-Orders!$V56-Orders!AC56)&lt;0,0,G46+Production!$AE49-Orders!$V56-Orders!AC56)</f>
        <v>13633.783592880965</v>
      </c>
      <c r="K47" s="20">
        <v>46</v>
      </c>
      <c r="L47" s="21">
        <f t="shared" si="1"/>
        <v>23130.115159435838</v>
      </c>
      <c r="M47" s="21">
        <f t="shared" si="2"/>
        <v>13370.722217278468</v>
      </c>
      <c r="N47" s="21">
        <f>IFERROR(F48,0)</f>
        <v>17543.88906728111</v>
      </c>
      <c r="O47" s="21">
        <f t="shared" si="4"/>
        <v>13804.584171301438</v>
      </c>
      <c r="S47" s="20">
        <v>46</v>
      </c>
      <c r="T47" s="21">
        <f>SUM(Production!T48:T49)</f>
        <v>360547.11415231094</v>
      </c>
      <c r="U47" s="21">
        <f>SUM(Production!U48:U49)</f>
        <v>266747.30094178719</v>
      </c>
      <c r="V47" s="21">
        <f>SUM(Production!V48:V49)</f>
        <v>234538.82764223023</v>
      </c>
      <c r="W47" s="21">
        <f>SUM(Production!W48:W49)</f>
        <v>185541.39396366337</v>
      </c>
      <c r="AA47" s="20">
        <v>46</v>
      </c>
      <c r="AB47" s="26">
        <f>D47*'Pricing and Costs'!$G$22</f>
        <v>3579.4854308899417</v>
      </c>
      <c r="AC47" s="26">
        <f>E47*'Pricing and Costs'!$H$22</f>
        <v>7787.2641505376369</v>
      </c>
      <c r="AD47" s="26">
        <f>F47*'Pricing and Costs'!$I$22</f>
        <v>38613.816618678291</v>
      </c>
      <c r="AE47" s="26">
        <f>G47*'Pricing and Costs'!$J$22</f>
        <v>44718.810184649563</v>
      </c>
      <c r="AF47" s="80">
        <f t="shared" si="5"/>
        <v>94699.376384755422</v>
      </c>
    </row>
    <row r="48" spans="3:32" x14ac:dyDescent="0.2">
      <c r="C48" s="20">
        <v>47</v>
      </c>
      <c r="D48" s="21">
        <f>D47+Production!$AB50-Orders!S57-Orders!Z57</f>
        <v>23130.115159435838</v>
      </c>
      <c r="E48" s="21">
        <f>E47+Production!$AC50-Orders!$T57-Orders!AA57</f>
        <v>13370.722217278468</v>
      </c>
      <c r="F48" s="21">
        <f>IF((F47+Production!$AD50-Orders!$U57-Orders!AB57)&lt;0,0,F47+Production!$AD50-Orders!$U57-Orders!AB57)</f>
        <v>17543.88906728111</v>
      </c>
      <c r="G48" s="21">
        <f>IF((G47+Production!$AE50-Orders!$V57-Orders!AC57)&lt;0,0,G47+Production!$AE50-Orders!$V57-Orders!AC57)</f>
        <v>13804.584171301438</v>
      </c>
      <c r="K48" s="20">
        <v>47</v>
      </c>
      <c r="L48" s="21">
        <f t="shared" si="1"/>
        <v>23755.071139058244</v>
      </c>
      <c r="M48" s="21">
        <f t="shared" si="2"/>
        <v>13315.126933629974</v>
      </c>
      <c r="N48" s="21">
        <f>IFERROR(F49,0)</f>
        <v>17615.462922490566</v>
      </c>
      <c r="O48" s="21">
        <f t="shared" si="4"/>
        <v>13975.38474972191</v>
      </c>
      <c r="S48" s="20">
        <v>47</v>
      </c>
      <c r="T48" s="21">
        <f>SUM(Production!T49:T50)</f>
        <v>374722.48746505484</v>
      </c>
      <c r="U48" s="21">
        <f>SUM(Production!U49:U50)</f>
        <v>265635.3952688172</v>
      </c>
      <c r="V48" s="21">
        <f>SUM(Production!V49:V50)</f>
        <v>235493.14571168993</v>
      </c>
      <c r="W48" s="21">
        <f>SUM(Production!W49:W50)</f>
        <v>187818.73500926956</v>
      </c>
      <c r="AA48" s="20">
        <v>47</v>
      </c>
      <c r="AB48" s="26">
        <f>D48*'Pricing and Costs'!$G$22</f>
        <v>3469.5172739153754</v>
      </c>
      <c r="AC48" s="26">
        <f>E48*'Pricing and Costs'!$H$22</f>
        <v>7755.0188860215103</v>
      </c>
      <c r="AD48" s="26">
        <f>F48*'Pricing and Costs'!$I$22</f>
        <v>38771.994838691251</v>
      </c>
      <c r="AE48" s="26">
        <f>G48*'Pricing and Costs'!$J$22</f>
        <v>45279.036081868711</v>
      </c>
      <c r="AF48" s="80">
        <f t="shared" si="5"/>
        <v>95275.567080496839</v>
      </c>
    </row>
    <row r="49" spans="2:32" x14ac:dyDescent="0.2">
      <c r="C49" s="20">
        <v>48</v>
      </c>
      <c r="D49" s="21">
        <f>D48+Production!$AB51-Orders!S58-Orders!Z58</f>
        <v>23755.071139058244</v>
      </c>
      <c r="E49" s="21">
        <f>E48+Production!$AC51-Orders!$T58-Orders!AA58</f>
        <v>13315.126933629974</v>
      </c>
      <c r="F49" s="21">
        <f>IF((F48+Production!$AD51-Orders!$U58-Orders!AB58)&lt;0,0,F48+Production!$AD51-Orders!$U58-Orders!AB58)</f>
        <v>17615.462922490566</v>
      </c>
      <c r="G49" s="21">
        <f>IF((G48+Production!$AE51-Orders!$V58-Orders!AC58)&lt;0,0,G48+Production!$AE51-Orders!$V58-Orders!AC58)</f>
        <v>13975.38474972191</v>
      </c>
      <c r="K49" s="20">
        <v>48</v>
      </c>
      <c r="L49" s="21">
        <f t="shared" si="1"/>
        <v>24748.466550553538</v>
      </c>
      <c r="M49" s="21">
        <f t="shared" si="2"/>
        <v>13259.53164998148</v>
      </c>
      <c r="N49" s="21">
        <f>IFERROR(F50,0)</f>
        <v>17687.03677770005</v>
      </c>
      <c r="O49" s="21">
        <f t="shared" si="4"/>
        <v>14146.185328142368</v>
      </c>
      <c r="S49" s="20">
        <v>48</v>
      </c>
      <c r="T49" s="21">
        <f>SUM(Production!T50:T51)</f>
        <v>386818.38303475874</v>
      </c>
      <c r="U49" s="21">
        <f>SUM(Production!U50:U51)</f>
        <v>264523.48959584726</v>
      </c>
      <c r="V49" s="21">
        <f>SUM(Production!V50:V51)</f>
        <v>236447.46378114965</v>
      </c>
      <c r="W49" s="21">
        <f>SUM(Production!W50:W51)</f>
        <v>190096.0760548758</v>
      </c>
      <c r="AA49" s="20">
        <v>48</v>
      </c>
      <c r="AB49" s="26">
        <f>D49*'Pricing and Costs'!$G$22</f>
        <v>3563.2606708587364</v>
      </c>
      <c r="AC49" s="26">
        <f>E49*'Pricing and Costs'!$H$22</f>
        <v>7722.7736215053847</v>
      </c>
      <c r="AD49" s="26">
        <f>F49*'Pricing and Costs'!$I$22</f>
        <v>38930.173058704153</v>
      </c>
      <c r="AE49" s="26">
        <f>G49*'Pricing and Costs'!$J$22</f>
        <v>45839.26197908786</v>
      </c>
      <c r="AF49" s="80">
        <f t="shared" si="5"/>
        <v>96055.469330156135</v>
      </c>
    </row>
    <row r="50" spans="2:32" x14ac:dyDescent="0.2">
      <c r="C50" s="20">
        <v>49</v>
      </c>
      <c r="D50" s="21">
        <f>D49+Production!$AB52-Orders!S59-Orders!Z59</f>
        <v>24748.466550553538</v>
      </c>
      <c r="E50" s="21">
        <f>E49+Production!$AC52-Orders!$T59-Orders!AA59</f>
        <v>13259.53164998148</v>
      </c>
      <c r="F50" s="21">
        <f>IF((F49+Production!$AD52-Orders!$U59-Orders!AB59)&lt;0,0,F49+Production!$AD52-Orders!$U59-Orders!AB59)</f>
        <v>17687.03677770005</v>
      </c>
      <c r="G50" s="21">
        <f>IF((G49+Production!$AE52-Orders!$V59-Orders!AC59)&lt;0,0,G49+Production!$AE52-Orders!$V59-Orders!AC59)</f>
        <v>14146.185328142368</v>
      </c>
      <c r="K50" s="20">
        <v>49</v>
      </c>
      <c r="L50" s="21">
        <f t="shared" si="1"/>
        <v>25332.816364639497</v>
      </c>
      <c r="M50" s="21">
        <f t="shared" si="2"/>
        <v>13203.936366332986</v>
      </c>
      <c r="N50" s="21">
        <f t="shared" si="3"/>
        <v>17758.610632909549</v>
      </c>
      <c r="O50" s="21">
        <f t="shared" si="4"/>
        <v>14316.985906562841</v>
      </c>
      <c r="S50" s="20">
        <v>49</v>
      </c>
      <c r="T50" s="21">
        <f>SUM(Production!T51:T52)</f>
        <v>399946.20697566855</v>
      </c>
      <c r="U50" s="21">
        <f>SUM(Production!U51:U52)</f>
        <v>263411.58392287721</v>
      </c>
      <c r="V50" s="21">
        <f>SUM(Production!V51:V52)</f>
        <v>237401.78185060935</v>
      </c>
      <c r="W50" s="21">
        <f>SUM(Production!W51:W52)</f>
        <v>192373.41710048204</v>
      </c>
      <c r="AA50" s="20">
        <v>49</v>
      </c>
      <c r="AB50" s="26">
        <f>D50*'Pricing and Costs'!$G$22</f>
        <v>3712.2699825830305</v>
      </c>
      <c r="AC50" s="26">
        <f>E50*'Pricing and Costs'!$H$22</f>
        <v>7690.5283569892581</v>
      </c>
      <c r="AD50" s="26">
        <f>F50*'Pricing and Costs'!$I$22</f>
        <v>39088.351278717113</v>
      </c>
      <c r="AE50" s="26">
        <f>G50*'Pricing and Costs'!$J$22</f>
        <v>46399.487876306965</v>
      </c>
      <c r="AF50" s="80">
        <f t="shared" si="5"/>
        <v>96890.637494596362</v>
      </c>
    </row>
    <row r="51" spans="2:32" x14ac:dyDescent="0.2">
      <c r="C51" s="20">
        <v>50</v>
      </c>
      <c r="D51" s="21">
        <f>D50+Production!$AB53-Orders!S60-Orders!Z60</f>
        <v>25332.816364639497</v>
      </c>
      <c r="E51" s="21">
        <f>E50+Production!$AC53-Orders!$T60-Orders!AA60</f>
        <v>13203.936366332986</v>
      </c>
      <c r="F51" s="21">
        <f>IF((F50+Production!$AD53-Orders!$U60-Orders!AB60)&lt;0,0,F50+Production!$AD53-Orders!$U60-Orders!AB60)</f>
        <v>17758.610632909549</v>
      </c>
      <c r="G51" s="21">
        <f>IF((G50+Production!$AE53-Orders!$V60-Orders!AC60)&lt;0,0,G50+Production!$AE53-Orders!$V60-Orders!AC60)</f>
        <v>14316.985906562841</v>
      </c>
      <c r="K51" s="20">
        <v>50</v>
      </c>
      <c r="L51" s="21">
        <f t="shared" si="1"/>
        <v>26440.25769360119</v>
      </c>
      <c r="M51" s="21">
        <f>IFERROR(E52,0)</f>
        <v>13148.341082684463</v>
      </c>
      <c r="N51" s="21">
        <f t="shared" si="3"/>
        <v>17830.184488119005</v>
      </c>
      <c r="O51" s="21">
        <f t="shared" si="4"/>
        <v>14487.786484983313</v>
      </c>
      <c r="S51" s="20">
        <v>50</v>
      </c>
      <c r="T51" s="21">
        <f>SUM(Production!T52:T53)</f>
        <v>392117.7534910597</v>
      </c>
      <c r="U51" s="21">
        <f>SUM(Production!U52:U53)</f>
        <v>262299.67824990727</v>
      </c>
      <c r="V51" s="21">
        <f>SUM(Production!V52:V53)</f>
        <v>238356.09992006904</v>
      </c>
      <c r="W51" s="21">
        <f>SUM(Production!W52:W53)</f>
        <v>194650.75814608828</v>
      </c>
      <c r="AA51" s="20">
        <v>50</v>
      </c>
      <c r="AB51" s="26">
        <f>D51*'Pricing and Costs'!$G$22</f>
        <v>3799.9224546959244</v>
      </c>
      <c r="AC51" s="26">
        <f>E51*'Pricing and Costs'!$H$22</f>
        <v>7658.2830924731315</v>
      </c>
      <c r="AD51" s="26">
        <f>F51*'Pricing and Costs'!$I$22</f>
        <v>39246.529498730102</v>
      </c>
      <c r="AE51" s="26">
        <f>G51*'Pricing and Costs'!$J$22</f>
        <v>46959.713773526113</v>
      </c>
      <c r="AF51" s="80">
        <f t="shared" si="5"/>
        <v>97664.448819425277</v>
      </c>
    </row>
    <row r="52" spans="2:32" x14ac:dyDescent="0.2">
      <c r="C52" s="20">
        <v>51</v>
      </c>
      <c r="D52" s="21">
        <f>D51+Production!$AB54-Orders!S61-Orders!Z61</f>
        <v>26440.25769360119</v>
      </c>
      <c r="E52" s="21">
        <f>E51+Production!$AC54-Orders!$T61-Orders!AA61</f>
        <v>13148.341082684463</v>
      </c>
      <c r="F52" s="21">
        <f>IF((F51+Production!$AD54-Orders!$U61-Orders!AB61)&lt;0,0,F51+Production!$AD54-Orders!$U61-Orders!AB61)</f>
        <v>17830.184488119005</v>
      </c>
      <c r="G52" s="21">
        <f>IF((G51+Production!$AE54-Orders!$V61-Orders!AC61)&lt;0,0,G51+Production!$AE54-Orders!$V61-Orders!AC61)</f>
        <v>14487.786484983313</v>
      </c>
      <c r="K52" s="20">
        <v>51</v>
      </c>
      <c r="L52" s="21">
        <f t="shared" si="1"/>
        <v>24626.828661628038</v>
      </c>
      <c r="M52" s="21">
        <f>IFERROR(E53,0)</f>
        <v>13092.745799035969</v>
      </c>
      <c r="N52" s="21">
        <f t="shared" si="3"/>
        <v>17901.758343328489</v>
      </c>
      <c r="O52" s="21">
        <f t="shared" si="4"/>
        <v>14658.587063403771</v>
      </c>
      <c r="S52" s="20">
        <v>51</v>
      </c>
      <c r="T52" s="21">
        <f>SUM(Production!T53:T54)</f>
        <v>375677.88785318786</v>
      </c>
      <c r="U52" s="21">
        <f>SUM(Production!U53:U54)</f>
        <v>261187.77257693739</v>
      </c>
      <c r="V52" s="21">
        <f>SUM(Production!V53:V54)</f>
        <v>239310.41798952877</v>
      </c>
      <c r="W52" s="21">
        <f>SUM(Production!W53:W54)</f>
        <v>196928.09919169449</v>
      </c>
      <c r="AA52" s="20">
        <v>51</v>
      </c>
      <c r="AB52" s="26">
        <f>D52*'Pricing and Costs'!$G$22</f>
        <v>3966.0386540401782</v>
      </c>
      <c r="AC52" s="26">
        <f>E52*'Pricing and Costs'!$H$22</f>
        <v>7626.0378279569877</v>
      </c>
      <c r="AD52" s="26">
        <f>F52*'Pricing and Costs'!$I$22</f>
        <v>39404.707718742997</v>
      </c>
      <c r="AE52" s="26">
        <f>G52*'Pricing and Costs'!$J$22</f>
        <v>47519.939670745262</v>
      </c>
      <c r="AF52" s="80">
        <f t="shared" si="5"/>
        <v>98516.723871485417</v>
      </c>
    </row>
    <row r="53" spans="2:32" x14ac:dyDescent="0.2">
      <c r="C53" s="20">
        <v>52</v>
      </c>
      <c r="D53" s="21">
        <f>D52+Production!$AB55-Orders!S62-Orders!Z62</f>
        <v>24626.828661628038</v>
      </c>
      <c r="E53" s="21">
        <f>E52+Production!$AC55-Orders!$T62-Orders!AA62</f>
        <v>13092.745799035969</v>
      </c>
      <c r="F53" s="21">
        <f>IF((F52+Production!$AD55-Orders!$U62-Orders!AB62)&lt;0,0,F52+Production!$AD55-Orders!$U62-Orders!AB62)</f>
        <v>17901.758343328489</v>
      </c>
      <c r="G53" s="21">
        <f>IF((G52+Production!$AE55-Orders!$V62-Orders!AC62)&lt;0,0,G52+Production!$AE55-Orders!$V62-Orders!AC62)</f>
        <v>14658.587063403771</v>
      </c>
      <c r="K53" s="20">
        <v>52</v>
      </c>
      <c r="L53" s="21">
        <f t="shared" si="1"/>
        <v>24467.725893322582</v>
      </c>
      <c r="M53" s="21">
        <f t="shared" si="2"/>
        <v>13037.15051538749</v>
      </c>
      <c r="N53" s="21">
        <f t="shared" si="3"/>
        <v>17973.332198537973</v>
      </c>
      <c r="O53" s="21">
        <f t="shared" si="4"/>
        <v>14829.387641824243</v>
      </c>
      <c r="S53" s="20">
        <v>52</v>
      </c>
      <c r="T53" s="21">
        <f>SUM(Production!T54:T55)</f>
        <v>368766.61254768679</v>
      </c>
      <c r="U53" s="21">
        <f>SUM(Production!U54:U55)</f>
        <v>260075.8669039674</v>
      </c>
      <c r="V53" s="21">
        <f>SUM(Production!V54:V55)</f>
        <v>240264.73605898843</v>
      </c>
      <c r="W53" s="21">
        <f>SUM(Production!W54:W55)</f>
        <v>199205.44023730073</v>
      </c>
      <c r="AA53" s="20">
        <v>52</v>
      </c>
      <c r="AB53" s="26">
        <f>D53*'Pricing and Costs'!$G$22</f>
        <v>3694.0242992442054</v>
      </c>
      <c r="AC53" s="26">
        <f>E53*'Pricing and Costs'!$H$22</f>
        <v>7593.7925634408612</v>
      </c>
      <c r="AD53" s="26">
        <f>F53*'Pricing and Costs'!$I$22</f>
        <v>39562.885938755957</v>
      </c>
      <c r="AE53" s="26">
        <f>G53*'Pricing and Costs'!$J$22</f>
        <v>48080.165567964366</v>
      </c>
      <c r="AF53" s="80">
        <f t="shared" si="5"/>
        <v>98930.868369405391</v>
      </c>
    </row>
    <row r="54" spans="2:32" x14ac:dyDescent="0.2">
      <c r="C54" s="20">
        <v>53</v>
      </c>
      <c r="D54" s="21">
        <f>D53+Production!$AB56-Orders!S63-Orders!Z63</f>
        <v>24467.725893322582</v>
      </c>
      <c r="E54" s="21">
        <f>E53+Production!$AC56-Orders!$T63-Orders!AA63</f>
        <v>13037.15051538749</v>
      </c>
      <c r="F54" s="21">
        <f>IF((F53+Production!$AD56-Orders!$U63-Orders!AB63)&lt;0,0,F53+Production!$AD56-Orders!$U63-Orders!AB63)</f>
        <v>17973.332198537973</v>
      </c>
      <c r="G54" s="21">
        <f>IF((G53+Production!$AE56-Orders!$V63-Orders!AC63)&lt;0,0,G53+Production!$AE56-Orders!$V63-Orders!AC63)</f>
        <v>14829.387641824243</v>
      </c>
      <c r="K54" s="20">
        <v>53</v>
      </c>
      <c r="L54" s="21">
        <f t="shared" si="1"/>
        <v>23604.797755653359</v>
      </c>
      <c r="M54" s="21">
        <f t="shared" si="2"/>
        <v>12981.55523173901</v>
      </c>
      <c r="N54" s="21">
        <f t="shared" si="3"/>
        <v>18044.906053747429</v>
      </c>
      <c r="O54" s="21">
        <f t="shared" si="4"/>
        <v>15000.188220244716</v>
      </c>
      <c r="S54" s="20">
        <v>53</v>
      </c>
      <c r="T54" s="21">
        <f>SUM(Production!T55:T56)</f>
        <v>354167.67751392641</v>
      </c>
      <c r="U54" s="21">
        <f>SUM(Production!U55:U56)</f>
        <v>258963.9612309974</v>
      </c>
      <c r="V54" s="21">
        <f>SUM(Production!V55:V56)</f>
        <v>241219.05412844813</v>
      </c>
      <c r="W54" s="21">
        <f>SUM(Production!W55:W56)</f>
        <v>201482.78128290694</v>
      </c>
      <c r="AA54" s="20">
        <v>53</v>
      </c>
      <c r="AB54" s="26">
        <f>D54*'Pricing and Costs'!$G$22</f>
        <v>3670.1588839983874</v>
      </c>
      <c r="AC54" s="26">
        <f>E54*'Pricing and Costs'!$H$22</f>
        <v>7561.5472989247437</v>
      </c>
      <c r="AD54" s="26">
        <f>F54*'Pricing and Costs'!$I$22</f>
        <v>39721.064158768924</v>
      </c>
      <c r="AE54" s="26">
        <f>G54*'Pricing and Costs'!$J$22</f>
        <v>48640.391465183515</v>
      </c>
      <c r="AF54" s="80">
        <f t="shared" si="5"/>
        <v>99593.161806875578</v>
      </c>
    </row>
    <row r="55" spans="2:32" x14ac:dyDescent="0.2">
      <c r="C55" s="20">
        <v>54</v>
      </c>
      <c r="D55" s="21">
        <f>D54+Production!$AB57-Orders!S64-Orders!Z64</f>
        <v>23604.797755653359</v>
      </c>
      <c r="E55" s="21">
        <f>E54+Production!$AC57-Orders!$T64-Orders!AA64</f>
        <v>12981.55523173901</v>
      </c>
      <c r="F55" s="21">
        <f>IF((F54+Production!$AD57-Orders!$U64-Orders!AB64)&lt;0,0,F54+Production!$AD57-Orders!$U64-Orders!AB64)</f>
        <v>18044.906053747429</v>
      </c>
      <c r="G55" s="21">
        <f>IF((G54+Production!$AE57-Orders!$V64-Orders!AC64)&lt;0,0,G54+Production!$AE57-Orders!$V64-Orders!AC64)</f>
        <v>15000.188220244716</v>
      </c>
      <c r="K55" s="20">
        <v>54</v>
      </c>
      <c r="L55" s="21">
        <f t="shared" si="1"/>
        <v>22670.623617069883</v>
      </c>
      <c r="M55" s="21">
        <f t="shared" si="2"/>
        <v>12925.959948090473</v>
      </c>
      <c r="N55" s="21">
        <f t="shared" si="3"/>
        <v>18116.479908956913</v>
      </c>
      <c r="O55" s="21">
        <f t="shared" si="4"/>
        <v>15170.988798665174</v>
      </c>
      <c r="S55" s="20">
        <v>54</v>
      </c>
      <c r="T55" s="21">
        <f>SUM(Production!T56:T57)</f>
        <v>342902.50556716032</v>
      </c>
      <c r="U55" s="21">
        <f>SUM(Production!U56:U57)</f>
        <v>257852.05555802747</v>
      </c>
      <c r="V55" s="21">
        <f>SUM(Production!V56:V57)</f>
        <v>242173.37219790783</v>
      </c>
      <c r="W55" s="21">
        <f>SUM(Production!W56:W57)</f>
        <v>203760.12232851319</v>
      </c>
      <c r="AA55" s="20">
        <v>54</v>
      </c>
      <c r="AB55" s="26">
        <f>D55*'Pricing and Costs'!$G$22</f>
        <v>3540.7196633480039</v>
      </c>
      <c r="AC55" s="26">
        <f>E55*'Pricing and Costs'!$H$22</f>
        <v>7529.3020344086253</v>
      </c>
      <c r="AD55" s="26">
        <f>F55*'Pricing and Costs'!$I$22</f>
        <v>39879.242378781819</v>
      </c>
      <c r="AE55" s="26">
        <f>G55*'Pricing and Costs'!$J$22</f>
        <v>49200.617362402663</v>
      </c>
      <c r="AF55" s="80">
        <f t="shared" si="5"/>
        <v>100149.88143894111</v>
      </c>
    </row>
    <row r="56" spans="2:32" x14ac:dyDescent="0.2">
      <c r="C56" s="20">
        <v>55</v>
      </c>
      <c r="D56" s="21">
        <f>D55+Production!$AB58-Orders!S65-Orders!Z65</f>
        <v>22670.623617069883</v>
      </c>
      <c r="E56" s="21">
        <f>E55+Production!$AC58-Orders!$T65-Orders!AA65</f>
        <v>12925.959948090473</v>
      </c>
      <c r="F56" s="21">
        <f>IF((F55+Production!$AD58-Orders!$U65-Orders!AB65)&lt;0,0,F55+Production!$AD58-Orders!$U65-Orders!AB65)</f>
        <v>18116.479908956913</v>
      </c>
      <c r="G56" s="21">
        <f>IF((G55+Production!$AE58-Orders!$V65-Orders!AC65)&lt;0,0,G55+Production!$AE58-Orders!$V65-Orders!AC65)</f>
        <v>15170.988798665174</v>
      </c>
      <c r="K56" s="20">
        <v>55</v>
      </c>
      <c r="L56" s="21">
        <f t="shared" si="1"/>
        <v>22102.058243270672</v>
      </c>
      <c r="M56" s="21">
        <f t="shared" si="2"/>
        <v>12870.364664441993</v>
      </c>
      <c r="N56" s="21">
        <f t="shared" si="3"/>
        <v>18188.053764166383</v>
      </c>
      <c r="O56" s="21">
        <f t="shared" si="4"/>
        <v>15341.789377085646</v>
      </c>
      <c r="S56" s="20">
        <v>55</v>
      </c>
      <c r="T56" s="21">
        <f>SUM(Production!T57:T58)</f>
        <v>337789.35321255401</v>
      </c>
      <c r="U56" s="21">
        <f>SUM(Production!U57:U58)</f>
        <v>256740.14988505753</v>
      </c>
      <c r="V56" s="21">
        <f>SUM(Production!V57:V58)</f>
        <v>243127.69026736755</v>
      </c>
      <c r="W56" s="21">
        <f>SUM(Production!W57:W58)</f>
        <v>206037.46337411943</v>
      </c>
      <c r="AA56" s="20">
        <v>55</v>
      </c>
      <c r="AB56" s="26">
        <f>D56*'Pricing and Costs'!$G$22</f>
        <v>3400.5935425604825</v>
      </c>
      <c r="AC56" s="26">
        <f>E56*'Pricing and Costs'!$H$22</f>
        <v>7497.0567698924733</v>
      </c>
      <c r="AD56" s="26">
        <f>F56*'Pricing and Costs'!$I$22</f>
        <v>40037.420598794779</v>
      </c>
      <c r="AE56" s="26">
        <f>G56*'Pricing and Costs'!$J$22</f>
        <v>49760.843259621768</v>
      </c>
      <c r="AF56" s="80">
        <f t="shared" si="5"/>
        <v>100695.91417086951</v>
      </c>
    </row>
    <row r="57" spans="2:32" x14ac:dyDescent="0.2">
      <c r="C57" s="20">
        <v>56</v>
      </c>
      <c r="D57" s="21">
        <f>D56+Production!$AB59-Orders!S66-Orders!Z66</f>
        <v>22102.058243270672</v>
      </c>
      <c r="E57" s="21">
        <f>E56+Production!$AC59-Orders!$T66-Orders!AA66</f>
        <v>12870.364664441993</v>
      </c>
      <c r="F57" s="21">
        <f>IF((F56+Production!$AD59-Orders!$U66-Orders!AB66)&lt;0,0,F56+Production!$AD59-Orders!$U66-Orders!AB66)</f>
        <v>18188.053764166383</v>
      </c>
      <c r="G57" s="21">
        <f>IF((G56+Production!$AE59-Orders!$V66-Orders!AC66)&lt;0,0,G56+Production!$AE59-Orders!$V66-Orders!AC66)</f>
        <v>15341.789377085646</v>
      </c>
      <c r="K57" s="20">
        <v>56</v>
      </c>
      <c r="L57" s="21">
        <f t="shared" si="1"/>
        <v>21909.503313787951</v>
      </c>
      <c r="M57" s="21">
        <f t="shared" si="2"/>
        <v>12814.769380793514</v>
      </c>
      <c r="N57" s="21">
        <f t="shared" si="3"/>
        <v>18259.627619375868</v>
      </c>
      <c r="O57" s="21">
        <f t="shared" si="4"/>
        <v>15512.589955506104</v>
      </c>
      <c r="S57" s="20">
        <v>56</v>
      </c>
      <c r="T57" s="21">
        <f>SUM(Production!T58:T59)</f>
        <v>354584.59415689908</v>
      </c>
      <c r="U57" s="21">
        <f>SUM(Production!U58:U59)</f>
        <v>255628.24421208748</v>
      </c>
      <c r="V57" s="21">
        <f>SUM(Production!V58:V59)</f>
        <v>244082.00833682728</v>
      </c>
      <c r="W57" s="21">
        <f>SUM(Production!W58:W59)</f>
        <v>208314.80441972564</v>
      </c>
      <c r="AA57" s="20">
        <v>56</v>
      </c>
      <c r="AB57" s="26">
        <f>D57*'Pricing and Costs'!$G$22</f>
        <v>3315.3087364906009</v>
      </c>
      <c r="AC57" s="26">
        <f>E57*'Pricing and Costs'!$H$22</f>
        <v>7464.8115053763559</v>
      </c>
      <c r="AD57" s="26">
        <f>F57*'Pricing and Costs'!$I$22</f>
        <v>40195.598818807703</v>
      </c>
      <c r="AE57" s="26">
        <f>G57*'Pricing and Costs'!$J$22</f>
        <v>50321.069156840917</v>
      </c>
      <c r="AF57" s="80">
        <f t="shared" si="5"/>
        <v>101296.78821751557</v>
      </c>
    </row>
    <row r="58" spans="2:32" x14ac:dyDescent="0.2">
      <c r="C58" s="20">
        <v>57</v>
      </c>
      <c r="D58" s="21">
        <f>D57+Production!$AB60-Orders!S67-Orders!Z67</f>
        <v>21909.503313787951</v>
      </c>
      <c r="E58" s="21">
        <f>E57+Production!$AC60-Orders!$T67-Orders!AA67</f>
        <v>12814.769380793514</v>
      </c>
      <c r="F58" s="21">
        <f>IF((F57+Production!$AD60-Orders!$U67-Orders!AB67)&lt;0,0,F57+Production!$AD60-Orders!$U67-Orders!AB67)</f>
        <v>18259.627619375868</v>
      </c>
      <c r="G58" s="21">
        <f>IF((G57+Production!$AE60-Orders!$V67-Orders!AC67)&lt;0,0,G57+Production!$AE60-Orders!$V67-Orders!AC67)</f>
        <v>15512.589955506104</v>
      </c>
      <c r="K58" s="20">
        <v>57</v>
      </c>
      <c r="L58" s="21">
        <f t="shared" si="1"/>
        <v>23946.691591357579</v>
      </c>
      <c r="M58" s="21">
        <f t="shared" si="2"/>
        <v>12759.174097144976</v>
      </c>
      <c r="N58" s="21">
        <f t="shared" si="3"/>
        <v>18331.201474585352</v>
      </c>
      <c r="O58" s="21">
        <f t="shared" si="4"/>
        <v>15683.390533926577</v>
      </c>
      <c r="S58" s="20">
        <v>57</v>
      </c>
      <c r="T58" s="21">
        <f>SUM(Production!T59:T60)</f>
        <v>364075.31443275034</v>
      </c>
      <c r="U58" s="21">
        <f>SUM(Production!U59:U60)</f>
        <v>254516.33853911754</v>
      </c>
      <c r="V58" s="21">
        <f>SUM(Production!V59:V60)</f>
        <v>245036.32640628697</v>
      </c>
      <c r="W58" s="21">
        <f>SUM(Production!W59:W60)</f>
        <v>210592.14546533185</v>
      </c>
      <c r="AA58" s="20">
        <v>57</v>
      </c>
      <c r="AB58" s="26">
        <f>D58*'Pricing and Costs'!$G$22</f>
        <v>3286.4254970681927</v>
      </c>
      <c r="AC58" s="26">
        <f>E58*'Pricing and Costs'!$H$22</f>
        <v>7432.5662408602375</v>
      </c>
      <c r="AD58" s="26">
        <f>F58*'Pricing and Costs'!$I$22</f>
        <v>40353.77703882067</v>
      </c>
      <c r="AE58" s="26">
        <f>G58*'Pricing and Costs'!$J$22</f>
        <v>50881.295054060021</v>
      </c>
      <c r="AF58" s="80">
        <f t="shared" si="5"/>
        <v>101954.06383080911</v>
      </c>
    </row>
    <row r="59" spans="2:32" x14ac:dyDescent="0.2">
      <c r="C59" s="20">
        <v>58</v>
      </c>
      <c r="D59" s="21">
        <f>D58+Production!$AB61-Orders!S68-Orders!Z68</f>
        <v>23946.691591357579</v>
      </c>
      <c r="E59" s="21">
        <f>E58+Production!$AC61-Orders!$T68-Orders!AA68</f>
        <v>12759.174097144976</v>
      </c>
      <c r="F59" s="21">
        <f>IF((F58+Production!$AD61-Orders!$U68-Orders!AB68)&lt;0,0,F58+Production!$AD61-Orders!$U68-Orders!AB68)</f>
        <v>18331.201474585352</v>
      </c>
      <c r="G59" s="21">
        <f>IF((G58+Production!$AE61-Orders!$V68-Orders!AC68)&lt;0,0,G58+Production!$AE61-Orders!$V68-Orders!AC68)</f>
        <v>15683.390533926577</v>
      </c>
      <c r="K59" s="20">
        <v>58</v>
      </c>
      <c r="L59" s="21">
        <f t="shared" si="1"/>
        <v>23213.5705448605</v>
      </c>
      <c r="M59" s="21">
        <f t="shared" si="2"/>
        <v>12703.578813496497</v>
      </c>
      <c r="N59" s="21">
        <f t="shared" si="3"/>
        <v>18402.775329794837</v>
      </c>
      <c r="O59" s="21">
        <f t="shared" si="4"/>
        <v>15854.191112347049</v>
      </c>
      <c r="S59" s="20">
        <v>58</v>
      </c>
      <c r="T59" s="21">
        <f>SUM(Production!T60:T61)</f>
        <v>361831.043158844</v>
      </c>
      <c r="U59" s="21">
        <f>SUM(Production!U60:U61)</f>
        <v>253404.4328661476</v>
      </c>
      <c r="V59" s="21">
        <f>SUM(Production!V60:V61)</f>
        <v>245990.64447574664</v>
      </c>
      <c r="W59" s="21">
        <f>SUM(Production!W60:W61)</f>
        <v>212869.48651093809</v>
      </c>
      <c r="AA59" s="20">
        <v>58</v>
      </c>
      <c r="AB59" s="26">
        <f>D59*'Pricing and Costs'!$G$22</f>
        <v>3592.0037387036368</v>
      </c>
      <c r="AC59" s="26">
        <f>E59*'Pricing and Costs'!$H$22</f>
        <v>7400.3209763440855</v>
      </c>
      <c r="AD59" s="26">
        <f>F59*'Pricing and Costs'!$I$22</f>
        <v>40511.95525883363</v>
      </c>
      <c r="AE59" s="26">
        <f>G59*'Pricing and Costs'!$J$22</f>
        <v>51441.52095127917</v>
      </c>
      <c r="AF59" s="80">
        <f t="shared" si="5"/>
        <v>102945.80092516053</v>
      </c>
    </row>
    <row r="60" spans="2:32" x14ac:dyDescent="0.2">
      <c r="C60" s="20">
        <v>59</v>
      </c>
      <c r="D60" s="21">
        <f>D59+Production!$AB62-Orders!S69-Orders!Z69</f>
        <v>23213.5705448605</v>
      </c>
      <c r="E60" s="21">
        <f>E59+Production!$AC62-Orders!$T69-Orders!AA69</f>
        <v>12703.578813496497</v>
      </c>
      <c r="F60" s="21">
        <f>IF((F59+Production!$AD62-Orders!$U69-Orders!AB69)&lt;0,0,F59+Production!$AD62-Orders!$U69-Orders!AB69)</f>
        <v>18402.775329794837</v>
      </c>
      <c r="G60" s="21">
        <f>IF((G59+Production!$AE62-Orders!$V69-Orders!AC69)&lt;0,0,G59+Production!$AE62-Orders!$V69-Orders!AC69)</f>
        <v>15854.191112347049</v>
      </c>
      <c r="K60" s="20">
        <v>59</v>
      </c>
      <c r="L60" s="21">
        <f t="shared" si="1"/>
        <v>0</v>
      </c>
      <c r="M60" s="21">
        <f t="shared" si="2"/>
        <v>0</v>
      </c>
      <c r="N60" s="21">
        <f t="shared" si="3"/>
        <v>0</v>
      </c>
      <c r="O60" s="21">
        <f t="shared" si="4"/>
        <v>0</v>
      </c>
      <c r="S60" s="20">
        <v>59</v>
      </c>
      <c r="T60" s="21">
        <f>SUM(Production!T61:T62)</f>
        <v>399844.94299607084</v>
      </c>
      <c r="U60" s="21">
        <f>SUM(Production!U61:U62)</f>
        <v>264940.5107230256</v>
      </c>
      <c r="V60" s="21">
        <f>SUM(Production!V61:V62)</f>
        <v>265419.31173021067</v>
      </c>
      <c r="W60" s="21">
        <f>SUM(Production!W61:W62)</f>
        <v>231171.81924731183</v>
      </c>
      <c r="AA60" s="20">
        <v>59</v>
      </c>
      <c r="AB60" s="26">
        <f>D60*'Pricing and Costs'!$G$22</f>
        <v>3482.0355817290751</v>
      </c>
      <c r="AC60" s="26">
        <f>E60*'Pricing and Costs'!$H$22</f>
        <v>7368.075711827968</v>
      </c>
      <c r="AD60" s="26">
        <f>F60*'Pricing and Costs'!$I$22</f>
        <v>40670.13347884659</v>
      </c>
      <c r="AE60" s="26">
        <f>G60*'Pricing and Costs'!$J$22</f>
        <v>52001.746848498318</v>
      </c>
      <c r="AF60" s="80">
        <f t="shared" si="5"/>
        <v>103521.99162090194</v>
      </c>
    </row>
    <row r="61" spans="2:32" x14ac:dyDescent="0.2">
      <c r="B61" s="19"/>
      <c r="C61" s="19"/>
      <c r="D61" s="19"/>
    </row>
    <row r="62" spans="2:32" x14ac:dyDescent="0.2">
      <c r="B62" s="19"/>
      <c r="C62" s="19"/>
      <c r="D62" s="19"/>
    </row>
    <row r="63" spans="2:32" x14ac:dyDescent="0.2">
      <c r="B63" s="19"/>
      <c r="C63" s="19"/>
      <c r="D63" s="19"/>
    </row>
    <row r="64" spans="2:32" x14ac:dyDescent="0.2">
      <c r="B64" s="19"/>
      <c r="C64" s="19"/>
      <c r="D64" s="19"/>
    </row>
    <row r="73" spans="20:20" x14ac:dyDescent="0.2">
      <c r="T73" s="3" t="e">
        <f>SUM(D7,D8,VLOOKUP(G2,Inventory!AA8:AF59,5,0))</f>
        <v>#N/A</v>
      </c>
    </row>
  </sheetData>
  <mergeCells count="5">
    <mergeCell ref="AF6:AF7"/>
    <mergeCell ref="C3:G5"/>
    <mergeCell ref="K3:O5"/>
    <mergeCell ref="S3:W5"/>
    <mergeCell ref="AA3:AF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78BE4-A3FD-ED43-80E2-EF31639069B4}">
  <dimension ref="A1:M88"/>
  <sheetViews>
    <sheetView topLeftCell="A50" zoomScale="75" workbookViewId="0">
      <selection activeCell="G3" sqref="G3"/>
    </sheetView>
  </sheetViews>
  <sheetFormatPr baseColWidth="10" defaultRowHeight="16" x14ac:dyDescent="0.2"/>
  <cols>
    <col min="1" max="1" width="10.83203125" style="18"/>
    <col min="2" max="2" width="41.1640625" style="18" bestFit="1" customWidth="1"/>
    <col min="3" max="3" width="15.83203125" style="18" customWidth="1"/>
    <col min="4" max="4" width="16.83203125" style="18" customWidth="1"/>
    <col min="5" max="5" width="16" style="18" customWidth="1"/>
    <col min="6" max="6" width="15.5" style="18" customWidth="1"/>
    <col min="7" max="7" width="26" style="18" customWidth="1"/>
    <col min="8" max="8" width="19.1640625" style="18" customWidth="1"/>
    <col min="9" max="9" width="13.83203125" style="18" bestFit="1" customWidth="1"/>
    <col min="10" max="10" width="43.5" style="18" customWidth="1"/>
    <col min="11" max="11" width="13.83203125" style="18" bestFit="1" customWidth="1"/>
    <col min="12" max="12" width="15.33203125" style="18" bestFit="1" customWidth="1"/>
    <col min="13" max="13" width="13.5" style="18" bestFit="1" customWidth="1"/>
    <col min="14" max="14" width="17.5" style="18" customWidth="1"/>
    <col min="15" max="16" width="12.33203125" style="18" bestFit="1" customWidth="1"/>
    <col min="17" max="18" width="11.6640625" style="18" bestFit="1" customWidth="1"/>
    <col min="19" max="28" width="13.1640625" style="18" bestFit="1" customWidth="1"/>
    <col min="29" max="32" width="14.1640625" style="18" bestFit="1" customWidth="1"/>
    <col min="33" max="56" width="3.1640625" style="18" bestFit="1" customWidth="1"/>
    <col min="57" max="16384" width="10.83203125" style="18"/>
  </cols>
  <sheetData>
    <row r="1" spans="2:13" x14ac:dyDescent="0.2">
      <c r="B1" s="85" t="s">
        <v>74</v>
      </c>
      <c r="C1" s="85"/>
      <c r="D1" s="85"/>
    </row>
    <row r="2" spans="2:13" ht="18" x14ac:dyDescent="0.2">
      <c r="B2" s="85"/>
      <c r="C2" s="85"/>
      <c r="D2" s="85"/>
      <c r="F2" s="78" t="s">
        <v>113</v>
      </c>
      <c r="G2" s="78">
        <v>59</v>
      </c>
    </row>
    <row r="3" spans="2:13" x14ac:dyDescent="0.2">
      <c r="B3" s="85"/>
      <c r="C3" s="85"/>
      <c r="D3" s="85"/>
    </row>
    <row r="4" spans="2:13" x14ac:dyDescent="0.2">
      <c r="B4" s="87" t="s">
        <v>16</v>
      </c>
      <c r="C4" s="87"/>
      <c r="D4" s="43">
        <v>21510</v>
      </c>
    </row>
    <row r="5" spans="2:13" x14ac:dyDescent="0.2">
      <c r="B5" s="87" t="s">
        <v>17</v>
      </c>
      <c r="C5" s="87"/>
      <c r="D5" s="43">
        <v>90200</v>
      </c>
      <c r="F5" s="82" t="s">
        <v>111</v>
      </c>
      <c r="G5" s="98" t="s">
        <v>112</v>
      </c>
      <c r="H5" s="98" t="s">
        <v>114</v>
      </c>
      <c r="I5" s="98" t="s">
        <v>115</v>
      </c>
      <c r="J5" s="98" t="s">
        <v>123</v>
      </c>
      <c r="K5" s="98" t="s">
        <v>116</v>
      </c>
      <c r="L5" s="98" t="s">
        <v>117</v>
      </c>
      <c r="M5" s="98" t="s">
        <v>118</v>
      </c>
    </row>
    <row r="6" spans="2:13" ht="34" customHeight="1" x14ac:dyDescent="0.2">
      <c r="B6" s="87" t="s">
        <v>18</v>
      </c>
      <c r="C6" s="87"/>
      <c r="D6" s="43">
        <v>73100</v>
      </c>
      <c r="F6" s="82"/>
      <c r="G6" s="98"/>
      <c r="H6" s="98"/>
      <c r="I6" s="98"/>
      <c r="J6" s="98"/>
      <c r="K6" s="98"/>
      <c r="L6" s="98"/>
      <c r="M6" s="98"/>
    </row>
    <row r="7" spans="2:13" ht="28" customHeight="1" x14ac:dyDescent="0.2">
      <c r="B7" s="87" t="s">
        <v>19</v>
      </c>
      <c r="C7" s="87"/>
      <c r="D7" s="43">
        <v>300200</v>
      </c>
      <c r="F7" s="82"/>
      <c r="G7" s="71">
        <v>111710</v>
      </c>
      <c r="H7" s="71">
        <v>1860170</v>
      </c>
      <c r="I7" s="71">
        <v>73100</v>
      </c>
      <c r="J7" s="71">
        <f>D7+D8</f>
        <v>610200</v>
      </c>
      <c r="K7" s="71">
        <f>VLOOKUP(G2,Orders!AL18:AQ70,6,0)</f>
        <v>0</v>
      </c>
      <c r="L7" s="71">
        <f>VLOOKUP(G2,Inventory!AA8:AF60,6,0)</f>
        <v>103521.99162090194</v>
      </c>
      <c r="M7" s="71">
        <f>SUM(G7:L7)</f>
        <v>2758701.991620902</v>
      </c>
    </row>
    <row r="8" spans="2:13" x14ac:dyDescent="0.2">
      <c r="B8" s="87" t="s">
        <v>20</v>
      </c>
      <c r="C8" s="87"/>
      <c r="D8" s="43">
        <v>310000</v>
      </c>
    </row>
    <row r="11" spans="2:13" ht="0" hidden="1" x14ac:dyDescent="0"/>
    <row r="12" spans="2:13" ht="0" hidden="1" x14ac:dyDescent="0"/>
    <row r="13" spans="2:13" ht="0" hidden="1" x14ac:dyDescent="0"/>
    <row r="14" spans="2:13" ht="0" hidden="1" x14ac:dyDescent="0">
      <c r="B14" s="100" t="s">
        <v>103</v>
      </c>
      <c r="C14" s="100"/>
      <c r="D14" s="100"/>
      <c r="E14" s="100"/>
      <c r="F14" s="100"/>
    </row>
    <row r="15" spans="2:13" ht="0" hidden="1" x14ac:dyDescent="0">
      <c r="B15" s="100"/>
      <c r="C15" s="100"/>
      <c r="D15" s="100"/>
      <c r="E15" s="100"/>
      <c r="F15" s="100"/>
    </row>
    <row r="16" spans="2:13" ht="0" hidden="1" x14ac:dyDescent="0">
      <c r="B16" s="100"/>
      <c r="C16" s="100"/>
      <c r="D16" s="100"/>
      <c r="E16" s="100"/>
      <c r="F16" s="100"/>
    </row>
    <row r="17" spans="2:6" x14ac:dyDescent="0.2">
      <c r="B17" s="68"/>
      <c r="C17" s="69" t="s">
        <v>0</v>
      </c>
      <c r="D17" s="69" t="s">
        <v>1</v>
      </c>
      <c r="E17" s="69" t="s">
        <v>2</v>
      </c>
      <c r="F17" s="69" t="s">
        <v>3</v>
      </c>
    </row>
    <row r="18" spans="2:6" x14ac:dyDescent="0.2">
      <c r="B18" s="68" t="s">
        <v>72</v>
      </c>
      <c r="C18" s="81">
        <v>6.08</v>
      </c>
      <c r="D18" s="81">
        <v>8.73</v>
      </c>
      <c r="E18" s="81">
        <v>15.35</v>
      </c>
      <c r="F18" s="81">
        <v>22.99</v>
      </c>
    </row>
    <row r="19" spans="2:6" x14ac:dyDescent="0.2">
      <c r="B19" s="68" t="s">
        <v>104</v>
      </c>
      <c r="C19" s="81">
        <v>0.94</v>
      </c>
      <c r="D19" s="81">
        <v>1.39</v>
      </c>
      <c r="E19" s="81">
        <v>5.8</v>
      </c>
      <c r="F19" s="81">
        <v>6.47</v>
      </c>
    </row>
    <row r="20" spans="2:6" x14ac:dyDescent="0.2">
      <c r="B20" s="68" t="s">
        <v>105</v>
      </c>
      <c r="C20" s="81">
        <f>C18-C19</f>
        <v>5.1400000000000006</v>
      </c>
      <c r="D20" s="81">
        <f>D18-D19</f>
        <v>7.3400000000000007</v>
      </c>
      <c r="E20" s="81">
        <f>E18-E19</f>
        <v>9.5500000000000007</v>
      </c>
      <c r="F20" s="81">
        <f>F18-F19</f>
        <v>16.52</v>
      </c>
    </row>
    <row r="21" spans="2:6" x14ac:dyDescent="0.2">
      <c r="B21" s="68" t="s">
        <v>106</v>
      </c>
      <c r="C21" s="81">
        <f>VLOOKUP($G$2,Orders!$R$18:$V$70, 2,0)</f>
        <v>183373.28095756096</v>
      </c>
      <c r="D21" s="81">
        <f>VLOOKUP(G2,Orders!R18:V70,3,0)</f>
        <v>126479.8352984798</v>
      </c>
      <c r="E21" s="81">
        <f>VLOOKUP($G$2,Orders!$R$18:$V$70, 4,0)</f>
        <v>123162.32790002877</v>
      </c>
      <c r="F21" s="81">
        <f>VLOOKUP($G$2,Orders!$R$18:$V$70, 5,0)</f>
        <v>106833.27793845013</v>
      </c>
    </row>
    <row r="22" spans="2:6" x14ac:dyDescent="0.2">
      <c r="B22" s="68" t="s">
        <v>107</v>
      </c>
      <c r="C22" s="81">
        <f>C20*C21</f>
        <v>942538.66412186343</v>
      </c>
      <c r="D22" s="81">
        <f>D20*D21</f>
        <v>928361.99109084182</v>
      </c>
      <c r="E22" s="81">
        <f>E20*E21</f>
        <v>1176200.2314452748</v>
      </c>
      <c r="F22" s="81">
        <f t="shared" ref="F22" si="0">F21*F20</f>
        <v>1764885.7515431962</v>
      </c>
    </row>
    <row r="23" spans="2:6" x14ac:dyDescent="0.2">
      <c r="B23" s="68" t="s">
        <v>108</v>
      </c>
      <c r="C23" s="81"/>
      <c r="D23" s="81"/>
      <c r="E23" s="81"/>
      <c r="F23" s="81">
        <f>SUM(C22:F22)</f>
        <v>4811986.6382011762</v>
      </c>
    </row>
    <row r="24" spans="2:6" x14ac:dyDescent="0.2">
      <c r="B24" s="68" t="s">
        <v>109</v>
      </c>
      <c r="C24" s="81"/>
      <c r="D24" s="81"/>
      <c r="E24" s="81"/>
      <c r="F24" s="81">
        <f>M7</f>
        <v>2758701.991620902</v>
      </c>
    </row>
    <row r="25" spans="2:6" x14ac:dyDescent="0.2">
      <c r="B25" s="68" t="s">
        <v>110</v>
      </c>
      <c r="C25" s="81"/>
      <c r="D25" s="81"/>
      <c r="E25" s="81"/>
      <c r="F25" s="81">
        <f>F23-F24</f>
        <v>2053284.6465802742</v>
      </c>
    </row>
    <row r="30" spans="2:6" ht="20" customHeight="1" x14ac:dyDescent="0.2"/>
    <row r="31" spans="2:6" ht="20" customHeight="1" x14ac:dyDescent="0.2">
      <c r="B31" s="77"/>
      <c r="C31" s="103" t="s">
        <v>101</v>
      </c>
      <c r="D31" s="102" t="s">
        <v>102</v>
      </c>
    </row>
    <row r="32" spans="2:6" ht="20" customHeight="1" x14ac:dyDescent="0.2">
      <c r="B32" s="77"/>
      <c r="C32" s="103"/>
      <c r="D32" s="102"/>
    </row>
    <row r="33" spans="1:9" ht="16" customHeight="1" x14ac:dyDescent="0.2">
      <c r="A33" s="70"/>
      <c r="B33" s="101" t="s">
        <v>101</v>
      </c>
      <c r="C33" s="103"/>
      <c r="D33" s="102"/>
      <c r="F33" s="101" t="s">
        <v>71</v>
      </c>
      <c r="G33" s="75" t="s">
        <v>101</v>
      </c>
      <c r="H33" s="75" t="s">
        <v>71</v>
      </c>
    </row>
    <row r="34" spans="1:9" x14ac:dyDescent="0.2">
      <c r="A34" s="70"/>
      <c r="B34" s="101"/>
      <c r="C34" s="76">
        <v>7</v>
      </c>
      <c r="D34" s="64">
        <v>-2241186</v>
      </c>
      <c r="F34" s="101"/>
      <c r="G34" s="72">
        <v>37</v>
      </c>
      <c r="H34" s="73">
        <v>986876.0224800529</v>
      </c>
      <c r="I34" s="99" t="s">
        <v>124</v>
      </c>
    </row>
    <row r="35" spans="1:9" x14ac:dyDescent="0.2">
      <c r="A35" s="70"/>
      <c r="B35" s="101"/>
      <c r="C35" s="76">
        <v>8</v>
      </c>
      <c r="D35" s="64">
        <v>-2412839</v>
      </c>
      <c r="F35" s="101"/>
      <c r="G35" s="72">
        <v>38</v>
      </c>
      <c r="H35" s="73">
        <v>1028273.1272561033</v>
      </c>
      <c r="I35" s="99"/>
    </row>
    <row r="36" spans="1:9" x14ac:dyDescent="0.2">
      <c r="A36" s="70"/>
      <c r="B36" s="101"/>
      <c r="C36" s="76">
        <v>9</v>
      </c>
      <c r="D36" s="64">
        <v>-2467749</v>
      </c>
      <c r="F36" s="101"/>
      <c r="G36" s="72">
        <v>39</v>
      </c>
      <c r="H36" s="73">
        <v>2885121.8859118242</v>
      </c>
      <c r="I36" s="99"/>
    </row>
    <row r="37" spans="1:9" x14ac:dyDescent="0.2">
      <c r="A37" s="70"/>
      <c r="B37" s="101"/>
      <c r="C37" s="76">
        <v>10</v>
      </c>
      <c r="D37" s="64">
        <v>-2545656</v>
      </c>
      <c r="F37" s="101"/>
      <c r="G37" s="72">
        <v>40</v>
      </c>
      <c r="H37" s="73">
        <v>1469262.2755719526</v>
      </c>
      <c r="I37" s="99"/>
    </row>
    <row r="38" spans="1:9" x14ac:dyDescent="0.2">
      <c r="A38" s="70"/>
      <c r="B38" s="101"/>
      <c r="C38" s="76">
        <v>11</v>
      </c>
      <c r="D38" s="64">
        <v>-2305735</v>
      </c>
      <c r="F38" s="101"/>
      <c r="G38" s="72">
        <v>41</v>
      </c>
      <c r="H38" s="73">
        <v>1545419.6967455354</v>
      </c>
      <c r="I38" s="99"/>
    </row>
    <row r="39" spans="1:9" x14ac:dyDescent="0.2">
      <c r="A39" s="70"/>
      <c r="B39" s="101"/>
      <c r="C39" s="76">
        <v>12</v>
      </c>
      <c r="D39" s="64">
        <v>-2160031</v>
      </c>
      <c r="F39" s="101"/>
      <c r="G39" s="72">
        <v>42</v>
      </c>
      <c r="H39" s="73">
        <v>1606344.3876849441</v>
      </c>
      <c r="I39" s="99"/>
    </row>
    <row r="40" spans="1:9" x14ac:dyDescent="0.2">
      <c r="A40" s="70"/>
      <c r="B40" s="101"/>
      <c r="C40" s="76">
        <v>13</v>
      </c>
      <c r="D40" s="64">
        <v>-1854686</v>
      </c>
      <c r="F40" s="101"/>
      <c r="G40" s="72">
        <v>43</v>
      </c>
      <c r="H40" s="73">
        <v>1681412.9209638764</v>
      </c>
      <c r="I40" s="99"/>
    </row>
    <row r="41" spans="1:9" x14ac:dyDescent="0.2">
      <c r="A41" s="70"/>
      <c r="B41" s="101"/>
      <c r="C41" s="76">
        <v>14</v>
      </c>
      <c r="D41" s="64">
        <v>-1610478</v>
      </c>
      <c r="F41" s="101"/>
      <c r="G41" s="72">
        <v>44</v>
      </c>
      <c r="H41" s="73">
        <v>1694880.7869757479</v>
      </c>
      <c r="I41" s="99"/>
    </row>
    <row r="42" spans="1:9" x14ac:dyDescent="0.2">
      <c r="A42" s="70"/>
      <c r="B42" s="101"/>
      <c r="C42" s="76">
        <v>15</v>
      </c>
      <c r="D42" s="64">
        <v>-1526674</v>
      </c>
      <c r="F42" s="101"/>
      <c r="G42" s="72">
        <v>45</v>
      </c>
      <c r="H42" s="73">
        <v>1794057.8137203236</v>
      </c>
      <c r="I42" s="99"/>
    </row>
    <row r="43" spans="1:9" x14ac:dyDescent="0.2">
      <c r="A43" s="70"/>
      <c r="B43" s="101"/>
      <c r="C43" s="76">
        <v>16</v>
      </c>
      <c r="D43" s="64">
        <v>-1333841</v>
      </c>
      <c r="F43" s="101"/>
      <c r="G43" s="72">
        <v>46</v>
      </c>
      <c r="H43" s="73">
        <v>1783366.6103245877</v>
      </c>
      <c r="I43" s="99"/>
    </row>
    <row r="44" spans="1:9" x14ac:dyDescent="0.2">
      <c r="A44" s="70"/>
      <c r="B44" s="101"/>
      <c r="C44" s="76">
        <v>17</v>
      </c>
      <c r="D44" s="64">
        <v>-1177492</v>
      </c>
      <c r="F44" s="101"/>
      <c r="G44" s="72">
        <v>47</v>
      </c>
      <c r="H44" s="73">
        <v>1826787.2295909561</v>
      </c>
      <c r="I44" s="99"/>
    </row>
    <row r="45" spans="1:9" x14ac:dyDescent="0.2">
      <c r="A45" s="70"/>
      <c r="B45" s="101"/>
      <c r="C45" s="76">
        <v>18</v>
      </c>
      <c r="D45" s="64">
        <v>-897190</v>
      </c>
      <c r="F45" s="101"/>
      <c r="G45" s="72">
        <v>48</v>
      </c>
      <c r="H45" s="73">
        <v>1884571.6656097649</v>
      </c>
      <c r="I45" s="99"/>
    </row>
    <row r="46" spans="1:9" x14ac:dyDescent="0.2">
      <c r="A46" s="70"/>
      <c r="B46" s="101"/>
      <c r="C46" s="76">
        <v>19</v>
      </c>
      <c r="D46" s="64">
        <v>-633133</v>
      </c>
      <c r="F46" s="101"/>
      <c r="G46" s="72">
        <v>49</v>
      </c>
      <c r="H46" s="73">
        <v>1926127.8020931478</v>
      </c>
      <c r="I46" s="99"/>
    </row>
    <row r="47" spans="1:9" x14ac:dyDescent="0.2">
      <c r="A47" s="70"/>
      <c r="B47" s="101"/>
      <c r="C47" s="76">
        <v>20</v>
      </c>
      <c r="D47" s="64">
        <v>-378688</v>
      </c>
      <c r="F47" s="101"/>
      <c r="G47" s="72">
        <v>50</v>
      </c>
      <c r="H47" s="73">
        <v>1988427.5291581512</v>
      </c>
      <c r="I47" s="99"/>
    </row>
    <row r="48" spans="1:9" x14ac:dyDescent="0.2">
      <c r="A48" s="70"/>
      <c r="B48" s="101"/>
      <c r="C48" s="76">
        <v>21</v>
      </c>
      <c r="D48" s="64">
        <v>254577</v>
      </c>
      <c r="F48" s="101"/>
      <c r="G48" s="72">
        <v>51</v>
      </c>
      <c r="H48" s="73">
        <v>1935162.0720712682</v>
      </c>
      <c r="I48" s="99"/>
    </row>
    <row r="49" spans="1:9" x14ac:dyDescent="0.2">
      <c r="A49" s="70"/>
      <c r="B49" s="101"/>
      <c r="C49" s="76">
        <v>22</v>
      </c>
      <c r="D49" s="64">
        <v>735942</v>
      </c>
      <c r="F49" s="101"/>
      <c r="G49" s="72">
        <v>52</v>
      </c>
      <c r="H49" s="73">
        <v>1947744.2608866189</v>
      </c>
      <c r="I49" s="99"/>
    </row>
    <row r="50" spans="1:9" x14ac:dyDescent="0.2">
      <c r="A50" s="70"/>
      <c r="B50" s="101"/>
      <c r="C50" s="76">
        <v>23</v>
      </c>
      <c r="D50" s="64">
        <v>1389019</v>
      </c>
      <c r="F50" s="101"/>
      <c r="G50" s="72">
        <v>53</v>
      </c>
      <c r="H50" s="73">
        <v>1932250.1284660357</v>
      </c>
      <c r="I50" s="99"/>
    </row>
    <row r="51" spans="1:9" x14ac:dyDescent="0.2">
      <c r="A51" s="70"/>
      <c r="B51" s="101"/>
      <c r="C51" s="76">
        <v>24</v>
      </c>
      <c r="D51" s="64">
        <v>2178487</v>
      </c>
      <c r="F51" s="101"/>
      <c r="G51" s="72">
        <v>54</v>
      </c>
      <c r="H51" s="73">
        <v>1914044.6125839385</v>
      </c>
      <c r="I51" s="99"/>
    </row>
    <row r="52" spans="1:9" x14ac:dyDescent="0.2">
      <c r="A52" s="70"/>
      <c r="B52" s="101"/>
      <c r="C52" s="76">
        <v>25</v>
      </c>
      <c r="D52" s="64">
        <v>2956526</v>
      </c>
      <c r="F52" s="101"/>
      <c r="G52" s="72">
        <v>55</v>
      </c>
      <c r="H52" s="73">
        <v>1910305.3916865271</v>
      </c>
      <c r="I52" s="99"/>
    </row>
    <row r="53" spans="1:9" x14ac:dyDescent="0.2">
      <c r="A53" s="70"/>
      <c r="B53" s="101"/>
      <c r="C53" s="76">
        <v>26</v>
      </c>
      <c r="D53" s="64">
        <v>3844942</v>
      </c>
      <c r="F53" s="101"/>
      <c r="G53" s="72">
        <v>56</v>
      </c>
      <c r="H53" s="73">
        <v>1921378.203965066</v>
      </c>
      <c r="I53" s="99"/>
    </row>
    <row r="54" spans="1:9" x14ac:dyDescent="0.2">
      <c r="A54" s="70"/>
      <c r="B54" s="101"/>
      <c r="C54" s="76">
        <v>27</v>
      </c>
      <c r="D54" s="64">
        <v>4733086</v>
      </c>
      <c r="F54" s="101"/>
      <c r="G54" s="72">
        <v>57</v>
      </c>
      <c r="H54" s="73">
        <v>2020555.2307096408</v>
      </c>
      <c r="I54" s="99"/>
    </row>
    <row r="55" spans="1:9" x14ac:dyDescent="0.2">
      <c r="A55" s="70"/>
      <c r="B55" s="101"/>
      <c r="C55" s="76">
        <v>28</v>
      </c>
      <c r="D55" s="64">
        <v>5550209</v>
      </c>
      <c r="F55" s="101"/>
      <c r="G55" s="72">
        <v>58</v>
      </c>
      <c r="H55" s="73">
        <v>2009864.0273139048</v>
      </c>
      <c r="I55" s="99"/>
    </row>
    <row r="56" spans="1:9" x14ac:dyDescent="0.2">
      <c r="A56" s="70"/>
      <c r="B56" s="101"/>
      <c r="C56" s="76">
        <v>29</v>
      </c>
      <c r="D56" s="64">
        <v>6467831</v>
      </c>
      <c r="F56" s="101"/>
      <c r="G56" s="72">
        <v>59</v>
      </c>
      <c r="H56" s="73">
        <v>2053284.6465802742</v>
      </c>
      <c r="I56" s="99"/>
    </row>
    <row r="57" spans="1:9" x14ac:dyDescent="0.2">
      <c r="A57" s="70"/>
      <c r="B57" s="101"/>
      <c r="C57" s="76">
        <v>30</v>
      </c>
      <c r="D57" s="64">
        <v>7491319</v>
      </c>
      <c r="F57" s="101"/>
      <c r="G57" s="72">
        <v>60</v>
      </c>
      <c r="H57" s="73">
        <v>0</v>
      </c>
      <c r="I57" s="99"/>
    </row>
    <row r="58" spans="1:9" x14ac:dyDescent="0.2">
      <c r="A58" s="70"/>
      <c r="B58" s="101"/>
      <c r="C58" s="76">
        <v>31</v>
      </c>
      <c r="D58" s="64">
        <v>8587645</v>
      </c>
      <c r="G58" s="64"/>
    </row>
    <row r="59" spans="1:9" x14ac:dyDescent="0.2">
      <c r="A59" s="70"/>
      <c r="B59" s="101"/>
      <c r="C59" s="76">
        <v>32</v>
      </c>
      <c r="D59" s="64">
        <v>9580032</v>
      </c>
    </row>
    <row r="60" spans="1:9" x14ac:dyDescent="0.2">
      <c r="A60" s="70"/>
      <c r="B60" s="101"/>
      <c r="C60" s="76">
        <v>33</v>
      </c>
      <c r="D60" s="64">
        <v>10679815</v>
      </c>
    </row>
    <row r="61" spans="1:9" x14ac:dyDescent="0.2">
      <c r="A61" s="70"/>
      <c r="B61" s="101"/>
      <c r="C61" s="76">
        <v>34</v>
      </c>
      <c r="D61" s="64">
        <v>11573745</v>
      </c>
    </row>
    <row r="62" spans="1:9" x14ac:dyDescent="0.2">
      <c r="A62" s="70"/>
      <c r="B62" s="101"/>
      <c r="C62" s="76">
        <v>35</v>
      </c>
      <c r="D62" s="64">
        <v>12509015</v>
      </c>
    </row>
    <row r="63" spans="1:9" x14ac:dyDescent="0.2">
      <c r="A63" s="70"/>
      <c r="B63" s="101"/>
      <c r="C63" s="76">
        <v>36</v>
      </c>
      <c r="D63" s="64">
        <v>13480889</v>
      </c>
    </row>
    <row r="64" spans="1:9" x14ac:dyDescent="0.2">
      <c r="A64" s="70"/>
      <c r="B64" s="101"/>
      <c r="C64" s="74">
        <v>37</v>
      </c>
      <c r="D64" s="66">
        <f t="shared" ref="D64:D87" si="1">D63+H34</f>
        <v>14467765.022480052</v>
      </c>
      <c r="E64" s="67"/>
    </row>
    <row r="65" spans="1:5" x14ac:dyDescent="0.2">
      <c r="A65" s="70"/>
      <c r="B65" s="101"/>
      <c r="C65" s="74">
        <v>38</v>
      </c>
      <c r="D65" s="66">
        <f t="shared" si="1"/>
        <v>15496038.149736155</v>
      </c>
      <c r="E65" s="67"/>
    </row>
    <row r="66" spans="1:5" x14ac:dyDescent="0.2">
      <c r="A66" s="70"/>
      <c r="B66" s="101"/>
      <c r="C66" s="74">
        <v>39</v>
      </c>
      <c r="D66" s="66">
        <f t="shared" si="1"/>
        <v>18381160.035647981</v>
      </c>
      <c r="E66" s="67"/>
    </row>
    <row r="67" spans="1:5" x14ac:dyDescent="0.2">
      <c r="A67" s="70"/>
      <c r="B67" s="101"/>
      <c r="C67" s="74">
        <v>40</v>
      </c>
      <c r="D67" s="66">
        <f t="shared" si="1"/>
        <v>19850422.311219934</v>
      </c>
      <c r="E67" s="67"/>
    </row>
    <row r="68" spans="1:5" x14ac:dyDescent="0.2">
      <c r="A68" s="70"/>
      <c r="B68" s="101"/>
      <c r="C68" s="74">
        <v>41</v>
      </c>
      <c r="D68" s="66">
        <f t="shared" si="1"/>
        <v>21395842.007965468</v>
      </c>
      <c r="E68" s="67"/>
    </row>
    <row r="69" spans="1:5" x14ac:dyDescent="0.2">
      <c r="A69" s="70"/>
      <c r="B69" s="101"/>
      <c r="C69" s="74">
        <v>42</v>
      </c>
      <c r="D69" s="66">
        <f t="shared" si="1"/>
        <v>23002186.395650413</v>
      </c>
      <c r="E69" s="67"/>
    </row>
    <row r="70" spans="1:5" x14ac:dyDescent="0.2">
      <c r="A70" s="70"/>
      <c r="B70" s="101"/>
      <c r="C70" s="74">
        <v>43</v>
      </c>
      <c r="D70" s="66">
        <f t="shared" si="1"/>
        <v>24683599.316614289</v>
      </c>
      <c r="E70" s="67"/>
    </row>
    <row r="71" spans="1:5" x14ac:dyDescent="0.2">
      <c r="A71" s="70"/>
      <c r="B71" s="101"/>
      <c r="C71" s="74">
        <v>44</v>
      </c>
      <c r="D71" s="66">
        <f t="shared" si="1"/>
        <v>26378480.103590038</v>
      </c>
      <c r="E71" s="67"/>
    </row>
    <row r="72" spans="1:5" x14ac:dyDescent="0.2">
      <c r="A72" s="70"/>
      <c r="B72" s="101"/>
      <c r="C72" s="74">
        <v>45</v>
      </c>
      <c r="D72" s="66">
        <f t="shared" si="1"/>
        <v>28172537.917310361</v>
      </c>
      <c r="E72" s="67"/>
    </row>
    <row r="73" spans="1:5" x14ac:dyDescent="0.2">
      <c r="A73" s="70"/>
      <c r="B73" s="101"/>
      <c r="C73" s="74">
        <v>46</v>
      </c>
      <c r="D73" s="66">
        <f t="shared" si="1"/>
        <v>29955904.527634948</v>
      </c>
      <c r="E73" s="67"/>
    </row>
    <row r="74" spans="1:5" x14ac:dyDescent="0.2">
      <c r="A74" s="70"/>
      <c r="B74" s="101"/>
      <c r="C74" s="74">
        <v>47</v>
      </c>
      <c r="D74" s="66">
        <f t="shared" si="1"/>
        <v>31782691.757225905</v>
      </c>
      <c r="E74" s="67"/>
    </row>
    <row r="75" spans="1:5" x14ac:dyDescent="0.2">
      <c r="A75" s="70"/>
      <c r="B75" s="101"/>
      <c r="C75" s="74">
        <v>48</v>
      </c>
      <c r="D75" s="66">
        <f t="shared" si="1"/>
        <v>33667263.42283567</v>
      </c>
      <c r="E75" s="67"/>
    </row>
    <row r="76" spans="1:5" x14ac:dyDescent="0.2">
      <c r="A76" s="70"/>
      <c r="B76" s="101"/>
      <c r="C76" s="74">
        <v>49</v>
      </c>
      <c r="D76" s="66">
        <f t="shared" si="1"/>
        <v>35593391.224928819</v>
      </c>
      <c r="E76" s="67"/>
    </row>
    <row r="77" spans="1:5" x14ac:dyDescent="0.2">
      <c r="A77" s="70"/>
      <c r="B77" s="101"/>
      <c r="C77" s="74">
        <v>50</v>
      </c>
      <c r="D77" s="66">
        <f t="shared" si="1"/>
        <v>37581818.754086971</v>
      </c>
      <c r="E77" s="67"/>
    </row>
    <row r="78" spans="1:5" x14ac:dyDescent="0.2">
      <c r="A78" s="70"/>
      <c r="B78" s="101"/>
      <c r="C78" s="74">
        <v>51</v>
      </c>
      <c r="D78" s="66">
        <f t="shared" si="1"/>
        <v>39516980.82615824</v>
      </c>
      <c r="E78" s="67"/>
    </row>
    <row r="79" spans="1:5" x14ac:dyDescent="0.2">
      <c r="A79" s="70"/>
      <c r="B79" s="101"/>
      <c r="C79" s="74">
        <v>52</v>
      </c>
      <c r="D79" s="66">
        <f t="shared" si="1"/>
        <v>41464725.087044857</v>
      </c>
      <c r="E79" s="67"/>
    </row>
    <row r="80" spans="1:5" x14ac:dyDescent="0.2">
      <c r="A80" s="70"/>
      <c r="B80" s="101"/>
      <c r="C80" s="74">
        <v>53</v>
      </c>
      <c r="D80" s="66">
        <f t="shared" si="1"/>
        <v>43396975.21551089</v>
      </c>
      <c r="E80" s="67"/>
    </row>
    <row r="81" spans="1:5" x14ac:dyDescent="0.2">
      <c r="A81" s="70"/>
      <c r="B81" s="101"/>
      <c r="C81" s="74">
        <v>54</v>
      </c>
      <c r="D81" s="66">
        <f t="shared" si="1"/>
        <v>45311019.828094825</v>
      </c>
      <c r="E81" s="67"/>
    </row>
    <row r="82" spans="1:5" x14ac:dyDescent="0.2">
      <c r="A82" s="70"/>
      <c r="B82" s="101"/>
      <c r="C82" s="74">
        <v>55</v>
      </c>
      <c r="D82" s="66">
        <f t="shared" si="1"/>
        <v>47221325.219781354</v>
      </c>
      <c r="E82" s="67"/>
    </row>
    <row r="83" spans="1:5" x14ac:dyDescent="0.2">
      <c r="A83" s="70"/>
      <c r="B83" s="101"/>
      <c r="C83" s="74">
        <v>56</v>
      </c>
      <c r="D83" s="66">
        <f t="shared" si="1"/>
        <v>49142703.423746422</v>
      </c>
      <c r="E83" s="67"/>
    </row>
    <row r="84" spans="1:5" x14ac:dyDescent="0.2">
      <c r="A84" s="70"/>
      <c r="B84" s="101"/>
      <c r="C84" s="74">
        <v>57</v>
      </c>
      <c r="D84" s="66">
        <f t="shared" si="1"/>
        <v>51163258.654456064</v>
      </c>
      <c r="E84" s="67"/>
    </row>
    <row r="85" spans="1:5" x14ac:dyDescent="0.2">
      <c r="A85" s="70"/>
      <c r="B85" s="101"/>
      <c r="C85" s="74">
        <v>58</v>
      </c>
      <c r="D85" s="66">
        <f t="shared" si="1"/>
        <v>53173122.681769967</v>
      </c>
      <c r="E85" s="67"/>
    </row>
    <row r="86" spans="1:5" x14ac:dyDescent="0.2">
      <c r="A86" s="70"/>
      <c r="B86" s="101"/>
      <c r="C86" s="74">
        <v>59</v>
      </c>
      <c r="D86" s="66">
        <f t="shared" si="1"/>
        <v>55226407.328350239</v>
      </c>
      <c r="E86" s="67"/>
    </row>
    <row r="87" spans="1:5" x14ac:dyDescent="0.2">
      <c r="A87" s="70"/>
      <c r="B87" s="101"/>
      <c r="C87" s="74">
        <v>60</v>
      </c>
      <c r="D87" s="66">
        <f t="shared" si="1"/>
        <v>55226407.328350239</v>
      </c>
      <c r="E87" s="67"/>
    </row>
    <row r="88" spans="1:5" x14ac:dyDescent="0.2">
      <c r="C88" s="64"/>
    </row>
  </sheetData>
  <mergeCells count="20">
    <mergeCell ref="B1:D3"/>
    <mergeCell ref="B4:C4"/>
    <mergeCell ref="B5:C5"/>
    <mergeCell ref="B6:C6"/>
    <mergeCell ref="B7:C7"/>
    <mergeCell ref="L5:L6"/>
    <mergeCell ref="M5:M6"/>
    <mergeCell ref="F5:F7"/>
    <mergeCell ref="I34:I57"/>
    <mergeCell ref="G5:G6"/>
    <mergeCell ref="H5:H6"/>
    <mergeCell ref="I5:I6"/>
    <mergeCell ref="J5:J6"/>
    <mergeCell ref="K5:K6"/>
    <mergeCell ref="B14:F16"/>
    <mergeCell ref="F33:F57"/>
    <mergeCell ref="D31:D33"/>
    <mergeCell ref="C31:C33"/>
    <mergeCell ref="B33:B87"/>
    <mergeCell ref="B8:C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Starter Information</vt:lpstr>
      <vt:lpstr>Pricing and Costs</vt:lpstr>
      <vt:lpstr>Production</vt:lpstr>
      <vt:lpstr>Capacity</vt:lpstr>
      <vt:lpstr>Orders</vt:lpstr>
      <vt:lpstr>Inventory</vt:lpstr>
      <vt:lpstr>Operating Income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Zeena Jaber</dc:creator>
  <cp:keywords/>
  <dc:description/>
  <cp:lastModifiedBy>Adrian Boß</cp:lastModifiedBy>
  <dcterms:created xsi:type="dcterms:W3CDTF">2020-09-12T10:04:54Z</dcterms:created>
  <dcterms:modified xsi:type="dcterms:W3CDTF">2021-09-27T20:55:48Z</dcterms:modified>
  <cp:category/>
</cp:coreProperties>
</file>