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burg\Desktop\EYPT - EyePoint Pharmaceuticals\"/>
    </mc:Choice>
  </mc:AlternateContent>
  <xr:revisionPtr revIDLastSave="0" documentId="13_ncr:1_{AA24AC3F-99D3-48FA-A17A-FB7064266CF5}" xr6:coauthVersionLast="47" xr6:coauthVersionMax="47" xr10:uidLastSave="{00000000-0000-0000-0000-000000000000}"/>
  <bookViews>
    <workbookView xWindow="1605" yWindow="1230" windowWidth="27000" windowHeight="14370" activeTab="1" xr2:uid="{4D0667BD-9DEC-45C0-AC1D-E3F2D3674B72}"/>
  </bookViews>
  <sheets>
    <sheet name="Main" sheetId="1" r:id="rId1"/>
    <sheet name="Model" sheetId="3" r:id="rId2"/>
    <sheet name="EYP-2301" sheetId="4" r:id="rId3"/>
    <sheet name="EYP-1901" sheetId="2" r:id="rId4"/>
    <sheet name="Duras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3" l="1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K17" i="3"/>
  <c r="K16" i="3"/>
  <c r="K12" i="3"/>
  <c r="K11" i="3"/>
  <c r="K10" i="3"/>
  <c r="K9" i="3"/>
  <c r="K6" i="3"/>
  <c r="K7" i="3" s="1"/>
  <c r="K5" i="3"/>
  <c r="K4" i="3"/>
  <c r="F14" i="3"/>
  <c r="F7" i="3"/>
  <c r="F8" i="3" s="1"/>
  <c r="J14" i="3"/>
  <c r="J7" i="3"/>
  <c r="J8" i="3" s="1"/>
  <c r="H14" i="3"/>
  <c r="H7" i="3"/>
  <c r="H8" i="3" s="1"/>
  <c r="H15" i="3" s="1"/>
  <c r="H19" i="3" s="1"/>
  <c r="H20" i="3" s="1"/>
  <c r="L14" i="3"/>
  <c r="L7" i="3"/>
  <c r="L8" i="3" s="1"/>
  <c r="I14" i="3"/>
  <c r="I7" i="3"/>
  <c r="I8" i="3" s="1"/>
  <c r="M14" i="3"/>
  <c r="M7" i="3"/>
  <c r="M8" i="3" s="1"/>
  <c r="L5" i="1"/>
  <c r="L8" i="1" s="1"/>
  <c r="M15" i="3" l="1"/>
  <c r="M19" i="3" s="1"/>
  <c r="L15" i="3"/>
  <c r="L19" i="3" s="1"/>
  <c r="L20" i="3" s="1"/>
  <c r="K14" i="3"/>
  <c r="K8" i="3"/>
  <c r="F15" i="3"/>
  <c r="F19" i="3" s="1"/>
  <c r="F20" i="3" s="1"/>
  <c r="J15" i="3"/>
  <c r="J19" i="3" s="1"/>
  <c r="J20" i="3" s="1"/>
  <c r="M20" i="3"/>
  <c r="I15" i="3"/>
  <c r="K15" i="3" l="1"/>
  <c r="K19" i="3" s="1"/>
  <c r="K20" i="3" s="1"/>
  <c r="I19" i="3"/>
  <c r="I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tc={60084E41-AE7E-4F7E-B400-A6ABA1122A85}</author>
    <author>tc={0B77BCD0-D485-4D0B-9C68-0A0D803D8022}</author>
    <author>tc={DC7F3595-DC45-41E7-8816-942E99023D83}</author>
  </authors>
  <commentList>
    <comment ref="B6" authorId="0" shapeId="0" xr:uid="{60084E41-AE7E-4F7E-B400-A6ABA1122A8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Vorolanib in Durasert E </t>
      </text>
    </comment>
    <comment ref="D6" authorId="1" shapeId="0" xr:uid="{0B77BCD0-D485-4D0B-9C68-0A0D803D80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End of Phase 2</t>
      </text>
    </comment>
    <comment ref="B7" authorId="2" shapeId="0" xr:uid="{DC7F3595-DC45-41E7-8816-942E99023D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razuprotafib in Durasert 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tc={A1DA5916-1770-4AC5-A43C-0B0B73F46F92}</author>
  </authors>
  <commentList>
    <comment ref="B11" authorId="0" shapeId="0" xr:uid="{A1DA5916-1770-4AC5-A43C-0B0B73F46F9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Sales &amp; Marketing</t>
      </text>
    </comment>
  </commentList>
</comments>
</file>

<file path=xl/sharedStrings.xml><?xml version="1.0" encoding="utf-8"?>
<sst xmlns="http://schemas.openxmlformats.org/spreadsheetml/2006/main" count="66" uniqueCount="57">
  <si>
    <t>Name</t>
  </si>
  <si>
    <t>Indication</t>
  </si>
  <si>
    <t>Approved</t>
  </si>
  <si>
    <t>Phase</t>
  </si>
  <si>
    <t>Economics</t>
  </si>
  <si>
    <t>MOA</t>
  </si>
  <si>
    <t>IP</t>
  </si>
  <si>
    <t>tyrosine kinase inhibitor</t>
  </si>
  <si>
    <t>Price</t>
  </si>
  <si>
    <t>Shares</t>
  </si>
  <si>
    <t>MC</t>
  </si>
  <si>
    <t xml:space="preserve">Cash </t>
  </si>
  <si>
    <t>Debt</t>
  </si>
  <si>
    <t>EV</t>
  </si>
  <si>
    <t>Q224</t>
  </si>
  <si>
    <t>EYP-1901</t>
  </si>
  <si>
    <t>EYP-2301</t>
  </si>
  <si>
    <t xml:space="preserve">II </t>
  </si>
  <si>
    <t xml:space="preserve">Complement Inhibitor </t>
  </si>
  <si>
    <t>GA</t>
  </si>
  <si>
    <t>Wet AMD, NPDR, DME</t>
  </si>
  <si>
    <t>serious retinal diseases</t>
  </si>
  <si>
    <t>Discovery</t>
  </si>
  <si>
    <t>Main</t>
  </si>
  <si>
    <t>Generic</t>
  </si>
  <si>
    <t>Vorolanib</t>
  </si>
  <si>
    <t>Q124</t>
  </si>
  <si>
    <t>Q423</t>
  </si>
  <si>
    <t>Q323</t>
  </si>
  <si>
    <t>Q223</t>
  </si>
  <si>
    <t>Q123</t>
  </si>
  <si>
    <t>Q422</t>
  </si>
  <si>
    <t>Q322</t>
  </si>
  <si>
    <t>in thousands</t>
  </si>
  <si>
    <t>Revenue</t>
  </si>
  <si>
    <t>Product Sales</t>
  </si>
  <si>
    <t>License and collab agreements</t>
  </si>
  <si>
    <t xml:space="preserve">Royalty income </t>
  </si>
  <si>
    <t>COGS</t>
  </si>
  <si>
    <t>R&amp;D</t>
  </si>
  <si>
    <t>OpInc</t>
  </si>
  <si>
    <t>OpEx</t>
  </si>
  <si>
    <t>S&amp;M</t>
  </si>
  <si>
    <t>G&amp;A</t>
  </si>
  <si>
    <t xml:space="preserve">Interest and other income </t>
  </si>
  <si>
    <t>Interest expense</t>
  </si>
  <si>
    <t xml:space="preserve">Loss on extinguishment of debt </t>
  </si>
  <si>
    <t>Net Loss</t>
  </si>
  <si>
    <t>EPS</t>
  </si>
  <si>
    <t xml:space="preserve">Shares </t>
  </si>
  <si>
    <t xml:space="preserve">Gross Profit </t>
  </si>
  <si>
    <t>Durasert</t>
  </si>
  <si>
    <t>Amortization of acquired intangible assets</t>
  </si>
  <si>
    <t>F2024</t>
  </si>
  <si>
    <t>F2023</t>
  </si>
  <si>
    <t>F2022</t>
  </si>
  <si>
    <t>F2021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</si>
</sst>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indexed="81"/>
      <name val="Segoe U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  <font>
      <b/>
      <sz val="11"/>
      <color theme="3" tint="0.249977111117893"/>
      <name val="Times New Roman"/>
      <family val="1"/>
    </font>
    <font>
      <sz val="11"/>
      <color theme="3" tint="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1"/>
    <xf numFmtId="0" fontId="3" fillId="0" borderId="4" xfId="1" applyBorder="1" applyAlignment="1">
      <alignment horizontal="center"/>
    </xf>
    <xf numFmtId="0" fontId="3" fillId="0" borderId="6" xfId="1" applyBorder="1" applyAlignment="1">
      <alignment horizontal="center"/>
    </xf>
    <xf numFmtId="3" fontId="4" fillId="0" borderId="0" xfId="1" applyNumberFormat="1" applyFont="1"/>
    <xf numFmtId="3" fontId="1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4" fontId="5" fillId="0" borderId="0" xfId="0" applyNumberFormat="1" applyFont="1"/>
    <xf numFmtId="4" fontId="6" fillId="0" borderId="0" xfId="0" applyNumberFormat="1" applyFont="1"/>
    <xf numFmtId="0" fontId="3" fillId="0" borderId="6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rbert Malburg" id="{B7D73859-1C71-4559-960B-408AEE399B6E}" userId="S::malburg@sms-cie.de::ed8233a0-bf81-43a8-8bb1-21c7a1649d27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8-13T09:30:16.55" personId="{B7D73859-1C71-4559-960B-408AEE399B6E}" id="{60084E41-AE7E-4F7E-B400-A6ABA1122A85}">
    <text xml:space="preserve">Vorolanib in Durasert E </text>
  </threadedComment>
  <threadedComment ref="D6" dT="2024-08-13T09:34:22.92" personId="{B7D73859-1C71-4559-960B-408AEE399B6E}" id="{0B77BCD0-D485-4D0B-9C68-0A0D803D8022}">
    <text>End of Phase 2</text>
  </threadedComment>
  <threadedComment ref="B7" dT="2024-08-13T09:31:04.99" personId="{B7D73859-1C71-4559-960B-408AEE399B6E}" id="{DC7F3595-DC45-41E7-8816-942E99023D83}">
    <text>razuprotafib in Durasert 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4-08-13T09:42:19.95" personId="{B7D73859-1C71-4559-960B-408AEE399B6E}" id="{A1DA5916-1770-4AC5-A43C-0B0B73F46F92}">
    <text>Sales &amp; Marketing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5F44-EB8A-47CF-900B-5C65CDEA612D}">
  <dimension ref="B3:M12"/>
  <sheetViews>
    <sheetView workbookViewId="0">
      <selection activeCell="C9" sqref="C9:G18"/>
    </sheetView>
  </sheetViews>
  <sheetFormatPr baseColWidth="10" defaultRowHeight="15" x14ac:dyDescent="0.25"/>
  <cols>
    <col min="1" max="1" width="11.42578125" style="4"/>
    <col min="2" max="2" width="19.7109375" style="4" bestFit="1" customWidth="1"/>
    <col min="3" max="3" width="23" style="4" bestFit="1" customWidth="1"/>
    <col min="4" max="5" width="11.42578125" style="4"/>
    <col min="6" max="6" width="22.5703125" style="4" bestFit="1" customWidth="1"/>
    <col min="7" max="16384" width="11.42578125" style="4"/>
  </cols>
  <sheetData>
    <row r="3" spans="2:13" x14ac:dyDescent="0.25">
      <c r="B3" s="1" t="s">
        <v>0</v>
      </c>
      <c r="C3" s="2" t="s">
        <v>1</v>
      </c>
      <c r="D3" s="2" t="s">
        <v>2</v>
      </c>
      <c r="E3" s="2" t="s">
        <v>4</v>
      </c>
      <c r="F3" s="2" t="s">
        <v>5</v>
      </c>
      <c r="G3" s="3" t="s">
        <v>6</v>
      </c>
      <c r="K3" s="10" t="s">
        <v>8</v>
      </c>
      <c r="L3" s="6">
        <v>8.36</v>
      </c>
      <c r="M3" s="4" t="s">
        <v>14</v>
      </c>
    </row>
    <row r="4" spans="2:13" x14ac:dyDescent="0.25">
      <c r="B4" s="32" t="s">
        <v>51</v>
      </c>
      <c r="C4" s="29"/>
      <c r="D4" s="29"/>
      <c r="E4" s="29"/>
      <c r="F4" s="29"/>
      <c r="G4" s="7"/>
      <c r="K4" s="11" t="s">
        <v>9</v>
      </c>
      <c r="L4" s="7"/>
    </row>
    <row r="5" spans="2:13" x14ac:dyDescent="0.25">
      <c r="B5" s="26"/>
      <c r="C5" s="27"/>
      <c r="D5" s="27" t="s">
        <v>3</v>
      </c>
      <c r="E5" s="27"/>
      <c r="F5" s="27"/>
      <c r="G5" s="28"/>
      <c r="K5" s="11" t="s">
        <v>10</v>
      </c>
      <c r="L5" s="7">
        <f>+L3*L4</f>
        <v>0</v>
      </c>
    </row>
    <row r="6" spans="2:13" x14ac:dyDescent="0.25">
      <c r="B6" s="20" t="s">
        <v>15</v>
      </c>
      <c r="C6" s="14" t="s">
        <v>20</v>
      </c>
      <c r="D6" s="14" t="s">
        <v>17</v>
      </c>
      <c r="E6" s="14"/>
      <c r="F6" s="14" t="s">
        <v>7</v>
      </c>
      <c r="G6" s="15"/>
      <c r="K6" s="11" t="s">
        <v>11</v>
      </c>
      <c r="L6" s="7"/>
    </row>
    <row r="7" spans="2:13" x14ac:dyDescent="0.25">
      <c r="B7" s="21" t="s">
        <v>16</v>
      </c>
      <c r="C7" s="13" t="s">
        <v>21</v>
      </c>
      <c r="D7" s="13" t="s">
        <v>17</v>
      </c>
      <c r="E7" s="13"/>
      <c r="F7" s="13"/>
      <c r="G7" s="16"/>
      <c r="K7" s="11" t="s">
        <v>12</v>
      </c>
      <c r="L7" s="7"/>
    </row>
    <row r="8" spans="2:13" x14ac:dyDescent="0.25">
      <c r="B8" s="8" t="s">
        <v>18</v>
      </c>
      <c r="C8" s="17" t="s">
        <v>19</v>
      </c>
      <c r="D8" s="17" t="s">
        <v>22</v>
      </c>
      <c r="E8" s="17"/>
      <c r="F8" s="17"/>
      <c r="G8" s="18"/>
      <c r="K8" s="12" t="s">
        <v>13</v>
      </c>
      <c r="L8" s="9">
        <f>+L5-L6+L7</f>
        <v>0</v>
      </c>
    </row>
    <row r="9" spans="2:13" x14ac:dyDescent="0.25">
      <c r="G9" s="5"/>
    </row>
    <row r="10" spans="2:13" x14ac:dyDescent="0.25">
      <c r="G10" s="5"/>
    </row>
    <row r="11" spans="2:13" x14ac:dyDescent="0.25">
      <c r="B11" s="5"/>
      <c r="C11" s="5"/>
      <c r="D11" s="5"/>
      <c r="E11" s="5"/>
      <c r="F11" s="5"/>
      <c r="G11" s="5"/>
    </row>
    <row r="12" spans="2:13" x14ac:dyDescent="0.25">
      <c r="B12" s="5"/>
      <c r="C12" s="5"/>
      <c r="D12" s="5"/>
      <c r="E12" s="5"/>
      <c r="F12" s="5"/>
      <c r="G12" s="5"/>
    </row>
  </sheetData>
  <hyperlinks>
    <hyperlink ref="B6" location="'EYP-1901'!A1" display="EYP-1901" xr:uid="{5DB925C3-38D3-4AE3-80B9-AE975F6A164B}"/>
    <hyperlink ref="B7" location="'EYP-2301'!A1" display="EYP-2301" xr:uid="{387F2CF7-6BAF-42F5-A977-D54D74CD1826}"/>
    <hyperlink ref="B4" location="Durasert!A1" display="Durasert" xr:uid="{C452D7C4-0EBD-4B8F-87E3-162944AD469C}"/>
  </hyperlink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4EC4-1761-4632-96D3-86D786D1B841}">
  <dimension ref="A1:T21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P26" sqref="P26"/>
    </sheetView>
  </sheetViews>
  <sheetFormatPr baseColWidth="10" defaultRowHeight="15" x14ac:dyDescent="0.25"/>
  <cols>
    <col min="1" max="1" width="5.42578125" style="23" bestFit="1" customWidth="1"/>
    <col min="2" max="2" width="28" style="23" bestFit="1" customWidth="1"/>
    <col min="3" max="16384" width="11.42578125" style="23"/>
  </cols>
  <sheetData>
    <row r="1" spans="1:20" x14ac:dyDescent="0.25">
      <c r="A1" s="22" t="s">
        <v>23</v>
      </c>
    </row>
    <row r="2" spans="1:20" x14ac:dyDescent="0.25">
      <c r="B2" s="23" t="s">
        <v>33</v>
      </c>
      <c r="F2" s="23" t="s">
        <v>32</v>
      </c>
      <c r="G2" s="23" t="s">
        <v>31</v>
      </c>
      <c r="H2" s="23" t="s">
        <v>30</v>
      </c>
      <c r="I2" s="23" t="s">
        <v>29</v>
      </c>
      <c r="J2" s="23" t="s">
        <v>28</v>
      </c>
      <c r="K2" s="23" t="s">
        <v>27</v>
      </c>
      <c r="L2" s="23" t="s">
        <v>26</v>
      </c>
      <c r="M2" s="23" t="s">
        <v>14</v>
      </c>
      <c r="Q2" s="23" t="s">
        <v>56</v>
      </c>
      <c r="R2" s="23" t="s">
        <v>55</v>
      </c>
      <c r="S2" s="23" t="s">
        <v>54</v>
      </c>
      <c r="T2" s="23" t="s">
        <v>53</v>
      </c>
    </row>
    <row r="4" spans="1:20" x14ac:dyDescent="0.25">
      <c r="B4" s="23" t="s">
        <v>35</v>
      </c>
      <c r="F4" s="23">
        <v>9720</v>
      </c>
      <c r="H4" s="23">
        <v>7394</v>
      </c>
      <c r="I4" s="23">
        <v>5273</v>
      </c>
      <c r="J4" s="23">
        <v>816</v>
      </c>
      <c r="K4" s="23">
        <f>14232-J4-I4-H4</f>
        <v>749</v>
      </c>
      <c r="L4" s="23">
        <v>658</v>
      </c>
      <c r="M4" s="23">
        <v>1068</v>
      </c>
      <c r="S4" s="23">
        <f>+SUM(H4:K4)</f>
        <v>14232</v>
      </c>
    </row>
    <row r="5" spans="1:20" x14ac:dyDescent="0.25">
      <c r="B5" s="23" t="s">
        <v>36</v>
      </c>
      <c r="F5" s="23">
        <v>52</v>
      </c>
      <c r="H5" s="23">
        <v>34</v>
      </c>
      <c r="I5" s="23">
        <v>3597</v>
      </c>
      <c r="J5" s="23">
        <v>14137</v>
      </c>
      <c r="K5" s="23">
        <f>30797-J5-I5-H5</f>
        <v>13029</v>
      </c>
      <c r="L5" s="23">
        <v>10563</v>
      </c>
      <c r="M5" s="23">
        <v>7782</v>
      </c>
      <c r="S5" s="23">
        <f>+SUM(H5:K5)</f>
        <v>30797</v>
      </c>
    </row>
    <row r="6" spans="1:20" x14ac:dyDescent="0.25">
      <c r="B6" s="23" t="s">
        <v>37</v>
      </c>
      <c r="F6" s="23">
        <v>240</v>
      </c>
      <c r="H6" s="23">
        <v>255</v>
      </c>
      <c r="I6" s="23">
        <v>235</v>
      </c>
      <c r="J6" s="23">
        <v>249</v>
      </c>
      <c r="K6" s="23">
        <f>989-J6-I6-H6</f>
        <v>250</v>
      </c>
      <c r="L6" s="23">
        <v>463</v>
      </c>
      <c r="M6" s="23">
        <v>627</v>
      </c>
      <c r="S6" s="23">
        <f>+SUM(H6:K6)</f>
        <v>989</v>
      </c>
    </row>
    <row r="7" spans="1:20" s="24" customFormat="1" ht="14.25" x14ac:dyDescent="0.2">
      <c r="B7" s="24" t="s">
        <v>34</v>
      </c>
      <c r="F7" s="24">
        <f>+SUM(F4:F6)</f>
        <v>10012</v>
      </c>
      <c r="H7" s="24">
        <f>+SUM(H4:H6)</f>
        <v>7683</v>
      </c>
      <c r="I7" s="24">
        <f>+SUM(I4:I6)</f>
        <v>9105</v>
      </c>
      <c r="J7" s="24">
        <f>+SUM(J4:J6)</f>
        <v>15202</v>
      </c>
      <c r="K7" s="24">
        <f>+SUM(K4:K6)</f>
        <v>14028</v>
      </c>
      <c r="L7" s="24">
        <f>+SUM(L4:L6)</f>
        <v>11684</v>
      </c>
      <c r="M7" s="24">
        <f>+SUM(M4:M6)</f>
        <v>9477</v>
      </c>
      <c r="S7" s="24">
        <f>+SUM(H7:K7)</f>
        <v>46018</v>
      </c>
    </row>
    <row r="8" spans="1:20" s="25" customFormat="1" x14ac:dyDescent="0.25">
      <c r="B8" s="25" t="s">
        <v>50</v>
      </c>
      <c r="F8" s="25">
        <f>+F7-F9</f>
        <v>8607</v>
      </c>
      <c r="H8" s="25">
        <f>+H7-H9</f>
        <v>7043</v>
      </c>
      <c r="I8" s="25">
        <f>+I7-I9</f>
        <v>7313</v>
      </c>
      <c r="J8" s="25">
        <f>+J7-J9</f>
        <v>14000</v>
      </c>
      <c r="K8" s="25">
        <f>+K7-K9</f>
        <v>13030</v>
      </c>
      <c r="L8" s="25">
        <f>+L7-L9</f>
        <v>10925</v>
      </c>
      <c r="M8" s="25">
        <f>+M7-M9</f>
        <v>8076</v>
      </c>
      <c r="S8" s="25">
        <f>+SUM(H8:K8)</f>
        <v>41386</v>
      </c>
    </row>
    <row r="9" spans="1:20" x14ac:dyDescent="0.25">
      <c r="B9" s="23" t="s">
        <v>38</v>
      </c>
      <c r="F9" s="23">
        <v>1405</v>
      </c>
      <c r="H9" s="23">
        <v>640</v>
      </c>
      <c r="I9" s="23">
        <v>1792</v>
      </c>
      <c r="J9" s="23">
        <v>1202</v>
      </c>
      <c r="K9" s="23">
        <f>4632-J9-I9-H9</f>
        <v>998</v>
      </c>
      <c r="L9" s="23">
        <v>759</v>
      </c>
      <c r="M9" s="23">
        <v>1401</v>
      </c>
      <c r="S9" s="23">
        <f>+SUM(H9:K9)</f>
        <v>4632</v>
      </c>
    </row>
    <row r="10" spans="1:20" x14ac:dyDescent="0.25">
      <c r="B10" s="23" t="s">
        <v>39</v>
      </c>
      <c r="F10" s="23">
        <v>11162</v>
      </c>
      <c r="H10" s="23">
        <v>13618</v>
      </c>
      <c r="I10" s="23">
        <v>15730</v>
      </c>
      <c r="J10" s="23">
        <v>17363</v>
      </c>
      <c r="K10" s="23">
        <f>64662-J10-I10-H10</f>
        <v>17951</v>
      </c>
      <c r="L10" s="23">
        <v>30139</v>
      </c>
      <c r="M10" s="23">
        <v>29822</v>
      </c>
      <c r="S10" s="23">
        <f>+SUM(H10:K10)</f>
        <v>64662</v>
      </c>
    </row>
    <row r="11" spans="1:20" x14ac:dyDescent="0.25">
      <c r="B11" s="23" t="s">
        <v>42</v>
      </c>
      <c r="F11" s="23">
        <v>6016</v>
      </c>
      <c r="H11" s="23">
        <v>5737</v>
      </c>
      <c r="I11" s="23">
        <v>5288</v>
      </c>
      <c r="J11" s="23">
        <v>479</v>
      </c>
      <c r="K11" s="23">
        <f>11689-J11-I11-H11</f>
        <v>185</v>
      </c>
      <c r="L11" s="23">
        <v>6</v>
      </c>
      <c r="M11" s="23">
        <v>50</v>
      </c>
      <c r="S11" s="23">
        <f>+SUM(H11:K11)</f>
        <v>11689</v>
      </c>
    </row>
    <row r="12" spans="1:20" x14ac:dyDescent="0.25">
      <c r="B12" s="23" t="s">
        <v>43</v>
      </c>
      <c r="F12" s="23">
        <v>9212</v>
      </c>
      <c r="H12" s="23">
        <v>9242</v>
      </c>
      <c r="I12" s="23">
        <v>9056</v>
      </c>
      <c r="J12" s="23">
        <v>10556</v>
      </c>
      <c r="K12" s="23">
        <f>40102-J12-I12-H12</f>
        <v>11248</v>
      </c>
      <c r="L12" s="23">
        <v>14101</v>
      </c>
      <c r="M12" s="23">
        <v>12750</v>
      </c>
      <c r="S12" s="23">
        <f>+SUM(H12:K12)</f>
        <v>40102</v>
      </c>
    </row>
    <row r="13" spans="1:20" x14ac:dyDescent="0.25">
      <c r="B13" s="23" t="s">
        <v>52</v>
      </c>
      <c r="F13" s="23">
        <v>615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S13" s="23">
        <f>+SUM(H13:K13)</f>
        <v>0</v>
      </c>
    </row>
    <row r="14" spans="1:20" s="25" customFormat="1" x14ac:dyDescent="0.25">
      <c r="B14" s="25" t="s">
        <v>41</v>
      </c>
      <c r="F14" s="25">
        <f>+SUM(F10:F13)</f>
        <v>27005</v>
      </c>
      <c r="H14" s="25">
        <f>+SUM(H10:H12)</f>
        <v>28597</v>
      </c>
      <c r="I14" s="25">
        <f>+SUM(I10:I12)</f>
        <v>30074</v>
      </c>
      <c r="J14" s="25">
        <f>+SUM(J10:J12)</f>
        <v>28398</v>
      </c>
      <c r="K14" s="25">
        <f>+SUM(K10:K12)</f>
        <v>29384</v>
      </c>
      <c r="L14" s="25">
        <f>+SUM(L10:L12)</f>
        <v>44246</v>
      </c>
      <c r="M14" s="25">
        <f>+SUM(M10:M12)</f>
        <v>42622</v>
      </c>
      <c r="S14" s="25">
        <f>+SUM(H14:K14)</f>
        <v>116453</v>
      </c>
    </row>
    <row r="15" spans="1:20" s="25" customFormat="1" x14ac:dyDescent="0.25">
      <c r="B15" s="25" t="s">
        <v>40</v>
      </c>
      <c r="F15" s="25">
        <f>+F8-F14</f>
        <v>-18398</v>
      </c>
      <c r="H15" s="25">
        <f>+H8-H14</f>
        <v>-21554</v>
      </c>
      <c r="I15" s="25">
        <f>+I8-I14</f>
        <v>-22761</v>
      </c>
      <c r="J15" s="25">
        <f>+J8-J14</f>
        <v>-14398</v>
      </c>
      <c r="K15" s="25">
        <f>+K8-K14</f>
        <v>-16354</v>
      </c>
      <c r="L15" s="25">
        <f>+L8-L14</f>
        <v>-33321</v>
      </c>
      <c r="M15" s="25">
        <f>+M8-M14</f>
        <v>-34546</v>
      </c>
      <c r="S15" s="25">
        <f>+SUM(H15:K15)</f>
        <v>-75067</v>
      </c>
    </row>
    <row r="16" spans="1:20" x14ac:dyDescent="0.25">
      <c r="B16" s="23" t="s">
        <v>44</v>
      </c>
      <c r="F16" s="23">
        <v>640</v>
      </c>
      <c r="H16" s="23">
        <v>1202</v>
      </c>
      <c r="I16" s="23">
        <v>1623</v>
      </c>
      <c r="J16" s="23">
        <v>1786</v>
      </c>
      <c r="K16" s="23">
        <f>6949-J16-I16-H16</f>
        <v>2338</v>
      </c>
      <c r="L16" s="23">
        <v>4037</v>
      </c>
      <c r="M16" s="23">
        <v>3720</v>
      </c>
      <c r="S16" s="23">
        <f>+SUM(H16:K16)</f>
        <v>6949</v>
      </c>
    </row>
    <row r="17" spans="2:19" x14ac:dyDescent="0.25">
      <c r="B17" s="23" t="s">
        <v>45</v>
      </c>
      <c r="F17" s="23">
        <v>-662</v>
      </c>
      <c r="H17" s="23">
        <v>-812</v>
      </c>
      <c r="I17" s="23">
        <v>-435</v>
      </c>
      <c r="J17" s="23">
        <v>0</v>
      </c>
      <c r="K17" s="23">
        <f>-1247-J17-I17-H17</f>
        <v>0</v>
      </c>
      <c r="L17" s="23">
        <v>0</v>
      </c>
      <c r="M17" s="23">
        <v>0</v>
      </c>
      <c r="S17" s="23">
        <f>+SUM(H17:K17)</f>
        <v>-1247</v>
      </c>
    </row>
    <row r="18" spans="2:19" s="24" customFormat="1" x14ac:dyDescent="0.25">
      <c r="B18" s="23" t="s">
        <v>46</v>
      </c>
      <c r="F18" s="24">
        <v>0</v>
      </c>
      <c r="H18" s="24">
        <v>0</v>
      </c>
      <c r="I18" s="24">
        <v>-1347</v>
      </c>
      <c r="J18" s="24">
        <v>0</v>
      </c>
      <c r="K18" s="24">
        <v>0</v>
      </c>
      <c r="L18" s="24">
        <v>0</v>
      </c>
      <c r="M18" s="24">
        <v>0</v>
      </c>
      <c r="S18" s="23">
        <f>+SUM(H18:K18)</f>
        <v>-1347</v>
      </c>
    </row>
    <row r="19" spans="2:19" s="24" customFormat="1" x14ac:dyDescent="0.25">
      <c r="B19" s="24" t="s">
        <v>47</v>
      </c>
      <c r="F19" s="24">
        <f>+F15+F16+F17+F18</f>
        <v>-18420</v>
      </c>
      <c r="H19" s="24">
        <f>+H15+H16+H17+H18</f>
        <v>-21164</v>
      </c>
      <c r="I19" s="24">
        <f>+I15+I16+I17+I18</f>
        <v>-22920</v>
      </c>
      <c r="J19" s="24">
        <f>+J15+J16+J17+J18</f>
        <v>-12612</v>
      </c>
      <c r="K19" s="24">
        <f>+K15+K16+K17+K18</f>
        <v>-14016</v>
      </c>
      <c r="L19" s="24">
        <f>+L15+L16+L17+L18</f>
        <v>-29284</v>
      </c>
      <c r="M19" s="24">
        <f>+M15+M16+M17+M18</f>
        <v>-30826</v>
      </c>
      <c r="S19" s="25">
        <f>+SUM(H19:K19)</f>
        <v>-70712</v>
      </c>
    </row>
    <row r="20" spans="2:19" s="31" customFormat="1" x14ac:dyDescent="0.25">
      <c r="B20" s="30" t="s">
        <v>48</v>
      </c>
      <c r="F20" s="31" t="e">
        <f>+F19/F21</f>
        <v>#DIV/0!</v>
      </c>
      <c r="H20" s="31" t="e">
        <f>+H19/H21</f>
        <v>#DIV/0!</v>
      </c>
      <c r="I20" s="31" t="e">
        <f>+I19/I21</f>
        <v>#DIV/0!</v>
      </c>
      <c r="J20" s="31">
        <f>+J19/J21</f>
        <v>-0.35718501504074041</v>
      </c>
      <c r="K20" s="31">
        <f>+K19/K21</f>
        <v>-0.28127186900822287</v>
      </c>
      <c r="L20" s="31">
        <f>+L19/L21</f>
        <v>-0.56224155516889662</v>
      </c>
      <c r="M20" s="31">
        <f>+M19/M21</f>
        <v>-0.57599086367051511</v>
      </c>
      <c r="S20" s="25" t="e">
        <f>+SUM(H20:K20)</f>
        <v>#DIV/0!</v>
      </c>
    </row>
    <row r="21" spans="2:19" x14ac:dyDescent="0.25">
      <c r="B21" s="23" t="s">
        <v>49</v>
      </c>
      <c r="J21" s="23">
        <v>35309.432000000001</v>
      </c>
      <c r="K21" s="23">
        <v>49830.792000000001</v>
      </c>
      <c r="L21" s="23">
        <v>52084.375</v>
      </c>
      <c r="M21" s="23">
        <v>53518.21</v>
      </c>
      <c r="S21" s="23">
        <f>+AVERAGE(H21:K21)</f>
        <v>42570.112000000001</v>
      </c>
    </row>
  </sheetData>
  <hyperlinks>
    <hyperlink ref="A1" location="Main!A1" display="Main" xr:uid="{F1303D64-2C43-42DF-B35E-2EF81424E61F}"/>
  </hyperlink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6486-44B2-4432-B6A0-22E1BCD883AF}">
  <dimension ref="A1:C4"/>
  <sheetViews>
    <sheetView workbookViewId="0">
      <selection activeCell="C3" sqref="C3:D6"/>
    </sheetView>
  </sheetViews>
  <sheetFormatPr baseColWidth="10" defaultRowHeight="15" x14ac:dyDescent="0.25"/>
  <cols>
    <col min="1" max="1" width="5.42578125" bestFit="1" customWidth="1"/>
  </cols>
  <sheetData>
    <row r="1" spans="1:3" x14ac:dyDescent="0.25">
      <c r="A1" s="19" t="s">
        <v>23</v>
      </c>
    </row>
    <row r="3" spans="1:3" x14ac:dyDescent="0.25">
      <c r="C3" t="s">
        <v>0</v>
      </c>
    </row>
    <row r="4" spans="1:3" x14ac:dyDescent="0.25">
      <c r="C4" t="s">
        <v>24</v>
      </c>
    </row>
  </sheetData>
  <hyperlinks>
    <hyperlink ref="A1" location="Main!A1" display="Main" xr:uid="{FC8F809F-E48C-406E-8C89-F59DFC4C84E7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88CC-05F2-4218-8018-B12D4122A047}">
  <dimension ref="A1:D4"/>
  <sheetViews>
    <sheetView workbookViewId="0">
      <selection activeCell="C2" sqref="C2:E4"/>
    </sheetView>
  </sheetViews>
  <sheetFormatPr baseColWidth="10" defaultRowHeight="15" x14ac:dyDescent="0.25"/>
  <cols>
    <col min="1" max="1" width="5.42578125" bestFit="1" customWidth="1"/>
  </cols>
  <sheetData>
    <row r="1" spans="1:4" x14ac:dyDescent="0.25">
      <c r="A1" s="19" t="s">
        <v>23</v>
      </c>
    </row>
    <row r="3" spans="1:4" x14ac:dyDescent="0.25">
      <c r="C3" t="s">
        <v>0</v>
      </c>
      <c r="D3" t="s">
        <v>25</v>
      </c>
    </row>
    <row r="4" spans="1:4" x14ac:dyDescent="0.25">
      <c r="C4" t="s">
        <v>24</v>
      </c>
      <c r="D4" t="s">
        <v>15</v>
      </c>
    </row>
  </sheetData>
  <hyperlinks>
    <hyperlink ref="A1" location="Main!A1" display="Main" xr:uid="{C07AD1E9-226F-47A4-9673-14BFE7341E06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C534-CB79-4844-90AE-AB5819BAE73F}">
  <dimension ref="A1"/>
  <sheetViews>
    <sheetView workbookViewId="0"/>
  </sheetViews>
  <sheetFormatPr baseColWidth="10" defaultRowHeight="15" x14ac:dyDescent="0.25"/>
  <cols>
    <col min="1" max="1" width="5.42578125" bestFit="1" customWidth="1"/>
  </cols>
  <sheetData>
    <row r="1" spans="1:1" x14ac:dyDescent="0.25">
      <c r="A1" s="19" t="s">
        <v>23</v>
      </c>
    </row>
  </sheetData>
  <hyperlinks>
    <hyperlink ref="A1" location="Main!A1" display="Main" xr:uid="{980B360C-BB3D-4DB4-B532-E1055D63388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Model</vt:lpstr>
      <vt:lpstr>EYP-2301</vt:lpstr>
      <vt:lpstr>EYP-1901</vt:lpstr>
      <vt:lpstr>Durasert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Malburg</dc:creator>
  <cp:lastModifiedBy>Norbert Malburg</cp:lastModifiedBy>
  <dcterms:created xsi:type="dcterms:W3CDTF">2024-08-13T09:26:33Z</dcterms:created>
  <dcterms:modified xsi:type="dcterms:W3CDTF">2024-08-13T10:10:00Z</dcterms:modified>
</cp:coreProperties>
</file>