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lburg\Desktop\"/>
    </mc:Choice>
  </mc:AlternateContent>
  <xr:revisionPtr revIDLastSave="0" documentId="13_ncr:1_{0FCA6441-D53B-47D0-8BCF-F03ADA65F1E8}" xr6:coauthVersionLast="47" xr6:coauthVersionMax="47" xr10:uidLastSave="{00000000-0000-0000-0000-000000000000}"/>
  <bookViews>
    <workbookView xWindow="-120" yWindow="-120" windowWidth="29040" windowHeight="15840" activeTab="5" xr2:uid="{A60D6F5D-C7AD-4CE4-9596-6485E651EC61}"/>
  </bookViews>
  <sheets>
    <sheet name="Main" sheetId="1" r:id="rId1"/>
    <sheet name="Model" sheetId="9" r:id="rId2"/>
    <sheet name="Literature" sheetId="14" r:id="rId3"/>
    <sheet name="Catalysts" sheetId="10" r:id="rId4"/>
    <sheet name="LINKER-MM1" sheetId="12" r:id="rId5"/>
    <sheet name="Linvoseltamab" sheetId="11" r:id="rId6"/>
    <sheet name="Dupixent" sheetId="8" r:id="rId7"/>
    <sheet name="Eylea" sheetId="3" r:id="rId8"/>
    <sheet name="Arcalyst" sheetId="2" r:id="rId9"/>
    <sheet name="Zaltrap" sheetId="4" r:id="rId10"/>
    <sheet name="VEGF Trap" sheetId="5" r:id="rId11"/>
    <sheet name="Praluent" sheetId="6" r:id="rId12"/>
    <sheet name="Kevzara" sheetId="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0" i="14" l="1"/>
  <c r="E337" i="14"/>
  <c r="E334" i="14"/>
  <c r="E331" i="14"/>
  <c r="E328" i="14"/>
  <c r="E325" i="14"/>
  <c r="E322" i="14"/>
  <c r="E319" i="14"/>
  <c r="E316" i="14"/>
  <c r="E313" i="14"/>
  <c r="E310" i="14"/>
  <c r="E307" i="14"/>
  <c r="E304" i="14"/>
  <c r="E301" i="14"/>
  <c r="E298" i="14"/>
  <c r="E295" i="14"/>
  <c r="E292" i="14"/>
  <c r="E289" i="14"/>
  <c r="E286" i="14"/>
  <c r="E283" i="14"/>
  <c r="E280" i="14"/>
  <c r="E277" i="14"/>
  <c r="E274" i="14"/>
  <c r="E271" i="14"/>
  <c r="E268" i="14"/>
  <c r="E265" i="14"/>
  <c r="E262" i="14"/>
  <c r="E259" i="14"/>
  <c r="E256" i="14"/>
  <c r="E253" i="14"/>
  <c r="E250" i="14"/>
  <c r="E247" i="14"/>
  <c r="E244" i="14"/>
  <c r="E241" i="14"/>
  <c r="E238" i="14"/>
  <c r="E235" i="14"/>
  <c r="E232" i="14"/>
  <c r="E229" i="14"/>
  <c r="E226" i="14"/>
  <c r="E223" i="14"/>
  <c r="E220" i="14"/>
  <c r="E217" i="14"/>
  <c r="E214" i="14"/>
  <c r="E211" i="14"/>
  <c r="E208" i="14"/>
  <c r="E205" i="14"/>
  <c r="E202" i="14"/>
  <c r="E199" i="14"/>
  <c r="E196" i="14"/>
  <c r="E193" i="14"/>
  <c r="E190" i="14"/>
  <c r="E187" i="14"/>
  <c r="E184" i="14"/>
  <c r="E181" i="14"/>
  <c r="E178" i="14"/>
  <c r="E175" i="14"/>
  <c r="E172" i="14"/>
  <c r="E169" i="14"/>
  <c r="E166" i="14"/>
  <c r="E163" i="14"/>
  <c r="E160" i="14"/>
  <c r="E157" i="14"/>
  <c r="E151" i="14"/>
  <c r="E148" i="14"/>
  <c r="E145" i="14"/>
  <c r="E142" i="14"/>
  <c r="E139" i="14"/>
  <c r="E136" i="14"/>
  <c r="E133" i="14"/>
  <c r="E130" i="14"/>
  <c r="E127" i="14"/>
  <c r="E124" i="14"/>
  <c r="E121" i="14"/>
  <c r="E118" i="14"/>
  <c r="E115" i="14"/>
  <c r="E112" i="14"/>
  <c r="E109" i="14"/>
  <c r="E106" i="14"/>
  <c r="E103" i="14"/>
  <c r="E100" i="14"/>
  <c r="E97" i="14"/>
  <c r="E94" i="14"/>
  <c r="E91" i="14"/>
  <c r="E88" i="14"/>
  <c r="E85" i="14"/>
  <c r="E82" i="14"/>
  <c r="E79" i="14"/>
  <c r="E76" i="14"/>
  <c r="E73" i="14"/>
  <c r="E70" i="14"/>
  <c r="E67" i="14"/>
  <c r="E64" i="14"/>
  <c r="E61" i="14"/>
  <c r="E58" i="14"/>
  <c r="E55" i="14"/>
  <c r="E52" i="14"/>
  <c r="E49" i="14"/>
  <c r="E46" i="14"/>
  <c r="E43" i="14"/>
  <c r="E40" i="14"/>
  <c r="E37" i="14"/>
  <c r="E34" i="14"/>
  <c r="E31" i="14"/>
  <c r="E28" i="14"/>
  <c r="E25" i="14"/>
  <c r="E22" i="14"/>
  <c r="E19" i="14"/>
  <c r="E16" i="14"/>
  <c r="E13" i="14"/>
  <c r="E10" i="14"/>
  <c r="E7" i="14"/>
  <c r="J3" i="1"/>
  <c r="R62" i="9"/>
  <c r="R57" i="9"/>
  <c r="R53" i="9"/>
  <c r="R45" i="9"/>
  <c r="R26" i="9"/>
  <c r="R23" i="9"/>
  <c r="R22" i="9"/>
  <c r="R20" i="9"/>
  <c r="R21" i="9" s="1"/>
  <c r="V38" i="9"/>
  <c r="U38" i="9"/>
  <c r="T38" i="9"/>
  <c r="S38" i="9"/>
  <c r="R36" i="9"/>
  <c r="R35" i="9"/>
  <c r="R34" i="9"/>
  <c r="R33" i="9"/>
  <c r="R24" i="9"/>
  <c r="R9" i="9"/>
  <c r="AL9" i="9"/>
  <c r="R4" i="9"/>
  <c r="AK30" i="9"/>
  <c r="AJ30" i="9"/>
  <c r="AL31" i="9"/>
  <c r="AK31" i="9"/>
  <c r="AJ31" i="9"/>
  <c r="AK29" i="9"/>
  <c r="AJ29" i="9"/>
  <c r="AK28" i="9"/>
  <c r="AJ28" i="9"/>
  <c r="AK27" i="9"/>
  <c r="AJ27" i="9"/>
  <c r="AM26" i="9"/>
  <c r="AL26" i="9"/>
  <c r="AK26" i="9"/>
  <c r="AJ26" i="9"/>
  <c r="AK25" i="9"/>
  <c r="AJ25" i="9"/>
  <c r="AK24" i="9"/>
  <c r="AJ24" i="9"/>
  <c r="AL23" i="9"/>
  <c r="AK23" i="9"/>
  <c r="AJ23" i="9"/>
  <c r="AM22" i="9"/>
  <c r="AL22" i="9"/>
  <c r="AK22" i="9"/>
  <c r="AJ22" i="9"/>
  <c r="AK21" i="9"/>
  <c r="AJ21" i="9"/>
  <c r="AK20" i="9"/>
  <c r="AJ20" i="9"/>
  <c r="AM15" i="9"/>
  <c r="AM14" i="9"/>
  <c r="AM13" i="9"/>
  <c r="AM12" i="9"/>
  <c r="AM11" i="9"/>
  <c r="AM10" i="9"/>
  <c r="AM8" i="9"/>
  <c r="AM7" i="9"/>
  <c r="AM6" i="9"/>
  <c r="AM3" i="9"/>
  <c r="AL18" i="9"/>
  <c r="AL17" i="9"/>
  <c r="AL16" i="9"/>
  <c r="AL15" i="9"/>
  <c r="AL14" i="9"/>
  <c r="AL13" i="9"/>
  <c r="AL12" i="9"/>
  <c r="AL11" i="9"/>
  <c r="AL10" i="9"/>
  <c r="AL8" i="9"/>
  <c r="AL7" i="9"/>
  <c r="AL6" i="9"/>
  <c r="AL5" i="9"/>
  <c r="AL4" i="9"/>
  <c r="AL3" i="9"/>
  <c r="AK19" i="9"/>
  <c r="AK18" i="9"/>
  <c r="AK17" i="9"/>
  <c r="AK16" i="9"/>
  <c r="AK15" i="9"/>
  <c r="AK14" i="9"/>
  <c r="AK13" i="9"/>
  <c r="AK12" i="9"/>
  <c r="AK11" i="9"/>
  <c r="AK10" i="9"/>
  <c r="AK9" i="9"/>
  <c r="AK8" i="9"/>
  <c r="AK7" i="9"/>
  <c r="AK6" i="9"/>
  <c r="AK5" i="9"/>
  <c r="AK4" i="9"/>
  <c r="AK3" i="9"/>
  <c r="AJ19" i="9"/>
  <c r="AJ18" i="9"/>
  <c r="AJ17" i="9"/>
  <c r="AJ16" i="9"/>
  <c r="AJ15" i="9"/>
  <c r="AJ14" i="9"/>
  <c r="AJ13" i="9"/>
  <c r="AJ12" i="9"/>
  <c r="AJ11" i="9"/>
  <c r="AJ10" i="9"/>
  <c r="AJ9" i="9"/>
  <c r="AJ8" i="9"/>
  <c r="AJ7" i="9"/>
  <c r="AJ6" i="9"/>
  <c r="AJ5" i="9"/>
  <c r="AJ4" i="9"/>
  <c r="AJ3" i="9"/>
  <c r="G26" i="9"/>
  <c r="G23" i="9"/>
  <c r="G24" i="9"/>
  <c r="G25" i="9" s="1"/>
  <c r="G21" i="9"/>
  <c r="G38" i="9" s="1"/>
  <c r="G20" i="9"/>
  <c r="G12" i="9"/>
  <c r="G9" i="9" s="1"/>
  <c r="D9" i="9"/>
  <c r="C9" i="9"/>
  <c r="K36" i="9"/>
  <c r="K34" i="9"/>
  <c r="C19" i="9"/>
  <c r="D19" i="9"/>
  <c r="H26" i="9"/>
  <c r="H24" i="9"/>
  <c r="H25" i="9" s="1"/>
  <c r="H20" i="9"/>
  <c r="H21" i="9"/>
  <c r="H38" i="9" s="1"/>
  <c r="H12" i="9"/>
  <c r="H9" i="9" s="1"/>
  <c r="L36" i="9"/>
  <c r="L34" i="9"/>
  <c r="Q34" i="9"/>
  <c r="P34" i="9"/>
  <c r="O34" i="9"/>
  <c r="N34" i="9"/>
  <c r="M34" i="9"/>
  <c r="V36" i="9"/>
  <c r="U36" i="9"/>
  <c r="T36" i="9"/>
  <c r="S36" i="9"/>
  <c r="U3" i="9"/>
  <c r="U34" i="9" s="1"/>
  <c r="T3" i="9"/>
  <c r="T34" i="9" s="1"/>
  <c r="S3" i="9"/>
  <c r="S34" i="9" s="1"/>
  <c r="S6" i="9"/>
  <c r="T6" i="9" s="1"/>
  <c r="U6" i="9" s="1"/>
  <c r="V6" i="9" s="1"/>
  <c r="U16" i="9"/>
  <c r="T16" i="9"/>
  <c r="S16" i="9"/>
  <c r="V16" i="9"/>
  <c r="AM16" i="9" s="1"/>
  <c r="U23" i="9"/>
  <c r="U24" i="9" s="1"/>
  <c r="S23" i="9"/>
  <c r="S24" i="9" s="1"/>
  <c r="V23" i="9"/>
  <c r="V24" i="9" s="1"/>
  <c r="Q9" i="9"/>
  <c r="U9" i="9" s="1"/>
  <c r="U35" i="9" s="1"/>
  <c r="Q4" i="9"/>
  <c r="S4" i="9" s="1"/>
  <c r="T4" i="9" s="1"/>
  <c r="U4" i="9" s="1"/>
  <c r="V4" i="9" s="1"/>
  <c r="AA2" i="9"/>
  <c r="AB2" i="9" s="1"/>
  <c r="AC2" i="9" s="1"/>
  <c r="AD2" i="9" s="1"/>
  <c r="AE2" i="9" s="1"/>
  <c r="AF2" i="9" s="1"/>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S31" i="9"/>
  <c r="T31" i="9" s="1"/>
  <c r="Q24" i="9"/>
  <c r="Q36" i="9"/>
  <c r="P36" i="9"/>
  <c r="O36" i="9"/>
  <c r="N36" i="9"/>
  <c r="M36" i="9"/>
  <c r="S18" i="9"/>
  <c r="T18" i="9" s="1"/>
  <c r="S17" i="9"/>
  <c r="I12" i="9"/>
  <c r="I9" i="9" s="1"/>
  <c r="I19" i="9" s="1"/>
  <c r="I21" i="9" s="1"/>
  <c r="I38" i="9" s="1"/>
  <c r="M12" i="9"/>
  <c r="M9" i="9" s="1"/>
  <c r="M24" i="9"/>
  <c r="L24" i="9"/>
  <c r="K24" i="9"/>
  <c r="J24" i="9"/>
  <c r="I24" i="9"/>
  <c r="S7" i="9"/>
  <c r="T7" i="9" s="1"/>
  <c r="U7" i="9" s="1"/>
  <c r="V7" i="9" s="1"/>
  <c r="S5" i="9"/>
  <c r="T5" i="9" s="1"/>
  <c r="U5" i="9" s="1"/>
  <c r="V5" i="9" s="1"/>
  <c r="V3" i="9"/>
  <c r="V34" i="9" s="1"/>
  <c r="N26" i="9"/>
  <c r="J20" i="9"/>
  <c r="N20" i="9"/>
  <c r="J12" i="9"/>
  <c r="J9" i="9" s="1"/>
  <c r="J19" i="9" s="1"/>
  <c r="J21" i="9" s="1"/>
  <c r="J38" i="9" s="1"/>
  <c r="N12" i="9"/>
  <c r="N9" i="9" s="1"/>
  <c r="N24" i="9"/>
  <c r="K12" i="9"/>
  <c r="K9" i="9" s="1"/>
  <c r="K19" i="9" s="1"/>
  <c r="O12" i="9"/>
  <c r="O9" i="9" s="1"/>
  <c r="O19" i="9" s="1"/>
  <c r="O33" i="9" s="1"/>
  <c r="K26" i="9"/>
  <c r="K20" i="9"/>
  <c r="O26" i="9"/>
  <c r="O24" i="9"/>
  <c r="O20" i="9"/>
  <c r="L12" i="9"/>
  <c r="L9" i="9" s="1"/>
  <c r="P12" i="9"/>
  <c r="P9" i="9" s="1"/>
  <c r="P19" i="9" s="1"/>
  <c r="P23" i="9"/>
  <c r="T23" i="9" s="1"/>
  <c r="T24" i="9" s="1"/>
  <c r="P22" i="9"/>
  <c r="L26" i="9"/>
  <c r="L20" i="9"/>
  <c r="P26" i="9"/>
  <c r="P20" i="9"/>
  <c r="AL24" i="9" l="1"/>
  <c r="R38" i="9"/>
  <c r="R25" i="9"/>
  <c r="AM23" i="9"/>
  <c r="AM24" i="9" s="1"/>
  <c r="AL19" i="9"/>
  <c r="AM5" i="9"/>
  <c r="AM4" i="9"/>
  <c r="G27" i="9"/>
  <c r="G29" i="9" s="1"/>
  <c r="G30" i="9" s="1"/>
  <c r="K35" i="9"/>
  <c r="G19" i="9"/>
  <c r="K33" i="9" s="1"/>
  <c r="H27" i="9"/>
  <c r="H29" i="9" s="1"/>
  <c r="H30" i="9" s="1"/>
  <c r="L35" i="9"/>
  <c r="H19" i="9"/>
  <c r="L33" i="9" s="1"/>
  <c r="P35" i="9"/>
  <c r="Q35" i="9"/>
  <c r="M35" i="9"/>
  <c r="S9" i="9"/>
  <c r="S35" i="9" s="1"/>
  <c r="O35" i="9"/>
  <c r="V9" i="9"/>
  <c r="N35" i="9"/>
  <c r="T9" i="9"/>
  <c r="T35" i="9" s="1"/>
  <c r="S19" i="9"/>
  <c r="S33" i="9" s="1"/>
  <c r="T17" i="9"/>
  <c r="U17" i="9" s="1"/>
  <c r="U18" i="9"/>
  <c r="U31" i="9"/>
  <c r="O21" i="9"/>
  <c r="O38" i="9" s="1"/>
  <c r="N19" i="9"/>
  <c r="R19" i="9"/>
  <c r="M19" i="9"/>
  <c r="M33" i="9" s="1"/>
  <c r="L19" i="9"/>
  <c r="P33" i="9" s="1"/>
  <c r="M21" i="9"/>
  <c r="I25" i="9"/>
  <c r="I27" i="9" s="1"/>
  <c r="I29" i="9" s="1"/>
  <c r="I30" i="9" s="1"/>
  <c r="J25" i="9"/>
  <c r="Q19" i="9"/>
  <c r="Q21" i="9" s="1"/>
  <c r="J27" i="9"/>
  <c r="J29" i="9" s="1"/>
  <c r="J30" i="9" s="1"/>
  <c r="K21" i="9"/>
  <c r="K38" i="9" s="1"/>
  <c r="P21" i="9"/>
  <c r="P38" i="9" s="1"/>
  <c r="P24" i="9"/>
  <c r="J4" i="1"/>
  <c r="V18" i="9" l="1"/>
  <c r="AM18" i="9" s="1"/>
  <c r="T19" i="9"/>
  <c r="T33" i="9" s="1"/>
  <c r="V35" i="9"/>
  <c r="AM9" i="9"/>
  <c r="S21" i="9"/>
  <c r="S25" i="9" s="1"/>
  <c r="S27" i="9" s="1"/>
  <c r="S28" i="9" s="1"/>
  <c r="S29" i="9" s="1"/>
  <c r="S30" i="9" s="1"/>
  <c r="O25" i="9"/>
  <c r="O27" i="9" s="1"/>
  <c r="O29" i="9" s="1"/>
  <c r="O30" i="9" s="1"/>
  <c r="L21" i="9"/>
  <c r="L38" i="9" s="1"/>
  <c r="AL20" i="9"/>
  <c r="AL21" i="9" s="1"/>
  <c r="AL25" i="9" s="1"/>
  <c r="AL27" i="9" s="1"/>
  <c r="U19" i="9"/>
  <c r="U33" i="9" s="1"/>
  <c r="T21" i="9"/>
  <c r="T25" i="9" s="1"/>
  <c r="T27" i="9" s="1"/>
  <c r="T28" i="9" s="1"/>
  <c r="T29" i="9" s="1"/>
  <c r="T30" i="9" s="1"/>
  <c r="V17" i="9"/>
  <c r="V19" i="9" s="1"/>
  <c r="V31" i="9"/>
  <c r="AM31" i="9" s="1"/>
  <c r="R27" i="9"/>
  <c r="Q25" i="9"/>
  <c r="Q27" i="9" s="1"/>
  <c r="Q29" i="9" s="1"/>
  <c r="Q30" i="9" s="1"/>
  <c r="N21" i="9"/>
  <c r="N33" i="9"/>
  <c r="Q33" i="9"/>
  <c r="M25" i="9"/>
  <c r="M27" i="9" s="1"/>
  <c r="M29" i="9" s="1"/>
  <c r="M30" i="9" s="1"/>
  <c r="M38" i="9"/>
  <c r="L25" i="9"/>
  <c r="L27" i="9" s="1"/>
  <c r="L29" i="9" s="1"/>
  <c r="L30" i="9" s="1"/>
  <c r="K25" i="9"/>
  <c r="K27" i="9" s="1"/>
  <c r="K29" i="9" s="1"/>
  <c r="K30" i="9" s="1"/>
  <c r="J7" i="1"/>
  <c r="P25" i="9"/>
  <c r="P27" i="9" s="1"/>
  <c r="P29" i="9" s="1"/>
  <c r="P30" i="9" s="1"/>
  <c r="AM17" i="9" l="1"/>
  <c r="AM19" i="9" s="1"/>
  <c r="S20" i="9"/>
  <c r="T20" i="9"/>
  <c r="V21" i="9"/>
  <c r="V20" i="9" s="1"/>
  <c r="V33" i="9"/>
  <c r="U21" i="9"/>
  <c r="U25" i="9" s="1"/>
  <c r="U27" i="9" s="1"/>
  <c r="U28" i="9" s="1"/>
  <c r="U29" i="9" s="1"/>
  <c r="U30" i="9" s="1"/>
  <c r="Q38" i="9"/>
  <c r="N38" i="9"/>
  <c r="N25" i="9"/>
  <c r="N27" i="9" s="1"/>
  <c r="N29" i="9" s="1"/>
  <c r="N30" i="9" s="1"/>
  <c r="V25" i="9" l="1"/>
  <c r="V27" i="9" s="1"/>
  <c r="V28" i="9" s="1"/>
  <c r="AM28" i="9" s="1"/>
  <c r="R29" i="9"/>
  <c r="R30" i="9" s="1"/>
  <c r="AL28" i="9"/>
  <c r="AL29" i="9" s="1"/>
  <c r="AL30" i="9" s="1"/>
  <c r="U20" i="9"/>
  <c r="AM20" i="9" s="1"/>
  <c r="AM21" i="9" s="1"/>
  <c r="AM25" i="9" s="1"/>
  <c r="AM27" i="9" s="1"/>
  <c r="V29" i="9" l="1"/>
  <c r="V30" i="9" s="1"/>
  <c r="AM29" i="9"/>
  <c r="AM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J29" authorId="0" shapeId="0" xr:uid="{CFF3BC2E-892D-4995-B558-D2A9395BF1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NGNI 1080.2</t>
      </text>
    </comment>
    <comment ref="N29" authorId="1" shapeId="0" xr:uid="{E621A5CA-53E8-48F9-80F2-12D076620D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NGNI 2711.5</t>
      </text>
    </comment>
  </commentList>
</comments>
</file>

<file path=xl/sharedStrings.xml><?xml version="1.0" encoding="utf-8"?>
<sst xmlns="http://schemas.openxmlformats.org/spreadsheetml/2006/main" count="682" uniqueCount="567">
  <si>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</si>
  <si>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</si>
  <si>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</si>
  <si>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</si>
  <si>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</si>
  <si>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</si>
  <si>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</si>
  <si>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</si>
  <si>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</si>
  <si>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</si>
  <si>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</si>
  <si>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</si>
  <si>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</si>
  <si>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</si>
  <si>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</si>
  <si>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</si>
  <si>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</si>
  <si>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</si>
  <si>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</si>
  <si>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</si>
  <si>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</si>
  <si>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</si>
  <si>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</si>
  <si>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</si>
  <si>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</si>
  <si>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</si>
  <si>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</si>
  <si>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</si>
  <si>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</si>
  <si>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</si>
  <si>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</si>
  <si>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</si>
  <si>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</si>
  <si>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</si>
  <si>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</si>
  <si>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</si>
  <si>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</si>
  <si>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</si>
  <si>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</si>
  <si>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</si>
  <si>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</si>
  <si>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</si>
  <si>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</si>
  <si>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</si>
  <si>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</si>
  <si>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</si>
  <si>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</si>
  <si>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</si>
  <si>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</si>
  <si>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</si>
  <si>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</si>
  <si>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</si>
  <si>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</si>
  <si>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</si>
  <si>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</si>
  <si>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</si>
  <si>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</si>
  <si>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</si>
  <si>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</si>
  <si>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</si>
  <si>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</si>
  <si>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</si>
  <si>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</si>
  <si>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</si>
  <si>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</si>
  <si>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</si>
  <si>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</si>
  <si>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</si>
  <si>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</si>
  <si>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</si>
  <si>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</si>
  <si>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</si>
  <si>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</si>
  <si>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</si>
  <si>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</si>
  <si>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</si>
  <si>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</si>
  <si>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</si>
  <si>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</si>
  <si>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</si>
  <si>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</si>
  <si>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</si>
  <si>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</si>
  <si>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</si>
  <si>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</si>
  <si>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</si>
  <si>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</si>
  <si>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</si>
  <si>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</si>
  <si>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</si>
  <si>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</si>
  <si>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</si>
  <si>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</si>
  <si>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</si>
  <si>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</si>
  <si>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</si>
  <si>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</si>
  <si>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</si>
  <si>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</si>
  <si>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</si>
  <si>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</si>
  <si>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</si>
  <si>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</si>
  <si>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</si>
  <si>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</si>
  <si>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</si>
  <si>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</si>
  <si>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</si>
  <si>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</si>
  <si>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</si>
  <si>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</si>
  <si>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</si>
  <si>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</si>
  <si>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</si>
  <si>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</si>
  <si>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</si>
  <si>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</si>
  <si>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</si>
  <si>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</si>
  <si>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</si>
  <si>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</si>
  <si>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</si>
  <si>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</si>
  <si>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</si>
  <si>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</si>
  <si>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</si>
  <si>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</si>
  <si>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</si>
  <si>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</si>
  <si>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</si>
  <si>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</si>
  <si>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</si>
  <si>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</si>
  <si>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</si>
  <si>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</si>
  <si>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</si>
  <si>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</si>
  <si>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</si>
  <si>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</si>
  <si>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</si>
  <si>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</si>
  <si>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</si>
  <si>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</si>
  <si>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</si>
  <si>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</si>
  <si>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</si>
  <si>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</si>
  <si>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</si>
  <si>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</si>
  <si>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</si>
  <si>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</si>
  <si>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</si>
  <si>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</si>
  <si>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</si>
  <si>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</si>
  <si>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</si>
  <si>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</si>
  <si>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</si>
  <si>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</si>
  <si>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</si>
  <si>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</si>
  <si>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</si>
  <si>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</si>
  <si>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</si>
  <si>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</si>
  <si>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</si>
  <si>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</si>
  <si>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</si>
  <si>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</si>
  <si>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</si>
  <si>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</si>
  <si>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</si>
  <si>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</si>
  <si>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</si>
  <si>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</si>
  <si>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</si>
  <si>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</si>
  <si>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</si>
  <si>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</si>
  <si>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</si>
  <si>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</si>
  <si>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</si>
  <si>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</si>
  <si>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</si>
  <si>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</si>
  <si>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</si>
  <si>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</si>
  <si>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</si>
  <si>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</si>
  <si>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</si>
  <si>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</si>
  <si>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</si>
  <si>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</si>
  <si>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</si>
  <si>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</si>
  <si>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</si>
  <si>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</si>
  <si>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</si>
  <si>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</si>
  <si>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</si>
  <si>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</si>
  <si>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</si>
  <si>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</si>
  <si>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</si>
  <si>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</si>
  <si>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</si>
  <si>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</si>
  <si>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</si>
  <si>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</si>
  <si>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</si>
  <si>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</si>
  <si>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</si>
  <si>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</si>
  <si>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</si>
  <si>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</si>
  <si>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</si>
  <si>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</si>
  <si>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</si>
  <si>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</si>
  <si>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</si>
  <si>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</si>
  <si>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</si>
  <si>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</si>
  <si>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</si>
  <si>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</si>
  <si>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</si>
  <si>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</si>
  <si>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</si>
  <si>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</si>
  <si>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</si>
  <si>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</si>
  <si>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</si>
  <si>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</si>
  <si>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</si>
  <si>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</si>
  <si>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</si>
  <si>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</si>
  <si>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</si>
  <si>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</si>
  <si>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</si>
  <si>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</si>
  <si>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</si>
  <si>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</si>
  <si>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</si>
  <si>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</si>
  <si>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</si>
  <si>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</si>
  <si>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</si>
  <si>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</si>
  <si>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</si>
  <si>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</si>
  <si>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</si>
  <si>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</si>
  <si>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</si>
  <si>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</si>
  <si>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</si>
  <si>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</si>
  <si>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</si>
  <si>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</si>
  <si>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</si>
  <si>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</si>
  <si>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</si>
  <si>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</si>
  <si>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</si>
  <si>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</si>
  <si>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</si>
  <si>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</si>
  <si>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</si>
  <si>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</si>
  <si>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</si>
  <si>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</si>
  <si>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</si>
  <si>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</si>
  <si>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</si>
  <si>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</si>
  <si>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</si>
  <si>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</si>
  <si>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</si>
  <si>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</si>
  <si>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</si>
  <si>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</si>
  <si>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</si>
  <si>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</si>
  <si>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</si>
  <si>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</si>
  <si>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</si>
  <si>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</si>
  <si>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</si>
  <si>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</si>
  <si>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</si>
  <si>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</si>
  <si>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</si>
  <si>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</si>
  <si>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</si>
  <si>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</si>
  <si>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</si>
  <si>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</si>
  <si>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</si>
  <si>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</si>
  <si>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</si>
  <si>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</si>
  <si>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</si>
  <si>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</si>
  <si>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</si>
  <si>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</si>
  <si>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</si>
  <si>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</si>
  <si>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</si>
  <si>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</si>
  <si>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</si>
  <si>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</si>
  <si>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</si>
  <si>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</si>
  <si>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</si>
  <si>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</si>
  <si>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</si>
  <si>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</si>
  <si>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</si>
  <si>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</si>
  <si>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</si>
  <si>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</si>
  <si>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</si>
  <si>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</si>
  <si>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</si>
  <si>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</si>
  <si>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</si>
  <si>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Date</t>
  </si>
  <si>
    <t>NCT Number</t>
  </si>
  <si>
    <t xml:space="preserve">Drug </t>
  </si>
  <si>
    <t>Linvoseltamab (REGN 5458) (LINKER-MM1)</t>
  </si>
  <si>
    <t>Linvoseltamab</t>
  </si>
  <si>
    <t>REGN5458</t>
  </si>
  <si>
    <t xml:space="preserve">Multiple myeloma </t>
  </si>
  <si>
    <t>NCT03761108</t>
  </si>
  <si>
    <t>PDUFA (1/2)</t>
  </si>
  <si>
    <t>NCT</t>
  </si>
  <si>
    <t>Locations</t>
  </si>
  <si>
    <t>Allocation</t>
  </si>
  <si>
    <t>Masking</t>
  </si>
  <si>
    <t xml:space="preserve">Interventional Model </t>
  </si>
  <si>
    <t>First Submitted</t>
  </si>
  <si>
    <r>
      <rPr>
        <i/>
        <u/>
        <sz val="10"/>
        <color theme="1"/>
        <rFont val="Arial"/>
        <family val="2"/>
      </rPr>
      <t>Press Release 16/06/2024</t>
    </r>
    <r>
      <rPr>
        <sz val="10"/>
        <color theme="1"/>
        <rFont val="Arial"/>
        <family val="2"/>
      </rPr>
      <t xml:space="preserve"> - Linvoseltamab is an investigational bispecific antibody designed to bridge B-cell maturation antigen (BCMA) on multiple myeloma cells with </t>
    </r>
  </si>
  <si>
    <t>CD3-expressing T cells to facilitate T-cell activation and cancer-cell killing.</t>
  </si>
  <si>
    <t xml:space="preserve">Importance </t>
  </si>
  <si>
    <t>Read</t>
  </si>
  <si>
    <t>Index</t>
  </si>
  <si>
    <t>search term</t>
  </si>
  <si>
    <t>"BCMA"</t>
  </si>
  <si>
    <t>BCMA-targeting chimeric antigen receptor T-cell therapy for multiple myeloma.</t>
  </si>
  <si>
    <t>Yang J, Zhou W, Li D, Niu T, Wang W.Cancer Lett. 2023 Jan 28;553:215949. doi: 10.1016/j.canlet.2022.215949. Epub 2022 Oct 8.PMID: 36216149 Review.</t>
  </si>
  <si>
    <t>BCMA-CAR T-cell treatment-associated parkinsonism.</t>
  </si>
  <si>
    <t>Gust J.Blood. 2023 Oct 5;142(14):1181-1183. doi: 10.1182/blood.2023021860.PMID: 37796518 No abstract available.</t>
  </si>
  <si>
    <t>Mechanisms of antigen escape from BCMA- or GPRC5D-targeted immunotherapies in multiple myeloma.</t>
  </si>
  <si>
    <t>Lee H, Ahn S, Maity R, Leblay N, Ziccheddu B, Truger M, Chojnacka M, Cirrincione A, Durante M, Tilmont R, Barakat E, Poorebrahim M, Sinha S, McIntyre J, M Y Chan A, Wilson H, Kyman S, Krishnan A, Landgren O, Walter W, Meggendorfer M, Haferlach C, Haferlach T, Einsele H, Kortüm MK, Knop S, Alberge JB, Rosenwald A, Keats JJ, Rasche L, Maura F, Neri P, Bahlis NJ.Nat Med. 2023 Sep;29(9):2295-2306. doi: 10.1038/s41591-023-02491-5. Epub 2023 Aug 31.PMID: 37653344 Free PMC article.</t>
  </si>
  <si>
    <t>Efficacy and safety of cilta-cel in patients with progressive multiple myeloma after exposure to other BCMA-targeting agents.</t>
  </si>
  <si>
    <t>Cohen AD, Mateos MV, Cohen YC, Rodriguez-Otero P, Paiva B, van de Donk NWCJ, Martin T, Suvannasankha A, De Braganca KC, Corsale C, Schecter JM, Varsos H, Deraedt W, Wang L, Vogel M, Roccia T, Xu X, Mistry P, Zudaire E, Akram M, Nesheiwat T, Pacaud L, Avivi I, San-Miguel J.Blood. 2023 Jan 19;141(3):219-230. doi: 10.1182/blood.2022015526.PMID: 36095849 Free PMC article.</t>
  </si>
  <si>
    <t>Anti-BCMA novel therapies for multiple myeloma.</t>
  </si>
  <si>
    <t>Sammartano V, Franceschini M, Fredducci S, Caroni F, Ciofini S, Pacelli P, Bocchia M, Gozzetti A.Cancer Drug Resist. 2023 Mar 22;6(1):169-181. doi: 10.20517/cdr.2022.138. eCollection 2023.PMID: 37065871 Free PMC article. Review.</t>
  </si>
  <si>
    <t>Bispecific BCMA/CD24 CAR-T cells control multiple myeloma growth.</t>
  </si>
  <si>
    <t>Sun F, Cheng Y, Wanchai V, Guo W, Mery D, Xu H, Gai D, Siegel E, Bailey C, Ashby C, Al Hadidi S, Schinke C, Thanendrarajan S, Ma Y, Yi Q, Orlowski RZ, Zangari M, van Rhee F, Janz S, Bishop G, Tricot G, Shaughnessy JD Jr, Zhan F.Nat Commun. 2024 Jan 19;15(1):615. doi: 10.1038/s41467-024-44873-4.PMID: 38242888 Free PMC article.</t>
  </si>
  <si>
    <t>Anti-BCMA CAR T-cell therapy CT103A in relapsed or refractory AQP4-IgG seropositive neuromyelitis optica spectrum disorders: phase 1 trial interim results.</t>
  </si>
  <si>
    <t>Qin C, Tian DS, Zhou LQ, Shang K, Huang L, Dong MH, You YF, Xiao J, Xiong Y, Wang W, Pang H, Guo JJ, Cai SB, Wang D, Li CR, Zhang M, Bu BT, Wang W.Signal Transduct Target Ther. 2023 Jan 4;8(1):5. doi: 10.1038/s41392-022-01278-3.PMID: 36596762 Free PMC article. Clinical Trial.</t>
  </si>
  <si>
    <t>Identification of potential resistance mechanisms and therapeutic targets for the relapse of BCMA CAR-T therapy in relapsed/refractory multiple myeloma through single-cell sequencing.</t>
  </si>
  <si>
    <t>Li W, Zhang B, Cao W, Zhang W, Li T, Liu L, Xu L, Gao F, Wang Y, Wang F, Xing H, Jiang Z, Shi J, Bian Z, Song Y.Exp Hematol Oncol. 2023 May 8;12(1):44. doi: 10.1186/s40164-023-00402-5.PMID: 37158921 Free PMC article.</t>
  </si>
  <si>
    <t>Bispecific antibodies targeting BCMA, GPRC5D, and FcRH5 for multiple myeloma therapy: latest updates from ASCO 2023 Annual Meeting.</t>
  </si>
  <si>
    <t>Zhao J, Ren Q, Liu X, Guo X, Song Y.J Hematol Oncol. 2023 Aug 3;16(1):92. doi: 10.1186/s13045-023-01489-3.PMID: 37537597 Free PMC article.</t>
  </si>
  <si>
    <t>Allogeneic BCMA-targeting CAR T cells in relapsed/refractory multiple myeloma: phase 1 UNIVERSAL trial interim results.</t>
  </si>
  <si>
    <t>Mailankody S, Matous JV, Chhabra S, Liedtke M, Sidana S, Oluwole OO, Malik S, Nath R, Anwer F, Cruz JC, Htut M, Karski EE, Lovelace W, Dillon M, Butz E, Ying W, Balakumaran A, Kumar SK.Nat Med. 2023 Feb;29(2):422-429. doi: 10.1038/s41591-022-02182-7. Epub 2023 Jan 23.PMID: 36690811 Clinical Trial.</t>
  </si>
  <si>
    <t>BCMA-directed therapy, new treatments in the myeloma toolbox, and how to use them.</t>
  </si>
  <si>
    <t>Rees MJ, Kumar S.Leuk Lymphoma. 2024 Mar;65(3):287-300. doi: 10.1080/10428194.2023.2284088. Epub 2023 Nov 21.PMID: 38354090 Review.</t>
  </si>
  <si>
    <t>Real-world experience of patients with multiple myeloma receiving ide-cel after a prior BCMA-targeted therapy.</t>
  </si>
  <si>
    <t>Ferreri CJ, Hildebrandt MAT, Hashmi H, Shune LO, McGuirk JP, Sborov DW, Wagner CB, Kocoglu MH, Rapoport A, Atrash S, Voorhees PM, Khouri J, Dima D, Afrough A, Kaur G, Anderson LD Jr, Simmons G, Davis JA, Kalariya N, Peres LC, Lin Y, Janakiram M, Nadeem O, Alsina M, Locke FL, Sidana S, Hansen DK, Patel KK, Castaneda Puglianini OA.Blood Cancer J. 2023 Aug 9;13(1):117. doi: 10.1038/s41408-023-00886-8.PMID: 37558706 Free PMC article.</t>
  </si>
  <si>
    <t>Sequencing anti-BCMA therapies in myeloma.</t>
  </si>
  <si>
    <t>Harousseau JL, Mohty M.Blood. 2023 Jan 19;141(3):211-212. doi: 10.1182/blood.2022018157.PMID: 36656612 Free article. No abstract available.</t>
  </si>
  <si>
    <t>BCMA- or GPRC5D-targeting bispecific antibodies in multiple myeloma: efficacy, safety, and resistance mechanisms.</t>
  </si>
  <si>
    <t>Lee H, Neri P, Bahlis NJ.Blood. 2024 Mar 28;143(13):1211-1217. doi: 10.1182/blood.2023022499.PMID: 38194680</t>
  </si>
  <si>
    <t>Targeting BCMA in Multiple Myeloma: Advances in Antibody-Drug Conjugate Therapy.</t>
  </si>
  <si>
    <t>Xing L, Liu Y, Liu J.Cancers (Basel). 2023 Apr 11;15(8):2240. doi: 10.3390/cancers15082240.PMID: 37190168 Free PMC article. Review.</t>
  </si>
  <si>
    <t>BCMA CAR-T cells in multiple myeloma-ready for take-off?</t>
  </si>
  <si>
    <t>Scheller L, Tebuka E, Rambau PF, Einsele H, Hudecek M, Prommersberger SR, Danhof S.Leuk Lymphoma. 2024 Feb;65(2):143-157. doi: 10.1080/10428194.2023.2276676. Epub 2024 Jan 24.PMID: 37997705 Review.</t>
  </si>
  <si>
    <t>BCMA-CD19 compound CAR T cells for systemic lupus erythematosus: a phase 1 open-label clinical trial.</t>
  </si>
  <si>
    <t>Wang W, He S, Zhang W, Zhang H, DeStefano VM, Wada M, Pinz K, Deener G, Shah D, Hagag N, Wang M, Hong M, Zeng R, Lan T, Ma Y, Li F, Liang Y, Guo Z, Zou C, Wang M, Ding L, Ma Y, Yuan Y.Ann Rheum Dis. 2024 May 30:ard-2024-225785. doi: 10.1136/ard-2024-225785. Online ahead of print.PMID: 38777376</t>
  </si>
  <si>
    <t>Cilta-cel, a BCMA-targeting CAR-T therapy for heavily pretreated patients with relapsed/refractory multiple myeloma.</t>
  </si>
  <si>
    <t>Martin TG, Madduri D, Pacaud L, Usmani SZ.Future Oncol. 2023 Nov;19(34):2297-2311. doi: 10.2217/fon-2022-1317. Epub 2023 Jul 27.PMID: 37497629 Review.</t>
  </si>
  <si>
    <t>Anti-BCMA/CD19 CAR T Cells with Early Immunomodulatory Maintenance for Multiple Myeloma Responding to Initial or Later-Line Therapy.</t>
  </si>
  <si>
    <t>Garfall AL, Cohen AD, Susanibar-Adaniya SP, Hwang WT, Vogl DT, Waxman AJ, Lacey SF, Gonzalez VE, Fraietta JA, Gupta M, Kulikovskaya I, Tian L, Chen F, Koterba N, Bartoszek RL, Patchin M, Xu R, Plesa G, Siegel DL, Brennan A, Nelson AM, Ferthio R, Cosey A, Shea KM, Leskowitz R, Four M, Wilson WV, Miao F, Lancaster E, Carreno BM, Linette GP, Hexner EO, Young RM, Bu D, Mansfield KG, Brogdon JL, June CH, Milone MC, Stadtmauer EA.Blood Cancer Discov. 2023 Mar 1;4(2):118-133. doi: 10.1158/2643-3230.BCD-22-0074.PMID: 36413381 Free PMC article.</t>
  </si>
  <si>
    <t>BCMA-targeted bortezomib nanotherapy improves therapeutic efficacy, overcomes resistance, and modulates the immune microenvironment in multiple myeloma.</t>
  </si>
  <si>
    <t>Dutta D, Liu J, Wen K, Kurata K, Fulciniti M, Gulla A, Hideshima T, Anderson KC.Blood Cancer J. 2023 Dec 11;13(1):184. doi: 10.1038/s41408-023-00955-y.PMID: 38072962 Free PMC article.</t>
  </si>
  <si>
    <t>Management of Adverse Reactions for BCMA-Directed Therapy in Relapsed Multiple Myeloma: A Focused Review.</t>
  </si>
  <si>
    <t>Khanam R, Faiman B, Batool S, Najmuddin MM, Usman R, Kuriakose K, Ahmed A, Rehman MEU, Roksana Z, Syed Z, Anwer F, Raza S.J Clin Med. 2023 Aug 25;12(17):5539. doi: 10.3390/jcm12175539.PMID: 37685606 Free PMC article. Review.</t>
  </si>
  <si>
    <t>BCMA-targeting chimeric antigen receptor T cell therapy for relapsed and/or refractory multiple myeloma.</t>
  </si>
  <si>
    <t>Fang J, Zhou F.Ann Hematol. 2024 Apr;103(4):1069-1083. doi: 10.1007/s00277-023-05444-7. Epub 2023 Sep 13.PMID: 37704875 Review.</t>
  </si>
  <si>
    <t>Effects of teclistamab and talquetamab on soluble BCMA levels in patients with relapsed/refractory multiple myeloma.</t>
  </si>
  <si>
    <t>Girgis S, Wang Lin SX, Pillarisetti K, Verona R, Vieyra D, Casneuf T, Fink D, Miao X, Chen Y, Stephenson T, Banerjee A, Hilder BW, Russell J, Infante J, Elsayed Y, Smit J, Goldberg JD.Blood Adv. 2023 Feb 28;7(4):644-648. doi: 10.1182/bloodadvances.2022007625.PMID: 36006441 Free PMC article. No abstract available.</t>
  </si>
  <si>
    <t>Interventions and outcomes of patients with multiple myeloma receiving salvage therapy after BCMA-directed CAR T therapy.</t>
  </si>
  <si>
    <t>Van Oekelen O, Nath K, Mouhieddine TH, Farzana T, Aleman A, Melnekoff DT, Ghodke-Puranik Y, Shah GL, Lesokhin A, Giralt S, Thibaud S, Rossi A, Rodriguez C, Sanchez L, Richter J, Richard S, Cho HJ, Chari A, Usmani SZ, Jagannath S, Shah UA, Mailankody S, Parekh S.Blood. 2023 Feb 16;141(7):756-765. doi: 10.1182/blood.2022017848.PMID: 36327160 Free PMC article.</t>
  </si>
  <si>
    <t>gamma-Secretase inhibitor in combination with BCMA chimeric antigen receptor T-cell immunotherapy for individuals with relapsed or refractory multiple myeloma: a phase 1, first-in-human trial.</t>
  </si>
  <si>
    <t>Cowan AJ, Pont MJ, Sather BD, Turtle CJ, Till BG, Libby EN 3rd, Coffey DG, Tuazon SA, Wood B, Gooley T, Wu VQ, Voutsinas J, Song X, Shadman M, Gauthier J, Chapuis AG, Milano F, Maloney DG, Riddell SR, Green DJ.Lancet Oncol. 2023 Jul;24(7):811-822. doi: 10.1016/S1470-2045(23)00246-2.PMID: 37414012 Free PMC article. Clinical Trial.</t>
  </si>
  <si>
    <t>BCMA-targeted CAR-T cell therapies in relapsed and/or refractory multiple myeloma: latest updates from 2023 ASCO Annual Meeting.</t>
  </si>
  <si>
    <t>Wu JF, Dhakal B.J Hematol Oncol. 2023 Jul 28;16(1):86. doi: 10.1186/s13045-023-01479-5.PMID: 37507805 Free PMC article.</t>
  </si>
  <si>
    <t>Single VHH-directed BCMA CAR-NK cells for multiple myeloma.</t>
  </si>
  <si>
    <t>Ren Q, Zu Y, Su H, Lu Q, Xiang B, Luo Y, Zhang J, Song Y.Exp Hematol Oncol. 2023 Nov 27;12(1):98. doi: 10.1186/s40164-023-00461-8.PMID: 38012722 Free PMC article.</t>
  </si>
  <si>
    <t>Fractionated initial infusion and booster dose of ARI0002h, a humanised, BCMA-directed CAR T-cell therapy, for patients with relapsed or refractory multiple myeloma (CARTBCMA-HCB-01): a single-arm, multicentre, academic pilot study.</t>
  </si>
  <si>
    <t>Oliver-Caldés A, González-Calle V, Cabañas V, Español-Rego M, Rodríguez-Otero P, Reguera JL, López-Corral L, Martin-Antonio B, Zabaleta A, Inogés S, Varea S, Rosiñol L, López-Díaz de Cerio A, Tovar N, Jiménez R, López-Parra M, Rodríguez-Lobato LG, Sánchez-Salinas A, Olesti E, Calvo-Orteu M, Delgado J, Pérez-Simón JA, Paiva B, Prósper F, Sáez-Peñataro J, Juan M, Moraleda JM, Mateos MV, Pascal M, Urbano-Ispizua A, Fernández de Larrea C.Lancet Oncol. 2023 Aug;24(8):913-924. doi: 10.1016/S1470-2045(23)00222-X. Epub 2023 Jul 3.PMID: 37414060 Free article.</t>
  </si>
  <si>
    <t>IVIg Use Associated with Ten-Fold Reduction of Serious Infections in Multiple Myeloma Patients Treated with Anti-BCMA Bispecific Antibodies.</t>
  </si>
  <si>
    <t>Lancman G, Parsa K, Kotlarz K, Avery L, Lurie A, Lieberman-Cribbin A, Cho HJ, Parekh SS, Richard S, Richter J, Rodriguez C, Rossi A, Sanchez LJ, Thibaud S, Jagannath S, Chari A.Blood Cancer Discov. 2023 Nov 1;4(6):440-451. doi: 10.1158/2643-3230.BCD-23-0049.PMID: 37769148 Free PMC article.</t>
  </si>
  <si>
    <t>T-cell redirecting bispecific and trispecific antibodies in multiple myeloma beyond BCMA.</t>
  </si>
  <si>
    <t>van de Donk NWCJ, O'Neill C, de Ruijter MEM, Verkleij CPM, Zweegman S.Curr Opin Oncol. 2023 Nov 1;35(6):601-611. doi: 10.1097/CCO.0000000000000983. Epub 2023 Jul 24.PMID: 37501530 Free PMC article.</t>
  </si>
  <si>
    <t>Beyond BCMA: the next wave of CAR T cell therapy in multiple myeloma.</t>
  </si>
  <si>
    <t>Miller K, Hashmi H, Rajeeve S.Front Oncol. 2024 May 10;14:1398902. doi: 10.3389/fonc.2024.1398902. eCollection 2024.PMID: 38800372 Free PMC article. Review.</t>
  </si>
  <si>
    <t>Beyond BCMA, why GPRC5D could be the right way: treatment strategies with immunotherapy at relapse after anti-BCMA agents.</t>
  </si>
  <si>
    <t>Del Giudice ML, Galimberti S, Buda G.Cancer Immunol Immunother. 2023 Dec;72(12):3931-3937. doi: 10.1007/s00262-023-03559-4. Epub 2023 Nov 4.PMID: 37924369 Free PMC article. Review.</t>
  </si>
  <si>
    <t>BCMA loss in the epoch of novel immunotherapy for multiple myeloma: from biology to clinical practice.</t>
  </si>
  <si>
    <t>Zhou X, Rasche L, Kortüm KM, Mersi J, Einsele H.Haematologica. 2023 Apr 1;108(4):958-968. doi: 10.3324/haematol.2020.266841.PMID: 36263838 Free PMC article. Review.</t>
  </si>
  <si>
    <t>Single-cell analysis of anti-BCMA CAR T cell therapy in patients with central nervous system autoimmunity.</t>
  </si>
  <si>
    <t>Qin C, Zhang M, Mou DP, Zhou LQ, Dong MH, Huang L, Wang W, Cai SB, You YF, Shang K, Xiao J, Wang D, Li CR, Hao Y, Heming M, Wu LJ, Meyer Zu Hörste G, Dong C, Bu BT, Tian DS, Wang W.Sci Immunol. 2024 May 10;9(95):eadj9730. doi: 10.1126/sciimmunol.adj9730. Epub 2024 May 10.PMID: 38728414</t>
  </si>
  <si>
    <t>CAR-T-Cell Therapy in Multiple Myeloma: B-Cell Maturation Antigen (BCMA) and Beyond.</t>
  </si>
  <si>
    <t>Mishra AK, Gupta A, Dagar G, Das D, Chakraborty A, Haque S, Prasad CP, Singh A, Bhat AA, Macha MA, Benali M, Saini KS, Previs RA, Saini D, Saha D, Dutta P, Bhatnagar AR, Darswal M, Shankar A, Singh M.Vaccines (Basel). 2023 Nov 16;11(11):1721. doi: 10.3390/vaccines11111721.PMID: 38006053 Free PMC article. Review.</t>
  </si>
  <si>
    <t>The CAR-HEMATOTOX score as a prognostic model of toxicity and response in patients receiving BCMA-directed CAR-T for relapsed/refractory multiple myeloma.</t>
  </si>
  <si>
    <t>Rejeski K, Hansen DK, Bansal R, Sesques P, Ailawadhi S, Logue JM, Bräunlein E, Cordas Dos Santos DM, Freeman CL, Alsina M, Theurich S, Wang Y, Krackhardt AM, Locke FL, Bachy E, Jain MD, Lin Y, Subklewe M.J Hematol Oncol. 2023 Jul 31;16(1):88. doi: 10.1186/s13045-023-01465-x.PMID: 37525244 Free PMC article.</t>
  </si>
  <si>
    <t>T-cell-engaging bispecific antibodies in cancer.</t>
  </si>
  <si>
    <t>van de Donk NWCJ, Zweegman S.Lancet. 2023 Jul 8;402(10396):142-158. doi: 10.1016/S0140-6736(23)00521-4. Epub 2023 Jun 1.PMID: 37271153 Review.</t>
  </si>
  <si>
    <t>Long-term outcomes following CAR T cell therapy: what we know so far.</t>
  </si>
  <si>
    <t>Cappell KM, Kochenderfer JN.Nat Rev Clin Oncol. 2023 Jun;20(6):359-371. doi: 10.1038/s41571-023-00754-1. Epub 2023 Apr 13.PMID: 37055515 Free PMC article. Review.</t>
  </si>
  <si>
    <t>Bispecific CAR T cell therapy targeting BCMA and CD19 in relapsed/refractory multiple myeloma: a phase I/II trial.</t>
  </si>
  <si>
    <t>Shi M, Wang J, Huang H, Liu D, Cheng H, Wang X, Chen W, Yan Z, Sang W, Qi K, Li D, Zhu F, Li Z, Qiao J, Wu Q, Zeng L, Fei X, Gu W, Miao Y, Xu K, Zheng J, Cao J.Nat Commun. 2024 Apr 20;15(1):3371. doi: 10.1038/s41467-024-47801-8.PMID: 38643278 Free PMC article. Clinical Trial.</t>
  </si>
  <si>
    <t>BCMA CAR-T induces complete and durable remission in refractory plasmablastic lymphoma.</t>
  </si>
  <si>
    <t>Raghunandan S, Pauly M, Blum WG, Qayed M, Dhodapkar MV, Elkhalifa M, Watkins B, Schoettler M, Horwitz E, Parikh S, Chandrakasan S, Leung K, Bryson E, Deeb L, Kaufman JL, Worthington-White D, Alazraki A, Schecter JM, Madduri D, Jackson CC, Zudaire E, Taraseviciute-Morris A, Babich A, Nesheiwat T, Vogel M, Lendvai N, Pacaud L, Williams KM.J Immunother Cancer. 2023 May;11(5):e006684. doi: 10.1136/jitc-2023-006684.PMID: 37137553 Free PMC article.</t>
  </si>
  <si>
    <t>Single-cell analysis of refractory anti-SRP necrotizing myopathy treated with anti-BCMA CAR-T cell therapy.</t>
  </si>
  <si>
    <t>Qin C, Dong MH, Zhou LQ, Wang W, Cai SB, You YF, Shang K, Xiao J, Wang D, Li CR, Zhang M, Bu BT, Tian DS, Wang W.Proc Natl Acad Sci U S A. 2024 Feb 6;121(6):e2315990121. doi: 10.1073/pnas.2315990121. Epub 2024 Jan 30.PMID: 38289960 Free PMC article.</t>
  </si>
  <si>
    <t>Engineered T cells secreting anti-BCMA T cell engagers control multiple myeloma and promote immune memory in vivo.</t>
  </si>
  <si>
    <t>Díez-Alonso L, Falgas A, Arroyo-Ródenas J, Romencín PA, Martínez A, Gómez-Rosel M, Blanco B, Jiménez-Reinoso A, Mayado A, Pérez-Pons A, Aguilar-Sopeña Ó, Ramírez-Fernández Á, Segura-Tudela A, Perez-Amill L, Tapia-Galisteo A, Domínguez-Alonso C, Rubio-Pérez L, Jara M, Solé F, Hangiu O, Almagro L, Albitre Á, Penela P, Sanz L, Anguita E, Valeri A, García-Ortiz A, Río P, Juan M, Martínez-López J, Roda-Navarro P, Martín-Antonio B, Orfao A, Menéndez P, Bueno C, Álvarez-Vallina L.Sci Transl Med. 2024 Feb 14;16(734):eadg7962. doi: 10.1126/scitranslmed.adg7962. Epub 2024 Feb 14.PMID: 38354229</t>
  </si>
  <si>
    <t>Teclistamab impairs detection of BCMA CAR-T cells.</t>
  </si>
  <si>
    <t>Glatte B, Wenk K, Grahnert A, Friedrich M, Merz M, Vucinic V, Fischer L, Reiche K, Alb M, Hudecek M, Franz P, Fricke S, Platzbecker U, Koehl U, Sack U, Boldt A, Hauschildt S, Weiss R.Blood Adv. 2023 Aug 8;7(15):3842-3845. doi: 10.1182/bloodadvances.2023009714.PMID: 37026812 Free PMC article. No abstract available.</t>
  </si>
  <si>
    <t>Non-Conventional Allogeneic Anti-BCMA Chimeric Antigen Receptor-Based Immune Cell Therapies for Multiple Myeloma Treatment.</t>
  </si>
  <si>
    <t>Du Z, Zhu S, Zhang X, Gong Z, Wang S.Cancers (Basel). 2023 Jan 17;15(3):567. doi: 10.3390/cancers15030567.PMID: 36765526 Free PMC article. Review.</t>
  </si>
  <si>
    <t>Elranatamab in relapsed or refractory multiple myeloma: phase 2 MagnetisMM-3 trial results.</t>
  </si>
  <si>
    <t>Lesokhin AM, Tomasson MH, Arnulf B, Bahlis NJ, Miles Prince H, Niesvizky R, Rodrίguez-Otero P, Martinez-Lopez J, Koehne G, Touzeau C, Jethava Y, Quach H, Depaus J, Yokoyama H, Gabayan AE, Stevens DA, Nooka AK, Manier S, Raje N, Iida S, Raab MS, Searle E, Leip E, Sullivan ST, Conte U, Elmeliegy M, Czibere A, Viqueira A, Mohty M.Nat Med. 2023 Sep;29(9):2259-2267. doi: 10.1038/s41591-023-02528-9. Epub 2023 Aug 15.PMID: 37582952 Free PMC article. Clinical Trial.</t>
  </si>
  <si>
    <t>Combining BCMA-targeting CAR T cells with TCR-engineered T-cell therapy to prevent immune escape of multiple myeloma.</t>
  </si>
  <si>
    <t>Wachsmann TLA, Meeuwsen MH, Remst DFG, Buchner K, Wouters AK, Hagedoorn RS, Falkenburg JHF, Heemskerk MHM.Blood Adv. 2023 Oct 24;7(20):6178-6183. doi: 10.1182/bloodadvances.2023010410.PMID: 37567150 Free PMC article. No abstract available.</t>
  </si>
  <si>
    <t>BCMA- and CST6-specific CAR T cells lyse multiple myeloma cells and suppress murine osteolytic lesions.</t>
  </si>
  <si>
    <t>Sun F, Cheng Y, Chen JR, Wanchai V, Mery DE, Xu H, Gai D, Al Hadidi S, Schinke C, Thanendrarajan S, Zangari M, van Rhee F, Tricot G, Shaughnessy JD Jr, Zhan F.J Clin Invest. 2024 Jan 2;134(1):e171396. doi: 10.1172/JCI171396.PMID: 37883186 Free PMC article.</t>
  </si>
  <si>
    <t>Anti-BCMA CAR-T cell-based therapies and bispecific antibodies in the immunotherapy era: are we ready for this?</t>
  </si>
  <si>
    <t>Martino M, Gamberi B, Antonioli E, Aquino S, Della Pepa R, Malerba L, Mangiacavalli S, Pezzatti S, Bringhen S, Zamagni E.Expert Rev Hematol. 2024 Jul;17(7):375-390. doi: 10.1080/17474086.2024.2357274. Epub 2024 May 21.PMID: 38770902 Review.</t>
  </si>
  <si>
    <t>Understanding Infection Risk with Anti-BCMA Bispecific Antibodies.</t>
  </si>
  <si>
    <t>Garfall AL, Stadtmauer EA.Blood Cancer Discov. 2023 Nov 1;4(6):427-429. doi: 10.1158/2643-3230.BCD-23-0157.PMID: 37769160 Free PMC article.</t>
  </si>
  <si>
    <t>Cilta-cel, a BCMA-targeting CAR-T therapy for patients with multiple myeloma.</t>
  </si>
  <si>
    <t>Jagannath S, Jackson CC, Schecter JM, Lendvai N, Sun H, Akram M, Patel N, Martin TG.Expert Opin Biol Ther. 2024 May;24(5):339-350. doi: 10.1080/14712598.2024.2352591. Epub 2024 May 13.PMID: 38738379 Review.</t>
  </si>
  <si>
    <t>"CD3-expressing T cells"</t>
  </si>
  <si>
    <t>ABBV-184: A Novel Survivin-specific TCR/CD3 Bispecific T-cell Engager is Active against Both Solid Tumor and Hematologic Malignancies.</t>
  </si>
  <si>
    <t>Chervin AS, Stone JD, Konieczna I, Calabrese KM, Wang N, Haribhai D, Dong F, White MK, Rodriguez LE, Bukofzer GT, Ellis PA, Cosgrove C, Hecquet C, Clarin JD, Palma JP, Reilly EB.Mol Cancer Ther. 2023 Aug 1;22(8):903-912. doi: 10.1158/1535-7163.MCT-22-0770.PMID: 37294945</t>
  </si>
  <si>
    <t>MonumenTAL Results for Talquetamab in Myeloma.</t>
  </si>
  <si>
    <t>[No authors listed]Cancer Discov. 2023 Feb 6;13(2):250-251. doi: 10.1158/2159-8290.CD-NB2022-0079.PMID: 36508587</t>
  </si>
  <si>
    <t>Presence of CD3-positive T-cells in oral premalignant leukoplakia indicates prevention of cancer transformation.</t>
  </si>
  <si>
    <t>Öhman J, Mowjood R, Larsson L, Kovacs A, Magnusson B, Kjeller G, Jontell M, Hasseus B.Anticancer Res. 2015 Jan;35(1):311-7.PMID: 25550565</t>
  </si>
  <si>
    <t>Phase 1 Study of Safety and Preliminary Clinical Activity of JNJ-63898081, a PSMA and CD3 Bispecific Antibody, for Metastatic Castration-Resistant Prostate Cancer.</t>
  </si>
  <si>
    <t>Lim EA, Schweizer MT, Chi KN, Aggarwal R, Agarwal N, Gulley J, Attiyeh E, Greger J, Wu S, Jaiprasart P, Loffredo J, Bandyopadhyay N, Xie H, Hansen AR.Clin Genitourin Cancer. 2023 Jun;21(3):366-375. doi: 10.1016/j.clgc.2023.02.010. Epub 2023 Feb 28.PMID: 36948922 Free PMC article. Clinical Trial.</t>
  </si>
  <si>
    <t>Invariant NKT cells dictate antitumor immunity elicited by a bispecific antibody cotargeting CD3 and BCMA.</t>
  </si>
  <si>
    <t>Casey M, Tu C, Harrison SJ, Nakamura K.Blood Adv. 2022 Sep 13;6(17):5165-5170. doi: 10.1182/bloodadvances.2022008118.PMID: 35830292 Free PMC article.</t>
  </si>
  <si>
    <t>Evaluating the distribution of T-lymphocytes and S-phase proliferating cells across the nasal mucosa of dromedary camel (Camelus dromedarius).</t>
  </si>
  <si>
    <t>Abdellatif AM.Tissue Cell. 2021 Oct;72:101580. doi: 10.1016/j.tice.2021.101580. Epub 2021 Jun 9.PMID: 34130855</t>
  </si>
  <si>
    <t>Target-independent Immune-cell Activation by Aggregates of T Cell-redirecting Bispecific Antibodies.</t>
  </si>
  <si>
    <t>Tada M, Aoyama M, Ishii-Watabe A.J Pharm Sci. 2023 Sep;112(9):2419-2426. doi: 10.1016/j.xphs.2023.06.016. Epub 2023 Jun 29.PMID: 37392901</t>
  </si>
  <si>
    <t>Mesothelin/CD3 half-life extended bispecific T-cell engager molecule shows specific tumor uptake and distributes to mesothelin and CD3 expressing tissues.</t>
  </si>
  <si>
    <t>Suurs FV, Lorenczewski G, Bailis JM, Stienen S, Friedrich M, Lee F, van der Vegt B, de Vries EGE, de Groot DA, Lub-de Hooge MN.J Nucl Med. 2021 Apr 30;62(12):1797-804. doi: 10.2967/jnumed.120.259036. Online ahead of print.PMID: 33931466 Free PMC article.</t>
  </si>
  <si>
    <t>A bispecific diabody directed against prostate-specific membrane antigen and CD3 induces T-cell mediated lysis of prostate cancer cells.</t>
  </si>
  <si>
    <t>Bühler P, Wolf P, Gierschner D, Schaber I, Katzenwadel A, Schultze-Seemann W, Wetterauer U, Tacke M, Swamy M, Schamel WW, Elsässer-Beile U.Cancer Immunol Immunother. 2008 Jan;57(1):43-52. doi: 10.1007/s00262-007-0348-6. Epub 2007 Jun 20.PMID: 17579857 Free PMC article.</t>
  </si>
  <si>
    <t>Bispecific antibody-derived molecules to target persistent HIV infection.</t>
  </si>
  <si>
    <t>Nordstrom JL, Ferrari G, Margolis DM.J Virus Erad. 2022 Aug 28;8(3):100083. doi: 10.1016/j.jve.2022.100083. eCollection 2022 Sep.PMID: 36111287 Free PMC article.</t>
  </si>
  <si>
    <t>Antitumor activities of PSMA×CD3 diabodies by redirected T-cell lysis of prostate cancer cells.</t>
  </si>
  <si>
    <t>Baum V, Bühler P, Gierschner D, Herchenbach D, Fiala GJ, Schamel WW, Wolf P, Elsässer-Beile U.Immunotherapy. 2013 Jan;5(1):27-38. doi: 10.2217/imt.12.136.PMID: 23256796</t>
  </si>
  <si>
    <t>Triggering of cytotoxic T lymphocytes and NK cells via the Tp103 pathway is dependent on the expression of the T cell receptor/CD3 complex.</t>
  </si>
  <si>
    <t>Fleischer B, Sturm E, De Vries JE, Spits H.J Immunol. 1988 Aug 15;141(4):1103-7.PMID: 2840462</t>
  </si>
  <si>
    <t>CR3 (CD11b/CD18) expressed by cytotoxic T cells and natural killer cells is upregulated in a manner similar to neutrophil CR3 following stimulation with various activating agents.</t>
  </si>
  <si>
    <t>Muto S, Vĕtvicka V, Ross GD.J Clin Immunol. 1993 May;13(3):175-84. doi: 10.1007/BF00919970.PMID: 8100571</t>
  </si>
  <si>
    <t>A mouse/human-chimeric bispecific antibody reactive with human carcinoembryonic antigen-expressing cells and human T-lymphocytes.</t>
  </si>
  <si>
    <t>Kuwahara M, Kuroki M, Arakawa F, Senba T, Matsuoka Y, Hideshima T, Yamashita Y, Kanda H.Anticancer Res. 1996 Sep-Oct;16(5A):2661-7.PMID: 8917366</t>
  </si>
  <si>
    <t>Selective targeting of antibody-conjugated nanoparticles to leukemic cells and primary T-lymphocytes.</t>
  </si>
  <si>
    <t>Dinauer N, Balthasar S, Weber C, Kreuter J, Langer K, von Briesen H.Biomaterials. 2005 Oct;26(29):5898-906. doi: 10.1016/j.biomaterials.2005.02.038. Epub 2005 Apr 15.PMID: 15949555</t>
  </si>
  <si>
    <t>Relapsed refractory multiple myeloma with CNS involvement successfully treated with Elranatamab: first reported case.</t>
  </si>
  <si>
    <t>Mutlu YG, Yıgıt Kaya S, Maral S, Melek E, Baslar Z, Kaynar L, Sevindik OG.Front Immunol. 2023 Oct 13;14:1276295. doi: 10.3389/fimmu.2023.1276295. eCollection 2023.PMID: 37901215 Free PMC article.</t>
  </si>
  <si>
    <t>Bispecific single-chain diabody-mediated killing of endoglin-positive endothelial cells by cytotoxic T lymphocytes.</t>
  </si>
  <si>
    <t>Korn T, Müller R, Kontermann RE.J Immunother. 2004 Mar-Apr;27(2):99-106. doi: 10.1097/00002371-200403000-00003.PMID: 14770081</t>
  </si>
  <si>
    <t>The Pathological Evaluation of Autophagy-Related Protein (LC3B) and Its Association with the Infiltration of Immune Cells in Glioma.</t>
  </si>
  <si>
    <t>Mohammed SM, Elesawy YF, Abd El Aziz AM, Khairy RA.Asian Pac J Cancer Prev. 2022 May 1;23(5):1777-1784. doi: 10.31557/APJCP.2022.23.5.1777.PMID: 35633564 Free PMC article.</t>
  </si>
  <si>
    <t>Cell growth and gene rearrangement signals during the development of T lymphocytes within the thymus.</t>
  </si>
  <si>
    <t>Owen JJ, Jenkinson EJ, Kingston R, Williams GT, Smith CA.Philos Trans R Soc Lond B Biol Sci. 1990 Mar 12;327(1239):111-6. doi: 10.1098/rstb.1990.0047.PMID: 1969652 Review.</t>
  </si>
  <si>
    <t>Interference in a Neutralizing Antibody Assay for Odronextamab, a CD20xCD3 Bispecific mAb, from Prior Rituximab Therapy and Possible Mitigation Strategy.</t>
  </si>
  <si>
    <t>Irvin SC, D'Orvilliers A, Bloch N, Boccio K, Pennucci J, Brouwer-Visser J, Ullman E, Rajadhyaksha M, Hassanein M, Potocky T, Torri A, Hermann A, Partridge MA.AAPS J. 2022 Jun 21;24(4):76. doi: 10.1208/s12248-022-00724-y.PMID: 35725847</t>
  </si>
  <si>
    <t>n-3 polyunsaturated fatty acids suppress mitochondrial translocation to the immunologic synapse and modulate calcium signaling in T cells.</t>
  </si>
  <si>
    <t>Yog R, Barhoumi R, McMurray DN, Chapkin RS.J Immunol. 2010 May 15;184(10):5865-73. doi: 10.4049/jimmunol.0904102. Epub 2010 Apr 14.PMID: 20393134 Free PMC article.</t>
  </si>
  <si>
    <t>Immunophenotype in orofacial granulomatosis with and without Crohn's disease.</t>
  </si>
  <si>
    <t>Gale G, Ostman S, Saalman R, Telemo E, Jontell M, Hasséus B.Med Oral Patol Oral Cir Bucal. 2014 Nov 1;19(6):e584-591. doi: 10.4317/medoral.20187.PMID: 25350593 Free PMC article.</t>
  </si>
  <si>
    <t>Blinatumomab-induced donor T-cell activation for post-stem cell transplant-relapsed acute CD19-positive biphenotypic leukemia.</t>
  </si>
  <si>
    <t>Alcharakh M, Yun S, Dong Y, Vincelette ND, Daud M, Manzoor S, Riaz IB, Anwer F.Immunotherapy. 2016 Jul;8(8):847-52. doi: 10.2217/imt-2015-0023.PMID: 27381683 Review.</t>
  </si>
  <si>
    <t>IL-21 regulates germinal center B cell differentiation and proliferation through a B cell-intrinsic mechanism.</t>
  </si>
  <si>
    <t>Zotos D, Coquet JM, Zhang Y, Light A, D'Costa K, Kallies A, Corcoran LM, Godfrey DI, Toellner KM, Smyth MJ, Nutt SL, Tarlinton DM.J Exp Med. 2010 Feb 15;207(2):365-78. doi: 10.1084/jem.20091777. Epub 2010 Feb 8.PMID: 20142430 Free PMC article.</t>
  </si>
  <si>
    <t>Pharmacokinetic Analysis of a Novel Human EGFRvIII:CD3 Bispecific Antibody in Plasma and Whole Blood Using a High-Resolution Targeted Mass Spectrometry Approach.</t>
  </si>
  <si>
    <t>Schaller TH, Foster MW, Thompson JW, Spasojevic I, Normantaite D, Moseley MA, Sanchez-Perez L, Sampson JH.J Proteome Res. 2019 Aug 2;18(8):3032-3041. doi: 10.1021/acs.jproteome.9b00145. Epub 2019 Jul 19.PMID: 31267741 Free PMC article.</t>
  </si>
  <si>
    <t>Prevalence and quantitation of species C adenovirus DNA in human mucosal lymphocytes.</t>
  </si>
  <si>
    <t>Garnett CT, Erdman D, Xu W, Gooding LR.J Virol. 2002 Nov;76(21):10608-16. doi: 10.1128/jvi.76.21.10608-10616.2002.PMID: 12368303 Free PMC article.</t>
  </si>
  <si>
    <t>Characterization and expression analysis of CD3varepsilon and CD3gamma/delta in fugu, Takifugu rubripes.</t>
  </si>
  <si>
    <t>Araki K, Suetake H, Kikuchi K, Suzuki Y.Immunogenetics. 2005 Apr;57(1-2):158-63. doi: 10.1007/s00251-005-0772-8. Epub 2005 Mar 9.PMID: 15756549</t>
  </si>
  <si>
    <t>Differentiation of CD3-4-8- thymocytes in short-term thymic stromal cell culture.</t>
  </si>
  <si>
    <t>Sen-Majumdar A, Lieberman M, Alpert S, Wiessman IL, Small M.J Exp Med. 1992 Aug 1;176(2):543-51. doi: 10.1084/jem.176.2.543.PMID: 1386875 Free PMC article.</t>
  </si>
  <si>
    <t>FOXP3-positive regulatory T lymphocytes and epithelial FOXP3 expression in synchronous normal, ductal carcinoma in situ, and invasive cancer of the breast.</t>
  </si>
  <si>
    <t>Lal A, Chan L, Devries S, Chin K, Scott GK, Benz CC, Chen YY, Waldman FM, Hwang ES.Breast Cancer Res Treat. 2013 Jun;139(2):381-90. doi: 10.1007/s10549-013-2556-4. Epub 2013 May 28.PMID: 23712790</t>
  </si>
  <si>
    <t>Therapy for ongoing graft-versus-host disease induced across the major or minor histocompatibility barrier in mice with anti-CD3F(ab')2-ricin toxin A chain immunotoxin.</t>
  </si>
  <si>
    <t>Vallera DA, Taylor PA, Panoskaltsis-Mortari A, Blazar BR.Blood. 1995 Dec 1;86(11):4367-75.PMID: 7492798 Free article.</t>
  </si>
  <si>
    <t>Light scatter based lymphocyte gate--helpful tool or source of error?</t>
  </si>
  <si>
    <t>Krömer E, Grossmüller F.Cytometry. 1994 Jan 1;15(1):87-9. doi: 10.1002/cyto.990150115.PMID: 8162829 Free article.</t>
  </si>
  <si>
    <t>Tumid lupus erythematosus: criteria for classification with immunohistochemical analysis.</t>
  </si>
  <si>
    <t>Alexiades-Armenakas MR, Baldassano M, Bince B, Werth V, Bystryn JC, Kamino H, Soter NA, Franks AG Jr.Arthritis Rheum. 2003 Aug 15;49(4):494-500. doi: 10.1002/art.11206.PMID: 12910555 Free article.</t>
  </si>
  <si>
    <t>Elevated levels of soluble adhesion molecules in sera and BAL fluid of individuals infected with human T-cell lymphotropic virus type 1.</t>
  </si>
  <si>
    <t>Seki M, Higashiyama Y, Kadota J, Mukae H, Yanagihara K, Tomono K, Kohno S.Chest. 2000 Dec;118(6):1754-61. doi: 10.1378/chest.118.6.1754.PMID: 11115469</t>
  </si>
  <si>
    <t>KSHV viral cyclin interferes with T-cell development and induces lymphoma through Cdk6 and Notch activation in vivo.</t>
  </si>
  <si>
    <t>Pekkonen P, Järviluoma A, Zinovkina N, Cvrljevic A, Prakash S, Westermarck J, Evan GI, Cesarman E, Verschuren EW, Ojala PM.Cell Cycle. 2014;13(23):3670-84. doi: 10.4161/15384101.2014.964118.PMID: 25483078 Free PMC article.</t>
  </si>
  <si>
    <t>Construction and in vivo evaluation of an anti-PSA x anti-CD3 bispecific antibody for the immunotherapy of prostate cancer.</t>
  </si>
  <si>
    <t>Katzenwadel A, Schleer H, Gierschner D, Wetterauer U, Elsässer-Beile U.Anticancer Res. 2000 May-Jun;20(3A):1551-5.PMID: 10928069</t>
  </si>
  <si>
    <t>Elevated levels of beta-chemokines in bronchoalveolar lavage fluid (BALF) of individuals infected with human T lymphotropic virus type-1 (HTLV-1).</t>
  </si>
  <si>
    <t>Seki M, Kadota JI, Higashiyama Y, Iida K, Iwashita T, Sasaki E, Maesaki S, Tomono K, Kohno S.Clin Exp Immunol. 1999 Dec;118(3):417-22. doi: 10.1046/j.1365-2249.1999.01093.x.PMID: 10594561 Free PMC article.</t>
  </si>
  <si>
    <t>Different treatment settings of Granulocyte-Colony Stimulating Factor and their impact on T cell-specific immune response in experimental stroke.</t>
  </si>
  <si>
    <t>Dietel B, Cicha I, Achenbach S, Kollmar R, Garlichs C, Tauchi M.Immunol Lett. 2014 Mar-Apr;158(1-2):95-100. doi: 10.1016/j.imlet.2013.12.006. Epub 2013 Dec 12.PMID: 24333341</t>
  </si>
  <si>
    <t>Immunity to eimeria tenella in chickens: phenotypical and functional changes in peripheral blood T-cell subsets.</t>
  </si>
  <si>
    <t>Breed DG, Dorrestein J, Vermeulen AN.Avian Dis. 1996 Jan-Mar;40(1):37-48.PMID: 8713046</t>
  </si>
  <si>
    <t>Apoptosis but not other activation events is inhibited by a mutation in the transmembrane domain of T cell receptor beta that impairs CD3zeta association.</t>
  </si>
  <si>
    <t>Rodríguez-Tarduchy G, Sahuquillo AG, Alarcón B, Bragado R.J Biol Chem. 1996 Nov 29;271(48):30417-25. doi: 10.1074/jbc.271.48.30417.PMID: 8940006 Free article.</t>
  </si>
  <si>
    <t>Phase 1/2: "LINKER-MM1" n=</t>
  </si>
  <si>
    <t>"BCMAxCD3"</t>
  </si>
  <si>
    <t>A BCMAxCD3 bispecific T cell-engaging antibody demonstrates robust antitumor efficacy similar to that of anti-BCMA CAR T cells.</t>
  </si>
  <si>
    <t>DiLillo DJ, Olson K, Mohrs K, Meagher TC, Bray K, Sineshchekova O, Startz T, Kuhnert J, Retter MW, Godin S, Sharma P, Delfino F, Lin J, Smith E, Thurston G, Kirshner JR.Blood Adv. 2021 Mar 9;5(5):1291-1304. doi: 10.1182/bloodadvances.2020002736.PMID: 33651100 Free PMC article.</t>
  </si>
  <si>
    <t>BCMAxCD3 Bispecific Yields Robust Responses in Myeloma.</t>
  </si>
  <si>
    <t>[No authors listed]Cancer Discov. 2023 Jun 2;13(6):1280. doi: 10.1158/2159-8290.CD-NB2023-0034.PMID: 37075091</t>
  </si>
  <si>
    <t>Teclistamab for Multiple Myeloma: Clinical Insights and Practical Considerations for a First-in-Class Bispecific Antibody.</t>
  </si>
  <si>
    <t>Pan D, Richter J.Cancer Manag Res. 2023 Jul 21;15:741-751. doi: 10.2147/CMAR.S372237. eCollection 2023.PMID: 37497430 Free PMC article. Review.</t>
  </si>
  <si>
    <t>The pre-existing T cell landscape determines the response to bispecific T cell engagers in multiple myeloma patients.</t>
  </si>
  <si>
    <t>Friedrich MJ, Neri P, Kehl N, Michel J, Steiger S, Kilian M, Leblay N, Maity R, Sankowski R, Lee H, Barakat E, Ahn S, Weinhold N, Rippe K, Bunse L, Platten M, Goldschmidt H, Müller-Tidow C, Raab MS, Bahlis NJ.Cancer Cell. 2023 Apr 10;41(4):711-725.e6. doi: 10.1016/j.ccell.2023.02.008. Epub 2023 Mar 9.PMID: 36898378 Free article.</t>
  </si>
  <si>
    <t>Teclistamab is an active T cell-redirecting bispecific antibody against B-cell maturation antigen for multiple myeloma.</t>
  </si>
  <si>
    <t>Pillarisetti K, Powers G, Luistro L, Babich A, Baldwin E, Li Y, Zhang X, Mendonça M, Majewski N, Nanjunda R, Chin D, Packman K, Elsayed Y, Attar R, Gaudet F.Blood Adv. 2020 Sep 22;4(18):4538-4549. doi: 10.1182/bloodadvances.2020002393.PMID: 32956453 Free PMC article.</t>
  </si>
  <si>
    <t>A therapeutic strategy to target distinct sources of IgE and durably reverse allergy.</t>
  </si>
  <si>
    <t>Limnander A, Kaur N, Asrat S, Tasker C, Boyapati A, Ben LH, Janczy J, Pedraza P, Abreu P, Chen WC, Godin S, Daniel BJ, Chin H, DeVeaux M, Rodriguez Lorenc K, Sirulnik A, Harari O, Stahl N, Sleeman MA, Murphy AJ, Yancopoulos GD, Orengo JM.Sci Transl Med. 2023 Dec 13;15(726):eadf9561. doi: 10.1126/scitranslmed.adf9561. Epub 2023 Dec 13.PMID: 38091405</t>
  </si>
  <si>
    <t>Engineered T cells secreting anti-BCMA T cell engagers control multiple myeloma and promote immune memory in vivo.</t>
  </si>
  <si>
    <t>Redirecting T-cell Activity with Anti-BCMA/Anti-CD3 Bispecific Antibodies in Chronic Lymphocytic Leukemia and Other B-cell Lymphomas.</t>
  </si>
  <si>
    <t>Martens AWJ, Rietveld JM, de Boer R, Peters FS, Ngo A, van Mil LWHG, de Heer K, Spaargaren M, Verkleij CPM, van de Donk NWCJ, Adams HC 3rd, Eldering E, van Noesel CJM, Verona R, Kater AP.Cancer Res Commun. 2022 May 9;2(5):330-341. doi: 10.1158/2767-9764.CRC-22-0083. eCollection 2022 May.PMID: 36875718 Free PMC article.</t>
  </si>
  <si>
    <t>Advances in desensitization for human leukocyte antigen incompatible kidney transplantation.</t>
  </si>
  <si>
    <t>Vo A, Ammerman N, Jordan SC.Curr Opin Organ Transplant. 2024 Apr 1;29(2):104-120. doi: 10.1097/MOT.0000000000001131. Epub 2023 Dec 13.PMID: 38088373 Review.</t>
  </si>
  <si>
    <t>γ-secretase inhibitors augment efficacy of BCMA-targeting bispecific antibodies against multiple myeloma cells without impairing T-cell activation and differentiation.</t>
  </si>
  <si>
    <t>Chen H, Yu T, Lin L, Xing L, Cho SF, Wen K, Aardalen K, Oka A, Lam J, Daley M, Lu H, Munshi N, Anderson KC, Tai YT.Blood Cancer J. 2022 Aug 16;12(8):118. doi: 10.1038/s41408-022-00716-3.PMID: 35973981 Free PMC article.</t>
  </si>
  <si>
    <t>On the continuous (R)evolution of antibody-based and CAR T cell therapies in multiple myeloma: an early 2022 glance into the future.</t>
  </si>
  <si>
    <t>Sunder-Plassmann V, Aksoy O, Lind J, Pecherstorfer M, Vallet S, Podar K.Expert Opin Pharmacother. 2022 Aug;23(12):1425-1444. doi: 10.1080/14656566.2022.2101362. Epub 2022 Aug 10.PMID: 35829636 Review.</t>
  </si>
  <si>
    <t>New therapies for highly sensitized patients on the waiting list.</t>
  </si>
  <si>
    <t>Vo A, Ammerman N, Jordan SC.Kidney360. 2024 Jul 12. doi: 10.34067/KID.0000000000000509. Online ahead of print.PMID: 38995690 Free article.</t>
  </si>
  <si>
    <t>Elranatamab treatment in a multiple myeloma patient undergoing renal dialysis.</t>
  </si>
  <si>
    <t>Van de Wyngaert Z, Romera-Martinez I, Chedeville C, Musiu P, Ikhlef S, Jonca B, Mohty M, Malard F.Clin Hematol Int. 2024 May 6;6(2):46-50. doi: 10.46989/001c.116800. eCollection 2024.PMID: 38817306 </t>
  </si>
  <si>
    <t>"Linvoseltamab"</t>
  </si>
  <si>
    <t>Linvoseltamab for Treatment of Relapsed/Refractory Multiple Myeloma.</t>
  </si>
  <si>
    <t>Bumma N, Richter J, Jagannath S, Lee HC, Hoffman JE, Suvannasankha A, Zonder JA, Shah MR, Lentzsch S, Baz R, Maly JJ, Namburi S, Pianko MJ, Ye JC, Wu KL, Silbermann R, Min CK, Vekemans MC, Munder M, Byun JM, Martínez-Lopez J, Cassady K, DeVeaux M, Chokshi D, Boyapati A, Hazra A, Yancopoulos GD, Sirulnik LA, Rodriguez Lorenc K, Kroog GS, Houvras Y, Dhodapkar MV.J Clin Oncol. 2024 Aug 1;42(22):2702-2712. doi: 10.1200/JCO.24.01008. Epub 2024 Jun 16.PMID: 38879802 Free PMC article. Clinical Trial.</t>
  </si>
  <si>
    <t>Antibodies to watch in 2023.</t>
  </si>
  <si>
    <t>Kaplon H, Crescioli S, Chenoweth A, Visweswaraiah J, Reichert JM.MAbs. 2023 Jan-Dec;15(1):2153410. doi: 10.1080/19420862.2022.2153410.PMID: 36472472 Free PMC article.</t>
  </si>
  <si>
    <t>Antibodies to watch in 2024.</t>
  </si>
  <si>
    <t>Crescioli S, Kaplon H, Chenoweth A, Wang L, Visweswaraiah J, Reichert JM.MAbs. 2024 Jan-Dec;16(1):2297450. doi: 10.1080/19420862.2023.2297450. Epub 2024 Jan 5.PMID: 38178784 Free PMC article.</t>
  </si>
  <si>
    <t>Bispecific antibodies targeting BCMA, GPRC5D, and FcRH5 for multiple myeloma therapy: latest updates from ASCO 2023 Annual Meeting.</t>
  </si>
  <si>
    <t>Bispecific antibodies as monotherapy or in combinations for hematological malignancies: latest updates from the EHA 2023 annual meeting.</t>
  </si>
  <si>
    <t>Li X, Zhang P, Sun H, Han L, Jiang Z, Yu J.Expert Opin Biol Ther. 2023 Jul-Dec;23(12):1193-1195. doi: 10.1080/14712598.2023.2273276. Epub 2023 Dec 28.PMID: 37852928</t>
  </si>
  <si>
    <t>"Multiple Myeoloma"</t>
  </si>
  <si>
    <t xml:space="preserve">Expectations: </t>
  </si>
  <si>
    <t xml:space="preserve">Result: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</si>
</sst>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i/>
      <u/>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theme="5" tint="0.39997558519241921"/>
        <bgColor indexed="64"/>
      </patternFill>
    </fill>
    <fill>
      <patternFill patternType="solid">
        <fgColor theme="7" tint="0.39997558519241921"/>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61">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0" fontId="0" fillId="3" borderId="0" xfId="0" applyFill="1" applyAlignment="1">
      <alignment horizontal="center"/>
    </xf>
    <xf numFmtId="0" fontId="0" fillId="3" borderId="0" xfId="0" applyFont="1" applyFill="1" applyAlignment="1">
      <alignment horizontal="center"/>
    </xf>
    <xf numFmtId="0" fontId="1" fillId="0" borderId="0" xfId="0" applyFont="1" applyAlignment="1">
      <alignment horizontal="center"/>
    </xf>
    <xf numFmtId="14" fontId="0" fillId="4" borderId="0" xfId="0" applyNumberFormat="1" applyFill="1"/>
    <xf numFmtId="0" fontId="0" fillId="4" borderId="0" xfId="0" applyFill="1"/>
    <xf numFmtId="0" fontId="4" fillId="4" borderId="0" xfId="1" applyFill="1" applyAlignment="1" applyProtection="1"/>
  </cellXfs>
  <cellStyles count="3">
    <cellStyle name="Link" xfId="1" builtinId="8"/>
    <cellStyle name="Normal 2" xfId="2" xr:uid="{E14D3674-039E-4586-B983-DD274F8F711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18393</xdr:colOff>
      <xdr:row>0</xdr:row>
      <xdr:rowOff>0</xdr:rowOff>
    </xdr:from>
    <xdr:to>
      <xdr:col>18</xdr:col>
      <xdr:colOff>18393</xdr:colOff>
      <xdr:row>88</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11146221" y="0"/>
          <a:ext cx="0" cy="145502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24962</xdr:colOff>
      <xdr:row>0</xdr:row>
      <xdr:rowOff>0</xdr:rowOff>
    </xdr:from>
    <xdr:to>
      <xdr:col>37</xdr:col>
      <xdr:colOff>24962</xdr:colOff>
      <xdr:row>44</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9" dT="2022-09-16T10:03:00.58" personId="{6AE02F28-EECC-4040-93BD-26CB9CF8932E}" id="{CFF3BC2E-892D-4995-B558-D2A9395BF1AF}">
    <text>NGNI 1080.2</text>
  </threadedComment>
  <threadedComment ref="N29"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7"/>
  <sheetViews>
    <sheetView zoomScale="160" zoomScaleNormal="160" workbookViewId="0">
      <selection activeCell="B13" sqref="B13"/>
    </sheetView>
  </sheetViews>
  <sheetFormatPr baseColWidth="10" defaultColWidth="9.140625" defaultRowHeight="12.75" x14ac:dyDescent="0.2"/>
  <cols>
    <col min="1" max="1" width="3.7109375" customWidth="1"/>
    <col min="2" max="2" width="19.85546875" bestFit="1" customWidth="1"/>
    <col min="3" max="3" width="20" customWidth="1"/>
    <col min="5" max="5" width="11.7109375" customWidth="1"/>
    <col min="6" max="6" width="13.85546875" customWidth="1"/>
  </cols>
  <sheetData>
    <row r="2" spans="2:11" x14ac:dyDescent="0.2">
      <c r="B2" s="22" t="s">
        <v>49</v>
      </c>
      <c r="C2" s="23" t="s">
        <v>48</v>
      </c>
      <c r="D2" s="23" t="s">
        <v>47</v>
      </c>
      <c r="E2" s="23" t="s">
        <v>45</v>
      </c>
      <c r="F2" s="23" t="s">
        <v>44</v>
      </c>
      <c r="G2" s="24" t="s">
        <v>43</v>
      </c>
      <c r="I2" t="s">
        <v>42</v>
      </c>
      <c r="J2" s="25">
        <v>790</v>
      </c>
      <c r="K2" s="26"/>
    </row>
    <row r="3" spans="2:11" x14ac:dyDescent="0.2">
      <c r="B3" s="27" t="s">
        <v>41</v>
      </c>
      <c r="C3" s="28" t="s">
        <v>40</v>
      </c>
      <c r="D3" s="29">
        <v>39479</v>
      </c>
      <c r="E3" s="30">
        <v>1</v>
      </c>
      <c r="F3" s="31" t="s">
        <v>39</v>
      </c>
      <c r="G3" s="32" t="s">
        <v>30</v>
      </c>
      <c r="I3" t="s">
        <v>38</v>
      </c>
      <c r="J3" s="33">
        <f>107.507386+1.818146</f>
        <v>109.325532</v>
      </c>
      <c r="K3" s="26" t="s">
        <v>214</v>
      </c>
    </row>
    <row r="4" spans="2:11" x14ac:dyDescent="0.2">
      <c r="B4" s="34" t="s">
        <v>280</v>
      </c>
      <c r="C4" s="35" t="s">
        <v>240</v>
      </c>
      <c r="D4" s="35"/>
      <c r="E4" s="35" t="s">
        <v>241</v>
      </c>
      <c r="F4" s="35" t="s">
        <v>246</v>
      </c>
      <c r="G4" s="36"/>
      <c r="I4" t="s">
        <v>35</v>
      </c>
      <c r="J4" s="1">
        <f>J2*J3</f>
        <v>86367.170279999991</v>
      </c>
      <c r="K4" s="17"/>
    </row>
    <row r="5" spans="2:11" x14ac:dyDescent="0.2">
      <c r="B5" s="34" t="s">
        <v>34</v>
      </c>
      <c r="C5" s="35" t="s">
        <v>243</v>
      </c>
      <c r="D5" s="35"/>
      <c r="E5" s="35" t="s">
        <v>241</v>
      </c>
      <c r="F5" s="35" t="s">
        <v>242</v>
      </c>
      <c r="G5" s="36"/>
      <c r="I5" t="s">
        <v>33</v>
      </c>
      <c r="J5" s="1">
        <v>14334</v>
      </c>
      <c r="K5" s="26" t="s">
        <v>214</v>
      </c>
    </row>
    <row r="6" spans="2:11" x14ac:dyDescent="0.2">
      <c r="B6" s="34" t="s">
        <v>244</v>
      </c>
      <c r="C6" s="35" t="s">
        <v>268</v>
      </c>
      <c r="D6" s="35"/>
      <c r="E6" s="35" t="s">
        <v>247</v>
      </c>
      <c r="F6" s="35" t="s">
        <v>245</v>
      </c>
      <c r="G6" s="36"/>
      <c r="I6" t="s">
        <v>29</v>
      </c>
      <c r="J6" s="1">
        <v>1980.7</v>
      </c>
      <c r="K6" s="26" t="s">
        <v>214</v>
      </c>
    </row>
    <row r="7" spans="2:11" x14ac:dyDescent="0.2">
      <c r="B7" s="34" t="s">
        <v>281</v>
      </c>
      <c r="C7" s="42" t="s">
        <v>31</v>
      </c>
      <c r="D7" s="35"/>
      <c r="E7" s="35" t="s">
        <v>267</v>
      </c>
      <c r="F7" s="35" t="s">
        <v>246</v>
      </c>
      <c r="G7" s="53" t="s">
        <v>30</v>
      </c>
      <c r="I7" s="41" t="s">
        <v>26</v>
      </c>
      <c r="J7" s="1">
        <f>J4-J5+J6</f>
        <v>74013.870279999988</v>
      </c>
    </row>
    <row r="8" spans="2:11" x14ac:dyDescent="0.2">
      <c r="B8" s="34" t="s">
        <v>265</v>
      </c>
      <c r="C8" s="42" t="s">
        <v>25</v>
      </c>
      <c r="D8" s="35"/>
      <c r="E8" s="35"/>
      <c r="F8" s="35" t="s">
        <v>266</v>
      </c>
      <c r="G8" s="53" t="s">
        <v>30</v>
      </c>
      <c r="I8" s="41"/>
      <c r="J8" s="1"/>
    </row>
    <row r="9" spans="2:11" x14ac:dyDescent="0.2">
      <c r="B9" s="44" t="s">
        <v>288</v>
      </c>
      <c r="C9" s="42" t="s">
        <v>263</v>
      </c>
      <c r="D9" s="35"/>
      <c r="E9" s="35"/>
      <c r="F9" s="35" t="s">
        <v>289</v>
      </c>
      <c r="G9" s="53"/>
      <c r="I9" s="41"/>
      <c r="J9" s="1"/>
    </row>
    <row r="10" spans="2:11" x14ac:dyDescent="0.2">
      <c r="B10" s="37" t="s">
        <v>262</v>
      </c>
      <c r="C10" s="38" t="s">
        <v>263</v>
      </c>
      <c r="D10" s="39"/>
      <c r="E10" s="39" t="s">
        <v>241</v>
      </c>
      <c r="F10" s="39" t="s">
        <v>264</v>
      </c>
      <c r="G10" s="40" t="s">
        <v>30</v>
      </c>
      <c r="I10" s="41"/>
      <c r="J10" s="1"/>
    </row>
    <row r="11" spans="2:11" x14ac:dyDescent="0.2">
      <c r="B11" s="22"/>
      <c r="C11" s="23"/>
      <c r="D11" s="23" t="s">
        <v>27</v>
      </c>
      <c r="E11" s="23"/>
      <c r="F11" s="23"/>
      <c r="G11" s="24"/>
      <c r="I11" s="41"/>
      <c r="J11" s="43"/>
    </row>
    <row r="12" spans="2:11" x14ac:dyDescent="0.2">
      <c r="B12" s="44" t="s">
        <v>274</v>
      </c>
      <c r="C12" s="42" t="s">
        <v>277</v>
      </c>
      <c r="D12" s="35" t="s">
        <v>276</v>
      </c>
      <c r="E12" s="42"/>
      <c r="F12" s="35" t="s">
        <v>275</v>
      </c>
      <c r="G12" s="36"/>
    </row>
    <row r="13" spans="2:11" x14ac:dyDescent="0.2">
      <c r="B13" s="34" t="s">
        <v>330</v>
      </c>
      <c r="C13" s="42" t="s">
        <v>279</v>
      </c>
      <c r="D13" s="35"/>
      <c r="E13" s="42"/>
      <c r="F13" s="35" t="s">
        <v>278</v>
      </c>
      <c r="G13" s="36"/>
    </row>
    <row r="14" spans="2:11" x14ac:dyDescent="0.2">
      <c r="B14" s="44" t="s">
        <v>296</v>
      </c>
      <c r="C14" s="42" t="s">
        <v>299</v>
      </c>
      <c r="D14" s="35"/>
      <c r="E14" s="42" t="s">
        <v>297</v>
      </c>
      <c r="F14" s="35" t="s">
        <v>298</v>
      </c>
      <c r="G14" s="36"/>
    </row>
    <row r="15" spans="2:11" x14ac:dyDescent="0.2">
      <c r="B15" s="44" t="s">
        <v>248</v>
      </c>
      <c r="C15" s="35" t="s">
        <v>270</v>
      </c>
      <c r="D15" s="35" t="s">
        <v>272</v>
      </c>
      <c r="E15" s="42"/>
      <c r="F15" s="35" t="s">
        <v>271</v>
      </c>
      <c r="G15" s="36"/>
    </row>
    <row r="16" spans="2:11" x14ac:dyDescent="0.2">
      <c r="B16" s="44" t="s">
        <v>24</v>
      </c>
      <c r="C16" s="35" t="s">
        <v>23</v>
      </c>
      <c r="D16" s="35" t="s">
        <v>22</v>
      </c>
      <c r="E16" s="42"/>
      <c r="F16" s="35" t="s">
        <v>21</v>
      </c>
      <c r="G16" s="36"/>
    </row>
    <row r="17" spans="2:7" x14ac:dyDescent="0.2">
      <c r="B17" s="44" t="s">
        <v>300</v>
      </c>
      <c r="C17" s="35" t="s">
        <v>301</v>
      </c>
      <c r="D17" s="35"/>
      <c r="E17" s="42"/>
      <c r="F17" s="35" t="s">
        <v>302</v>
      </c>
      <c r="G17" s="36"/>
    </row>
    <row r="18" spans="2:7" x14ac:dyDescent="0.2">
      <c r="B18" s="44" t="s">
        <v>273</v>
      </c>
      <c r="C18" s="35"/>
      <c r="D18" s="35"/>
      <c r="E18" s="42"/>
      <c r="F18" s="35"/>
      <c r="G18" s="36"/>
    </row>
    <row r="19" spans="2:7" x14ac:dyDescent="0.2">
      <c r="B19" s="44" t="s">
        <v>285</v>
      </c>
      <c r="C19" s="35" t="s">
        <v>286</v>
      </c>
      <c r="D19" s="35"/>
      <c r="E19" s="42"/>
      <c r="F19" s="35" t="s">
        <v>287</v>
      </c>
      <c r="G19" s="36"/>
    </row>
    <row r="20" spans="2:7" x14ac:dyDescent="0.2">
      <c r="B20" s="44" t="s">
        <v>303</v>
      </c>
      <c r="C20" s="35" t="s">
        <v>268</v>
      </c>
      <c r="D20" s="35"/>
      <c r="E20" s="42"/>
      <c r="F20" s="35" t="s">
        <v>304</v>
      </c>
      <c r="G20" s="36"/>
    </row>
    <row r="21" spans="2:7" x14ac:dyDescent="0.2">
      <c r="B21" s="44" t="s">
        <v>293</v>
      </c>
      <c r="C21" s="35" t="s">
        <v>294</v>
      </c>
      <c r="D21" s="35"/>
      <c r="E21" s="42"/>
      <c r="F21" s="35" t="s">
        <v>295</v>
      </c>
      <c r="G21" s="36"/>
    </row>
    <row r="22" spans="2:7" x14ac:dyDescent="0.2">
      <c r="B22" s="44" t="s">
        <v>305</v>
      </c>
      <c r="C22" s="35"/>
      <c r="D22" s="35"/>
      <c r="E22" s="42"/>
      <c r="F22" s="35" t="s">
        <v>306</v>
      </c>
      <c r="G22" s="36"/>
    </row>
    <row r="23" spans="2:7" x14ac:dyDescent="0.2">
      <c r="B23" s="44" t="s">
        <v>307</v>
      </c>
      <c r="C23" s="35"/>
      <c r="D23" s="35"/>
      <c r="E23" s="42"/>
      <c r="F23" s="35" t="s">
        <v>308</v>
      </c>
      <c r="G23" s="36"/>
    </row>
    <row r="24" spans="2:7" x14ac:dyDescent="0.2">
      <c r="B24" s="44" t="s">
        <v>309</v>
      </c>
      <c r="C24" s="35" t="s">
        <v>310</v>
      </c>
      <c r="D24" s="35"/>
      <c r="E24" s="42"/>
      <c r="F24" s="35" t="s">
        <v>311</v>
      </c>
      <c r="G24" s="36"/>
    </row>
    <row r="25" spans="2:7" x14ac:dyDescent="0.2">
      <c r="B25" s="44" t="s">
        <v>290</v>
      </c>
      <c r="C25" s="35" t="s">
        <v>291</v>
      </c>
      <c r="D25" s="35"/>
      <c r="E25" s="42"/>
      <c r="F25" s="35" t="s">
        <v>292</v>
      </c>
      <c r="G25" s="36"/>
    </row>
    <row r="26" spans="2:7" x14ac:dyDescent="0.2">
      <c r="B26" s="54" t="s">
        <v>282</v>
      </c>
      <c r="C26" s="39" t="s">
        <v>283</v>
      </c>
      <c r="D26" s="39"/>
      <c r="E26" s="39"/>
      <c r="F26" s="39" t="s">
        <v>284</v>
      </c>
      <c r="G26" s="45"/>
    </row>
    <row r="27" spans="2:7" x14ac:dyDescent="0.2">
      <c r="C27" s="42"/>
      <c r="D27" s="42"/>
      <c r="E27" s="42"/>
      <c r="F27" s="42"/>
      <c r="G27" s="42"/>
    </row>
    <row r="28" spans="2:7" x14ac:dyDescent="0.2">
      <c r="B28" s="41"/>
      <c r="C28" s="42"/>
      <c r="D28" s="42"/>
      <c r="E28" s="42"/>
      <c r="F28" s="46" t="s">
        <v>19</v>
      </c>
      <c r="G28" s="42"/>
    </row>
    <row r="29" spans="2:7" x14ac:dyDescent="0.2">
      <c r="B29" s="41"/>
      <c r="C29" s="42"/>
      <c r="D29" s="42"/>
      <c r="E29" s="47"/>
      <c r="F29" s="46" t="s">
        <v>18</v>
      </c>
      <c r="G29" s="42"/>
    </row>
    <row r="30" spans="2:7" x14ac:dyDescent="0.2">
      <c r="B30" s="41"/>
      <c r="C30" s="42"/>
      <c r="D30" s="42"/>
      <c r="E30" s="47"/>
      <c r="F30" s="46" t="s">
        <v>17</v>
      </c>
      <c r="G30" s="42"/>
    </row>
    <row r="31" spans="2:7" x14ac:dyDescent="0.2">
      <c r="B31" s="41"/>
      <c r="C31" s="42"/>
      <c r="D31" s="42"/>
      <c r="E31" s="47"/>
      <c r="F31" s="46" t="s">
        <v>16</v>
      </c>
      <c r="G31" s="42"/>
    </row>
    <row r="32" spans="2:7" x14ac:dyDescent="0.2">
      <c r="C32" s="42"/>
      <c r="D32" s="42"/>
      <c r="E32" s="42"/>
      <c r="F32" s="46" t="s">
        <v>15</v>
      </c>
      <c r="G32" s="42"/>
    </row>
    <row r="33" spans="3:7" x14ac:dyDescent="0.2">
      <c r="C33" s="42"/>
      <c r="D33" s="42"/>
      <c r="E33" s="42"/>
      <c r="F33" s="46" t="s">
        <v>14</v>
      </c>
      <c r="G33" s="42"/>
    </row>
    <row r="34" spans="3:7" x14ac:dyDescent="0.2">
      <c r="C34" s="42"/>
      <c r="D34" s="42"/>
      <c r="E34" s="42"/>
      <c r="F34" s="46" t="s">
        <v>13</v>
      </c>
      <c r="G34" s="42"/>
    </row>
    <row r="35" spans="3:7" x14ac:dyDescent="0.2">
      <c r="C35" s="42"/>
      <c r="D35" s="42"/>
      <c r="E35" s="42"/>
      <c r="F35" s="46" t="s">
        <v>12</v>
      </c>
      <c r="G35" s="42"/>
    </row>
    <row r="36" spans="3:7" x14ac:dyDescent="0.2">
      <c r="C36" s="42"/>
      <c r="D36" s="42"/>
      <c r="E36" s="42"/>
      <c r="F36" s="46" t="s">
        <v>11</v>
      </c>
      <c r="G36" s="42"/>
    </row>
    <row r="37" spans="3:7" x14ac:dyDescent="0.2">
      <c r="C37" s="42"/>
      <c r="D37" s="42"/>
      <c r="E37" s="42"/>
      <c r="F37" s="48" t="s">
        <v>10</v>
      </c>
      <c r="G37" s="42"/>
    </row>
    <row r="38" spans="3:7" x14ac:dyDescent="0.2">
      <c r="C38" s="42"/>
      <c r="D38" s="42"/>
      <c r="E38" s="42"/>
      <c r="F38" s="48" t="s">
        <v>9</v>
      </c>
      <c r="G38" s="42"/>
    </row>
    <row r="39" spans="3:7" x14ac:dyDescent="0.2">
      <c r="C39" s="42"/>
      <c r="D39" s="42"/>
      <c r="E39" s="42"/>
      <c r="F39" s="48" t="s">
        <v>8</v>
      </c>
      <c r="G39" s="42"/>
    </row>
    <row r="40" spans="3:7" x14ac:dyDescent="0.2">
      <c r="C40" s="42"/>
      <c r="D40" s="42"/>
      <c r="E40" s="42"/>
      <c r="F40" s="48" t="s">
        <v>7</v>
      </c>
      <c r="G40" s="42"/>
    </row>
    <row r="41" spans="3:7" x14ac:dyDescent="0.2">
      <c r="C41" s="42"/>
      <c r="D41" s="42"/>
      <c r="E41" s="42"/>
      <c r="F41" s="48" t="s">
        <v>6</v>
      </c>
      <c r="G41" s="42"/>
    </row>
    <row r="42" spans="3:7" x14ac:dyDescent="0.2">
      <c r="C42" s="42"/>
      <c r="D42" s="42"/>
      <c r="E42" s="42"/>
      <c r="F42" s="48" t="s">
        <v>5</v>
      </c>
      <c r="G42" s="42"/>
    </row>
    <row r="43" spans="3:7" x14ac:dyDescent="0.2">
      <c r="C43" s="42"/>
      <c r="D43" s="42"/>
      <c r="E43" s="42"/>
      <c r="F43" s="48" t="s">
        <v>4</v>
      </c>
      <c r="G43" s="42"/>
    </row>
    <row r="44" spans="3:7" x14ac:dyDescent="0.2">
      <c r="C44" s="42"/>
      <c r="D44" s="42"/>
      <c r="E44" s="42"/>
      <c r="F44" s="48" t="s">
        <v>3</v>
      </c>
      <c r="G44" s="42"/>
    </row>
    <row r="45" spans="3:7" x14ac:dyDescent="0.2">
      <c r="C45" s="42"/>
      <c r="D45" s="42"/>
      <c r="E45" s="42"/>
      <c r="F45" s="48" t="s">
        <v>2</v>
      </c>
      <c r="G45" s="42"/>
    </row>
    <row r="46" spans="3:7" x14ac:dyDescent="0.2">
      <c r="C46" s="42"/>
      <c r="D46" s="42"/>
      <c r="E46" s="42"/>
      <c r="F46" s="48" t="s">
        <v>1</v>
      </c>
      <c r="G46" s="42"/>
    </row>
    <row r="47" spans="3:7" x14ac:dyDescent="0.2">
      <c r="C47" s="42"/>
      <c r="D47" s="42"/>
      <c r="E47" s="42"/>
      <c r="F47" s="48" t="s">
        <v>0</v>
      </c>
      <c r="G47" s="42"/>
    </row>
  </sheetData>
  <hyperlinks>
    <hyperlink ref="B3" location="Arcalyst!A1" display="Arcalyst" xr:uid="{BDF22BBF-5632-43C4-825A-494559AE5BB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 ref="B13" location="Linvoseltamab!A1" display="linvoseltamab" xr:uid="{1B7FF0DB-8E3B-4866-B03B-EF6E27C40B8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election activeCell="C12" sqref="C12:G19"/>
    </sheetView>
  </sheetViews>
  <sheetFormatPr baseColWidth="10" defaultColWidth="9.140625" defaultRowHeight="12.75" x14ac:dyDescent="0.2"/>
  <cols>
    <col min="1" max="1" width="5" style="12" bestFit="1" customWidth="1"/>
    <col min="2" max="2" width="17.42578125" style="12" bestFit="1" customWidth="1"/>
    <col min="3" max="3" width="9.140625" style="12"/>
    <col min="4" max="4" width="10.85546875" style="12" bestFit="1" customWidth="1"/>
    <col min="5" max="16384" width="9.140625" style="12"/>
  </cols>
  <sheetData>
    <row r="1" spans="1:6" x14ac:dyDescent="0.2">
      <c r="A1" s="8" t="s">
        <v>79</v>
      </c>
      <c r="B1" s="2"/>
      <c r="C1" s="2"/>
      <c r="D1" s="2"/>
    </row>
    <row r="2" spans="1:6" x14ac:dyDescent="0.2">
      <c r="A2" s="2"/>
      <c r="B2" s="2" t="s">
        <v>78</v>
      </c>
      <c r="C2" s="2" t="s">
        <v>37</v>
      </c>
      <c r="D2" s="2"/>
    </row>
    <row r="3" spans="1:6" x14ac:dyDescent="0.2">
      <c r="A3" s="2"/>
      <c r="B3" s="2" t="s">
        <v>76</v>
      </c>
      <c r="C3" s="12" t="s">
        <v>138</v>
      </c>
      <c r="D3" s="2"/>
    </row>
    <row r="4" spans="1:6" x14ac:dyDescent="0.2">
      <c r="A4" s="2"/>
      <c r="B4" s="2" t="s">
        <v>44</v>
      </c>
      <c r="C4" s="2" t="s">
        <v>156</v>
      </c>
      <c r="D4" s="2"/>
    </row>
    <row r="5" spans="1:6" x14ac:dyDescent="0.2">
      <c r="A5" s="2"/>
      <c r="B5" s="2" t="s">
        <v>48</v>
      </c>
      <c r="C5" s="2" t="s">
        <v>36</v>
      </c>
      <c r="D5" s="2"/>
    </row>
    <row r="6" spans="1:6" x14ac:dyDescent="0.2">
      <c r="A6" s="2"/>
      <c r="B6" s="2" t="s">
        <v>46</v>
      </c>
      <c r="C6" s="2"/>
      <c r="D6" s="2"/>
    </row>
    <row r="7" spans="1:6" x14ac:dyDescent="0.2">
      <c r="A7" s="2"/>
      <c r="B7" s="2" t="s">
        <v>45</v>
      </c>
      <c r="C7" s="2" t="s">
        <v>155</v>
      </c>
      <c r="D7" s="2"/>
    </row>
    <row r="8" spans="1:6" x14ac:dyDescent="0.2">
      <c r="A8" s="2"/>
      <c r="B8" s="2" t="s">
        <v>134</v>
      </c>
      <c r="C8" s="2" t="s">
        <v>154</v>
      </c>
      <c r="D8" s="2"/>
    </row>
    <row r="9" spans="1:6" x14ac:dyDescent="0.2">
      <c r="A9" s="2"/>
      <c r="B9" s="2" t="s">
        <v>66</v>
      </c>
      <c r="C9" s="2"/>
      <c r="D9" s="2"/>
    </row>
    <row r="11" spans="1:6" x14ac:dyDescent="0.2">
      <c r="C11" s="13" t="s">
        <v>153</v>
      </c>
    </row>
    <row r="12" spans="1:6" x14ac:dyDescent="0.2">
      <c r="C12" s="12" t="s">
        <v>152</v>
      </c>
      <c r="E12" s="12" t="s">
        <v>151</v>
      </c>
    </row>
    <row r="13" spans="1:6" x14ac:dyDescent="0.2">
      <c r="C13" s="12" t="s">
        <v>150</v>
      </c>
      <c r="D13" s="12" t="s">
        <v>149</v>
      </c>
      <c r="E13" s="12" t="s">
        <v>148</v>
      </c>
      <c r="F13" s="12" t="s">
        <v>147</v>
      </c>
    </row>
    <row r="14" spans="1:6" x14ac:dyDescent="0.2">
      <c r="B14" s="12" t="s">
        <v>117</v>
      </c>
      <c r="C14" s="12">
        <v>292</v>
      </c>
      <c r="D14" s="12">
        <v>293</v>
      </c>
      <c r="E14" s="12">
        <v>612</v>
      </c>
      <c r="F14" s="12">
        <v>614</v>
      </c>
    </row>
    <row r="15" spans="1:6" x14ac:dyDescent="0.2">
      <c r="B15" s="12" t="s">
        <v>146</v>
      </c>
      <c r="C15" s="14">
        <v>8.5999999999999993E-2</v>
      </c>
      <c r="D15" s="14">
        <v>0.22700000000000001</v>
      </c>
      <c r="E15" s="14">
        <v>0.111</v>
      </c>
      <c r="F15" s="14">
        <v>0.19800000000000001</v>
      </c>
    </row>
    <row r="16" spans="1:6" x14ac:dyDescent="0.2">
      <c r="B16" s="12" t="s">
        <v>145</v>
      </c>
      <c r="C16" s="12">
        <v>4.5</v>
      </c>
      <c r="D16" s="12">
        <v>7.5</v>
      </c>
      <c r="E16" s="12">
        <v>4.7</v>
      </c>
      <c r="F16" s="12">
        <v>6.9</v>
      </c>
    </row>
    <row r="17" spans="2:6" x14ac:dyDescent="0.2">
      <c r="B17" s="12" t="s">
        <v>144</v>
      </c>
      <c r="C17" s="12">
        <v>10.8</v>
      </c>
      <c r="D17" s="12">
        <v>12.9</v>
      </c>
      <c r="E17" s="12">
        <v>12.1</v>
      </c>
      <c r="F17" s="12">
        <v>13.5</v>
      </c>
    </row>
    <row r="19" spans="2:6" x14ac:dyDescent="0.2">
      <c r="C19" s="12" t="s">
        <v>143</v>
      </c>
    </row>
    <row r="20" spans="2:6" x14ac:dyDescent="0.2">
      <c r="C20" s="12" t="s">
        <v>142</v>
      </c>
    </row>
    <row r="22" spans="2:6" x14ac:dyDescent="0.2">
      <c r="C22" s="13" t="s">
        <v>141</v>
      </c>
    </row>
    <row r="23" spans="2:6" x14ac:dyDescent="0.2">
      <c r="C23" s="12" t="s">
        <v>140</v>
      </c>
    </row>
    <row r="24" spans="2:6" x14ac:dyDescent="0.2">
      <c r="C24" s="12" t="s">
        <v>139</v>
      </c>
    </row>
  </sheetData>
  <hyperlinks>
    <hyperlink ref="A1" location="Main!A1" display="Main" xr:uid="{C182237B-2283-4E6B-8D81-C09B2FE4724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K29" sqref="K29:K30"/>
    </sheetView>
  </sheetViews>
  <sheetFormatPr baseColWidth="10" defaultColWidth="9.140625" defaultRowHeight="12.75" x14ac:dyDescent="0.2"/>
  <cols>
    <col min="1" max="1" width="5" style="2" bestFit="1" customWidth="1"/>
    <col min="2" max="2" width="12.42578125" style="2" customWidth="1"/>
    <col min="3" max="16384" width="9.140625" style="2"/>
  </cols>
  <sheetData>
    <row r="1" spans="1:3" x14ac:dyDescent="0.2">
      <c r="A1" s="8" t="s">
        <v>79</v>
      </c>
    </row>
    <row r="2" spans="1:3" x14ac:dyDescent="0.2">
      <c r="B2" s="2" t="s">
        <v>78</v>
      </c>
      <c r="C2" s="2" t="s">
        <v>175</v>
      </c>
    </row>
    <row r="3" spans="1:3" x14ac:dyDescent="0.2">
      <c r="B3" s="2" t="s">
        <v>76</v>
      </c>
      <c r="C3" s="2" t="s">
        <v>174</v>
      </c>
    </row>
    <row r="4" spans="1:3" x14ac:dyDescent="0.2">
      <c r="B4" s="2" t="s">
        <v>48</v>
      </c>
      <c r="C4" s="2" t="s">
        <v>173</v>
      </c>
    </row>
    <row r="5" spans="1:3" x14ac:dyDescent="0.2">
      <c r="B5" s="2" t="s">
        <v>44</v>
      </c>
      <c r="C5" s="2" t="s">
        <v>172</v>
      </c>
    </row>
    <row r="6" spans="1:3" x14ac:dyDescent="0.2">
      <c r="B6" s="2" t="s">
        <v>45</v>
      </c>
      <c r="C6" s="2" t="s">
        <v>171</v>
      </c>
    </row>
    <row r="7" spans="1:3" x14ac:dyDescent="0.2">
      <c r="B7" s="2" t="s">
        <v>66</v>
      </c>
    </row>
    <row r="8" spans="1:3" x14ac:dyDescent="0.2">
      <c r="C8" s="5" t="s">
        <v>170</v>
      </c>
    </row>
    <row r="10" spans="1:3" x14ac:dyDescent="0.2">
      <c r="C10" s="5" t="s">
        <v>169</v>
      </c>
    </row>
    <row r="11" spans="1:3" x14ac:dyDescent="0.2">
      <c r="C11" s="5"/>
    </row>
    <row r="12" spans="1:3" x14ac:dyDescent="0.2">
      <c r="C12" s="5" t="s">
        <v>168</v>
      </c>
    </row>
    <row r="13" spans="1:3" x14ac:dyDescent="0.2">
      <c r="C13" s="5"/>
    </row>
    <row r="14" spans="1:3" x14ac:dyDescent="0.2">
      <c r="C14" s="5" t="s">
        <v>167</v>
      </c>
    </row>
    <row r="16" spans="1:3" x14ac:dyDescent="0.2">
      <c r="C16" s="5" t="s">
        <v>166</v>
      </c>
    </row>
    <row r="17" spans="3:3" x14ac:dyDescent="0.2">
      <c r="C17" s="2" t="s">
        <v>165</v>
      </c>
    </row>
    <row r="18" spans="3:3" x14ac:dyDescent="0.2">
      <c r="C18" s="2" t="s">
        <v>164</v>
      </c>
    </row>
    <row r="20" spans="3:3" x14ac:dyDescent="0.2">
      <c r="C20" s="5" t="s">
        <v>163</v>
      </c>
    </row>
    <row r="21" spans="3:3" x14ac:dyDescent="0.2">
      <c r="C21" s="2" t="s">
        <v>162</v>
      </c>
    </row>
    <row r="22" spans="3:3" x14ac:dyDescent="0.2">
      <c r="C22" s="2" t="s">
        <v>161</v>
      </c>
    </row>
    <row r="24" spans="3:3" x14ac:dyDescent="0.2">
      <c r="C24" s="5" t="s">
        <v>160</v>
      </c>
    </row>
    <row r="25" spans="3:3" x14ac:dyDescent="0.2">
      <c r="C25" s="2" t="s">
        <v>159</v>
      </c>
    </row>
    <row r="27" spans="3:3" x14ac:dyDescent="0.2">
      <c r="C27" s="15" t="s">
        <v>158</v>
      </c>
    </row>
    <row r="28" spans="3:3" x14ac:dyDescent="0.2">
      <c r="C28" s="15" t="s">
        <v>157</v>
      </c>
    </row>
  </sheetData>
  <hyperlinks>
    <hyperlink ref="A1" location="Main!A1" display="Main" xr:uid="{3B461243-A27C-412E-8A2C-014DB1DF39EA}"/>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election activeCell="C20" sqref="C20:E22"/>
    </sheetView>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216</v>
      </c>
    </row>
    <row r="3" spans="1:3" x14ac:dyDescent="0.2">
      <c r="B3" s="12" t="s">
        <v>76</v>
      </c>
      <c r="C3" s="12" t="s">
        <v>189</v>
      </c>
    </row>
    <row r="4" spans="1:3" x14ac:dyDescent="0.2">
      <c r="B4" s="12" t="s">
        <v>44</v>
      </c>
      <c r="C4" s="12" t="s">
        <v>188</v>
      </c>
    </row>
    <row r="5" spans="1:3" x14ac:dyDescent="0.2">
      <c r="B5" s="12" t="s">
        <v>48</v>
      </c>
      <c r="C5" s="12" t="s">
        <v>187</v>
      </c>
    </row>
    <row r="6" spans="1:3" x14ac:dyDescent="0.2">
      <c r="B6" s="12" t="s">
        <v>46</v>
      </c>
      <c r="C6" s="12" t="s">
        <v>186</v>
      </c>
    </row>
    <row r="7" spans="1:3" x14ac:dyDescent="0.2">
      <c r="B7" s="12" t="s">
        <v>45</v>
      </c>
      <c r="C7" s="12" t="s">
        <v>20</v>
      </c>
    </row>
    <row r="8" spans="1:3" x14ac:dyDescent="0.2">
      <c r="B8" s="12" t="s">
        <v>134</v>
      </c>
      <c r="C8" s="12" t="s">
        <v>185</v>
      </c>
    </row>
    <row r="9" spans="1:3" x14ac:dyDescent="0.2">
      <c r="B9" s="12" t="s">
        <v>66</v>
      </c>
    </row>
    <row r="10" spans="1:3" x14ac:dyDescent="0.2">
      <c r="C10" s="13" t="s">
        <v>184</v>
      </c>
    </row>
    <row r="13" spans="1:3" x14ac:dyDescent="0.2">
      <c r="C13" s="13" t="s">
        <v>183</v>
      </c>
    </row>
    <row r="14" spans="1:3" x14ac:dyDescent="0.2">
      <c r="C14" s="12" t="s">
        <v>182</v>
      </c>
    </row>
    <row r="15" spans="1:3" x14ac:dyDescent="0.2">
      <c r="C15" s="12" t="s">
        <v>181</v>
      </c>
    </row>
    <row r="16" spans="1:3" x14ac:dyDescent="0.2">
      <c r="C16" s="12" t="s">
        <v>180</v>
      </c>
    </row>
    <row r="17" spans="3:3" x14ac:dyDescent="0.2">
      <c r="C17" s="12" t="s">
        <v>179</v>
      </c>
    </row>
    <row r="19" spans="3:3" x14ac:dyDescent="0.2">
      <c r="C19" s="13" t="s">
        <v>178</v>
      </c>
    </row>
    <row r="20" spans="3:3" x14ac:dyDescent="0.2">
      <c r="C20" s="12" t="s">
        <v>177</v>
      </c>
    </row>
    <row r="21" spans="3:3" x14ac:dyDescent="0.2">
      <c r="C21" s="12" t="s">
        <v>176</v>
      </c>
    </row>
  </sheetData>
  <hyperlinks>
    <hyperlink ref="A1" location="Main!A1" display="Main" xr:uid="{018ACD3C-B36E-4B21-86E9-837BC80B5FD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269</v>
      </c>
    </row>
    <row r="3" spans="1:3" x14ac:dyDescent="0.2">
      <c r="B3" s="12" t="s">
        <v>76</v>
      </c>
      <c r="C3" s="12" t="s">
        <v>197</v>
      </c>
    </row>
    <row r="4" spans="1:3" x14ac:dyDescent="0.2">
      <c r="B4" s="12" t="s">
        <v>44</v>
      </c>
      <c r="C4" s="12" t="s">
        <v>196</v>
      </c>
    </row>
    <row r="5" spans="1:3" x14ac:dyDescent="0.2">
      <c r="B5" s="12" t="s">
        <v>48</v>
      </c>
      <c r="C5" s="12" t="s">
        <v>195</v>
      </c>
    </row>
    <row r="6" spans="1:3" x14ac:dyDescent="0.2">
      <c r="B6" s="12" t="s">
        <v>46</v>
      </c>
      <c r="C6" s="12" t="s">
        <v>194</v>
      </c>
    </row>
    <row r="7" spans="1:3" x14ac:dyDescent="0.2">
      <c r="B7" s="12" t="s">
        <v>45</v>
      </c>
      <c r="C7" s="12" t="s">
        <v>20</v>
      </c>
    </row>
    <row r="8" spans="1:3" x14ac:dyDescent="0.2">
      <c r="B8" s="12" t="s">
        <v>134</v>
      </c>
    </row>
    <row r="9" spans="1:3" x14ac:dyDescent="0.2">
      <c r="B9" s="12" t="s">
        <v>66</v>
      </c>
    </row>
    <row r="10" spans="1:3" x14ac:dyDescent="0.2">
      <c r="C10" s="13" t="s">
        <v>193</v>
      </c>
    </row>
    <row r="13" spans="1:3" x14ac:dyDescent="0.2">
      <c r="C13" s="13" t="s">
        <v>192</v>
      </c>
    </row>
    <row r="16" spans="1:3" x14ac:dyDescent="0.2">
      <c r="C16" s="13" t="s">
        <v>191</v>
      </c>
    </row>
    <row r="17" spans="3:3" x14ac:dyDescent="0.2">
      <c r="C17" s="12" t="s">
        <v>190</v>
      </c>
    </row>
  </sheetData>
  <hyperlinks>
    <hyperlink ref="A1" location="Main!A1" display="Main" xr:uid="{3A765EE9-AE7C-4B13-9916-378DECED3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BH62"/>
  <sheetViews>
    <sheetView zoomScale="145" zoomScaleNormal="145" workbookViewId="0">
      <pane xSplit="2" ySplit="2" topLeftCell="C44" activePane="bottomRight" state="frozen"/>
      <selection pane="topRight" activeCell="C1" sqref="C1"/>
      <selection pane="bottomLeft" activeCell="A3" sqref="A3"/>
      <selection pane="bottomRight" activeCell="R53" sqref="R53"/>
    </sheetView>
  </sheetViews>
  <sheetFormatPr baseColWidth="10" defaultColWidth="9.140625" defaultRowHeight="12.75" x14ac:dyDescent="0.2"/>
  <cols>
    <col min="1" max="1" width="5" bestFit="1" customWidth="1"/>
    <col min="2" max="2" width="15.28515625" bestFit="1" customWidth="1"/>
    <col min="3" max="18" width="9.140625" style="17"/>
  </cols>
  <sheetData>
    <row r="1" spans="1:60" x14ac:dyDescent="0.2">
      <c r="A1" s="16" t="s">
        <v>79</v>
      </c>
    </row>
    <row r="2" spans="1:60" x14ac:dyDescent="0.2">
      <c r="C2" s="17" t="s">
        <v>258</v>
      </c>
      <c r="D2" s="17" t="s">
        <v>259</v>
      </c>
      <c r="E2" s="17" t="s">
        <v>260</v>
      </c>
      <c r="F2" s="17" t="s">
        <v>261</v>
      </c>
      <c r="G2" s="17" t="s">
        <v>204</v>
      </c>
      <c r="H2" s="17" t="s">
        <v>205</v>
      </c>
      <c r="I2" s="17" t="s">
        <v>206</v>
      </c>
      <c r="J2" s="17" t="s">
        <v>207</v>
      </c>
      <c r="K2" s="17" t="s">
        <v>208</v>
      </c>
      <c r="L2" s="17" t="s">
        <v>209</v>
      </c>
      <c r="M2" s="17" t="s">
        <v>210</v>
      </c>
      <c r="N2" s="17" t="s">
        <v>211</v>
      </c>
      <c r="O2" s="17" t="s">
        <v>212</v>
      </c>
      <c r="P2" s="17" t="s">
        <v>28</v>
      </c>
      <c r="Q2" s="17" t="s">
        <v>213</v>
      </c>
      <c r="R2" s="17" t="s">
        <v>214</v>
      </c>
      <c r="S2" s="17" t="s">
        <v>252</v>
      </c>
      <c r="T2" s="17" t="s">
        <v>253</v>
      </c>
      <c r="U2" s="17" t="s">
        <v>254</v>
      </c>
      <c r="V2" s="17" t="s">
        <v>255</v>
      </c>
      <c r="Z2">
        <v>2010</v>
      </c>
      <c r="AA2">
        <f>+Z2+1</f>
        <v>2011</v>
      </c>
      <c r="AB2">
        <f t="shared" ref="AB2:BH2" si="0">+AA2+1</f>
        <v>2012</v>
      </c>
      <c r="AC2">
        <f t="shared" si="0"/>
        <v>2013</v>
      </c>
      <c r="AD2">
        <f t="shared" si="0"/>
        <v>2014</v>
      </c>
      <c r="AE2">
        <f t="shared" si="0"/>
        <v>2015</v>
      </c>
      <c r="AF2">
        <f t="shared" si="0"/>
        <v>2016</v>
      </c>
      <c r="AG2">
        <f t="shared" si="0"/>
        <v>2017</v>
      </c>
      <c r="AH2">
        <f t="shared" si="0"/>
        <v>2018</v>
      </c>
      <c r="AI2">
        <f t="shared" si="0"/>
        <v>2019</v>
      </c>
      <c r="AJ2">
        <f t="shared" si="0"/>
        <v>2020</v>
      </c>
      <c r="AK2">
        <f t="shared" si="0"/>
        <v>2021</v>
      </c>
      <c r="AL2">
        <f t="shared" si="0"/>
        <v>2022</v>
      </c>
      <c r="AM2">
        <f t="shared" si="0"/>
        <v>2023</v>
      </c>
      <c r="AN2">
        <f t="shared" si="0"/>
        <v>2024</v>
      </c>
      <c r="AO2">
        <f t="shared" si="0"/>
        <v>2025</v>
      </c>
      <c r="AP2">
        <f t="shared" si="0"/>
        <v>2026</v>
      </c>
      <c r="AQ2">
        <f t="shared" si="0"/>
        <v>2027</v>
      </c>
      <c r="AR2">
        <f t="shared" si="0"/>
        <v>2028</v>
      </c>
      <c r="AS2">
        <f t="shared" si="0"/>
        <v>2029</v>
      </c>
      <c r="AT2">
        <f t="shared" si="0"/>
        <v>2030</v>
      </c>
      <c r="AU2">
        <f t="shared" si="0"/>
        <v>2031</v>
      </c>
      <c r="AV2">
        <f t="shared" si="0"/>
        <v>2032</v>
      </c>
      <c r="AW2">
        <f t="shared" si="0"/>
        <v>2033</v>
      </c>
      <c r="AX2">
        <f t="shared" si="0"/>
        <v>2034</v>
      </c>
      <c r="AY2">
        <f t="shared" si="0"/>
        <v>2035</v>
      </c>
      <c r="AZ2">
        <f t="shared" si="0"/>
        <v>2036</v>
      </c>
      <c r="BA2">
        <f t="shared" si="0"/>
        <v>2037</v>
      </c>
      <c r="BB2">
        <f t="shared" si="0"/>
        <v>2038</v>
      </c>
      <c r="BC2">
        <f t="shared" si="0"/>
        <v>2039</v>
      </c>
      <c r="BD2">
        <f t="shared" si="0"/>
        <v>2040</v>
      </c>
      <c r="BE2">
        <f t="shared" si="0"/>
        <v>2041</v>
      </c>
      <c r="BF2">
        <f t="shared" si="0"/>
        <v>2042</v>
      </c>
      <c r="BG2">
        <f t="shared" si="0"/>
        <v>2043</v>
      </c>
      <c r="BH2">
        <f t="shared" si="0"/>
        <v>2044</v>
      </c>
    </row>
    <row r="3" spans="1:60" s="1" customFormat="1" x14ac:dyDescent="0.2">
      <c r="B3" s="1" t="s">
        <v>32</v>
      </c>
      <c r="C3" s="18">
        <v>1074.0999999999999</v>
      </c>
      <c r="D3" s="18">
        <v>1160</v>
      </c>
      <c r="E3" s="18"/>
      <c r="F3" s="18"/>
      <c r="G3" s="18">
        <v>1172</v>
      </c>
      <c r="H3" s="18">
        <v>1114</v>
      </c>
      <c r="I3" s="18">
        <v>1318</v>
      </c>
      <c r="J3" s="18">
        <v>1343</v>
      </c>
      <c r="K3" s="18">
        <v>1347</v>
      </c>
      <c r="L3" s="18">
        <v>1425</v>
      </c>
      <c r="M3" s="18">
        <v>1473</v>
      </c>
      <c r="N3" s="18">
        <v>1547</v>
      </c>
      <c r="O3" s="18">
        <v>1518</v>
      </c>
      <c r="P3" s="18">
        <v>1621</v>
      </c>
      <c r="Q3" s="18">
        <v>1629</v>
      </c>
      <c r="R3" s="18">
        <v>1496</v>
      </c>
      <c r="S3" s="18">
        <f t="shared" ref="S3:V3" si="1">+O3*1.1</f>
        <v>1669.8000000000002</v>
      </c>
      <c r="T3" s="18">
        <f t="shared" si="1"/>
        <v>1783.1000000000001</v>
      </c>
      <c r="U3" s="18">
        <f t="shared" si="1"/>
        <v>1791.9</v>
      </c>
      <c r="V3" s="18">
        <f t="shared" si="1"/>
        <v>1645.6000000000001</v>
      </c>
      <c r="AJ3" s="1">
        <f>SUM(G3:J3)</f>
        <v>4947</v>
      </c>
      <c r="AK3" s="1">
        <f>SUM(K3:N3)</f>
        <v>5792</v>
      </c>
      <c r="AL3" s="1">
        <f>SUM(O3:R3)</f>
        <v>6264</v>
      </c>
      <c r="AM3" s="1">
        <f>SUM(S3:V3)</f>
        <v>6890.4000000000015</v>
      </c>
    </row>
    <row r="4" spans="1:60" s="1" customFormat="1" x14ac:dyDescent="0.2">
      <c r="B4" s="1" t="s">
        <v>215</v>
      </c>
      <c r="C4" s="18">
        <v>26.8</v>
      </c>
      <c r="D4" s="18">
        <v>40.799999999999997</v>
      </c>
      <c r="E4" s="18"/>
      <c r="F4" s="18"/>
      <c r="G4" s="18">
        <v>61.7</v>
      </c>
      <c r="H4" s="18">
        <v>63.3</v>
      </c>
      <c r="I4" s="18">
        <v>72</v>
      </c>
      <c r="J4" s="18">
        <v>74</v>
      </c>
      <c r="K4" s="18">
        <v>69</v>
      </c>
      <c r="L4" s="18">
        <v>78</v>
      </c>
      <c r="M4" s="18">
        <v>78</v>
      </c>
      <c r="N4" s="18">
        <v>81</v>
      </c>
      <c r="O4" s="18">
        <v>79</v>
      </c>
      <c r="P4" s="18">
        <v>91</v>
      </c>
      <c r="Q4" s="18">
        <f>95+31</f>
        <v>126</v>
      </c>
      <c r="R4" s="18">
        <f>110+42</f>
        <v>152</v>
      </c>
      <c r="S4" s="1">
        <f>+R4+5</f>
        <v>157</v>
      </c>
      <c r="T4" s="1">
        <f>+S4+5</f>
        <v>162</v>
      </c>
      <c r="U4" s="1">
        <f>+T4+5</f>
        <v>167</v>
      </c>
      <c r="V4" s="1">
        <f>+U4+5</f>
        <v>172</v>
      </c>
      <c r="AJ4" s="1">
        <f t="shared" ref="AJ4:AJ18" si="2">SUM(G4:J4)</f>
        <v>271</v>
      </c>
      <c r="AK4" s="1">
        <f t="shared" ref="AK4:AK18" si="3">SUM(K4:N4)</f>
        <v>306</v>
      </c>
      <c r="AL4" s="1">
        <f t="shared" ref="AL4:AL18" si="4">SUM(O4:R4)</f>
        <v>448</v>
      </c>
      <c r="AM4" s="1">
        <f t="shared" ref="AM4:AM18" si="5">SUM(S4:V4)</f>
        <v>658</v>
      </c>
    </row>
    <row r="5" spans="1:60" s="1" customFormat="1" x14ac:dyDescent="0.2">
      <c r="B5" s="1" t="s">
        <v>216</v>
      </c>
      <c r="C5" s="18">
        <v>0</v>
      </c>
      <c r="D5" s="18">
        <v>26.5</v>
      </c>
      <c r="E5" s="18"/>
      <c r="F5" s="18"/>
      <c r="G5" s="18">
        <v>0</v>
      </c>
      <c r="H5" s="18">
        <v>47.2</v>
      </c>
      <c r="I5" s="18">
        <v>49</v>
      </c>
      <c r="J5" s="18">
        <v>55</v>
      </c>
      <c r="K5" s="18">
        <v>43</v>
      </c>
      <c r="L5" s="18">
        <v>42</v>
      </c>
      <c r="M5" s="18">
        <v>45</v>
      </c>
      <c r="N5" s="18">
        <v>40</v>
      </c>
      <c r="O5" s="18">
        <v>34</v>
      </c>
      <c r="P5" s="18">
        <v>31</v>
      </c>
      <c r="Q5" s="18">
        <v>30</v>
      </c>
      <c r="R5" s="18">
        <v>36</v>
      </c>
      <c r="S5" s="1">
        <f>+R5+1</f>
        <v>37</v>
      </c>
      <c r="T5" s="1">
        <f>+S5+1</f>
        <v>38</v>
      </c>
      <c r="U5" s="1">
        <f>+T5+1</f>
        <v>39</v>
      </c>
      <c r="V5" s="1">
        <f>+U5+1</f>
        <v>40</v>
      </c>
      <c r="AJ5" s="1">
        <f t="shared" si="2"/>
        <v>151.19999999999999</v>
      </c>
      <c r="AK5" s="1">
        <f t="shared" si="3"/>
        <v>170</v>
      </c>
      <c r="AL5" s="1">
        <f t="shared" si="4"/>
        <v>131</v>
      </c>
      <c r="AM5" s="1">
        <f t="shared" si="5"/>
        <v>154</v>
      </c>
    </row>
    <row r="6" spans="1:60" s="1" customFormat="1" x14ac:dyDescent="0.2">
      <c r="B6" s="1" t="s">
        <v>256</v>
      </c>
      <c r="C6" s="18">
        <v>0</v>
      </c>
      <c r="D6" s="18">
        <v>0</v>
      </c>
      <c r="E6" s="18"/>
      <c r="F6" s="18"/>
      <c r="G6" s="18">
        <v>0</v>
      </c>
      <c r="H6" s="18">
        <v>0</v>
      </c>
      <c r="I6" s="18">
        <v>40</v>
      </c>
      <c r="J6" s="18">
        <v>146</v>
      </c>
      <c r="K6" s="18">
        <v>262</v>
      </c>
      <c r="L6" s="18">
        <v>2591</v>
      </c>
      <c r="M6" s="18">
        <v>677</v>
      </c>
      <c r="N6" s="18">
        <v>2298</v>
      </c>
      <c r="O6" s="18">
        <v>0</v>
      </c>
      <c r="P6" s="18">
        <v>0</v>
      </c>
      <c r="Q6" s="18">
        <v>3</v>
      </c>
      <c r="R6" s="18">
        <v>0</v>
      </c>
      <c r="S6" s="18">
        <f>+R6</f>
        <v>0</v>
      </c>
      <c r="T6" s="18">
        <f>+S6</f>
        <v>0</v>
      </c>
      <c r="U6" s="18">
        <f>+T6</f>
        <v>0</v>
      </c>
      <c r="V6" s="18">
        <f>+U6</f>
        <v>0</v>
      </c>
      <c r="AJ6" s="1">
        <f t="shared" si="2"/>
        <v>186</v>
      </c>
      <c r="AK6" s="1">
        <f t="shared" si="3"/>
        <v>5828</v>
      </c>
      <c r="AL6" s="1">
        <f t="shared" si="4"/>
        <v>3</v>
      </c>
      <c r="AM6" s="1">
        <f t="shared" si="5"/>
        <v>0</v>
      </c>
    </row>
    <row r="7" spans="1:60" s="1" customFormat="1" x14ac:dyDescent="0.2">
      <c r="B7" s="1" t="s">
        <v>217</v>
      </c>
      <c r="C7" s="18">
        <v>0</v>
      </c>
      <c r="D7" s="18">
        <v>0</v>
      </c>
      <c r="E7" s="18"/>
      <c r="F7" s="18"/>
      <c r="G7" s="18">
        <v>0</v>
      </c>
      <c r="H7" s="18">
        <v>0</v>
      </c>
      <c r="I7" s="18">
        <v>0</v>
      </c>
      <c r="J7" s="18">
        <v>0</v>
      </c>
      <c r="K7" s="18">
        <v>1</v>
      </c>
      <c r="L7" s="18">
        <v>2</v>
      </c>
      <c r="M7" s="18">
        <v>7</v>
      </c>
      <c r="N7" s="18">
        <v>9</v>
      </c>
      <c r="O7" s="18">
        <v>8</v>
      </c>
      <c r="P7" s="18">
        <v>11</v>
      </c>
      <c r="Q7" s="18">
        <v>14</v>
      </c>
      <c r="R7" s="18">
        <v>15</v>
      </c>
      <c r="S7" s="1">
        <f>+R7+1</f>
        <v>16</v>
      </c>
      <c r="T7" s="1">
        <f>+S7+1</f>
        <v>17</v>
      </c>
      <c r="U7" s="1">
        <f>+T7+1</f>
        <v>18</v>
      </c>
      <c r="V7" s="1">
        <f>+U7+1</f>
        <v>19</v>
      </c>
      <c r="AJ7" s="1">
        <f t="shared" si="2"/>
        <v>0</v>
      </c>
      <c r="AK7" s="1">
        <f t="shared" si="3"/>
        <v>19</v>
      </c>
      <c r="AL7" s="1">
        <f t="shared" si="4"/>
        <v>48</v>
      </c>
      <c r="AM7" s="1">
        <f t="shared" si="5"/>
        <v>70</v>
      </c>
    </row>
    <row r="8" spans="1:60" s="1" customFormat="1" x14ac:dyDescent="0.2">
      <c r="B8" s="1" t="s">
        <v>239</v>
      </c>
      <c r="C8" s="18">
        <v>3.5</v>
      </c>
      <c r="D8" s="18">
        <v>4.2</v>
      </c>
      <c r="E8" s="18"/>
      <c r="F8" s="18"/>
      <c r="G8" s="18">
        <v>3</v>
      </c>
      <c r="H8" s="18">
        <v>2.7</v>
      </c>
      <c r="I8" s="18">
        <v>3</v>
      </c>
      <c r="J8" s="18">
        <v>4</v>
      </c>
      <c r="K8" s="18">
        <v>3</v>
      </c>
      <c r="L8" s="18">
        <v>0</v>
      </c>
      <c r="M8" s="18">
        <v>0</v>
      </c>
      <c r="N8" s="18">
        <v>0</v>
      </c>
      <c r="O8" s="18">
        <v>0</v>
      </c>
      <c r="P8" s="18">
        <v>0</v>
      </c>
      <c r="Q8" s="18">
        <v>0</v>
      </c>
      <c r="R8" s="18">
        <v>0</v>
      </c>
      <c r="S8" s="18">
        <v>0</v>
      </c>
      <c r="T8" s="18">
        <v>0</v>
      </c>
      <c r="U8" s="18">
        <v>0</v>
      </c>
      <c r="V8" s="18">
        <v>0</v>
      </c>
      <c r="AJ8" s="1">
        <f t="shared" si="2"/>
        <v>12.7</v>
      </c>
      <c r="AK8" s="1">
        <f t="shared" si="3"/>
        <v>3</v>
      </c>
      <c r="AL8" s="1">
        <f t="shared" si="4"/>
        <v>0</v>
      </c>
      <c r="AM8" s="1">
        <f t="shared" si="5"/>
        <v>0</v>
      </c>
    </row>
    <row r="9" spans="1:60" s="1" customFormat="1" x14ac:dyDescent="0.2">
      <c r="B9" s="1" t="s">
        <v>20</v>
      </c>
      <c r="C9" s="18">
        <f t="shared" ref="C9:D9" si="6">SUM(C10:C12)</f>
        <v>0</v>
      </c>
      <c r="D9" s="18">
        <f t="shared" si="6"/>
        <v>0</v>
      </c>
      <c r="E9" s="18"/>
      <c r="F9" s="18"/>
      <c r="G9" s="18">
        <f t="shared" ref="G9:M9" si="7">SUM(G10:G12)</f>
        <v>246.9</v>
      </c>
      <c r="H9" s="18">
        <f t="shared" si="7"/>
        <v>269.10000000000002</v>
      </c>
      <c r="I9" s="18">
        <f t="shared" si="7"/>
        <v>353.3</v>
      </c>
      <c r="J9" s="18">
        <f t="shared" si="7"/>
        <v>317.10000000000002</v>
      </c>
      <c r="K9" s="18">
        <f t="shared" si="7"/>
        <v>364.80000000000007</v>
      </c>
      <c r="L9" s="18">
        <f t="shared" si="7"/>
        <v>437.7</v>
      </c>
      <c r="M9" s="18">
        <f t="shared" si="7"/>
        <v>581.80000000000007</v>
      </c>
      <c r="N9" s="18">
        <f>SUM(N10:N12)</f>
        <v>517.9</v>
      </c>
      <c r="O9" s="18">
        <f>SUM(O10:O12)</f>
        <v>630.9</v>
      </c>
      <c r="P9" s="18">
        <f>SUM(P10:P12)</f>
        <v>677.5</v>
      </c>
      <c r="Q9" s="18">
        <f>SUM(Q10:Q12)</f>
        <v>711.4</v>
      </c>
      <c r="R9" s="18">
        <f>SUM(R10:R12)</f>
        <v>835.9</v>
      </c>
      <c r="S9" s="18">
        <f>+O9*1.3</f>
        <v>820.17</v>
      </c>
      <c r="T9" s="18">
        <f>+P9*1.3</f>
        <v>880.75</v>
      </c>
      <c r="U9" s="18">
        <f>+Q9*1.2</f>
        <v>853.68</v>
      </c>
      <c r="V9" s="18">
        <f>+R9*1.2</f>
        <v>1003.0799999999999</v>
      </c>
      <c r="AJ9" s="1">
        <f t="shared" si="2"/>
        <v>1186.4000000000001</v>
      </c>
      <c r="AK9" s="1">
        <f t="shared" si="3"/>
        <v>1902.2000000000003</v>
      </c>
      <c r="AL9" s="1">
        <f t="shared" si="4"/>
        <v>2855.7000000000003</v>
      </c>
      <c r="AM9" s="1">
        <f t="shared" si="5"/>
        <v>3557.68</v>
      </c>
    </row>
    <row r="10" spans="1:60" s="1" customFormat="1" x14ac:dyDescent="0.2">
      <c r="B10" s="1" t="s">
        <v>233</v>
      </c>
      <c r="C10" s="18"/>
      <c r="D10" s="18"/>
      <c r="E10" s="18"/>
      <c r="F10" s="18"/>
      <c r="G10" s="18">
        <v>170.9</v>
      </c>
      <c r="H10" s="18">
        <v>171.9</v>
      </c>
      <c r="I10" s="18">
        <v>212.8</v>
      </c>
      <c r="J10" s="18">
        <v>229.6</v>
      </c>
      <c r="K10" s="18">
        <v>260.60000000000002</v>
      </c>
      <c r="L10" s="18">
        <v>327.60000000000002</v>
      </c>
      <c r="M10" s="18">
        <v>387</v>
      </c>
      <c r="N10" s="18">
        <v>387.8</v>
      </c>
      <c r="O10" s="18">
        <v>415.3</v>
      </c>
      <c r="P10" s="18">
        <v>496.6</v>
      </c>
      <c r="Q10" s="18">
        <v>551.1</v>
      </c>
      <c r="R10" s="18">
        <v>619</v>
      </c>
      <c r="AJ10" s="1">
        <f t="shared" si="2"/>
        <v>785.2</v>
      </c>
      <c r="AK10" s="1">
        <f t="shared" si="3"/>
        <v>1363</v>
      </c>
      <c r="AL10" s="1">
        <f t="shared" si="4"/>
        <v>2082</v>
      </c>
      <c r="AM10" s="1">
        <f t="shared" si="5"/>
        <v>0</v>
      </c>
    </row>
    <row r="11" spans="1:60" s="1" customFormat="1" x14ac:dyDescent="0.2">
      <c r="B11" s="1" t="s">
        <v>234</v>
      </c>
      <c r="C11" s="18"/>
      <c r="D11" s="18"/>
      <c r="E11" s="18"/>
      <c r="F11" s="18"/>
      <c r="G11" s="18">
        <v>80.099999999999994</v>
      </c>
      <c r="H11" s="18">
        <v>100.6</v>
      </c>
      <c r="I11" s="18">
        <v>94.3</v>
      </c>
      <c r="J11" s="18">
        <v>93</v>
      </c>
      <c r="K11" s="18">
        <v>105.6</v>
      </c>
      <c r="L11" s="18">
        <v>110.9</v>
      </c>
      <c r="M11" s="18">
        <v>144.69999999999999</v>
      </c>
      <c r="N11" s="18">
        <v>127.6</v>
      </c>
      <c r="O11" s="18">
        <v>160.80000000000001</v>
      </c>
      <c r="P11" s="18">
        <v>145.5</v>
      </c>
      <c r="Q11" s="18">
        <v>160.5</v>
      </c>
      <c r="R11" s="18">
        <v>166.9</v>
      </c>
      <c r="AJ11" s="1">
        <f t="shared" si="2"/>
        <v>368</v>
      </c>
      <c r="AK11" s="1">
        <f t="shared" si="3"/>
        <v>488.79999999999995</v>
      </c>
      <c r="AL11" s="1">
        <f t="shared" si="4"/>
        <v>633.70000000000005</v>
      </c>
      <c r="AM11" s="1">
        <f t="shared" si="5"/>
        <v>0</v>
      </c>
    </row>
    <row r="12" spans="1:60" s="1" customFormat="1" x14ac:dyDescent="0.2">
      <c r="B12" s="1" t="s">
        <v>235</v>
      </c>
      <c r="C12" s="18"/>
      <c r="D12" s="18"/>
      <c r="E12" s="18"/>
      <c r="F12" s="18"/>
      <c r="G12" s="18">
        <f>-6.2+2.1</f>
        <v>-4.0999999999999996</v>
      </c>
      <c r="H12" s="18">
        <f>-6.4+3</f>
        <v>-3.4000000000000004</v>
      </c>
      <c r="I12" s="18">
        <f>50-4.7+0.9</f>
        <v>46.199999999999996</v>
      </c>
      <c r="J12" s="18">
        <f>-8.4+2.9</f>
        <v>-5.5</v>
      </c>
      <c r="K12" s="18">
        <f>-6.1+4.7</f>
        <v>-1.3999999999999995</v>
      </c>
      <c r="L12" s="18">
        <f>-3.5+2.7</f>
        <v>-0.79999999999999982</v>
      </c>
      <c r="M12" s="18">
        <f>50+3.1-3</f>
        <v>50.1</v>
      </c>
      <c r="N12" s="18">
        <f>-1+3.5</f>
        <v>2.5</v>
      </c>
      <c r="O12" s="18">
        <f>50+2.8+2</f>
        <v>54.8</v>
      </c>
      <c r="P12" s="18">
        <f>28.9+3.9+2.6</f>
        <v>35.4</v>
      </c>
      <c r="Q12" s="18">
        <v>-0.2</v>
      </c>
      <c r="R12" s="18">
        <v>50</v>
      </c>
      <c r="AJ12" s="1">
        <f t="shared" si="2"/>
        <v>33.199999999999996</v>
      </c>
      <c r="AK12" s="1">
        <f t="shared" si="3"/>
        <v>50.400000000000006</v>
      </c>
      <c r="AL12" s="1">
        <f t="shared" si="4"/>
        <v>140</v>
      </c>
      <c r="AM12" s="1">
        <f t="shared" si="5"/>
        <v>0</v>
      </c>
    </row>
    <row r="13" spans="1:60" s="1" customFormat="1" x14ac:dyDescent="0.2">
      <c r="B13" s="1" t="s">
        <v>236</v>
      </c>
      <c r="C13" s="18"/>
      <c r="D13" s="18">
        <v>557.29999999999995</v>
      </c>
      <c r="E13" s="18"/>
      <c r="F13" s="18"/>
      <c r="G13" s="18">
        <v>855</v>
      </c>
      <c r="H13" s="18">
        <v>945</v>
      </c>
      <c r="I13" s="18">
        <v>1072.5999999999999</v>
      </c>
      <c r="J13" s="18">
        <v>1172</v>
      </c>
      <c r="K13" s="18">
        <v>1262.9000000000001</v>
      </c>
      <c r="L13" s="18">
        <v>1499</v>
      </c>
      <c r="M13" s="18">
        <v>1662.9</v>
      </c>
      <c r="N13" s="18">
        <v>1773.8</v>
      </c>
      <c r="O13" s="18">
        <v>1810.4</v>
      </c>
      <c r="P13" s="18">
        <v>2091.8000000000002</v>
      </c>
      <c r="Q13" s="18">
        <v>2330.1</v>
      </c>
      <c r="R13" s="18">
        <v>2448.9</v>
      </c>
      <c r="AJ13" s="1">
        <f t="shared" si="2"/>
        <v>4044.6</v>
      </c>
      <c r="AK13" s="1">
        <f t="shared" si="3"/>
        <v>6198.6</v>
      </c>
      <c r="AL13" s="1">
        <f t="shared" si="4"/>
        <v>8681.2000000000007</v>
      </c>
      <c r="AM13" s="1">
        <f t="shared" si="5"/>
        <v>0</v>
      </c>
    </row>
    <row r="14" spans="1:60" s="1" customFormat="1" x14ac:dyDescent="0.2">
      <c r="B14" s="1" t="s">
        <v>237</v>
      </c>
      <c r="C14" s="18"/>
      <c r="D14" s="18">
        <v>73.7</v>
      </c>
      <c r="E14" s="18"/>
      <c r="F14" s="18"/>
      <c r="G14" s="18"/>
      <c r="H14" s="18">
        <v>86.6</v>
      </c>
      <c r="I14" s="18">
        <v>91.5</v>
      </c>
      <c r="J14" s="18">
        <v>100.9</v>
      </c>
      <c r="K14" s="18">
        <v>104.6</v>
      </c>
      <c r="L14" s="18">
        <v>99.4</v>
      </c>
      <c r="M14" s="18">
        <v>114.5</v>
      </c>
      <c r="N14" s="18">
        <v>102.6</v>
      </c>
      <c r="O14" s="18">
        <v>111.4</v>
      </c>
      <c r="P14" s="18">
        <v>108.9</v>
      </c>
      <c r="Q14" s="18">
        <v>113.7</v>
      </c>
      <c r="R14" s="18">
        <v>133.4</v>
      </c>
      <c r="AJ14" s="1">
        <f t="shared" si="2"/>
        <v>279</v>
      </c>
      <c r="AK14" s="1">
        <f t="shared" si="3"/>
        <v>421.1</v>
      </c>
      <c r="AL14" s="1">
        <f t="shared" si="4"/>
        <v>467.4</v>
      </c>
      <c r="AM14" s="1">
        <f t="shared" si="5"/>
        <v>0</v>
      </c>
    </row>
    <row r="15" spans="1:60" s="1" customFormat="1" x14ac:dyDescent="0.2">
      <c r="B15" s="1" t="s">
        <v>238</v>
      </c>
      <c r="C15" s="18"/>
      <c r="D15" s="18">
        <v>58.5</v>
      </c>
      <c r="E15" s="18"/>
      <c r="F15" s="18"/>
      <c r="G15" s="18"/>
      <c r="H15" s="18">
        <v>68.3</v>
      </c>
      <c r="I15" s="18">
        <v>70</v>
      </c>
      <c r="J15" s="18">
        <v>71.5</v>
      </c>
      <c r="K15" s="18">
        <v>69.099999999999994</v>
      </c>
      <c r="L15" s="18">
        <v>66.7</v>
      </c>
      <c r="M15" s="18">
        <v>97.8</v>
      </c>
      <c r="N15" s="18">
        <v>103.9</v>
      </c>
      <c r="O15" s="18">
        <v>106.4</v>
      </c>
      <c r="P15" s="18">
        <v>82.3</v>
      </c>
      <c r="Q15" s="18">
        <v>88.1</v>
      </c>
      <c r="R15" s="18">
        <v>81.2</v>
      </c>
      <c r="AJ15" s="1">
        <f t="shared" si="2"/>
        <v>209.8</v>
      </c>
      <c r="AK15" s="1">
        <f t="shared" si="3"/>
        <v>337.5</v>
      </c>
      <c r="AL15" s="1">
        <f t="shared" si="4"/>
        <v>357.99999999999994</v>
      </c>
      <c r="AM15" s="1">
        <f t="shared" si="5"/>
        <v>0</v>
      </c>
    </row>
    <row r="16" spans="1:60" s="1" customFormat="1" x14ac:dyDescent="0.2">
      <c r="B16" s="1" t="s">
        <v>218</v>
      </c>
      <c r="C16" s="18">
        <v>264</v>
      </c>
      <c r="D16" s="18"/>
      <c r="E16" s="18"/>
      <c r="F16" s="18"/>
      <c r="G16" s="18">
        <v>281.39999999999998</v>
      </c>
      <c r="H16" s="18">
        <v>244.2</v>
      </c>
      <c r="I16" s="18">
        <v>299.89999999999998</v>
      </c>
      <c r="J16" s="18">
        <v>360.6</v>
      </c>
      <c r="K16" s="18">
        <v>322.8</v>
      </c>
      <c r="L16" s="18">
        <v>349</v>
      </c>
      <c r="M16" s="18">
        <v>365</v>
      </c>
      <c r="N16" s="18">
        <v>372.4</v>
      </c>
      <c r="O16" s="18">
        <v>385.3</v>
      </c>
      <c r="P16" s="18">
        <v>358</v>
      </c>
      <c r="Q16" s="18">
        <v>333</v>
      </c>
      <c r="R16" s="18">
        <v>355.1</v>
      </c>
      <c r="S16" s="18">
        <f t="shared" ref="S16:V16" si="8">+O16*1.01</f>
        <v>389.15300000000002</v>
      </c>
      <c r="T16" s="18">
        <f t="shared" si="8"/>
        <v>361.58</v>
      </c>
      <c r="U16" s="18">
        <f t="shared" si="8"/>
        <v>336.33</v>
      </c>
      <c r="V16" s="18">
        <f t="shared" si="8"/>
        <v>358.65100000000001</v>
      </c>
      <c r="AJ16" s="1">
        <f t="shared" si="2"/>
        <v>1186.0999999999999</v>
      </c>
      <c r="AK16" s="1">
        <f t="shared" si="3"/>
        <v>1409.1999999999998</v>
      </c>
      <c r="AL16" s="1">
        <f t="shared" si="4"/>
        <v>1431.4</v>
      </c>
      <c r="AM16" s="1">
        <f t="shared" si="5"/>
        <v>1445.7139999999999</v>
      </c>
    </row>
    <row r="17" spans="2:39" s="1" customFormat="1" x14ac:dyDescent="0.2">
      <c r="B17" s="1" t="s">
        <v>219</v>
      </c>
      <c r="C17" s="18">
        <v>0</v>
      </c>
      <c r="D17" s="18">
        <v>0</v>
      </c>
      <c r="E17" s="18">
        <v>0</v>
      </c>
      <c r="F17" s="18">
        <v>0</v>
      </c>
      <c r="G17" s="18">
        <v>0</v>
      </c>
      <c r="H17" s="18">
        <v>0</v>
      </c>
      <c r="I17" s="18">
        <v>0</v>
      </c>
      <c r="J17" s="18">
        <v>0</v>
      </c>
      <c r="K17" s="18">
        <v>66.8</v>
      </c>
      <c r="L17" s="18">
        <v>168</v>
      </c>
      <c r="M17" s="18">
        <v>127.1</v>
      </c>
      <c r="N17" s="18">
        <v>0</v>
      </c>
      <c r="O17" s="18">
        <v>216.3</v>
      </c>
      <c r="P17" s="18">
        <v>8</v>
      </c>
      <c r="Q17" s="18">
        <v>6</v>
      </c>
      <c r="R17" s="18">
        <v>396.4</v>
      </c>
      <c r="S17" s="1">
        <f t="shared" ref="S17:V17" si="9">AVERAGE(O17:R17)</f>
        <v>156.67500000000001</v>
      </c>
      <c r="T17" s="1">
        <f t="shared" si="9"/>
        <v>141.76875000000001</v>
      </c>
      <c r="U17" s="1">
        <f t="shared" si="9"/>
        <v>175.2109375</v>
      </c>
      <c r="V17" s="1">
        <f t="shared" si="9"/>
        <v>217.513671875</v>
      </c>
      <c r="AJ17" s="1">
        <f t="shared" si="2"/>
        <v>0</v>
      </c>
      <c r="AK17" s="1">
        <f t="shared" si="3"/>
        <v>361.9</v>
      </c>
      <c r="AL17" s="1">
        <f t="shared" si="4"/>
        <v>626.70000000000005</v>
      </c>
      <c r="AM17" s="1">
        <f t="shared" si="5"/>
        <v>691.16835937500002</v>
      </c>
    </row>
    <row r="18" spans="2:39" s="1" customFormat="1" x14ac:dyDescent="0.2">
      <c r="B18" s="1" t="s">
        <v>220</v>
      </c>
      <c r="C18" s="18">
        <v>22.2</v>
      </c>
      <c r="D18" s="18"/>
      <c r="E18" s="18"/>
      <c r="F18" s="18"/>
      <c r="G18" s="18">
        <v>63.2</v>
      </c>
      <c r="H18" s="18">
        <v>211.8</v>
      </c>
      <c r="I18" s="18">
        <v>158.6</v>
      </c>
      <c r="J18" s="18"/>
      <c r="K18" s="18">
        <v>50</v>
      </c>
      <c r="L18" s="18">
        <v>46</v>
      </c>
      <c r="M18" s="18">
        <v>99</v>
      </c>
      <c r="N18" s="18">
        <v>86.2</v>
      </c>
      <c r="O18" s="18">
        <v>94</v>
      </c>
      <c r="P18" s="18">
        <v>59</v>
      </c>
      <c r="Q18" s="18">
        <v>84</v>
      </c>
      <c r="R18" s="18">
        <v>127.7</v>
      </c>
      <c r="S18" s="1">
        <f>AVERAGE(O18:R18)</f>
        <v>91.174999999999997</v>
      </c>
      <c r="T18" s="1">
        <f t="shared" ref="T18:V18" si="10">AVERAGE(P18:S18)</f>
        <v>90.46875</v>
      </c>
      <c r="U18" s="1">
        <f t="shared" si="10"/>
        <v>98.3359375</v>
      </c>
      <c r="V18" s="1">
        <f t="shared" si="10"/>
        <v>101.919921875</v>
      </c>
      <c r="AJ18" s="1">
        <f t="shared" si="2"/>
        <v>433.6</v>
      </c>
      <c r="AK18" s="1">
        <f t="shared" si="3"/>
        <v>281.2</v>
      </c>
      <c r="AL18" s="1">
        <f t="shared" si="4"/>
        <v>364.7</v>
      </c>
      <c r="AM18" s="1">
        <f t="shared" si="5"/>
        <v>381.89960937500001</v>
      </c>
    </row>
    <row r="19" spans="2:39" s="20" customFormat="1" x14ac:dyDescent="0.2">
      <c r="B19" s="20" t="s">
        <v>221</v>
      </c>
      <c r="C19" s="21">
        <f t="shared" ref="C19:D19" si="11">SUM(C3:C9)+C16+C17+C18</f>
        <v>1390.6</v>
      </c>
      <c r="D19" s="21">
        <f t="shared" si="11"/>
        <v>1231.5</v>
      </c>
      <c r="E19" s="21"/>
      <c r="F19" s="21"/>
      <c r="G19" s="21">
        <f t="shared" ref="G19:J19" si="12">SUM(G3:G9)+G16+G17+G18</f>
        <v>1828.2</v>
      </c>
      <c r="H19" s="21">
        <f t="shared" si="12"/>
        <v>1952.3000000000002</v>
      </c>
      <c r="I19" s="21">
        <f t="shared" si="12"/>
        <v>2293.7999999999997</v>
      </c>
      <c r="J19" s="21">
        <f t="shared" si="12"/>
        <v>2299.6999999999998</v>
      </c>
      <c r="K19" s="21">
        <f t="shared" ref="K19:P19" si="13">SUM(K3:K9)+K16+K17+K18</f>
        <v>2529.4000000000005</v>
      </c>
      <c r="L19" s="21">
        <f t="shared" si="13"/>
        <v>5138.7</v>
      </c>
      <c r="M19" s="21">
        <f>SUM(M3:M9)+M16+M17+M18</f>
        <v>3452.9</v>
      </c>
      <c r="N19" s="21">
        <f t="shared" si="13"/>
        <v>4951.4999999999991</v>
      </c>
      <c r="O19" s="21">
        <f t="shared" si="13"/>
        <v>2965.5000000000005</v>
      </c>
      <c r="P19" s="21">
        <f t="shared" si="13"/>
        <v>2856.5</v>
      </c>
      <c r="Q19" s="21">
        <f t="shared" ref="Q19:V19" si="14">SUM(Q3:Q9)+Q16+Q17+Q18</f>
        <v>2936.4</v>
      </c>
      <c r="R19" s="21">
        <f t="shared" si="14"/>
        <v>3414.1</v>
      </c>
      <c r="S19" s="21">
        <f t="shared" si="14"/>
        <v>3336.9730000000009</v>
      </c>
      <c r="T19" s="21">
        <f t="shared" si="14"/>
        <v>3474.6675000000005</v>
      </c>
      <c r="U19" s="21">
        <f t="shared" si="14"/>
        <v>3479.4568749999999</v>
      </c>
      <c r="V19" s="21">
        <f t="shared" si="14"/>
        <v>3557.7645937500001</v>
      </c>
      <c r="AJ19" s="21">
        <f t="shared" ref="AJ19:AM19" si="15">SUM(AJ3:AJ9)+AJ16+AJ17+AJ18</f>
        <v>8374</v>
      </c>
      <c r="AK19" s="21">
        <f t="shared" si="15"/>
        <v>16072.500000000002</v>
      </c>
      <c r="AL19" s="21">
        <f t="shared" si="15"/>
        <v>12172.500000000002</v>
      </c>
      <c r="AM19" s="21">
        <f t="shared" si="15"/>
        <v>13848.861968750001</v>
      </c>
    </row>
    <row r="20" spans="2:39" s="1" customFormat="1" x14ac:dyDescent="0.2">
      <c r="B20" s="1" t="s">
        <v>222</v>
      </c>
      <c r="C20" s="18"/>
      <c r="D20" s="18">
        <v>58.2</v>
      </c>
      <c r="E20" s="18"/>
      <c r="F20" s="18"/>
      <c r="G20" s="18">
        <f>78.8+138.5</f>
        <v>217.3</v>
      </c>
      <c r="H20" s="18">
        <f>93.2+173</f>
        <v>266.2</v>
      </c>
      <c r="I20" s="18">
        <v>122</v>
      </c>
      <c r="J20" s="18">
        <f>166+173.5</f>
        <v>339.5</v>
      </c>
      <c r="K20" s="18">
        <f>183.2+124.8</f>
        <v>308</v>
      </c>
      <c r="L20" s="18">
        <f>539.4+154.3</f>
        <v>693.7</v>
      </c>
      <c r="M20" s="18">
        <v>224</v>
      </c>
      <c r="N20" s="18">
        <f>559+170.9</f>
        <v>729.9</v>
      </c>
      <c r="O20" s="18">
        <f>207.3+197.6</f>
        <v>404.9</v>
      </c>
      <c r="P20" s="18">
        <f>149.2+147.9</f>
        <v>297.10000000000002</v>
      </c>
      <c r="Q20" s="18">
        <v>109</v>
      </c>
      <c r="R20" s="18">
        <f>302.2+238.4-133.7-19.7</f>
        <v>387.20000000000005</v>
      </c>
      <c r="S20" s="18">
        <f t="shared" ref="S20:V20" si="16">+S19-S21</f>
        <v>333.69729999999981</v>
      </c>
      <c r="T20" s="18">
        <f t="shared" si="16"/>
        <v>347.46675000000005</v>
      </c>
      <c r="U20" s="18">
        <f t="shared" si="16"/>
        <v>347.94568750000008</v>
      </c>
      <c r="V20" s="18">
        <f t="shared" si="16"/>
        <v>355.77645937499983</v>
      </c>
      <c r="AJ20" s="1">
        <f t="shared" ref="AJ20" si="17">SUM(G20:J20)</f>
        <v>945</v>
      </c>
      <c r="AK20" s="1">
        <f t="shared" ref="AK20" si="18">SUM(K20:N20)</f>
        <v>1955.6</v>
      </c>
      <c r="AL20" s="1">
        <f t="shared" ref="AL20" si="19">SUM(O20:R20)</f>
        <v>1198.2</v>
      </c>
      <c r="AM20" s="1">
        <f t="shared" ref="AM20" si="20">SUM(S20:V20)</f>
        <v>1384.8861968749998</v>
      </c>
    </row>
    <row r="21" spans="2:39" s="1" customFormat="1" x14ac:dyDescent="0.2">
      <c r="B21" s="1" t="s">
        <v>223</v>
      </c>
      <c r="C21" s="18"/>
      <c r="D21" s="18"/>
      <c r="E21" s="18"/>
      <c r="F21" s="18"/>
      <c r="G21" s="18">
        <f t="shared" ref="G21" si="21">+G19-G20</f>
        <v>1610.9</v>
      </c>
      <c r="H21" s="18">
        <f t="shared" ref="H21:P21" si="22">+H19-H20</f>
        <v>1686.1000000000001</v>
      </c>
      <c r="I21" s="18">
        <f t="shared" si="22"/>
        <v>2171.7999999999997</v>
      </c>
      <c r="J21" s="18">
        <f t="shared" si="22"/>
        <v>1960.1999999999998</v>
      </c>
      <c r="K21" s="18">
        <f t="shared" si="22"/>
        <v>2221.4000000000005</v>
      </c>
      <c r="L21" s="18">
        <f t="shared" si="22"/>
        <v>4445</v>
      </c>
      <c r="M21" s="18">
        <f t="shared" si="22"/>
        <v>3228.9</v>
      </c>
      <c r="N21" s="18">
        <f t="shared" si="22"/>
        <v>4221.5999999999995</v>
      </c>
      <c r="O21" s="18">
        <f t="shared" si="22"/>
        <v>2560.6000000000004</v>
      </c>
      <c r="P21" s="18">
        <f t="shared" si="22"/>
        <v>2559.4</v>
      </c>
      <c r="Q21" s="18">
        <f>+Q19-Q20</f>
        <v>2827.4</v>
      </c>
      <c r="R21" s="18">
        <f>+R19-R20</f>
        <v>3026.8999999999996</v>
      </c>
      <c r="S21" s="18">
        <f t="shared" ref="S21:V21" si="23">+S19*0.9</f>
        <v>3003.2757000000011</v>
      </c>
      <c r="T21" s="18">
        <f t="shared" si="23"/>
        <v>3127.2007500000004</v>
      </c>
      <c r="U21" s="18">
        <f t="shared" si="23"/>
        <v>3131.5111874999998</v>
      </c>
      <c r="V21" s="18">
        <f t="shared" si="23"/>
        <v>3201.9881343750003</v>
      </c>
      <c r="AJ21" s="1">
        <f>+AJ19-AJ20</f>
        <v>7429</v>
      </c>
      <c r="AK21" s="1">
        <f t="shared" ref="AK21:AM21" si="24">+AK19-AK20</f>
        <v>14116.900000000001</v>
      </c>
      <c r="AL21" s="1">
        <f t="shared" si="24"/>
        <v>10974.300000000001</v>
      </c>
      <c r="AM21" s="1">
        <f t="shared" si="24"/>
        <v>12463.975771875001</v>
      </c>
    </row>
    <row r="22" spans="2:39" s="1" customFormat="1" x14ac:dyDescent="0.2">
      <c r="B22" s="1" t="s">
        <v>224</v>
      </c>
      <c r="C22" s="18"/>
      <c r="D22" s="18">
        <v>426.2</v>
      </c>
      <c r="E22" s="18"/>
      <c r="F22" s="18"/>
      <c r="G22" s="18">
        <v>583.9</v>
      </c>
      <c r="H22" s="18">
        <v>580.1</v>
      </c>
      <c r="I22" s="18">
        <v>629</v>
      </c>
      <c r="J22" s="18">
        <v>675</v>
      </c>
      <c r="K22" s="18">
        <v>742.9</v>
      </c>
      <c r="L22" s="18">
        <v>714.2</v>
      </c>
      <c r="M22" s="18">
        <v>592</v>
      </c>
      <c r="N22" s="18">
        <v>639</v>
      </c>
      <c r="O22" s="18">
        <v>843.8</v>
      </c>
      <c r="P22" s="18">
        <f>794.3-14.6</f>
        <v>779.69999999999993</v>
      </c>
      <c r="Q22" s="18">
        <v>817</v>
      </c>
      <c r="R22" s="18">
        <f>1043.1-1.4</f>
        <v>1041.6999999999998</v>
      </c>
      <c r="AJ22" s="1">
        <f t="shared" ref="AJ22:AJ23" si="25">SUM(G22:J22)</f>
        <v>2468</v>
      </c>
      <c r="AK22" s="1">
        <f t="shared" ref="AK22:AK23" si="26">SUM(K22:N22)</f>
        <v>2688.1</v>
      </c>
      <c r="AL22" s="1">
        <f t="shared" ref="AL22:AL23" si="27">SUM(O22:R22)</f>
        <v>3482.2</v>
      </c>
      <c r="AM22" s="1">
        <f t="shared" ref="AM22:AM23" si="28">SUM(S22:V22)</f>
        <v>0</v>
      </c>
    </row>
    <row r="23" spans="2:39" s="1" customFormat="1" x14ac:dyDescent="0.2">
      <c r="B23" s="1" t="s">
        <v>225</v>
      </c>
      <c r="C23" s="18"/>
      <c r="D23" s="18">
        <v>251.9</v>
      </c>
      <c r="E23" s="18"/>
      <c r="F23" s="18"/>
      <c r="G23" s="18">
        <f>367.3-20.2</f>
        <v>347.1</v>
      </c>
      <c r="H23" s="18">
        <v>301.39999999999998</v>
      </c>
      <c r="I23" s="18">
        <v>291</v>
      </c>
      <c r="J23" s="18">
        <v>381</v>
      </c>
      <c r="K23" s="18">
        <v>405.6</v>
      </c>
      <c r="L23" s="18">
        <v>414.7</v>
      </c>
      <c r="M23" s="18">
        <v>391</v>
      </c>
      <c r="N23" s="18">
        <v>495</v>
      </c>
      <c r="O23" s="18">
        <v>450</v>
      </c>
      <c r="P23" s="18">
        <f>476.3-1.1</f>
        <v>475.2</v>
      </c>
      <c r="Q23" s="18">
        <v>467</v>
      </c>
      <c r="R23" s="18">
        <f>660.5-3.5</f>
        <v>657</v>
      </c>
      <c r="S23" s="18">
        <f t="shared" ref="S23:V23" si="29">+O23</f>
        <v>450</v>
      </c>
      <c r="T23" s="18">
        <f t="shared" si="29"/>
        <v>475.2</v>
      </c>
      <c r="U23" s="18">
        <f t="shared" si="29"/>
        <v>467</v>
      </c>
      <c r="V23" s="18">
        <f t="shared" si="29"/>
        <v>657</v>
      </c>
      <c r="AJ23" s="1">
        <f t="shared" si="25"/>
        <v>1320.5</v>
      </c>
      <c r="AK23" s="1">
        <f t="shared" si="26"/>
        <v>1706.3</v>
      </c>
      <c r="AL23" s="1">
        <f t="shared" si="27"/>
        <v>2049.1999999999998</v>
      </c>
      <c r="AM23" s="1">
        <f t="shared" si="28"/>
        <v>2049.1999999999998</v>
      </c>
    </row>
    <row r="24" spans="2:39" s="1" customFormat="1" x14ac:dyDescent="0.2">
      <c r="B24" s="1" t="s">
        <v>226</v>
      </c>
      <c r="C24" s="18"/>
      <c r="D24" s="18"/>
      <c r="E24" s="18"/>
      <c r="F24" s="18"/>
      <c r="G24" s="18">
        <f t="shared" ref="G24" si="30">+G23+G22</f>
        <v>931</v>
      </c>
      <c r="H24" s="18">
        <f>+H23+H22</f>
        <v>881.5</v>
      </c>
      <c r="I24" s="18">
        <f t="shared" ref="I24:M24" si="31">+I23+I22</f>
        <v>920</v>
      </c>
      <c r="J24" s="18">
        <f t="shared" si="31"/>
        <v>1056</v>
      </c>
      <c r="K24" s="18">
        <f t="shared" si="31"/>
        <v>1148.5</v>
      </c>
      <c r="L24" s="18">
        <f t="shared" si="31"/>
        <v>1128.9000000000001</v>
      </c>
      <c r="M24" s="18">
        <f t="shared" si="31"/>
        <v>983</v>
      </c>
      <c r="N24" s="18">
        <f>+N23+N22</f>
        <v>1134</v>
      </c>
      <c r="O24" s="18">
        <f>+O23+O22</f>
        <v>1293.8</v>
      </c>
      <c r="P24" s="18">
        <f>+P23+P22</f>
        <v>1254.8999999999999</v>
      </c>
      <c r="Q24" s="18">
        <f>+Q23+Q22</f>
        <v>1284</v>
      </c>
      <c r="R24" s="18">
        <f>+R23+R22</f>
        <v>1698.6999999999998</v>
      </c>
      <c r="S24" s="18">
        <f t="shared" ref="S24:V24" si="32">+S23+S22</f>
        <v>450</v>
      </c>
      <c r="T24" s="18">
        <f t="shared" si="32"/>
        <v>475.2</v>
      </c>
      <c r="U24" s="18">
        <f t="shared" si="32"/>
        <v>467</v>
      </c>
      <c r="V24" s="18">
        <f t="shared" si="32"/>
        <v>657</v>
      </c>
      <c r="AJ24" s="1">
        <f>+AJ22+AJ23</f>
        <v>3788.5</v>
      </c>
      <c r="AK24" s="1">
        <f t="shared" ref="AK24:AM24" si="33">+AK22+AK23</f>
        <v>4394.3999999999996</v>
      </c>
      <c r="AL24" s="1">
        <f t="shared" si="33"/>
        <v>5531.4</v>
      </c>
      <c r="AM24" s="1">
        <f t="shared" si="33"/>
        <v>2049.1999999999998</v>
      </c>
    </row>
    <row r="25" spans="2:39" s="1" customFormat="1" x14ac:dyDescent="0.2">
      <c r="B25" s="1" t="s">
        <v>227</v>
      </c>
      <c r="C25" s="18"/>
      <c r="D25" s="18"/>
      <c r="E25" s="18"/>
      <c r="F25" s="18"/>
      <c r="G25" s="18">
        <f>+G21-G24</f>
        <v>679.90000000000009</v>
      </c>
      <c r="H25" s="18">
        <f>+H21-H24</f>
        <v>804.60000000000014</v>
      </c>
      <c r="I25" s="18">
        <f t="shared" ref="I25:M25" si="34">+I21-I24</f>
        <v>1251.7999999999997</v>
      </c>
      <c r="J25" s="18">
        <f t="shared" si="34"/>
        <v>904.19999999999982</v>
      </c>
      <c r="K25" s="18">
        <f t="shared" si="34"/>
        <v>1072.9000000000005</v>
      </c>
      <c r="L25" s="18">
        <f t="shared" si="34"/>
        <v>3316.1</v>
      </c>
      <c r="M25" s="18">
        <f t="shared" si="34"/>
        <v>2245.9</v>
      </c>
      <c r="N25" s="18">
        <f>+N21-N24</f>
        <v>3087.5999999999995</v>
      </c>
      <c r="O25" s="18">
        <f>+O21-O24</f>
        <v>1266.8000000000004</v>
      </c>
      <c r="P25" s="18">
        <f>+P21-P24</f>
        <v>1304.5000000000002</v>
      </c>
      <c r="Q25" s="18">
        <f>+Q21-Q24</f>
        <v>1543.4</v>
      </c>
      <c r="R25" s="18">
        <f>+R21-R24</f>
        <v>1328.1999999999998</v>
      </c>
      <c r="S25" s="18">
        <f t="shared" ref="S25:V25" si="35">+S21-S24</f>
        <v>2553.2757000000011</v>
      </c>
      <c r="T25" s="18">
        <f t="shared" si="35"/>
        <v>2652.0007500000006</v>
      </c>
      <c r="U25" s="18">
        <f t="shared" si="35"/>
        <v>2664.5111874999998</v>
      </c>
      <c r="V25" s="18">
        <f t="shared" si="35"/>
        <v>2544.9881343750003</v>
      </c>
      <c r="AJ25" s="1">
        <f>+AJ21-AJ24</f>
        <v>3640.5</v>
      </c>
      <c r="AK25" s="1">
        <f t="shared" ref="AK25:AM25" si="36">+AK21-AK24</f>
        <v>9722.5000000000018</v>
      </c>
      <c r="AL25" s="1">
        <f t="shared" si="36"/>
        <v>5442.9000000000015</v>
      </c>
      <c r="AM25" s="1">
        <f t="shared" si="36"/>
        <v>10414.775771875</v>
      </c>
    </row>
    <row r="26" spans="2:39" s="1" customFormat="1" x14ac:dyDescent="0.2">
      <c r="B26" s="1" t="s">
        <v>228</v>
      </c>
      <c r="C26" s="18"/>
      <c r="D26" s="18"/>
      <c r="E26" s="18"/>
      <c r="F26" s="18"/>
      <c r="G26" s="18">
        <f>40.4+25.3</f>
        <v>65.7</v>
      </c>
      <c r="H26" s="18">
        <f>-50.2+7.9</f>
        <v>-42.300000000000004</v>
      </c>
      <c r="I26" s="18">
        <v>-54.8</v>
      </c>
      <c r="J26" s="18">
        <v>57.6</v>
      </c>
      <c r="K26" s="18">
        <f>40.5-14.6</f>
        <v>25.9</v>
      </c>
      <c r="L26" s="18">
        <f>-14.4-31.3</f>
        <v>-45.7</v>
      </c>
      <c r="M26" s="18">
        <v>-30.6</v>
      </c>
      <c r="N26" s="18">
        <f>15.8-136.3</f>
        <v>-120.50000000000001</v>
      </c>
      <c r="O26" s="18">
        <f>20.2-197.4</f>
        <v>-177.20000000000002</v>
      </c>
      <c r="P26" s="18">
        <f>-133.6-13.1-17.4</f>
        <v>-164.1</v>
      </c>
      <c r="Q26" s="18">
        <v>32.6</v>
      </c>
      <c r="R26" s="18">
        <f>195.3-17.4-80.5</f>
        <v>97.4</v>
      </c>
      <c r="AJ26" s="1">
        <f t="shared" ref="AJ26" si="37">SUM(G26:J26)</f>
        <v>26.200000000000003</v>
      </c>
      <c r="AK26" s="1">
        <f t="shared" ref="AK26" si="38">SUM(K26:N26)</f>
        <v>-170.90000000000003</v>
      </c>
      <c r="AL26" s="1">
        <f t="shared" ref="AL26" si="39">SUM(O26:R26)</f>
        <v>-211.29999999999998</v>
      </c>
      <c r="AM26" s="1">
        <f t="shared" ref="AM26" si="40">SUM(S26:V26)</f>
        <v>0</v>
      </c>
    </row>
    <row r="27" spans="2:39" s="1" customFormat="1" x14ac:dyDescent="0.2">
      <c r="B27" s="1" t="s">
        <v>229</v>
      </c>
      <c r="C27" s="18"/>
      <c r="D27" s="18"/>
      <c r="E27" s="18"/>
      <c r="F27" s="18"/>
      <c r="G27" s="18">
        <f t="shared" ref="G27" si="41">G25+G26</f>
        <v>745.60000000000014</v>
      </c>
      <c r="H27" s="18">
        <f t="shared" ref="H27:R27" si="42">H25+H26</f>
        <v>762.30000000000018</v>
      </c>
      <c r="I27" s="18">
        <f t="shared" si="42"/>
        <v>1196.9999999999998</v>
      </c>
      <c r="J27" s="18">
        <f t="shared" si="42"/>
        <v>961.79999999999984</v>
      </c>
      <c r="K27" s="18">
        <f t="shared" si="42"/>
        <v>1098.8000000000006</v>
      </c>
      <c r="L27" s="18">
        <f t="shared" si="42"/>
        <v>3270.4</v>
      </c>
      <c r="M27" s="18">
        <f t="shared" si="42"/>
        <v>2215.3000000000002</v>
      </c>
      <c r="N27" s="18">
        <f t="shared" si="42"/>
        <v>2967.0999999999995</v>
      </c>
      <c r="O27" s="18">
        <f t="shared" si="42"/>
        <v>1089.6000000000004</v>
      </c>
      <c r="P27" s="18">
        <f t="shared" si="42"/>
        <v>1140.4000000000003</v>
      </c>
      <c r="Q27" s="18">
        <f t="shared" si="42"/>
        <v>1576</v>
      </c>
      <c r="R27" s="18">
        <f t="shared" si="42"/>
        <v>1425.6</v>
      </c>
      <c r="S27" s="18">
        <f t="shared" ref="S27" si="43">S25+S26</f>
        <v>2553.2757000000011</v>
      </c>
      <c r="T27" s="18">
        <f t="shared" ref="T27" si="44">T25+T26</f>
        <v>2652.0007500000006</v>
      </c>
      <c r="U27" s="18">
        <f t="shared" ref="U27" si="45">U25+U26</f>
        <v>2664.5111874999998</v>
      </c>
      <c r="V27" s="18">
        <f t="shared" ref="V27" si="46">V25+V26</f>
        <v>2544.9881343750003</v>
      </c>
      <c r="AJ27" s="1">
        <f>+AJ25+AJ26</f>
        <v>3666.7</v>
      </c>
      <c r="AK27" s="1">
        <f t="shared" ref="AK27:AM27" si="47">+AK25+AK26</f>
        <v>9551.6000000000022</v>
      </c>
      <c r="AL27" s="1">
        <f t="shared" si="47"/>
        <v>5231.6000000000013</v>
      </c>
      <c r="AM27" s="1">
        <f t="shared" si="47"/>
        <v>10414.775771875</v>
      </c>
    </row>
    <row r="28" spans="2:39" s="1" customFormat="1" x14ac:dyDescent="0.2">
      <c r="B28" s="1" t="s">
        <v>230</v>
      </c>
      <c r="C28" s="18"/>
      <c r="D28" s="18"/>
      <c r="E28" s="18"/>
      <c r="F28" s="18"/>
      <c r="G28" s="18">
        <v>44</v>
      </c>
      <c r="H28" s="18">
        <v>21.6</v>
      </c>
      <c r="I28" s="18">
        <v>156.19999999999999</v>
      </c>
      <c r="J28" s="18">
        <v>75.400000000000006</v>
      </c>
      <c r="K28" s="18">
        <v>137.80000000000001</v>
      </c>
      <c r="L28" s="18">
        <v>653.9</v>
      </c>
      <c r="M28" s="18">
        <v>184.4</v>
      </c>
      <c r="N28" s="18">
        <v>274.39999999999998</v>
      </c>
      <c r="O28" s="18">
        <v>87.6</v>
      </c>
      <c r="P28" s="18">
        <v>111.1</v>
      </c>
      <c r="Q28" s="18">
        <v>194.1</v>
      </c>
      <c r="R28" s="18">
        <v>127.6</v>
      </c>
      <c r="S28" s="18">
        <f t="shared" ref="S28:V28" si="48">+S27*0.15</f>
        <v>382.99135500000017</v>
      </c>
      <c r="T28" s="18">
        <f t="shared" si="48"/>
        <v>397.80011250000007</v>
      </c>
      <c r="U28" s="18">
        <f t="shared" si="48"/>
        <v>399.67667812499997</v>
      </c>
      <c r="V28" s="18">
        <f t="shared" si="48"/>
        <v>381.74822015625006</v>
      </c>
      <c r="AJ28" s="1">
        <f t="shared" ref="AJ28" si="49">SUM(G28:J28)</f>
        <v>297.2</v>
      </c>
      <c r="AK28" s="1">
        <f t="shared" ref="AK28" si="50">SUM(K28:N28)</f>
        <v>1250.5</v>
      </c>
      <c r="AL28" s="1">
        <f t="shared" ref="AL28" si="51">SUM(O28:R28)</f>
        <v>520.4</v>
      </c>
      <c r="AM28" s="1">
        <f t="shared" ref="AM28" si="52">SUM(S28:V28)</f>
        <v>1562.21636578125</v>
      </c>
    </row>
    <row r="29" spans="2:39" s="1" customFormat="1" x14ac:dyDescent="0.2">
      <c r="B29" s="1" t="s">
        <v>231</v>
      </c>
      <c r="C29" s="18"/>
      <c r="D29" s="18"/>
      <c r="E29" s="18"/>
      <c r="F29" s="18"/>
      <c r="G29" s="18">
        <f t="shared" ref="G29" si="53">+G27-G28</f>
        <v>701.60000000000014</v>
      </c>
      <c r="H29" s="18">
        <f t="shared" ref="H29:R29" si="54">+H27-H28</f>
        <v>740.70000000000016</v>
      </c>
      <c r="I29" s="18">
        <f t="shared" si="54"/>
        <v>1040.7999999999997</v>
      </c>
      <c r="J29" s="18">
        <f t="shared" si="54"/>
        <v>886.39999999999986</v>
      </c>
      <c r="K29" s="18">
        <f t="shared" si="54"/>
        <v>961.00000000000068</v>
      </c>
      <c r="L29" s="18">
        <f t="shared" si="54"/>
        <v>2616.5</v>
      </c>
      <c r="M29" s="18">
        <f t="shared" si="54"/>
        <v>2030.9</v>
      </c>
      <c r="N29" s="18">
        <f t="shared" si="54"/>
        <v>2692.6999999999994</v>
      </c>
      <c r="O29" s="18">
        <f t="shared" si="54"/>
        <v>1002.0000000000003</v>
      </c>
      <c r="P29" s="18">
        <f t="shared" si="54"/>
        <v>1029.3000000000004</v>
      </c>
      <c r="Q29" s="18">
        <f t="shared" si="54"/>
        <v>1381.9</v>
      </c>
      <c r="R29" s="18">
        <f t="shared" si="54"/>
        <v>1298</v>
      </c>
      <c r="S29" s="18">
        <f t="shared" ref="S29" si="55">+S27-S28</f>
        <v>2170.2843450000009</v>
      </c>
      <c r="T29" s="18">
        <f t="shared" ref="T29" si="56">+T27-T28</f>
        <v>2254.2006375000005</v>
      </c>
      <c r="U29" s="18">
        <f t="shared" ref="U29" si="57">+U27-U28</f>
        <v>2264.8345093749999</v>
      </c>
      <c r="V29" s="18">
        <f t="shared" ref="V29" si="58">+V27-V28</f>
        <v>2163.2399142187501</v>
      </c>
      <c r="AJ29" s="1">
        <f>+AJ27-AJ28</f>
        <v>3369.5</v>
      </c>
      <c r="AK29" s="1">
        <f t="shared" ref="AK29:AM29" si="59">+AK27-AK28</f>
        <v>8301.1000000000022</v>
      </c>
      <c r="AL29" s="1">
        <f t="shared" si="59"/>
        <v>4711.2000000000016</v>
      </c>
      <c r="AM29" s="1">
        <f t="shared" si="59"/>
        <v>8852.5594060937492</v>
      </c>
    </row>
    <row r="30" spans="2:39" x14ac:dyDescent="0.2">
      <c r="B30" s="1" t="s">
        <v>232</v>
      </c>
      <c r="G30" s="19">
        <f t="shared" ref="G30" si="60">+G29/G31</f>
        <v>6.0955690703735899</v>
      </c>
      <c r="H30" s="19">
        <f t="shared" ref="H30:R30" si="61">+H29/H31</f>
        <v>6.2087175188600181</v>
      </c>
      <c r="I30" s="19">
        <f t="shared" si="61"/>
        <v>9.1378402107111469</v>
      </c>
      <c r="J30" s="19">
        <f t="shared" si="61"/>
        <v>7.900178253119428</v>
      </c>
      <c r="K30" s="19">
        <f t="shared" si="61"/>
        <v>8.5727029438001843</v>
      </c>
      <c r="L30" s="19">
        <f t="shared" si="61"/>
        <v>23.319964349376114</v>
      </c>
      <c r="M30" s="19">
        <f t="shared" si="61"/>
        <v>17.830553116769096</v>
      </c>
      <c r="N30" s="19">
        <f t="shared" si="61"/>
        <v>23.787102473498226</v>
      </c>
      <c r="O30" s="19">
        <f t="shared" si="61"/>
        <v>8.7358326068003507</v>
      </c>
      <c r="P30" s="19">
        <f t="shared" si="61"/>
        <v>8.9194107452339715</v>
      </c>
      <c r="Q30" s="19">
        <f t="shared" si="61"/>
        <v>12.250886524822697</v>
      </c>
      <c r="R30" s="19">
        <f t="shared" si="61"/>
        <v>11.385964912280702</v>
      </c>
      <c r="S30" s="19">
        <f t="shared" ref="S30" si="62">+S29/S31</f>
        <v>19.037581973684219</v>
      </c>
      <c r="T30" s="19">
        <f t="shared" ref="T30" si="63">+T29/T31</f>
        <v>19.773689802631583</v>
      </c>
      <c r="U30" s="19">
        <f t="shared" ref="U30" si="64">+U29/U31</f>
        <v>19.866969380482455</v>
      </c>
      <c r="V30" s="19">
        <f t="shared" ref="V30" si="65">+V29/V31</f>
        <v>18.975788721217107</v>
      </c>
      <c r="AJ30" s="25">
        <f>+AJ29/AJ31</f>
        <v>29.268186753528777</v>
      </c>
      <c r="AK30" s="25">
        <f t="shared" ref="AK30:AM30" si="66">+AK29/AK31</f>
        <v>73.558706247230845</v>
      </c>
      <c r="AL30" s="25">
        <f t="shared" si="66"/>
        <v>41.244911359159566</v>
      </c>
      <c r="AM30" s="25">
        <f t="shared" si="66"/>
        <v>77.654029878015351</v>
      </c>
    </row>
    <row r="31" spans="2:39" s="1" customFormat="1" x14ac:dyDescent="0.2">
      <c r="B31" s="1" t="s">
        <v>38</v>
      </c>
      <c r="C31" s="18"/>
      <c r="D31" s="18"/>
      <c r="E31" s="18"/>
      <c r="F31" s="18"/>
      <c r="G31" s="18">
        <v>115.1</v>
      </c>
      <c r="H31" s="18">
        <v>119.3</v>
      </c>
      <c r="I31" s="18">
        <v>113.9</v>
      </c>
      <c r="J31" s="18">
        <v>112.2</v>
      </c>
      <c r="K31" s="18">
        <v>112.1</v>
      </c>
      <c r="L31" s="18">
        <v>112.2</v>
      </c>
      <c r="M31" s="18">
        <v>113.9</v>
      </c>
      <c r="N31" s="18">
        <v>113.2</v>
      </c>
      <c r="O31" s="18">
        <v>114.7</v>
      </c>
      <c r="P31" s="18">
        <v>115.4</v>
      </c>
      <c r="Q31" s="18">
        <v>112.8</v>
      </c>
      <c r="R31" s="18">
        <v>114</v>
      </c>
      <c r="S31" s="18">
        <f t="shared" ref="S31:V31" si="67">+R31</f>
        <v>114</v>
      </c>
      <c r="T31" s="18">
        <f t="shared" si="67"/>
        <v>114</v>
      </c>
      <c r="U31" s="18">
        <f t="shared" si="67"/>
        <v>114</v>
      </c>
      <c r="V31" s="18">
        <f t="shared" si="67"/>
        <v>114</v>
      </c>
      <c r="AJ31" s="1">
        <f>AVERAGE(G31:J31)</f>
        <v>115.12499999999999</v>
      </c>
      <c r="AK31" s="1">
        <f>AVERAGE(K31:N31)</f>
        <v>112.85000000000001</v>
      </c>
      <c r="AL31" s="1">
        <f>AVERAGE(O31:R31)</f>
        <v>114.22500000000001</v>
      </c>
      <c r="AM31" s="1">
        <f>AVERAGE(S31:V31)</f>
        <v>114</v>
      </c>
    </row>
    <row r="33" spans="2:22" s="52" customFormat="1" x14ac:dyDescent="0.2">
      <c r="B33" s="20" t="s">
        <v>249</v>
      </c>
      <c r="C33" s="50"/>
      <c r="D33" s="50"/>
      <c r="E33" s="50"/>
      <c r="F33" s="50"/>
      <c r="G33" s="50"/>
      <c r="H33" s="50"/>
      <c r="I33" s="50"/>
      <c r="J33" s="50"/>
      <c r="K33" s="51">
        <f t="shared" ref="K33" si="68">K19/G19-1</f>
        <v>0.38354665791488918</v>
      </c>
      <c r="L33" s="51">
        <f t="shared" ref="L33" si="69">L19/H19-1</f>
        <v>1.6321262101111507</v>
      </c>
      <c r="M33" s="51">
        <f t="shared" ref="M33:O33" si="70">M19/I19-1</f>
        <v>0.50531868515127765</v>
      </c>
      <c r="N33" s="51">
        <f t="shared" si="70"/>
        <v>1.153106926990477</v>
      </c>
      <c r="O33" s="51">
        <f t="shared" si="70"/>
        <v>0.17241242982525495</v>
      </c>
      <c r="P33" s="51">
        <f>P19/L19-1</f>
        <v>-0.44412010819857162</v>
      </c>
      <c r="Q33" s="51">
        <f t="shared" ref="Q33" si="71">Q19/M19-1</f>
        <v>-0.14958440730979761</v>
      </c>
      <c r="R33" s="51">
        <f>R19/N19-1</f>
        <v>-0.31049177017065521</v>
      </c>
      <c r="S33" s="51">
        <f t="shared" ref="S33" si="72">S19/O19-1</f>
        <v>0.12526487944697373</v>
      </c>
      <c r="T33" s="51">
        <f t="shared" ref="T33" si="73">T19/P19-1</f>
        <v>0.21640731664624546</v>
      </c>
      <c r="U33" s="51">
        <f t="shared" ref="U33" si="74">U19/Q19-1</f>
        <v>0.18493967953957213</v>
      </c>
      <c r="V33" s="51">
        <f t="shared" ref="V33" si="75">V19/R19-1</f>
        <v>4.2079784936000841E-2</v>
      </c>
    </row>
    <row r="34" spans="2:22" s="52" customFormat="1" x14ac:dyDescent="0.2">
      <c r="B34" s="20" t="s">
        <v>257</v>
      </c>
      <c r="C34" s="50"/>
      <c r="D34" s="50"/>
      <c r="E34" s="50"/>
      <c r="F34" s="50"/>
      <c r="G34" s="50"/>
      <c r="H34" s="50"/>
      <c r="I34" s="50"/>
      <c r="J34" s="50"/>
      <c r="K34" s="49">
        <f t="shared" ref="K34" si="76">+K3/G3-1</f>
        <v>0.14931740614334466</v>
      </c>
      <c r="L34" s="49">
        <f t="shared" ref="L34" si="77">+L3/H3-1</f>
        <v>0.2791741472172351</v>
      </c>
      <c r="M34" s="49">
        <f>+M3/I3-1</f>
        <v>0.11760242792109254</v>
      </c>
      <c r="N34" s="49">
        <f t="shared" ref="N34:V34" si="78">+N3/J3-1</f>
        <v>0.15189873417721511</v>
      </c>
      <c r="O34" s="49">
        <f t="shared" si="78"/>
        <v>0.12694877505567925</v>
      </c>
      <c r="P34" s="49">
        <f t="shared" si="78"/>
        <v>0.13754385964912275</v>
      </c>
      <c r="Q34" s="49">
        <f t="shared" si="78"/>
        <v>0.10590631364562109</v>
      </c>
      <c r="R34" s="49">
        <f>+R3/N3-1</f>
        <v>-3.2967032967032961E-2</v>
      </c>
      <c r="S34" s="49">
        <f t="shared" si="78"/>
        <v>0.10000000000000009</v>
      </c>
      <c r="T34" s="49">
        <f t="shared" si="78"/>
        <v>0.10000000000000009</v>
      </c>
      <c r="U34" s="49">
        <f t="shared" si="78"/>
        <v>0.10000000000000009</v>
      </c>
      <c r="V34" s="49">
        <f t="shared" si="78"/>
        <v>0.10000000000000009</v>
      </c>
    </row>
    <row r="35" spans="2:22" x14ac:dyDescent="0.2">
      <c r="B35" s="1" t="s">
        <v>250</v>
      </c>
      <c r="K35" s="49">
        <f t="shared" ref="K35" si="79">K9/G9-1</f>
        <v>0.47752126366950209</v>
      </c>
      <c r="L35" s="49">
        <f t="shared" ref="L35" si="80">L9/H9-1</f>
        <v>0.6265328874024525</v>
      </c>
      <c r="M35" s="49">
        <f>M9/I9-1</f>
        <v>0.64675912821964343</v>
      </c>
      <c r="N35" s="49">
        <f t="shared" ref="N35:Q35" si="81">N9/J9-1</f>
        <v>0.63323872595395758</v>
      </c>
      <c r="O35" s="49">
        <f t="shared" si="81"/>
        <v>0.72944078947368385</v>
      </c>
      <c r="P35" s="49">
        <f t="shared" si="81"/>
        <v>0.54786383367603375</v>
      </c>
      <c r="Q35" s="49">
        <f t="shared" si="81"/>
        <v>0.22275696115503596</v>
      </c>
      <c r="R35" s="49">
        <f>R9/N9-1</f>
        <v>0.61401815022205053</v>
      </c>
      <c r="S35" s="49">
        <f t="shared" ref="S35" si="82">S9/O9-1</f>
        <v>0.30000000000000004</v>
      </c>
      <c r="T35" s="49">
        <f t="shared" ref="T35" si="83">T9/P9-1</f>
        <v>0.30000000000000004</v>
      </c>
      <c r="U35" s="49">
        <f t="shared" ref="U35" si="84">U9/Q9-1</f>
        <v>0.19999999999999996</v>
      </c>
      <c r="V35" s="49">
        <f t="shared" ref="V35" si="85">V9/R9-1</f>
        <v>0.19999999999999996</v>
      </c>
    </row>
    <row r="36" spans="2:22" x14ac:dyDescent="0.2">
      <c r="B36" s="1" t="s">
        <v>251</v>
      </c>
      <c r="K36" s="49">
        <f t="shared" ref="K36" si="86">K13/G13-1</f>
        <v>0.47707602339181299</v>
      </c>
      <c r="L36" s="49">
        <f t="shared" ref="L36" si="87">L13/H13-1</f>
        <v>0.58624338624338623</v>
      </c>
      <c r="M36" s="49">
        <f>M13/I13-1</f>
        <v>0.55034495618124213</v>
      </c>
      <c r="N36" s="49">
        <f t="shared" ref="N36:Q36" si="88">N13/J13-1</f>
        <v>0.51348122866894186</v>
      </c>
      <c r="O36" s="49">
        <f t="shared" si="88"/>
        <v>0.43352601156069359</v>
      </c>
      <c r="P36" s="49">
        <f t="shared" si="88"/>
        <v>0.39546364242828558</v>
      </c>
      <c r="Q36" s="49">
        <f t="shared" si="88"/>
        <v>0.40122677250586314</v>
      </c>
      <c r="R36" s="49">
        <f>R13/N13-1</f>
        <v>0.38059533205547424</v>
      </c>
      <c r="S36" s="49">
        <f t="shared" ref="S36" si="89">S13/O13-1</f>
        <v>-1</v>
      </c>
      <c r="T36" s="49">
        <f t="shared" ref="T36" si="90">T13/P13-1</f>
        <v>-1</v>
      </c>
      <c r="U36" s="49">
        <f t="shared" ref="U36" si="91">U13/Q13-1</f>
        <v>-1</v>
      </c>
      <c r="V36" s="49">
        <f t="shared" ref="V36" si="92">V13/R13-1</f>
        <v>-1</v>
      </c>
    </row>
    <row r="38" spans="2:22" x14ac:dyDescent="0.2">
      <c r="B38" s="1" t="s">
        <v>223</v>
      </c>
      <c r="G38" s="49">
        <f t="shared" ref="G38" si="93">+G21/G19</f>
        <v>0.88113991904605626</v>
      </c>
      <c r="H38" s="49">
        <f t="shared" ref="H38:O38" si="94">+H21/H19</f>
        <v>0.863648004917277</v>
      </c>
      <c r="I38" s="49">
        <f t="shared" si="94"/>
        <v>0.94681314848722642</v>
      </c>
      <c r="J38" s="49">
        <f t="shared" si="94"/>
        <v>0.85237204852806892</v>
      </c>
      <c r="K38" s="49">
        <f t="shared" si="94"/>
        <v>0.87823199177670597</v>
      </c>
      <c r="L38" s="49">
        <f t="shared" si="94"/>
        <v>0.86500476774281432</v>
      </c>
      <c r="M38" s="49">
        <f t="shared" si="94"/>
        <v>0.93512699470010718</v>
      </c>
      <c r="N38" s="49">
        <f t="shared" si="94"/>
        <v>0.85259012420478653</v>
      </c>
      <c r="O38" s="49">
        <f t="shared" si="94"/>
        <v>0.86346315966953291</v>
      </c>
      <c r="P38" s="49">
        <f>+P21/P19</f>
        <v>0.89599159810957474</v>
      </c>
      <c r="Q38" s="49">
        <f t="shared" ref="Q38" si="95">+Q21/Q19</f>
        <v>0.96287971665985561</v>
      </c>
      <c r="R38" s="49">
        <f>+R21/R19</f>
        <v>0.88658797340441109</v>
      </c>
      <c r="S38" s="49">
        <f>+S21/S19</f>
        <v>0.90000000000000013</v>
      </c>
      <c r="T38" s="49">
        <f>+T21/T19</f>
        <v>0.9</v>
      </c>
      <c r="U38" s="49">
        <f>+U21/U19</f>
        <v>0.9</v>
      </c>
      <c r="V38" s="49">
        <f>+V21/V19</f>
        <v>0.9</v>
      </c>
    </row>
    <row r="45" spans="2:22" s="1" customFormat="1" x14ac:dyDescent="0.2">
      <c r="B45" s="1" t="s">
        <v>33</v>
      </c>
      <c r="C45" s="18"/>
      <c r="D45" s="18"/>
      <c r="E45" s="18"/>
      <c r="F45" s="18"/>
      <c r="G45" s="18"/>
      <c r="H45" s="18"/>
      <c r="I45" s="18"/>
      <c r="J45" s="18"/>
      <c r="K45" s="18"/>
      <c r="L45" s="18"/>
      <c r="M45" s="18"/>
      <c r="N45" s="18"/>
      <c r="O45" s="18"/>
      <c r="P45" s="18"/>
      <c r="Q45" s="18"/>
      <c r="R45" s="18">
        <f>3105.9+4636.4+6591.8</f>
        <v>14334.099999999999</v>
      </c>
    </row>
    <row r="46" spans="2:22" s="1" customFormat="1" x14ac:dyDescent="0.2">
      <c r="B46" s="1" t="s">
        <v>312</v>
      </c>
      <c r="C46" s="18"/>
      <c r="D46" s="18"/>
      <c r="E46" s="18"/>
      <c r="F46" s="18"/>
      <c r="G46" s="18"/>
      <c r="H46" s="18"/>
      <c r="I46" s="18"/>
      <c r="J46" s="18"/>
      <c r="K46" s="18"/>
      <c r="L46" s="18"/>
      <c r="M46" s="18"/>
      <c r="N46" s="18"/>
      <c r="O46" s="18"/>
      <c r="P46" s="18"/>
      <c r="Q46" s="18"/>
      <c r="R46" s="18">
        <v>5328.7</v>
      </c>
    </row>
    <row r="47" spans="2:22" s="1" customFormat="1" x14ac:dyDescent="0.2">
      <c r="B47" s="1" t="s">
        <v>313</v>
      </c>
      <c r="C47" s="18"/>
      <c r="D47" s="18"/>
      <c r="E47" s="18"/>
      <c r="F47" s="18"/>
      <c r="G47" s="18"/>
      <c r="H47" s="18"/>
      <c r="I47" s="18"/>
      <c r="J47" s="18"/>
      <c r="K47" s="18"/>
      <c r="L47" s="18"/>
      <c r="M47" s="18"/>
      <c r="N47" s="18"/>
      <c r="O47" s="18"/>
      <c r="P47" s="18"/>
      <c r="Q47" s="18"/>
      <c r="R47" s="18">
        <v>2401.9</v>
      </c>
    </row>
    <row r="48" spans="2:22" s="1" customFormat="1" x14ac:dyDescent="0.2">
      <c r="B48" s="1" t="s">
        <v>314</v>
      </c>
      <c r="C48" s="18"/>
      <c r="D48" s="18"/>
      <c r="E48" s="18"/>
      <c r="F48" s="18"/>
      <c r="G48" s="18"/>
      <c r="H48" s="18"/>
      <c r="I48" s="18"/>
      <c r="J48" s="18"/>
      <c r="K48" s="18"/>
      <c r="L48" s="18"/>
      <c r="M48" s="18"/>
      <c r="N48" s="18"/>
      <c r="O48" s="18"/>
      <c r="P48" s="18"/>
      <c r="Q48" s="18"/>
      <c r="R48" s="18">
        <v>411.2</v>
      </c>
    </row>
    <row r="49" spans="2:18" s="1" customFormat="1" x14ac:dyDescent="0.2">
      <c r="B49" s="1" t="s">
        <v>315</v>
      </c>
      <c r="C49" s="18"/>
      <c r="D49" s="18"/>
      <c r="E49" s="18"/>
      <c r="F49" s="18"/>
      <c r="G49" s="18"/>
      <c r="H49" s="18"/>
      <c r="I49" s="18"/>
      <c r="J49" s="18"/>
      <c r="K49" s="18"/>
      <c r="L49" s="18"/>
      <c r="M49" s="18"/>
      <c r="N49" s="18"/>
      <c r="O49" s="18"/>
      <c r="P49" s="18"/>
      <c r="Q49" s="18"/>
      <c r="R49" s="18">
        <v>3763</v>
      </c>
    </row>
    <row r="50" spans="2:18" s="1" customFormat="1" x14ac:dyDescent="0.2">
      <c r="B50" s="1" t="s">
        <v>316</v>
      </c>
      <c r="C50" s="18"/>
      <c r="D50" s="18"/>
      <c r="E50" s="18"/>
      <c r="F50" s="18"/>
      <c r="G50" s="18"/>
      <c r="H50" s="18"/>
      <c r="I50" s="18"/>
      <c r="J50" s="18"/>
      <c r="K50" s="18"/>
      <c r="L50" s="18"/>
      <c r="M50" s="18"/>
      <c r="N50" s="18"/>
      <c r="O50" s="18"/>
      <c r="P50" s="18"/>
      <c r="Q50" s="18"/>
      <c r="R50" s="18">
        <v>915.5</v>
      </c>
    </row>
    <row r="51" spans="2:18" s="1" customFormat="1" x14ac:dyDescent="0.2">
      <c r="B51" s="1" t="s">
        <v>230</v>
      </c>
      <c r="C51" s="18"/>
      <c r="D51" s="18"/>
      <c r="E51" s="18"/>
      <c r="F51" s="18"/>
      <c r="G51" s="18"/>
      <c r="H51" s="18"/>
      <c r="I51" s="18"/>
      <c r="J51" s="18"/>
      <c r="K51" s="18"/>
      <c r="L51" s="18"/>
      <c r="M51" s="18"/>
      <c r="N51" s="18"/>
      <c r="O51" s="18"/>
      <c r="P51" s="18"/>
      <c r="Q51" s="18"/>
      <c r="R51" s="18">
        <v>1723.7</v>
      </c>
    </row>
    <row r="52" spans="2:18" s="1" customFormat="1" x14ac:dyDescent="0.2">
      <c r="B52" s="1" t="s">
        <v>317</v>
      </c>
      <c r="C52" s="18"/>
      <c r="D52" s="18"/>
      <c r="E52" s="18"/>
      <c r="F52" s="18"/>
      <c r="G52" s="18"/>
      <c r="H52" s="18"/>
      <c r="I52" s="18"/>
      <c r="J52" s="18"/>
      <c r="K52" s="18"/>
      <c r="L52" s="18"/>
      <c r="M52" s="18"/>
      <c r="N52" s="18"/>
      <c r="O52" s="18"/>
      <c r="P52" s="18"/>
      <c r="Q52" s="18"/>
      <c r="R52" s="18">
        <v>336.4</v>
      </c>
    </row>
    <row r="53" spans="2:18" s="1" customFormat="1" x14ac:dyDescent="0.2">
      <c r="B53" s="1" t="s">
        <v>318</v>
      </c>
      <c r="C53" s="18"/>
      <c r="D53" s="18"/>
      <c r="E53" s="18"/>
      <c r="F53" s="18"/>
      <c r="G53" s="18"/>
      <c r="H53" s="18"/>
      <c r="I53" s="18"/>
      <c r="J53" s="18"/>
      <c r="K53" s="18"/>
      <c r="L53" s="18"/>
      <c r="M53" s="18"/>
      <c r="N53" s="18"/>
      <c r="O53" s="18"/>
      <c r="P53" s="18"/>
      <c r="Q53" s="18"/>
      <c r="R53" s="18">
        <f>SUM(R45:R52)</f>
        <v>29214.500000000004</v>
      </c>
    </row>
    <row r="55" spans="2:18" x14ac:dyDescent="0.2">
      <c r="B55" s="1" t="s">
        <v>319</v>
      </c>
      <c r="R55" s="18">
        <v>589.20000000000005</v>
      </c>
    </row>
    <row r="56" spans="2:18" x14ac:dyDescent="0.2">
      <c r="B56" s="1" t="s">
        <v>320</v>
      </c>
      <c r="R56" s="18">
        <v>2074.1999999999998</v>
      </c>
    </row>
    <row r="57" spans="2:18" x14ac:dyDescent="0.2">
      <c r="B57" s="1" t="s">
        <v>321</v>
      </c>
      <c r="R57" s="18">
        <f>477.9+69.8</f>
        <v>547.69999999999993</v>
      </c>
    </row>
    <row r="58" spans="2:18" x14ac:dyDescent="0.2">
      <c r="B58" t="s">
        <v>29</v>
      </c>
      <c r="R58" s="18">
        <v>1981.4</v>
      </c>
    </row>
    <row r="59" spans="2:18" x14ac:dyDescent="0.2">
      <c r="B59" s="1" t="s">
        <v>322</v>
      </c>
      <c r="R59" s="18">
        <v>720</v>
      </c>
    </row>
    <row r="60" spans="2:18" x14ac:dyDescent="0.2">
      <c r="B60" s="1" t="s">
        <v>325</v>
      </c>
      <c r="R60" s="18">
        <v>638</v>
      </c>
    </row>
    <row r="61" spans="2:18" x14ac:dyDescent="0.2">
      <c r="B61" s="1" t="s">
        <v>324</v>
      </c>
      <c r="R61" s="18">
        <v>22664</v>
      </c>
    </row>
    <row r="62" spans="2:18" x14ac:dyDescent="0.2">
      <c r="B62" t="s">
        <v>323</v>
      </c>
      <c r="R62" s="18">
        <f>SUM(R55:R61)</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9D34-C705-4783-B5E4-13E02F11634C}">
  <sheetPr codeName="Tabelle2">
    <tabColor theme="7" tint="0.39997558519241921"/>
  </sheetPr>
  <dimension ref="B1:F340"/>
  <sheetViews>
    <sheetView zoomScale="110" zoomScaleNormal="110" workbookViewId="0">
      <pane ySplit="1" topLeftCell="A113" activePane="bottomLeft" state="frozen"/>
      <selection pane="bottomLeft" activeCell="F3" sqref="F3"/>
    </sheetView>
  </sheetViews>
  <sheetFormatPr baseColWidth="10" defaultRowHeight="12.75" x14ac:dyDescent="0.2"/>
  <cols>
    <col min="4" max="4" width="25" style="42" customWidth="1"/>
    <col min="5" max="5" width="5.42578125" style="57" bestFit="1" customWidth="1"/>
  </cols>
  <sheetData>
    <row r="1" spans="2:6" s="55" customFormat="1" x14ac:dyDescent="0.2">
      <c r="B1" s="55" t="s">
        <v>343</v>
      </c>
      <c r="C1" s="55" t="s">
        <v>344</v>
      </c>
      <c r="D1" s="56" t="s">
        <v>346</v>
      </c>
      <c r="E1" s="56" t="s">
        <v>345</v>
      </c>
    </row>
    <row r="2" spans="2:6" x14ac:dyDescent="0.2">
      <c r="D2" s="57"/>
    </row>
    <row r="3" spans="2:6" x14ac:dyDescent="0.2">
      <c r="D3" s="57" t="s">
        <v>347</v>
      </c>
    </row>
    <row r="4" spans="2:6" x14ac:dyDescent="0.2">
      <c r="D4" s="57"/>
      <c r="E4" s="57">
        <v>1</v>
      </c>
      <c r="F4" t="s">
        <v>348</v>
      </c>
    </row>
    <row r="5" spans="2:6" x14ac:dyDescent="0.2">
      <c r="F5" t="s">
        <v>349</v>
      </c>
    </row>
    <row r="7" spans="2:6" x14ac:dyDescent="0.2">
      <c r="E7" s="57">
        <f>+E4+1</f>
        <v>2</v>
      </c>
      <c r="F7" t="s">
        <v>350</v>
      </c>
    </row>
    <row r="8" spans="2:6" x14ac:dyDescent="0.2">
      <c r="F8" t="s">
        <v>351</v>
      </c>
    </row>
    <row r="10" spans="2:6" x14ac:dyDescent="0.2">
      <c r="E10" s="57">
        <f>+E7+1</f>
        <v>3</v>
      </c>
      <c r="F10" t="s">
        <v>352</v>
      </c>
    </row>
    <row r="11" spans="2:6" x14ac:dyDescent="0.2">
      <c r="F11" t="s">
        <v>353</v>
      </c>
    </row>
    <row r="13" spans="2:6" x14ac:dyDescent="0.2">
      <c r="E13" s="57">
        <f>+E10+1</f>
        <v>4</v>
      </c>
      <c r="F13" t="s">
        <v>354</v>
      </c>
    </row>
    <row r="14" spans="2:6" x14ac:dyDescent="0.2">
      <c r="F14" t="s">
        <v>355</v>
      </c>
    </row>
    <row r="16" spans="2:6" x14ac:dyDescent="0.2">
      <c r="E16" s="57">
        <f>+E13+1</f>
        <v>5</v>
      </c>
      <c r="F16" t="s">
        <v>356</v>
      </c>
    </row>
    <row r="17" spans="5:6" x14ac:dyDescent="0.2">
      <c r="F17" t="s">
        <v>357</v>
      </c>
    </row>
    <row r="19" spans="5:6" x14ac:dyDescent="0.2">
      <c r="E19" s="57">
        <f>+E16+1</f>
        <v>6</v>
      </c>
      <c r="F19" t="s">
        <v>358</v>
      </c>
    </row>
    <row r="20" spans="5:6" x14ac:dyDescent="0.2">
      <c r="F20" t="s">
        <v>359</v>
      </c>
    </row>
    <row r="22" spans="5:6" x14ac:dyDescent="0.2">
      <c r="E22" s="57">
        <f>+E19+1</f>
        <v>7</v>
      </c>
      <c r="F22" t="s">
        <v>360</v>
      </c>
    </row>
    <row r="23" spans="5:6" x14ac:dyDescent="0.2">
      <c r="F23" t="s">
        <v>361</v>
      </c>
    </row>
    <row r="25" spans="5:6" x14ac:dyDescent="0.2">
      <c r="E25" s="57">
        <f>+E22+1</f>
        <v>8</v>
      </c>
      <c r="F25" t="s">
        <v>362</v>
      </c>
    </row>
    <row r="26" spans="5:6" x14ac:dyDescent="0.2">
      <c r="F26" t="s">
        <v>363</v>
      </c>
    </row>
    <row r="28" spans="5:6" x14ac:dyDescent="0.2">
      <c r="E28" s="57">
        <f>+E25+1</f>
        <v>9</v>
      </c>
      <c r="F28" t="s">
        <v>364</v>
      </c>
    </row>
    <row r="29" spans="5:6" x14ac:dyDescent="0.2">
      <c r="F29" t="s">
        <v>365</v>
      </c>
    </row>
    <row r="31" spans="5:6" x14ac:dyDescent="0.2">
      <c r="E31" s="57">
        <f>+E28+1</f>
        <v>10</v>
      </c>
      <c r="F31" t="s">
        <v>366</v>
      </c>
    </row>
    <row r="32" spans="5:6" x14ac:dyDescent="0.2">
      <c r="F32" t="s">
        <v>367</v>
      </c>
    </row>
    <row r="34" spans="5:6" x14ac:dyDescent="0.2">
      <c r="E34" s="57">
        <f>+E31+1</f>
        <v>11</v>
      </c>
      <c r="F34" t="s">
        <v>368</v>
      </c>
    </row>
    <row r="35" spans="5:6" x14ac:dyDescent="0.2">
      <c r="F35" t="s">
        <v>369</v>
      </c>
    </row>
    <row r="37" spans="5:6" x14ac:dyDescent="0.2">
      <c r="E37" s="57">
        <f>+E34+1</f>
        <v>12</v>
      </c>
      <c r="F37" t="s">
        <v>370</v>
      </c>
    </row>
    <row r="38" spans="5:6" x14ac:dyDescent="0.2">
      <c r="F38" t="s">
        <v>371</v>
      </c>
    </row>
    <row r="40" spans="5:6" x14ac:dyDescent="0.2">
      <c r="E40" s="57">
        <f>+E37+1</f>
        <v>13</v>
      </c>
      <c r="F40" t="s">
        <v>372</v>
      </c>
    </row>
    <row r="41" spans="5:6" x14ac:dyDescent="0.2">
      <c r="F41" t="s">
        <v>373</v>
      </c>
    </row>
    <row r="43" spans="5:6" x14ac:dyDescent="0.2">
      <c r="E43" s="57">
        <f>+E40+1</f>
        <v>14</v>
      </c>
      <c r="F43" t="s">
        <v>374</v>
      </c>
    </row>
    <row r="44" spans="5:6" x14ac:dyDescent="0.2">
      <c r="F44" t="s">
        <v>375</v>
      </c>
    </row>
    <row r="46" spans="5:6" x14ac:dyDescent="0.2">
      <c r="E46" s="57">
        <f>+E43+1</f>
        <v>15</v>
      </c>
      <c r="F46" t="s">
        <v>376</v>
      </c>
    </row>
    <row r="47" spans="5:6" x14ac:dyDescent="0.2">
      <c r="F47" t="s">
        <v>377</v>
      </c>
    </row>
    <row r="49" spans="5:6" x14ac:dyDescent="0.2">
      <c r="E49" s="57">
        <f>+E46+1</f>
        <v>16</v>
      </c>
      <c r="F49" t="s">
        <v>378</v>
      </c>
    </row>
    <row r="50" spans="5:6" x14ac:dyDescent="0.2">
      <c r="F50" t="s">
        <v>379</v>
      </c>
    </row>
    <row r="52" spans="5:6" x14ac:dyDescent="0.2">
      <c r="E52" s="57">
        <f>+E49+1</f>
        <v>17</v>
      </c>
      <c r="F52" t="s">
        <v>380</v>
      </c>
    </row>
    <row r="53" spans="5:6" x14ac:dyDescent="0.2">
      <c r="F53" t="s">
        <v>381</v>
      </c>
    </row>
    <row r="55" spans="5:6" x14ac:dyDescent="0.2">
      <c r="E55" s="57">
        <f>+E52+1</f>
        <v>18</v>
      </c>
      <c r="F55" t="s">
        <v>382</v>
      </c>
    </row>
    <row r="56" spans="5:6" x14ac:dyDescent="0.2">
      <c r="F56" t="s">
        <v>383</v>
      </c>
    </row>
    <row r="58" spans="5:6" x14ac:dyDescent="0.2">
      <c r="E58" s="57">
        <f>+E55+1</f>
        <v>19</v>
      </c>
      <c r="F58" t="s">
        <v>384</v>
      </c>
    </row>
    <row r="59" spans="5:6" x14ac:dyDescent="0.2">
      <c r="F59" t="s">
        <v>385</v>
      </c>
    </row>
    <row r="61" spans="5:6" x14ac:dyDescent="0.2">
      <c r="E61" s="57">
        <f>+E58+1</f>
        <v>20</v>
      </c>
      <c r="F61" t="s">
        <v>386</v>
      </c>
    </row>
    <row r="62" spans="5:6" x14ac:dyDescent="0.2">
      <c r="F62" t="s">
        <v>387</v>
      </c>
    </row>
    <row r="64" spans="5:6" x14ac:dyDescent="0.2">
      <c r="E64" s="57">
        <f>+E61+1</f>
        <v>21</v>
      </c>
      <c r="F64" t="s">
        <v>388</v>
      </c>
    </row>
    <row r="65" spans="5:6" x14ac:dyDescent="0.2">
      <c r="F65" t="s">
        <v>389</v>
      </c>
    </row>
    <row r="67" spans="5:6" x14ac:dyDescent="0.2">
      <c r="E67" s="57">
        <f>+E64+1</f>
        <v>22</v>
      </c>
      <c r="F67" t="s">
        <v>390</v>
      </c>
    </row>
    <row r="68" spans="5:6" x14ac:dyDescent="0.2">
      <c r="F68" t="s">
        <v>391</v>
      </c>
    </row>
    <row r="70" spans="5:6" x14ac:dyDescent="0.2">
      <c r="E70" s="57">
        <f>+E67+1</f>
        <v>23</v>
      </c>
      <c r="F70" t="s">
        <v>392</v>
      </c>
    </row>
    <row r="71" spans="5:6" x14ac:dyDescent="0.2">
      <c r="F71" t="s">
        <v>393</v>
      </c>
    </row>
    <row r="73" spans="5:6" x14ac:dyDescent="0.2">
      <c r="E73" s="57">
        <f>+E70+1</f>
        <v>24</v>
      </c>
      <c r="F73" t="s">
        <v>394</v>
      </c>
    </row>
    <row r="74" spans="5:6" x14ac:dyDescent="0.2">
      <c r="F74" t="s">
        <v>395</v>
      </c>
    </row>
    <row r="76" spans="5:6" x14ac:dyDescent="0.2">
      <c r="E76" s="57">
        <f>+E73+1</f>
        <v>25</v>
      </c>
      <c r="F76" t="s">
        <v>396</v>
      </c>
    </row>
    <row r="77" spans="5:6" x14ac:dyDescent="0.2">
      <c r="F77" t="s">
        <v>397</v>
      </c>
    </row>
    <row r="79" spans="5:6" x14ac:dyDescent="0.2">
      <c r="E79" s="57">
        <f>+E76+1</f>
        <v>26</v>
      </c>
      <c r="F79" t="s">
        <v>398</v>
      </c>
    </row>
    <row r="80" spans="5:6" x14ac:dyDescent="0.2">
      <c r="F80" t="s">
        <v>399</v>
      </c>
    </row>
    <row r="82" spans="5:6" x14ac:dyDescent="0.2">
      <c r="E82" s="57">
        <f>+E79+1</f>
        <v>27</v>
      </c>
      <c r="F82" t="s">
        <v>400</v>
      </c>
    </row>
    <row r="83" spans="5:6" x14ac:dyDescent="0.2">
      <c r="F83" t="s">
        <v>401</v>
      </c>
    </row>
    <row r="85" spans="5:6" x14ac:dyDescent="0.2">
      <c r="E85" s="57">
        <f>+E82+1</f>
        <v>28</v>
      </c>
      <c r="F85" t="s">
        <v>402</v>
      </c>
    </row>
    <row r="86" spans="5:6" x14ac:dyDescent="0.2">
      <c r="F86" t="s">
        <v>403</v>
      </c>
    </row>
    <row r="88" spans="5:6" x14ac:dyDescent="0.2">
      <c r="E88" s="57">
        <f>+E85+1</f>
        <v>29</v>
      </c>
      <c r="F88" t="s">
        <v>404</v>
      </c>
    </row>
    <row r="89" spans="5:6" x14ac:dyDescent="0.2">
      <c r="F89" t="s">
        <v>405</v>
      </c>
    </row>
    <row r="91" spans="5:6" x14ac:dyDescent="0.2">
      <c r="E91" s="57">
        <f>+E88+1</f>
        <v>30</v>
      </c>
      <c r="F91" t="s">
        <v>406</v>
      </c>
    </row>
    <row r="92" spans="5:6" x14ac:dyDescent="0.2">
      <c r="F92" t="s">
        <v>407</v>
      </c>
    </row>
    <row r="94" spans="5:6" x14ac:dyDescent="0.2">
      <c r="E94" s="57">
        <f>+E91+1</f>
        <v>31</v>
      </c>
      <c r="F94" t="s">
        <v>408</v>
      </c>
    </row>
    <row r="95" spans="5:6" x14ac:dyDescent="0.2">
      <c r="F95" t="s">
        <v>409</v>
      </c>
    </row>
    <row r="97" spans="5:6" x14ac:dyDescent="0.2">
      <c r="E97" s="57">
        <f>+E94+1</f>
        <v>32</v>
      </c>
      <c r="F97" t="s">
        <v>410</v>
      </c>
    </row>
    <row r="98" spans="5:6" x14ac:dyDescent="0.2">
      <c r="F98" t="s">
        <v>411</v>
      </c>
    </row>
    <row r="100" spans="5:6" x14ac:dyDescent="0.2">
      <c r="E100" s="57">
        <f>+E97+1</f>
        <v>33</v>
      </c>
      <c r="F100" t="s">
        <v>412</v>
      </c>
    </row>
    <row r="101" spans="5:6" x14ac:dyDescent="0.2">
      <c r="F101" t="s">
        <v>413</v>
      </c>
    </row>
    <row r="103" spans="5:6" x14ac:dyDescent="0.2">
      <c r="E103" s="57">
        <f>+E100+1</f>
        <v>34</v>
      </c>
      <c r="F103" t="s">
        <v>414</v>
      </c>
    </row>
    <row r="104" spans="5:6" x14ac:dyDescent="0.2">
      <c r="F104" t="s">
        <v>415</v>
      </c>
    </row>
    <row r="106" spans="5:6" x14ac:dyDescent="0.2">
      <c r="E106" s="57">
        <f>+E103+1</f>
        <v>35</v>
      </c>
      <c r="F106" t="s">
        <v>416</v>
      </c>
    </row>
    <row r="107" spans="5:6" x14ac:dyDescent="0.2">
      <c r="F107" t="s">
        <v>417</v>
      </c>
    </row>
    <row r="109" spans="5:6" x14ac:dyDescent="0.2">
      <c r="E109" s="57">
        <f>+E106+1</f>
        <v>36</v>
      </c>
      <c r="F109" t="s">
        <v>418</v>
      </c>
    </row>
    <row r="110" spans="5:6" x14ac:dyDescent="0.2">
      <c r="F110" t="s">
        <v>419</v>
      </c>
    </row>
    <row r="112" spans="5:6" x14ac:dyDescent="0.2">
      <c r="E112" s="57">
        <f>+E109+1</f>
        <v>37</v>
      </c>
      <c r="F112" t="s">
        <v>420</v>
      </c>
    </row>
    <row r="113" spans="5:6" x14ac:dyDescent="0.2">
      <c r="F113" t="s">
        <v>421</v>
      </c>
    </row>
    <row r="115" spans="5:6" x14ac:dyDescent="0.2">
      <c r="E115" s="57">
        <f>+E112+1</f>
        <v>38</v>
      </c>
      <c r="F115" t="s">
        <v>422</v>
      </c>
    </row>
    <row r="116" spans="5:6" x14ac:dyDescent="0.2">
      <c r="F116" t="s">
        <v>423</v>
      </c>
    </row>
    <row r="118" spans="5:6" x14ac:dyDescent="0.2">
      <c r="E118" s="57">
        <f>+E115+1</f>
        <v>39</v>
      </c>
      <c r="F118" t="s">
        <v>424</v>
      </c>
    </row>
    <row r="119" spans="5:6" x14ac:dyDescent="0.2">
      <c r="F119" t="s">
        <v>425</v>
      </c>
    </row>
    <row r="121" spans="5:6" x14ac:dyDescent="0.2">
      <c r="E121" s="57">
        <f>+E118+1</f>
        <v>40</v>
      </c>
      <c r="F121" t="s">
        <v>426</v>
      </c>
    </row>
    <row r="122" spans="5:6" x14ac:dyDescent="0.2">
      <c r="F122" t="s">
        <v>427</v>
      </c>
    </row>
    <row r="124" spans="5:6" x14ac:dyDescent="0.2">
      <c r="E124" s="57">
        <f>+E121+1</f>
        <v>41</v>
      </c>
      <c r="F124" t="s">
        <v>428</v>
      </c>
    </row>
    <row r="125" spans="5:6" x14ac:dyDescent="0.2">
      <c r="F125" t="s">
        <v>429</v>
      </c>
    </row>
    <row r="127" spans="5:6" x14ac:dyDescent="0.2">
      <c r="E127" s="57">
        <f>+E124+1</f>
        <v>42</v>
      </c>
      <c r="F127" t="s">
        <v>430</v>
      </c>
    </row>
    <row r="128" spans="5:6" x14ac:dyDescent="0.2">
      <c r="F128" t="s">
        <v>431</v>
      </c>
    </row>
    <row r="130" spans="5:6" x14ac:dyDescent="0.2">
      <c r="E130" s="57">
        <f>+E127+1</f>
        <v>43</v>
      </c>
      <c r="F130" t="s">
        <v>432</v>
      </c>
    </row>
    <row r="131" spans="5:6" x14ac:dyDescent="0.2">
      <c r="F131" t="s">
        <v>433</v>
      </c>
    </row>
    <row r="133" spans="5:6" x14ac:dyDescent="0.2">
      <c r="E133" s="57">
        <f>+E130+1</f>
        <v>44</v>
      </c>
      <c r="F133" t="s">
        <v>434</v>
      </c>
    </row>
    <row r="134" spans="5:6" x14ac:dyDescent="0.2">
      <c r="F134" t="s">
        <v>435</v>
      </c>
    </row>
    <row r="136" spans="5:6" x14ac:dyDescent="0.2">
      <c r="E136" s="57">
        <f>+E133+1</f>
        <v>45</v>
      </c>
      <c r="F136" t="s">
        <v>436</v>
      </c>
    </row>
    <row r="137" spans="5:6" x14ac:dyDescent="0.2">
      <c r="F137" t="s">
        <v>437</v>
      </c>
    </row>
    <row r="139" spans="5:6" x14ac:dyDescent="0.2">
      <c r="E139" s="57">
        <f>+E136+1</f>
        <v>46</v>
      </c>
      <c r="F139" t="s">
        <v>438</v>
      </c>
    </row>
    <row r="140" spans="5:6" x14ac:dyDescent="0.2">
      <c r="F140" t="s">
        <v>439</v>
      </c>
    </row>
    <row r="142" spans="5:6" x14ac:dyDescent="0.2">
      <c r="E142" s="57">
        <f>+E139+1</f>
        <v>47</v>
      </c>
      <c r="F142" t="s">
        <v>440</v>
      </c>
    </row>
    <row r="143" spans="5:6" x14ac:dyDescent="0.2">
      <c r="F143" t="s">
        <v>441</v>
      </c>
    </row>
    <row r="145" spans="4:6" x14ac:dyDescent="0.2">
      <c r="E145" s="57">
        <f>+E142+1</f>
        <v>48</v>
      </c>
      <c r="F145" t="s">
        <v>442</v>
      </c>
    </row>
    <row r="146" spans="4:6" x14ac:dyDescent="0.2">
      <c r="F146" t="s">
        <v>443</v>
      </c>
    </row>
    <row r="148" spans="4:6" x14ac:dyDescent="0.2">
      <c r="E148" s="57">
        <f>+E145+1</f>
        <v>49</v>
      </c>
      <c r="F148" t="s">
        <v>444</v>
      </c>
    </row>
    <row r="149" spans="4:6" x14ac:dyDescent="0.2">
      <c r="F149" t="s">
        <v>445</v>
      </c>
    </row>
    <row r="151" spans="4:6" x14ac:dyDescent="0.2">
      <c r="E151" s="57">
        <f>+E148+1</f>
        <v>50</v>
      </c>
      <c r="F151" t="s">
        <v>446</v>
      </c>
    </row>
    <row r="152" spans="4:6" x14ac:dyDescent="0.2">
      <c r="F152" t="s">
        <v>447</v>
      </c>
    </row>
    <row r="153" spans="4:6" x14ac:dyDescent="0.2">
      <c r="D153" s="57" t="s">
        <v>448</v>
      </c>
    </row>
    <row r="154" spans="4:6" x14ac:dyDescent="0.2">
      <c r="E154" s="57">
        <v>51</v>
      </c>
      <c r="F154" t="s">
        <v>449</v>
      </c>
    </row>
    <row r="155" spans="4:6" x14ac:dyDescent="0.2">
      <c r="F155" t="s">
        <v>450</v>
      </c>
    </row>
    <row r="157" spans="4:6" x14ac:dyDescent="0.2">
      <c r="E157" s="57">
        <f>+E154+1</f>
        <v>52</v>
      </c>
      <c r="F157" t="s">
        <v>451</v>
      </c>
    </row>
    <row r="158" spans="4:6" x14ac:dyDescent="0.2">
      <c r="F158" t="s">
        <v>452</v>
      </c>
    </row>
    <row r="160" spans="4:6" x14ac:dyDescent="0.2">
      <c r="E160" s="57">
        <f>+E157+1</f>
        <v>53</v>
      </c>
      <c r="F160" t="s">
        <v>453</v>
      </c>
    </row>
    <row r="161" spans="5:6" x14ac:dyDescent="0.2">
      <c r="F161" t="s">
        <v>454</v>
      </c>
    </row>
    <row r="163" spans="5:6" x14ac:dyDescent="0.2">
      <c r="E163" s="57">
        <f>+E160+1</f>
        <v>54</v>
      </c>
      <c r="F163" t="s">
        <v>455</v>
      </c>
    </row>
    <row r="164" spans="5:6" x14ac:dyDescent="0.2">
      <c r="F164" t="s">
        <v>456</v>
      </c>
    </row>
    <row r="166" spans="5:6" x14ac:dyDescent="0.2">
      <c r="E166" s="57">
        <f>+E163+1</f>
        <v>55</v>
      </c>
      <c r="F166" t="s">
        <v>457</v>
      </c>
    </row>
    <row r="167" spans="5:6" x14ac:dyDescent="0.2">
      <c r="F167" t="s">
        <v>458</v>
      </c>
    </row>
    <row r="169" spans="5:6" x14ac:dyDescent="0.2">
      <c r="E169" s="57">
        <f>+E166+1</f>
        <v>56</v>
      </c>
      <c r="F169" t="s">
        <v>459</v>
      </c>
    </row>
    <row r="170" spans="5:6" x14ac:dyDescent="0.2">
      <c r="F170" t="s">
        <v>460</v>
      </c>
    </row>
    <row r="172" spans="5:6" x14ac:dyDescent="0.2">
      <c r="E172" s="57">
        <f>+E169+1</f>
        <v>57</v>
      </c>
      <c r="F172" t="s">
        <v>461</v>
      </c>
    </row>
    <row r="173" spans="5:6" x14ac:dyDescent="0.2">
      <c r="F173" t="s">
        <v>462</v>
      </c>
    </row>
    <row r="175" spans="5:6" x14ac:dyDescent="0.2">
      <c r="E175" s="57">
        <f>+E172+1</f>
        <v>58</v>
      </c>
      <c r="F175" t="s">
        <v>463</v>
      </c>
    </row>
    <row r="176" spans="5:6" x14ac:dyDescent="0.2">
      <c r="F176" t="s">
        <v>464</v>
      </c>
    </row>
    <row r="178" spans="5:6" x14ac:dyDescent="0.2">
      <c r="E178" s="57">
        <f>+E175+1</f>
        <v>59</v>
      </c>
      <c r="F178" t="s">
        <v>465</v>
      </c>
    </row>
    <row r="179" spans="5:6" x14ac:dyDescent="0.2">
      <c r="F179" t="s">
        <v>466</v>
      </c>
    </row>
    <row r="181" spans="5:6" x14ac:dyDescent="0.2">
      <c r="E181" s="57">
        <f>+E178+1</f>
        <v>60</v>
      </c>
      <c r="F181" t="s">
        <v>467</v>
      </c>
    </row>
    <row r="182" spans="5:6" x14ac:dyDescent="0.2">
      <c r="F182" t="s">
        <v>468</v>
      </c>
    </row>
    <row r="184" spans="5:6" x14ac:dyDescent="0.2">
      <c r="E184" s="57">
        <f>+E181+1</f>
        <v>61</v>
      </c>
      <c r="F184" t="s">
        <v>469</v>
      </c>
    </row>
    <row r="185" spans="5:6" x14ac:dyDescent="0.2">
      <c r="F185" t="s">
        <v>470</v>
      </c>
    </row>
    <row r="187" spans="5:6" x14ac:dyDescent="0.2">
      <c r="E187" s="57">
        <f>+E184+1</f>
        <v>62</v>
      </c>
      <c r="F187" t="s">
        <v>471</v>
      </c>
    </row>
    <row r="188" spans="5:6" x14ac:dyDescent="0.2">
      <c r="F188" t="s">
        <v>472</v>
      </c>
    </row>
    <row r="190" spans="5:6" x14ac:dyDescent="0.2">
      <c r="E190" s="57">
        <f>+E187+1</f>
        <v>63</v>
      </c>
      <c r="F190" t="s">
        <v>473</v>
      </c>
    </row>
    <row r="191" spans="5:6" x14ac:dyDescent="0.2">
      <c r="F191" t="s">
        <v>474</v>
      </c>
    </row>
    <row r="193" spans="5:6" x14ac:dyDescent="0.2">
      <c r="E193" s="57">
        <f>+E190+1</f>
        <v>64</v>
      </c>
      <c r="F193" t="s">
        <v>475</v>
      </c>
    </row>
    <row r="194" spans="5:6" x14ac:dyDescent="0.2">
      <c r="F194" t="s">
        <v>476</v>
      </c>
    </row>
    <row r="196" spans="5:6" x14ac:dyDescent="0.2">
      <c r="E196" s="57">
        <f>+E193+1</f>
        <v>65</v>
      </c>
      <c r="F196" t="s">
        <v>477</v>
      </c>
    </row>
    <row r="197" spans="5:6" x14ac:dyDescent="0.2">
      <c r="F197" t="s">
        <v>478</v>
      </c>
    </row>
    <row r="199" spans="5:6" x14ac:dyDescent="0.2">
      <c r="E199" s="57">
        <f>+E196+1</f>
        <v>66</v>
      </c>
      <c r="F199" t="s">
        <v>479</v>
      </c>
    </row>
    <row r="200" spans="5:6" x14ac:dyDescent="0.2">
      <c r="F200" t="s">
        <v>480</v>
      </c>
    </row>
    <row r="202" spans="5:6" x14ac:dyDescent="0.2">
      <c r="E202" s="57">
        <f>+E199+1</f>
        <v>67</v>
      </c>
      <c r="F202" t="s">
        <v>481</v>
      </c>
    </row>
    <row r="203" spans="5:6" x14ac:dyDescent="0.2">
      <c r="F203" t="s">
        <v>482</v>
      </c>
    </row>
    <row r="205" spans="5:6" x14ac:dyDescent="0.2">
      <c r="E205" s="57">
        <f>+E202+1</f>
        <v>68</v>
      </c>
      <c r="F205" t="s">
        <v>483</v>
      </c>
    </row>
    <row r="206" spans="5:6" x14ac:dyDescent="0.2">
      <c r="F206" t="s">
        <v>484</v>
      </c>
    </row>
    <row r="208" spans="5:6" x14ac:dyDescent="0.2">
      <c r="E208" s="57">
        <f>+E205+1</f>
        <v>69</v>
      </c>
      <c r="F208" t="s">
        <v>485</v>
      </c>
    </row>
    <row r="209" spans="5:6" x14ac:dyDescent="0.2">
      <c r="F209" t="s">
        <v>486</v>
      </c>
    </row>
    <row r="211" spans="5:6" x14ac:dyDescent="0.2">
      <c r="E211" s="57">
        <f>+E208+1</f>
        <v>70</v>
      </c>
      <c r="F211" t="s">
        <v>487</v>
      </c>
    </row>
    <row r="212" spans="5:6" x14ac:dyDescent="0.2">
      <c r="F212" t="s">
        <v>488</v>
      </c>
    </row>
    <row r="214" spans="5:6" x14ac:dyDescent="0.2">
      <c r="E214" s="57">
        <f>+E211+1</f>
        <v>71</v>
      </c>
      <c r="F214" t="s">
        <v>489</v>
      </c>
    </row>
    <row r="215" spans="5:6" x14ac:dyDescent="0.2">
      <c r="F215" t="s">
        <v>490</v>
      </c>
    </row>
    <row r="217" spans="5:6" x14ac:dyDescent="0.2">
      <c r="E217" s="57">
        <f>+E214+1</f>
        <v>72</v>
      </c>
      <c r="F217" t="s">
        <v>491</v>
      </c>
    </row>
    <row r="218" spans="5:6" x14ac:dyDescent="0.2">
      <c r="F218" t="s">
        <v>492</v>
      </c>
    </row>
    <row r="220" spans="5:6" x14ac:dyDescent="0.2">
      <c r="E220" s="57">
        <f>+E217+1</f>
        <v>73</v>
      </c>
      <c r="F220" t="s">
        <v>493</v>
      </c>
    </row>
    <row r="221" spans="5:6" x14ac:dyDescent="0.2">
      <c r="F221" t="s">
        <v>494</v>
      </c>
    </row>
    <row r="223" spans="5:6" x14ac:dyDescent="0.2">
      <c r="E223" s="57">
        <f>+E220+1</f>
        <v>74</v>
      </c>
      <c r="F223" t="s">
        <v>495</v>
      </c>
    </row>
    <row r="224" spans="5:6" x14ac:dyDescent="0.2">
      <c r="F224" t="s">
        <v>496</v>
      </c>
    </row>
    <row r="226" spans="5:6" x14ac:dyDescent="0.2">
      <c r="E226" s="57">
        <f>+E223+1</f>
        <v>75</v>
      </c>
      <c r="F226" t="s">
        <v>497</v>
      </c>
    </row>
    <row r="227" spans="5:6" x14ac:dyDescent="0.2">
      <c r="F227" t="s">
        <v>498</v>
      </c>
    </row>
    <row r="229" spans="5:6" x14ac:dyDescent="0.2">
      <c r="E229" s="57">
        <f>+E226+1</f>
        <v>76</v>
      </c>
      <c r="F229" t="s">
        <v>499</v>
      </c>
    </row>
    <row r="230" spans="5:6" x14ac:dyDescent="0.2">
      <c r="F230" t="s">
        <v>500</v>
      </c>
    </row>
    <row r="232" spans="5:6" x14ac:dyDescent="0.2">
      <c r="E232" s="57">
        <f>+E229+1</f>
        <v>77</v>
      </c>
      <c r="F232" t="s">
        <v>501</v>
      </c>
    </row>
    <row r="233" spans="5:6" x14ac:dyDescent="0.2">
      <c r="F233" t="s">
        <v>502</v>
      </c>
    </row>
    <row r="235" spans="5:6" x14ac:dyDescent="0.2">
      <c r="E235" s="57">
        <f>+E232+1</f>
        <v>78</v>
      </c>
      <c r="F235" t="s">
        <v>503</v>
      </c>
    </row>
    <row r="236" spans="5:6" x14ac:dyDescent="0.2">
      <c r="F236" t="s">
        <v>504</v>
      </c>
    </row>
    <row r="238" spans="5:6" x14ac:dyDescent="0.2">
      <c r="E238" s="57">
        <f>+E235+1</f>
        <v>79</v>
      </c>
      <c r="F238" t="s">
        <v>505</v>
      </c>
    </row>
    <row r="239" spans="5:6" x14ac:dyDescent="0.2">
      <c r="F239" t="s">
        <v>506</v>
      </c>
    </row>
    <row r="241" spans="5:6" x14ac:dyDescent="0.2">
      <c r="E241" s="57">
        <f>+E238+1</f>
        <v>80</v>
      </c>
      <c r="F241" t="s">
        <v>507</v>
      </c>
    </row>
    <row r="242" spans="5:6" x14ac:dyDescent="0.2">
      <c r="F242" t="s">
        <v>508</v>
      </c>
    </row>
    <row r="244" spans="5:6" x14ac:dyDescent="0.2">
      <c r="E244" s="57">
        <f>+E241+1</f>
        <v>81</v>
      </c>
      <c r="F244" t="s">
        <v>509</v>
      </c>
    </row>
    <row r="245" spans="5:6" x14ac:dyDescent="0.2">
      <c r="F245" t="s">
        <v>510</v>
      </c>
    </row>
    <row r="247" spans="5:6" x14ac:dyDescent="0.2">
      <c r="E247" s="57">
        <f>+E244+1</f>
        <v>82</v>
      </c>
      <c r="F247" t="s">
        <v>511</v>
      </c>
    </row>
    <row r="248" spans="5:6" x14ac:dyDescent="0.2">
      <c r="F248" t="s">
        <v>512</v>
      </c>
    </row>
    <row r="250" spans="5:6" x14ac:dyDescent="0.2">
      <c r="E250" s="57">
        <f>+E247+1</f>
        <v>83</v>
      </c>
      <c r="F250" t="s">
        <v>513</v>
      </c>
    </row>
    <row r="251" spans="5:6" x14ac:dyDescent="0.2">
      <c r="F251" t="s">
        <v>514</v>
      </c>
    </row>
    <row r="253" spans="5:6" x14ac:dyDescent="0.2">
      <c r="E253" s="57">
        <f>+E250+1</f>
        <v>84</v>
      </c>
      <c r="F253" t="s">
        <v>515</v>
      </c>
    </row>
    <row r="254" spans="5:6" x14ac:dyDescent="0.2">
      <c r="F254" t="s">
        <v>516</v>
      </c>
    </row>
    <row r="256" spans="5:6" x14ac:dyDescent="0.2">
      <c r="E256" s="57">
        <f>+E253+1</f>
        <v>85</v>
      </c>
      <c r="F256" t="s">
        <v>517</v>
      </c>
    </row>
    <row r="257" spans="4:6" x14ac:dyDescent="0.2">
      <c r="F257" t="s">
        <v>518</v>
      </c>
    </row>
    <row r="259" spans="4:6" x14ac:dyDescent="0.2">
      <c r="E259" s="57">
        <f>+E256+1</f>
        <v>86</v>
      </c>
      <c r="F259" t="s">
        <v>519</v>
      </c>
    </row>
    <row r="260" spans="4:6" x14ac:dyDescent="0.2">
      <c r="F260" t="s">
        <v>520</v>
      </c>
    </row>
    <row r="262" spans="4:6" x14ac:dyDescent="0.2">
      <c r="E262" s="57">
        <f>+E259+1</f>
        <v>87</v>
      </c>
      <c r="F262" t="s">
        <v>521</v>
      </c>
    </row>
    <row r="263" spans="4:6" x14ac:dyDescent="0.2">
      <c r="F263" t="s">
        <v>522</v>
      </c>
    </row>
    <row r="265" spans="4:6" x14ac:dyDescent="0.2">
      <c r="E265" s="57">
        <f>+E262+1</f>
        <v>88</v>
      </c>
      <c r="F265" t="s">
        <v>523</v>
      </c>
    </row>
    <row r="266" spans="4:6" x14ac:dyDescent="0.2">
      <c r="F266" t="s">
        <v>524</v>
      </c>
    </row>
    <row r="268" spans="4:6" x14ac:dyDescent="0.2">
      <c r="E268" s="57">
        <f>+E265+1</f>
        <v>89</v>
      </c>
      <c r="F268" t="s">
        <v>525</v>
      </c>
    </row>
    <row r="269" spans="4:6" x14ac:dyDescent="0.2">
      <c r="F269" t="s">
        <v>526</v>
      </c>
    </row>
    <row r="270" spans="4:6" x14ac:dyDescent="0.2">
      <c r="D270" s="57" t="s">
        <v>528</v>
      </c>
    </row>
    <row r="271" spans="4:6" x14ac:dyDescent="0.2">
      <c r="E271" s="57">
        <f>+E268+1</f>
        <v>90</v>
      </c>
      <c r="F271" t="s">
        <v>529</v>
      </c>
    </row>
    <row r="272" spans="4:6" x14ac:dyDescent="0.2">
      <c r="F272" t="s">
        <v>530</v>
      </c>
    </row>
    <row r="274" spans="5:6" x14ac:dyDescent="0.2">
      <c r="E274" s="57">
        <f>+E271+1</f>
        <v>91</v>
      </c>
      <c r="F274" t="s">
        <v>531</v>
      </c>
    </row>
    <row r="275" spans="5:6" x14ac:dyDescent="0.2">
      <c r="F275" t="s">
        <v>532</v>
      </c>
    </row>
    <row r="277" spans="5:6" x14ac:dyDescent="0.2">
      <c r="E277" s="57">
        <f>+E274+1</f>
        <v>92</v>
      </c>
      <c r="F277" t="s">
        <v>533</v>
      </c>
    </row>
    <row r="278" spans="5:6" x14ac:dyDescent="0.2">
      <c r="F278" t="s">
        <v>534</v>
      </c>
    </row>
    <row r="280" spans="5:6" x14ac:dyDescent="0.2">
      <c r="E280" s="57">
        <f>+E277+1</f>
        <v>93</v>
      </c>
      <c r="F280" t="s">
        <v>535</v>
      </c>
    </row>
    <row r="281" spans="5:6" x14ac:dyDescent="0.2">
      <c r="F281" t="s">
        <v>536</v>
      </c>
    </row>
    <row r="283" spans="5:6" x14ac:dyDescent="0.2">
      <c r="E283" s="57">
        <f>+E280+1</f>
        <v>94</v>
      </c>
      <c r="F283" t="s">
        <v>537</v>
      </c>
    </row>
    <row r="284" spans="5:6" x14ac:dyDescent="0.2">
      <c r="F284" t="s">
        <v>538</v>
      </c>
    </row>
    <row r="286" spans="5:6" x14ac:dyDescent="0.2">
      <c r="E286" s="57">
        <f>+E283+1</f>
        <v>95</v>
      </c>
      <c r="F286" t="s">
        <v>539</v>
      </c>
    </row>
    <row r="287" spans="5:6" x14ac:dyDescent="0.2">
      <c r="F287" t="s">
        <v>540</v>
      </c>
    </row>
    <row r="289" spans="5:6" x14ac:dyDescent="0.2">
      <c r="E289" s="57">
        <f>+E286+1</f>
        <v>96</v>
      </c>
      <c r="F289" t="s">
        <v>541</v>
      </c>
    </row>
    <row r="290" spans="5:6" x14ac:dyDescent="0.2">
      <c r="F290" t="s">
        <v>431</v>
      </c>
    </row>
    <row r="292" spans="5:6" x14ac:dyDescent="0.2">
      <c r="E292" s="57">
        <f>+E289+1</f>
        <v>97</v>
      </c>
      <c r="F292" t="s">
        <v>542</v>
      </c>
    </row>
    <row r="293" spans="5:6" x14ac:dyDescent="0.2">
      <c r="F293" t="s">
        <v>543</v>
      </c>
    </row>
    <row r="295" spans="5:6" x14ac:dyDescent="0.2">
      <c r="E295" s="57">
        <f>+E292+1</f>
        <v>98</v>
      </c>
      <c r="F295" t="s">
        <v>544</v>
      </c>
    </row>
    <row r="296" spans="5:6" x14ac:dyDescent="0.2">
      <c r="F296" t="s">
        <v>545</v>
      </c>
    </row>
    <row r="298" spans="5:6" x14ac:dyDescent="0.2">
      <c r="E298" s="57">
        <f>+E295+1</f>
        <v>99</v>
      </c>
      <c r="F298" t="s">
        <v>546</v>
      </c>
    </row>
    <row r="299" spans="5:6" x14ac:dyDescent="0.2">
      <c r="F299" t="s">
        <v>547</v>
      </c>
    </row>
    <row r="301" spans="5:6" x14ac:dyDescent="0.2">
      <c r="E301" s="57">
        <f>+E298+1</f>
        <v>100</v>
      </c>
      <c r="F301" t="s">
        <v>548</v>
      </c>
    </row>
    <row r="302" spans="5:6" x14ac:dyDescent="0.2">
      <c r="F302" t="s">
        <v>549</v>
      </c>
    </row>
    <row r="304" spans="5:6" x14ac:dyDescent="0.2">
      <c r="E304" s="57">
        <f>+E301+1</f>
        <v>101</v>
      </c>
      <c r="F304" t="s">
        <v>550</v>
      </c>
    </row>
    <row r="305" spans="4:6" x14ac:dyDescent="0.2">
      <c r="F305" t="s">
        <v>551</v>
      </c>
    </row>
    <row r="307" spans="4:6" x14ac:dyDescent="0.2">
      <c r="E307" s="57">
        <f>+E304+1</f>
        <v>102</v>
      </c>
      <c r="F307" t="s">
        <v>552</v>
      </c>
    </row>
    <row r="308" spans="4:6" x14ac:dyDescent="0.2">
      <c r="F308" t="s">
        <v>553</v>
      </c>
    </row>
    <row r="309" spans="4:6" x14ac:dyDescent="0.2">
      <c r="D309" s="57" t="s">
        <v>554</v>
      </c>
    </row>
    <row r="310" spans="4:6" x14ac:dyDescent="0.2">
      <c r="E310" s="57">
        <f>+E307+1</f>
        <v>103</v>
      </c>
      <c r="F310" t="s">
        <v>555</v>
      </c>
    </row>
    <row r="311" spans="4:6" x14ac:dyDescent="0.2">
      <c r="F311" t="s">
        <v>556</v>
      </c>
    </row>
    <row r="313" spans="4:6" x14ac:dyDescent="0.2">
      <c r="E313" s="57">
        <f>+E310+1</f>
        <v>104</v>
      </c>
      <c r="F313" t="s">
        <v>557</v>
      </c>
    </row>
    <row r="314" spans="4:6" x14ac:dyDescent="0.2">
      <c r="F314" t="s">
        <v>558</v>
      </c>
    </row>
    <row r="316" spans="4:6" x14ac:dyDescent="0.2">
      <c r="E316" s="57">
        <f>+E313+1</f>
        <v>105</v>
      </c>
      <c r="F316" t="s">
        <v>559</v>
      </c>
    </row>
    <row r="317" spans="4:6" x14ac:dyDescent="0.2">
      <c r="F317" t="s">
        <v>560</v>
      </c>
    </row>
    <row r="319" spans="4:6" x14ac:dyDescent="0.2">
      <c r="E319" s="57">
        <f>+E316+1</f>
        <v>106</v>
      </c>
      <c r="F319" t="s">
        <v>561</v>
      </c>
    </row>
    <row r="320" spans="4:6" x14ac:dyDescent="0.2">
      <c r="F320" t="s">
        <v>365</v>
      </c>
    </row>
    <row r="322" spans="4:6" x14ac:dyDescent="0.2">
      <c r="E322" s="57">
        <f>+E319+1</f>
        <v>107</v>
      </c>
      <c r="F322" t="s">
        <v>562</v>
      </c>
    </row>
    <row r="323" spans="4:6" x14ac:dyDescent="0.2">
      <c r="F323" t="s">
        <v>563</v>
      </c>
    </row>
    <row r="324" spans="4:6" x14ac:dyDescent="0.2">
      <c r="D324" s="57" t="s">
        <v>564</v>
      </c>
    </row>
    <row r="325" spans="4:6" x14ac:dyDescent="0.2">
      <c r="E325" s="57">
        <f>+E322+1</f>
        <v>108</v>
      </c>
    </row>
    <row r="328" spans="4:6" x14ac:dyDescent="0.2">
      <c r="E328" s="57">
        <f>+E325+1</f>
        <v>109</v>
      </c>
    </row>
    <row r="331" spans="4:6" x14ac:dyDescent="0.2">
      <c r="E331" s="57">
        <f>+E328+1</f>
        <v>110</v>
      </c>
    </row>
    <row r="334" spans="4:6" x14ac:dyDescent="0.2">
      <c r="E334" s="57">
        <f>+E331+1</f>
        <v>111</v>
      </c>
    </row>
    <row r="337" spans="5:5" x14ac:dyDescent="0.2">
      <c r="E337" s="57">
        <f>+E334+1</f>
        <v>112</v>
      </c>
    </row>
    <row r="340" spans="5:5" x14ac:dyDescent="0.2">
      <c r="E340" s="57">
        <f>+E337+1</f>
        <v>113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FF27-1432-4F88-B7A4-7C9EEB4DE271}">
  <sheetPr>
    <tabColor theme="7" tint="0.39997558519241921"/>
  </sheetPr>
  <dimension ref="B1:E10"/>
  <sheetViews>
    <sheetView zoomScale="120" zoomScaleNormal="120" workbookViewId="0">
      <pane ySplit="1" topLeftCell="A2" activePane="bottomLeft" state="frozen"/>
      <selection pane="bottomLeft" activeCell="F20" sqref="F20"/>
    </sheetView>
  </sheetViews>
  <sheetFormatPr baseColWidth="10" defaultRowHeight="12.75" x14ac:dyDescent="0.2"/>
  <cols>
    <col min="3" max="4" width="13.85546875" bestFit="1" customWidth="1"/>
  </cols>
  <sheetData>
    <row r="1" spans="2:5" s="55" customFormat="1" x14ac:dyDescent="0.2">
      <c r="B1" s="55" t="s">
        <v>326</v>
      </c>
      <c r="C1" s="55" t="s">
        <v>327</v>
      </c>
      <c r="D1" s="55" t="s">
        <v>27</v>
      </c>
      <c r="E1" s="55" t="s">
        <v>328</v>
      </c>
    </row>
    <row r="2" spans="2:5" s="59" customFormat="1" x14ac:dyDescent="0.2">
      <c r="B2" s="58">
        <v>45526</v>
      </c>
      <c r="C2" s="59" t="s">
        <v>333</v>
      </c>
      <c r="D2" s="59" t="s">
        <v>334</v>
      </c>
      <c r="E2" s="60" t="s">
        <v>329</v>
      </c>
    </row>
    <row r="4" spans="2:5" x14ac:dyDescent="0.2">
      <c r="B4" t="s">
        <v>565</v>
      </c>
      <c r="E4" t="s">
        <v>566</v>
      </c>
    </row>
    <row r="10" spans="2:5" s="59" customFormat="1" x14ac:dyDescent="0.2"/>
  </sheetData>
  <hyperlinks>
    <hyperlink ref="E2" location="Linvoseltamab!A1" display="Linvoseltamab (REGN 5458) (LINKER-MM1)" xr:uid="{30EF277D-6B73-4FC9-9F2A-B792C273934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B578-810E-4C65-8BAC-3DFDFFA4C799}">
  <sheetPr>
    <tabColor theme="8" tint="0.39997558519241921"/>
  </sheetPr>
  <dimension ref="A1:B9"/>
  <sheetViews>
    <sheetView zoomScale="150" zoomScaleNormal="150" workbookViewId="0">
      <selection activeCell="E26" sqref="E26"/>
    </sheetView>
  </sheetViews>
  <sheetFormatPr baseColWidth="10" defaultRowHeight="12.75" x14ac:dyDescent="0.2"/>
  <cols>
    <col min="1" max="1" width="12.85546875" bestFit="1" customWidth="1"/>
  </cols>
  <sheetData>
    <row r="1" spans="1:2" x14ac:dyDescent="0.2">
      <c r="A1" s="16" t="s">
        <v>330</v>
      </c>
    </row>
    <row r="2" spans="1:2" x14ac:dyDescent="0.2">
      <c r="B2" t="s">
        <v>27</v>
      </c>
    </row>
    <row r="3" spans="1:2" x14ac:dyDescent="0.2">
      <c r="B3" t="s">
        <v>328</v>
      </c>
    </row>
    <row r="4" spans="1:2" x14ac:dyDescent="0.2">
      <c r="B4" t="s">
        <v>335</v>
      </c>
    </row>
    <row r="5" spans="1:2" x14ac:dyDescent="0.2">
      <c r="B5" t="s">
        <v>336</v>
      </c>
    </row>
    <row r="6" spans="1:2" x14ac:dyDescent="0.2">
      <c r="B6" t="s">
        <v>337</v>
      </c>
    </row>
    <row r="7" spans="1:2" x14ac:dyDescent="0.2">
      <c r="B7" t="s">
        <v>338</v>
      </c>
    </row>
    <row r="8" spans="1:2" x14ac:dyDescent="0.2">
      <c r="B8" t="s">
        <v>339</v>
      </c>
    </row>
    <row r="9" spans="1:2" x14ac:dyDescent="0.2">
      <c r="B9" t="s">
        <v>340</v>
      </c>
    </row>
  </sheetData>
  <hyperlinks>
    <hyperlink ref="A1" location="Linvoseltamab!A1" display="Linvoseltamab" xr:uid="{A52BF215-6858-42DD-93EF-D2CAEED4373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24ED-CC97-417D-B0F3-ADE9FEB3A29D}">
  <dimension ref="A1:C13"/>
  <sheetViews>
    <sheetView tabSelected="1" zoomScale="160" zoomScaleNormal="160" workbookViewId="0">
      <selection activeCell="F19" sqref="F19"/>
    </sheetView>
  </sheetViews>
  <sheetFormatPr baseColWidth="10" defaultRowHeight="12.75" x14ac:dyDescent="0.2"/>
  <cols>
    <col min="1" max="1" width="5" bestFit="1" customWidth="1"/>
    <col min="2" max="2" width="12.85546875" bestFit="1" customWidth="1"/>
    <col min="3" max="3" width="16.28515625" bestFit="1" customWidth="1"/>
  </cols>
  <sheetData>
    <row r="1" spans="1:3" x14ac:dyDescent="0.2">
      <c r="A1" s="16" t="s">
        <v>79</v>
      </c>
    </row>
    <row r="2" spans="1:3" x14ac:dyDescent="0.2">
      <c r="B2" s="12" t="s">
        <v>78</v>
      </c>
      <c r="C2" t="s">
        <v>330</v>
      </c>
    </row>
    <row r="3" spans="1:3" x14ac:dyDescent="0.2">
      <c r="B3" s="12" t="s">
        <v>76</v>
      </c>
      <c r="C3" t="s">
        <v>331</v>
      </c>
    </row>
    <row r="4" spans="1:3" x14ac:dyDescent="0.2">
      <c r="B4" s="12" t="s">
        <v>44</v>
      </c>
      <c r="C4" s="35" t="s">
        <v>278</v>
      </c>
    </row>
    <row r="5" spans="1:3" x14ac:dyDescent="0.2">
      <c r="B5" s="12" t="s">
        <v>48</v>
      </c>
      <c r="C5" t="s">
        <v>332</v>
      </c>
    </row>
    <row r="6" spans="1:3" x14ac:dyDescent="0.2">
      <c r="B6" s="12" t="s">
        <v>46</v>
      </c>
    </row>
    <row r="7" spans="1:3" x14ac:dyDescent="0.2">
      <c r="B7" s="12" t="s">
        <v>45</v>
      </c>
    </row>
    <row r="8" spans="1:3" x14ac:dyDescent="0.2">
      <c r="B8" s="12" t="s">
        <v>134</v>
      </c>
    </row>
    <row r="9" spans="1:3" x14ac:dyDescent="0.2">
      <c r="B9" s="12" t="s">
        <v>66</v>
      </c>
    </row>
    <row r="11" spans="1:3" x14ac:dyDescent="0.2">
      <c r="C11" s="16" t="s">
        <v>527</v>
      </c>
    </row>
    <row r="12" spans="1:3" x14ac:dyDescent="0.2">
      <c r="C12" t="s">
        <v>341</v>
      </c>
    </row>
    <row r="13" spans="1:3" x14ac:dyDescent="0.2">
      <c r="C13" t="s">
        <v>342</v>
      </c>
    </row>
  </sheetData>
  <hyperlinks>
    <hyperlink ref="A1" location="Main!A1" display="Main" xr:uid="{DB230D41-F31C-4BB1-ADDF-22F24FD79C0B}"/>
    <hyperlink ref="C11" location="'LINKER-MM1'!A1" display="Phase 1/2: &quot;LINKER-MM1&quot;" xr:uid="{C2117807-95B7-48F1-ACC8-6EF0CF11A5B7}"/>
  </hyperlink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election activeCell="B2" sqref="B2:B9"/>
    </sheetView>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202</v>
      </c>
    </row>
    <row r="3" spans="1:3" x14ac:dyDescent="0.2">
      <c r="B3" s="12" t="s">
        <v>76</v>
      </c>
      <c r="C3" s="12" t="s">
        <v>203</v>
      </c>
    </row>
    <row r="4" spans="1:3" x14ac:dyDescent="0.2">
      <c r="B4" s="12" t="s">
        <v>44</v>
      </c>
      <c r="C4" s="12" t="s">
        <v>201</v>
      </c>
    </row>
    <row r="5" spans="1:3" x14ac:dyDescent="0.2">
      <c r="B5" s="12" t="s">
        <v>48</v>
      </c>
      <c r="C5" s="12" t="s">
        <v>200</v>
      </c>
    </row>
    <row r="6" spans="1:3" x14ac:dyDescent="0.2">
      <c r="B6" s="12" t="s">
        <v>46</v>
      </c>
    </row>
    <row r="7" spans="1:3" x14ac:dyDescent="0.2">
      <c r="B7" s="12" t="s">
        <v>45</v>
      </c>
    </row>
    <row r="8" spans="1:3" x14ac:dyDescent="0.2">
      <c r="B8" s="12" t="s">
        <v>134</v>
      </c>
    </row>
    <row r="9" spans="1:3" x14ac:dyDescent="0.2">
      <c r="B9" s="12" t="s">
        <v>66</v>
      </c>
    </row>
    <row r="11" spans="1:3" x14ac:dyDescent="0.2">
      <c r="C11" s="13" t="s">
        <v>199</v>
      </c>
    </row>
    <row r="15" spans="1:3" x14ac:dyDescent="0.2">
      <c r="C15" s="13" t="s">
        <v>198</v>
      </c>
    </row>
  </sheetData>
  <hyperlinks>
    <hyperlink ref="A1" location="Main!A1" display="Main" xr:uid="{7F512D4E-C7B1-4959-AD4C-AD4ABBB4780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baseColWidth="10" defaultColWidth="9.140625"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11" x14ac:dyDescent="0.2">
      <c r="A1" s="8" t="s">
        <v>79</v>
      </c>
    </row>
    <row r="2" spans="1:11" x14ac:dyDescent="0.2">
      <c r="B2" s="2" t="s">
        <v>78</v>
      </c>
      <c r="C2" s="2" t="s">
        <v>32</v>
      </c>
    </row>
    <row r="3" spans="1:11" x14ac:dyDescent="0.2">
      <c r="B3" s="2" t="s">
        <v>76</v>
      </c>
      <c r="C3" s="12" t="s">
        <v>138</v>
      </c>
    </row>
    <row r="4" spans="1:11" x14ac:dyDescent="0.2">
      <c r="B4" s="2" t="s">
        <v>44</v>
      </c>
      <c r="C4" s="2" t="s">
        <v>137</v>
      </c>
    </row>
    <row r="5" spans="1:11" x14ac:dyDescent="0.2">
      <c r="B5" s="2" t="s">
        <v>48</v>
      </c>
      <c r="C5" s="2" t="s">
        <v>31</v>
      </c>
    </row>
    <row r="6" spans="1:11" x14ac:dyDescent="0.2">
      <c r="B6" s="2" t="s">
        <v>46</v>
      </c>
      <c r="C6" s="2" t="s">
        <v>136</v>
      </c>
    </row>
    <row r="7" spans="1:11" x14ac:dyDescent="0.2">
      <c r="B7" s="2" t="s">
        <v>45</v>
      </c>
      <c r="C7" s="2" t="s">
        <v>135</v>
      </c>
    </row>
    <row r="8" spans="1:11" x14ac:dyDescent="0.2">
      <c r="B8" s="2" t="s">
        <v>134</v>
      </c>
      <c r="C8" s="2" t="s">
        <v>133</v>
      </c>
    </row>
    <row r="9" spans="1:11" x14ac:dyDescent="0.2">
      <c r="B9" s="2" t="s">
        <v>66</v>
      </c>
      <c r="C9" s="2" t="s">
        <v>132</v>
      </c>
    </row>
    <row r="11" spans="1:11" x14ac:dyDescent="0.2">
      <c r="C11" s="5" t="s">
        <v>131</v>
      </c>
    </row>
    <row r="12" spans="1:11" x14ac:dyDescent="0.2">
      <c r="C12" s="2" t="s">
        <v>130</v>
      </c>
    </row>
    <row r="13" spans="1:11" x14ac:dyDescent="0.2">
      <c r="C13" s="2" t="s">
        <v>124</v>
      </c>
    </row>
    <row r="14" spans="1:11" x14ac:dyDescent="0.2">
      <c r="C14" s="2" t="s">
        <v>123</v>
      </c>
    </row>
    <row r="15" spans="1:11" x14ac:dyDescent="0.2">
      <c r="C15" s="2" t="s">
        <v>122</v>
      </c>
    </row>
    <row r="16" spans="1:11" x14ac:dyDescent="0.2">
      <c r="C16" s="2" t="s">
        <v>121</v>
      </c>
      <c r="H16" s="2" t="s">
        <v>119</v>
      </c>
      <c r="I16" s="2" t="s">
        <v>118</v>
      </c>
      <c r="J16" s="2" t="s">
        <v>116</v>
      </c>
      <c r="K16" s="2" t="s">
        <v>114</v>
      </c>
    </row>
    <row r="17" spans="3:12" x14ac:dyDescent="0.2">
      <c r="C17" s="2" t="s">
        <v>120</v>
      </c>
      <c r="E17" s="11">
        <v>0.93</v>
      </c>
      <c r="G17" s="2" t="s">
        <v>117</v>
      </c>
      <c r="H17" s="9">
        <v>304</v>
      </c>
      <c r="I17" s="9">
        <v>304</v>
      </c>
      <c r="J17" s="9">
        <v>301</v>
      </c>
      <c r="K17" s="9">
        <v>301</v>
      </c>
    </row>
    <row r="18" spans="3:12" x14ac:dyDescent="0.2">
      <c r="C18" s="2" t="s">
        <v>118</v>
      </c>
      <c r="E18" s="11">
        <v>0.96</v>
      </c>
      <c r="G18" s="2" t="s">
        <v>115</v>
      </c>
      <c r="H18" s="9">
        <v>78</v>
      </c>
      <c r="I18" s="9">
        <v>78</v>
      </c>
      <c r="J18" s="9">
        <v>78</v>
      </c>
      <c r="K18" s="9">
        <v>78</v>
      </c>
    </row>
    <row r="19" spans="3:12" x14ac:dyDescent="0.2">
      <c r="C19" s="2" t="s">
        <v>116</v>
      </c>
      <c r="E19" s="11">
        <v>0.91</v>
      </c>
      <c r="G19" s="2" t="s">
        <v>129</v>
      </c>
      <c r="H19" s="9">
        <v>57</v>
      </c>
      <c r="I19" s="9">
        <v>64</v>
      </c>
      <c r="J19" s="9">
        <v>56</v>
      </c>
      <c r="K19" s="9">
        <v>59</v>
      </c>
    </row>
    <row r="20" spans="3:12" x14ac:dyDescent="0.2">
      <c r="C20" s="2" t="s">
        <v>114</v>
      </c>
      <c r="E20" s="11">
        <v>0.91</v>
      </c>
      <c r="G20" s="2" t="s">
        <v>112</v>
      </c>
      <c r="H20" s="9">
        <v>54</v>
      </c>
      <c r="I20" s="9">
        <v>55</v>
      </c>
      <c r="J20" s="9">
        <v>56</v>
      </c>
      <c r="K20" s="9">
        <v>56</v>
      </c>
    </row>
    <row r="21" spans="3:12" x14ac:dyDescent="0.2">
      <c r="G21" s="4" t="s">
        <v>111</v>
      </c>
      <c r="H21" s="10">
        <v>0.94</v>
      </c>
      <c r="I21" s="10">
        <v>0.95</v>
      </c>
      <c r="J21" s="10">
        <v>0.96</v>
      </c>
      <c r="K21" s="10">
        <v>0.96</v>
      </c>
    </row>
    <row r="22" spans="3:12" x14ac:dyDescent="0.2">
      <c r="G22" s="4" t="s">
        <v>110</v>
      </c>
      <c r="H22" s="9">
        <v>8.1</v>
      </c>
      <c r="I22" s="9">
        <v>10.9</v>
      </c>
      <c r="J22" s="9" t="s">
        <v>128</v>
      </c>
      <c r="K22" s="9" t="s">
        <v>127</v>
      </c>
      <c r="L22" s="2" t="s">
        <v>106</v>
      </c>
    </row>
    <row r="23" spans="3:12" x14ac:dyDescent="0.2">
      <c r="G23" s="4" t="s">
        <v>105</v>
      </c>
      <c r="H23" s="9">
        <v>31</v>
      </c>
      <c r="I23" s="9">
        <v>38</v>
      </c>
      <c r="J23" s="9">
        <v>25</v>
      </c>
      <c r="K23" s="9">
        <v>31</v>
      </c>
    </row>
    <row r="24" spans="3:12" x14ac:dyDescent="0.2">
      <c r="H24" s="9"/>
      <c r="I24" s="9"/>
      <c r="J24" s="9"/>
      <c r="K24" s="9"/>
    </row>
    <row r="25" spans="3:12" x14ac:dyDescent="0.2">
      <c r="C25" s="5" t="s">
        <v>126</v>
      </c>
    </row>
    <row r="26" spans="3:12" x14ac:dyDescent="0.2">
      <c r="C26" s="2" t="s">
        <v>125</v>
      </c>
    </row>
    <row r="27" spans="3:12" x14ac:dyDescent="0.2">
      <c r="C27" s="2" t="s">
        <v>124</v>
      </c>
    </row>
    <row r="28" spans="3:12" x14ac:dyDescent="0.2">
      <c r="C28" s="2" t="s">
        <v>123</v>
      </c>
    </row>
    <row r="29" spans="3:12" x14ac:dyDescent="0.2">
      <c r="C29" s="2" t="s">
        <v>122</v>
      </c>
    </row>
    <row r="30" spans="3:12" x14ac:dyDescent="0.2">
      <c r="C30" s="2" t="s">
        <v>121</v>
      </c>
    </row>
    <row r="31" spans="3:12" x14ac:dyDescent="0.2">
      <c r="C31" s="2" t="s">
        <v>120</v>
      </c>
      <c r="E31" s="11">
        <v>0.91</v>
      </c>
      <c r="H31" s="2" t="s">
        <v>119</v>
      </c>
      <c r="I31" s="2" t="s">
        <v>118</v>
      </c>
      <c r="J31" s="2" t="s">
        <v>116</v>
      </c>
      <c r="K31" s="2" t="s">
        <v>114</v>
      </c>
    </row>
    <row r="32" spans="3:12" x14ac:dyDescent="0.2">
      <c r="C32" s="2" t="s">
        <v>118</v>
      </c>
      <c r="E32" s="11">
        <v>0.9</v>
      </c>
      <c r="G32" s="2" t="s">
        <v>117</v>
      </c>
      <c r="H32" s="9">
        <v>291</v>
      </c>
      <c r="I32" s="9">
        <v>309</v>
      </c>
      <c r="J32" s="9">
        <v>296</v>
      </c>
      <c r="K32" s="9">
        <v>306</v>
      </c>
    </row>
    <row r="33" spans="3:12" x14ac:dyDescent="0.2">
      <c r="C33" s="2" t="s">
        <v>116</v>
      </c>
      <c r="E33" s="11">
        <v>0.88</v>
      </c>
      <c r="G33" s="2" t="s">
        <v>115</v>
      </c>
      <c r="H33" s="9">
        <v>73</v>
      </c>
      <c r="I33" s="9">
        <v>74</v>
      </c>
      <c r="J33" s="9">
        <v>75</v>
      </c>
      <c r="K33" s="9">
        <v>74</v>
      </c>
    </row>
    <row r="34" spans="3:12" x14ac:dyDescent="0.2">
      <c r="C34" s="2" t="s">
        <v>114</v>
      </c>
      <c r="E34" s="11">
        <v>0.91</v>
      </c>
      <c r="G34" s="2" t="s">
        <v>113</v>
      </c>
      <c r="H34" s="9">
        <v>58</v>
      </c>
      <c r="I34" s="9">
        <v>57</v>
      </c>
      <c r="J34" s="9">
        <v>50</v>
      </c>
      <c r="K34" s="9">
        <v>57</v>
      </c>
    </row>
    <row r="35" spans="3:12" x14ac:dyDescent="0.2">
      <c r="G35" s="2" t="s">
        <v>112</v>
      </c>
      <c r="H35" s="9">
        <v>54</v>
      </c>
      <c r="I35" s="9">
        <v>53</v>
      </c>
      <c r="J35" s="9">
        <v>52</v>
      </c>
      <c r="K35" s="9">
        <v>52</v>
      </c>
    </row>
    <row r="36" spans="3:12" x14ac:dyDescent="0.2">
      <c r="G36" s="4" t="s">
        <v>111</v>
      </c>
      <c r="H36" s="10">
        <v>0.94</v>
      </c>
      <c r="I36" s="10">
        <v>0.95</v>
      </c>
      <c r="J36" s="10">
        <v>0.96</v>
      </c>
      <c r="K36" s="10">
        <v>0.96</v>
      </c>
    </row>
    <row r="37" spans="3:12" x14ac:dyDescent="0.2">
      <c r="G37" s="4" t="s">
        <v>110</v>
      </c>
      <c r="H37" s="9">
        <v>9.4</v>
      </c>
      <c r="I37" s="9" t="s">
        <v>109</v>
      </c>
      <c r="J37" s="9" t="s">
        <v>108</v>
      </c>
      <c r="K37" s="9" t="s">
        <v>107</v>
      </c>
      <c r="L37" s="2" t="s">
        <v>106</v>
      </c>
    </row>
    <row r="38" spans="3:12" x14ac:dyDescent="0.2">
      <c r="G38" s="4" t="s">
        <v>105</v>
      </c>
      <c r="H38" s="9">
        <v>34</v>
      </c>
      <c r="I38" s="9">
        <v>29</v>
      </c>
      <c r="J38" s="9">
        <v>35</v>
      </c>
      <c r="K38" s="9">
        <v>31</v>
      </c>
    </row>
    <row r="39" spans="3:12" x14ac:dyDescent="0.2">
      <c r="G39" s="4"/>
      <c r="H39" s="9"/>
      <c r="I39" s="9"/>
      <c r="J39" s="9"/>
      <c r="K39" s="9"/>
    </row>
    <row r="40" spans="3:12" x14ac:dyDescent="0.2">
      <c r="C40" s="5" t="s">
        <v>104</v>
      </c>
      <c r="G40" s="4"/>
      <c r="H40" s="9"/>
      <c r="I40" s="9"/>
      <c r="J40" s="9"/>
      <c r="K40" s="9"/>
    </row>
    <row r="41" spans="3:12" x14ac:dyDescent="0.2">
      <c r="C41" s="2" t="s">
        <v>103</v>
      </c>
      <c r="G41" s="4"/>
      <c r="H41" s="9"/>
      <c r="I41" s="9"/>
      <c r="J41" s="9"/>
      <c r="K41" s="9"/>
    </row>
    <row r="42" spans="3:12" x14ac:dyDescent="0.2">
      <c r="C42" s="2" t="s">
        <v>102</v>
      </c>
      <c r="G42" s="4"/>
      <c r="H42" s="9"/>
      <c r="I42" s="9"/>
      <c r="J42" s="9"/>
      <c r="K42" s="9"/>
    </row>
    <row r="43" spans="3:12" x14ac:dyDescent="0.2">
      <c r="C43" s="2" t="s">
        <v>101</v>
      </c>
      <c r="G43" s="4"/>
      <c r="H43" s="9"/>
      <c r="I43" s="9"/>
      <c r="J43" s="9"/>
      <c r="K43" s="9"/>
    </row>
    <row r="44" spans="3:12" x14ac:dyDescent="0.2">
      <c r="G44" s="4"/>
      <c r="H44" s="9"/>
      <c r="I44" s="9"/>
      <c r="J44" s="9"/>
      <c r="K44" s="9"/>
    </row>
    <row r="45" spans="3:12" x14ac:dyDescent="0.2">
      <c r="C45" s="5" t="s">
        <v>100</v>
      </c>
      <c r="G45" s="4"/>
      <c r="H45" s="9"/>
      <c r="I45" s="9"/>
      <c r="J45" s="9"/>
      <c r="K45" s="9"/>
    </row>
    <row r="46" spans="3:12" x14ac:dyDescent="0.2">
      <c r="C46" s="2" t="s">
        <v>99</v>
      </c>
      <c r="G46" s="4"/>
      <c r="H46" s="9"/>
      <c r="I46" s="9"/>
      <c r="J46" s="9"/>
      <c r="K46" s="9"/>
    </row>
    <row r="47" spans="3:12" x14ac:dyDescent="0.2">
      <c r="C47" s="2" t="s">
        <v>98</v>
      </c>
      <c r="G47" s="4"/>
      <c r="H47" s="9"/>
      <c r="I47" s="9"/>
      <c r="J47" s="9"/>
      <c r="K47" s="9"/>
    </row>
    <row r="48" spans="3:12" x14ac:dyDescent="0.2">
      <c r="C48" s="2" t="s">
        <v>97</v>
      </c>
      <c r="G48" s="4"/>
      <c r="H48" s="9"/>
      <c r="I48" s="9"/>
      <c r="J48" s="9"/>
      <c r="K48" s="9"/>
    </row>
    <row r="49" spans="3:11" x14ac:dyDescent="0.2">
      <c r="C49" s="2" t="s">
        <v>96</v>
      </c>
      <c r="G49" s="4"/>
      <c r="H49" s="9"/>
      <c r="I49" s="9"/>
      <c r="J49" s="9"/>
      <c r="K49" s="9"/>
    </row>
    <row r="50" spans="3:11" x14ac:dyDescent="0.2">
      <c r="C50" s="2" t="s">
        <v>95</v>
      </c>
      <c r="G50" s="4"/>
      <c r="H50" s="9"/>
      <c r="I50" s="9"/>
      <c r="J50" s="9"/>
      <c r="K50" s="9"/>
    </row>
    <row r="51" spans="3:11" x14ac:dyDescent="0.2">
      <c r="C51" s="2" t="s">
        <v>94</v>
      </c>
      <c r="G51" s="4"/>
      <c r="H51" s="9"/>
      <c r="I51" s="9"/>
      <c r="J51" s="9"/>
      <c r="K51" s="9"/>
    </row>
    <row r="52" spans="3:11" x14ac:dyDescent="0.2">
      <c r="C52" s="2" t="s">
        <v>93</v>
      </c>
      <c r="G52" s="4"/>
      <c r="H52" s="9"/>
      <c r="I52" s="9"/>
      <c r="J52" s="9"/>
      <c r="K52" s="9"/>
    </row>
    <row r="53" spans="3:11" x14ac:dyDescent="0.2">
      <c r="C53" s="2" t="s">
        <v>92</v>
      </c>
      <c r="G53" s="4"/>
      <c r="H53" s="9"/>
      <c r="I53" s="9"/>
      <c r="J53" s="9"/>
      <c r="K53" s="9"/>
    </row>
    <row r="54" spans="3:11" x14ac:dyDescent="0.2">
      <c r="C54" s="2" t="s">
        <v>91</v>
      </c>
      <c r="G54" s="4"/>
      <c r="H54" s="9"/>
      <c r="I54" s="9"/>
      <c r="J54" s="9"/>
      <c r="K54" s="9"/>
    </row>
    <row r="56" spans="3:11" x14ac:dyDescent="0.2">
      <c r="C56" s="5" t="s">
        <v>90</v>
      </c>
    </row>
    <row r="57" spans="3:11" x14ac:dyDescent="0.2">
      <c r="C57" s="2" t="s">
        <v>89</v>
      </c>
    </row>
    <row r="59" spans="3:11" x14ac:dyDescent="0.2">
      <c r="C59" s="5" t="s">
        <v>88</v>
      </c>
    </row>
    <row r="60" spans="3:11" x14ac:dyDescent="0.2">
      <c r="C60" s="2" t="s">
        <v>87</v>
      </c>
    </row>
    <row r="61" spans="3:11" x14ac:dyDescent="0.2">
      <c r="C61" s="2" t="s">
        <v>86</v>
      </c>
    </row>
    <row r="62" spans="3:11" x14ac:dyDescent="0.2">
      <c r="C62" s="2" t="s">
        <v>85</v>
      </c>
    </row>
    <row r="64" spans="3:11" x14ac:dyDescent="0.2">
      <c r="C64" s="2" t="s">
        <v>84</v>
      </c>
    </row>
    <row r="65" spans="3:3" x14ac:dyDescent="0.2">
      <c r="C65" s="2" t="s">
        <v>83</v>
      </c>
    </row>
    <row r="66" spans="3:3" x14ac:dyDescent="0.2">
      <c r="C66" s="2" t="s">
        <v>82</v>
      </c>
    </row>
    <row r="67" spans="3:3" x14ac:dyDescent="0.2">
      <c r="C67" s="2" t="s">
        <v>81</v>
      </c>
    </row>
    <row r="68" spans="3:3" x14ac:dyDescent="0.2">
      <c r="C68"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baseColWidth="10"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79</v>
      </c>
    </row>
    <row r="2" spans="1:4" x14ac:dyDescent="0.2">
      <c r="B2" s="2" t="s">
        <v>78</v>
      </c>
      <c r="C2" s="2" t="s">
        <v>77</v>
      </c>
    </row>
    <row r="3" spans="1:4" x14ac:dyDescent="0.2">
      <c r="B3" s="2" t="s">
        <v>76</v>
      </c>
      <c r="C3" s="2" t="s">
        <v>75</v>
      </c>
    </row>
    <row r="4" spans="1:4" x14ac:dyDescent="0.2">
      <c r="B4" s="2" t="s">
        <v>48</v>
      </c>
      <c r="C4" s="2" t="s">
        <v>74</v>
      </c>
    </row>
    <row r="5" spans="1:4" x14ac:dyDescent="0.2">
      <c r="C5" s="2" t="s">
        <v>73</v>
      </c>
    </row>
    <row r="6" spans="1:4" x14ac:dyDescent="0.2">
      <c r="B6" s="2" t="s">
        <v>44</v>
      </c>
      <c r="C6" s="2" t="s">
        <v>72</v>
      </c>
    </row>
    <row r="7" spans="1:4" x14ac:dyDescent="0.2">
      <c r="C7" s="2" t="s">
        <v>71</v>
      </c>
    </row>
    <row r="8" spans="1:4" x14ac:dyDescent="0.2">
      <c r="C8" s="2" t="s">
        <v>70</v>
      </c>
    </row>
    <row r="9" spans="1:4" x14ac:dyDescent="0.2">
      <c r="C9" s="2" t="s">
        <v>69</v>
      </c>
    </row>
    <row r="10" spans="1:4" x14ac:dyDescent="0.2">
      <c r="C10" s="2" t="s">
        <v>68</v>
      </c>
    </row>
    <row r="11" spans="1:4" x14ac:dyDescent="0.2">
      <c r="C11" s="2" t="s">
        <v>67</v>
      </c>
    </row>
    <row r="12" spans="1:4" x14ac:dyDescent="0.2">
      <c r="B12" s="2" t="s">
        <v>66</v>
      </c>
    </row>
    <row r="13" spans="1:4" x14ac:dyDescent="0.2">
      <c r="C13" s="7" t="s">
        <v>65</v>
      </c>
    </row>
    <row r="14" spans="1:4" x14ac:dyDescent="0.2">
      <c r="C14" s="2" t="s">
        <v>64</v>
      </c>
    </row>
    <row r="15" spans="1:4" x14ac:dyDescent="0.2">
      <c r="D15" s="2" t="s">
        <v>63</v>
      </c>
    </row>
    <row r="16" spans="1:4" x14ac:dyDescent="0.2">
      <c r="C16" s="2" t="s">
        <v>62</v>
      </c>
    </row>
    <row r="17" spans="3:6" x14ac:dyDescent="0.2">
      <c r="D17" s="2" t="s">
        <v>61</v>
      </c>
    </row>
    <row r="18" spans="3:6" x14ac:dyDescent="0.2">
      <c r="C18" s="2" t="s">
        <v>60</v>
      </c>
    </row>
    <row r="19" spans="3:6" x14ac:dyDescent="0.2">
      <c r="D19" s="6" t="s">
        <v>59</v>
      </c>
    </row>
    <row r="21" spans="3:6" x14ac:dyDescent="0.2">
      <c r="C21" s="5" t="s">
        <v>58</v>
      </c>
    </row>
    <row r="22" spans="3:6" x14ac:dyDescent="0.2">
      <c r="C22" s="2" t="s">
        <v>57</v>
      </c>
      <c r="D22" s="3"/>
    </row>
    <row r="23" spans="3:6" x14ac:dyDescent="0.2">
      <c r="D23" s="2" t="s">
        <v>56</v>
      </c>
      <c r="E23" s="2" t="s">
        <v>55</v>
      </c>
      <c r="F23" s="2" t="s">
        <v>54</v>
      </c>
    </row>
    <row r="24" spans="3:6" x14ac:dyDescent="0.2">
      <c r="C24" s="4" t="s">
        <v>53</v>
      </c>
      <c r="D24" s="3">
        <v>1.23</v>
      </c>
      <c r="E24" s="2">
        <v>0.35</v>
      </c>
      <c r="F24" s="2">
        <v>0.34</v>
      </c>
    </row>
    <row r="26" spans="3:6" x14ac:dyDescent="0.2">
      <c r="C26" s="2" t="s">
        <v>52</v>
      </c>
    </row>
    <row r="27" spans="3:6" x14ac:dyDescent="0.2">
      <c r="C27" s="2" t="s">
        <v>51</v>
      </c>
    </row>
    <row r="28" spans="3:6" x14ac:dyDescent="0.2">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Main</vt:lpstr>
      <vt:lpstr>Model</vt:lpstr>
      <vt:lpstr>Literature</vt:lpstr>
      <vt:lpstr>Catalysts</vt:lpstr>
      <vt:lpstr>LINKER-MM1</vt:lpstr>
      <vt:lpstr>Linvoseltamab</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Norbert Malburg</cp:lastModifiedBy>
  <dcterms:created xsi:type="dcterms:W3CDTF">2022-08-09T05:58:03Z</dcterms:created>
  <dcterms:modified xsi:type="dcterms:W3CDTF">2024-08-07T09:22:37Z</dcterms:modified>
</cp:coreProperties>
</file>