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Malburg\Desktop\LXRX - Lexicon Pharmaceuticals Inc\"/>
    </mc:Choice>
  </mc:AlternateContent>
  <xr:revisionPtr revIDLastSave="0" documentId="13_ncr:1_{646EEB76-4A7D-40D7-825F-C63236A1A2A6}" xr6:coauthVersionLast="47" xr6:coauthVersionMax="47" xr10:uidLastSave="{00000000-0000-0000-0000-000000000000}"/>
  <bookViews>
    <workbookView xWindow="1110" yWindow="390" windowWidth="22875" windowHeight="14970" xr2:uid="{9E948B05-6B2E-4361-950E-7AA546655F08}"/>
  </bookViews>
  <sheets>
    <sheet name="Main" sheetId="1" r:id="rId1"/>
    <sheet name="Model" sheetId="2" r:id="rId2"/>
    <sheet name="LX9211" sheetId="3" r:id="rId3"/>
    <sheet name="Sotagliflozin" sheetId="6" r:id="rId4"/>
    <sheet name="Inpefa" sheetId="4" r:id="rId5"/>
    <sheet name="Literature"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9" i="2" l="1"/>
  <c r="P19" i="2"/>
  <c r="N19" i="2"/>
  <c r="M19" i="2"/>
  <c r="L19" i="2"/>
  <c r="K19" i="2"/>
  <c r="J19" i="2"/>
  <c r="I19" i="2"/>
  <c r="H19" i="2"/>
  <c r="G19" i="2"/>
  <c r="F19" i="2"/>
  <c r="E19" i="2"/>
  <c r="Q19" i="2"/>
  <c r="M7" i="1"/>
  <c r="M8" i="1"/>
  <c r="M5" i="1"/>
  <c r="M6" i="1" s="1"/>
  <c r="M9" i="1" s="1"/>
  <c r="N22" i="2"/>
  <c r="I22" i="2"/>
  <c r="K21" i="2"/>
  <c r="G21" i="2"/>
  <c r="V17" i="2"/>
  <c r="W17" i="2"/>
  <c r="X17" i="2"/>
  <c r="X14" i="2"/>
  <c r="X13" i="2"/>
  <c r="X10" i="2"/>
  <c r="X9" i="2"/>
  <c r="X7" i="2"/>
  <c r="X5" i="2"/>
  <c r="X4" i="2"/>
  <c r="U17" i="2"/>
  <c r="V13" i="2"/>
  <c r="V7" i="2"/>
  <c r="U7" i="2"/>
  <c r="U4" i="2"/>
  <c r="V4" i="2"/>
  <c r="F11" i="2"/>
  <c r="F6" i="2"/>
  <c r="F8" i="2" s="1"/>
  <c r="G14" i="2"/>
  <c r="U14" i="2" s="1"/>
  <c r="G13" i="2"/>
  <c r="U13" i="2" s="1"/>
  <c r="G10" i="2"/>
  <c r="U10" i="2" s="1"/>
  <c r="G9" i="2"/>
  <c r="U9" i="2" s="1"/>
  <c r="G5" i="2"/>
  <c r="G6" i="2" s="1"/>
  <c r="K14" i="2"/>
  <c r="V14" i="2" s="1"/>
  <c r="K13" i="2"/>
  <c r="K10" i="2"/>
  <c r="V10" i="2" s="1"/>
  <c r="K9" i="2"/>
  <c r="V9" i="2" s="1"/>
  <c r="K5" i="2"/>
  <c r="K6" i="2" s="1"/>
  <c r="K8" i="2" s="1"/>
  <c r="E11" i="2"/>
  <c r="E6" i="2"/>
  <c r="E8" i="2" s="1"/>
  <c r="I11" i="2"/>
  <c r="I6" i="2"/>
  <c r="I21" i="2" s="1"/>
  <c r="D11" i="2"/>
  <c r="D6" i="2"/>
  <c r="D12" i="2" s="1"/>
  <c r="D15" i="2" s="1"/>
  <c r="D16" i="2" s="1"/>
  <c r="H11" i="2"/>
  <c r="H6" i="2"/>
  <c r="H22" i="2" s="1"/>
  <c r="O14" i="2"/>
  <c r="W14" i="2" s="1"/>
  <c r="O13" i="2"/>
  <c r="W13" i="2" s="1"/>
  <c r="O10" i="2"/>
  <c r="W10" i="2" s="1"/>
  <c r="O9" i="2"/>
  <c r="W9" i="2" s="1"/>
  <c r="O7" i="2"/>
  <c r="W7" i="2" s="1"/>
  <c r="O5" i="2"/>
  <c r="W5" i="2" s="1"/>
  <c r="O4" i="2"/>
  <c r="W4" i="2" s="1"/>
  <c r="J11" i="2"/>
  <c r="J6" i="2"/>
  <c r="J22" i="2" s="1"/>
  <c r="N11" i="2"/>
  <c r="N6" i="2"/>
  <c r="N21" i="2" s="1"/>
  <c r="L11" i="2"/>
  <c r="L6" i="2"/>
  <c r="L22" i="2" s="1"/>
  <c r="P11" i="2"/>
  <c r="P6" i="2"/>
  <c r="P22" i="2" s="1"/>
  <c r="M11" i="2"/>
  <c r="M6" i="2"/>
  <c r="M21" i="2" s="1"/>
  <c r="Q11" i="2"/>
  <c r="Q6" i="2"/>
  <c r="Q21" i="2" s="1"/>
  <c r="K20" i="2" l="1"/>
  <c r="V5" i="2"/>
  <c r="X11" i="2"/>
  <c r="Q20" i="2"/>
  <c r="Q22" i="2"/>
  <c r="G22" i="2"/>
  <c r="V11" i="2"/>
  <c r="J20" i="2"/>
  <c r="N20" i="2"/>
  <c r="F21" i="2"/>
  <c r="J21" i="2"/>
  <c r="E22" i="2"/>
  <c r="M22" i="2"/>
  <c r="F22" i="2"/>
  <c r="H8" i="2"/>
  <c r="V8" i="2" s="1"/>
  <c r="H20" i="2"/>
  <c r="L20" i="2"/>
  <c r="P20" i="2"/>
  <c r="U6" i="2"/>
  <c r="X6" i="2"/>
  <c r="D21" i="2"/>
  <c r="H21" i="2"/>
  <c r="L21" i="2"/>
  <c r="P21" i="2"/>
  <c r="K22" i="2"/>
  <c r="O6" i="2"/>
  <c r="W6" i="2" s="1"/>
  <c r="W20" i="2" s="1"/>
  <c r="H12" i="2"/>
  <c r="K11" i="2"/>
  <c r="I20" i="2"/>
  <c r="M20" i="2"/>
  <c r="U5" i="2"/>
  <c r="V6" i="2"/>
  <c r="E21" i="2"/>
  <c r="D22" i="2"/>
  <c r="F12" i="2"/>
  <c r="F15" i="2" s="1"/>
  <c r="F16" i="2" s="1"/>
  <c r="U16" i="2" s="1"/>
  <c r="E12" i="2"/>
  <c r="E15" i="2" s="1"/>
  <c r="E16" i="2" s="1"/>
  <c r="G11" i="2"/>
  <c r="G12" i="2" s="1"/>
  <c r="G15" i="2" s="1"/>
  <c r="G16" i="2" s="1"/>
  <c r="G8" i="2"/>
  <c r="K12" i="2"/>
  <c r="K15" i="2" s="1"/>
  <c r="K16" i="2" s="1"/>
  <c r="I12" i="2"/>
  <c r="I15" i="2" s="1"/>
  <c r="I16" i="2" s="1"/>
  <c r="I8" i="2"/>
  <c r="D8" i="2"/>
  <c r="U8" i="2" s="1"/>
  <c r="O11" i="2"/>
  <c r="O12" i="2" s="1"/>
  <c r="O15" i="2" s="1"/>
  <c r="O16" i="2" s="1"/>
  <c r="J12" i="2"/>
  <c r="J15" i="2" s="1"/>
  <c r="J16" i="2" s="1"/>
  <c r="J8" i="2"/>
  <c r="N12" i="2"/>
  <c r="N15" i="2" s="1"/>
  <c r="N16" i="2" s="1"/>
  <c r="Q12" i="2"/>
  <c r="Q15" i="2" s="1"/>
  <c r="Q16" i="2" s="1"/>
  <c r="P12" i="2"/>
  <c r="N8" i="2"/>
  <c r="L12" i="2"/>
  <c r="L8" i="2"/>
  <c r="Q8" i="2"/>
  <c r="P8" i="2"/>
  <c r="X8" i="2" s="1"/>
  <c r="M12" i="2"/>
  <c r="M15" i="2" s="1"/>
  <c r="M16" i="2" s="1"/>
  <c r="M8" i="2"/>
  <c r="V20" i="2" l="1"/>
  <c r="X20" i="2"/>
  <c r="L15" i="2"/>
  <c r="W12" i="2"/>
  <c r="H15" i="2"/>
  <c r="V12" i="2"/>
  <c r="O22" i="2"/>
  <c r="O21" i="2"/>
  <c r="O20" i="2"/>
  <c r="P15" i="2"/>
  <c r="X12" i="2"/>
  <c r="U15" i="2"/>
  <c r="W11" i="2"/>
  <c r="O8" i="2"/>
  <c r="W8" i="2" s="1"/>
  <c r="U12" i="2"/>
  <c r="U11" i="2"/>
  <c r="H16" i="2" l="1"/>
  <c r="V16" i="2" s="1"/>
  <c r="V15" i="2"/>
  <c r="L16" i="2"/>
  <c r="W16" i="2" s="1"/>
  <c r="W15" i="2"/>
  <c r="P16" i="2"/>
  <c r="X16" i="2" s="1"/>
  <c r="X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tc={3B3A586C-491A-4A6F-89E2-5B51E3325837}</author>
  </authors>
  <commentList>
    <comment ref="M4" authorId="0" shapeId="0" xr:uid="{3B3A586C-491A-4A6F-89E2-5B51E332583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Launch of Inpefa</t>
      </text>
    </comment>
  </commentList>
</comments>
</file>

<file path=xl/sharedStrings.xml><?xml version="1.0" encoding="utf-8"?>
<sst xmlns="http://schemas.openxmlformats.org/spreadsheetml/2006/main" count="136" uniqueCount="115">
  <si>
    <t>Universe</t>
  </si>
  <si>
    <t>Name</t>
  </si>
  <si>
    <t>Brand</t>
  </si>
  <si>
    <t xml:space="preserve">Indication </t>
  </si>
  <si>
    <t xml:space="preserve">Approved </t>
  </si>
  <si>
    <t>Phase</t>
  </si>
  <si>
    <t>Economics</t>
  </si>
  <si>
    <t>MOA</t>
  </si>
  <si>
    <t>IP</t>
  </si>
  <si>
    <t>Inpefa</t>
  </si>
  <si>
    <t>SGLT2/SGLT1</t>
  </si>
  <si>
    <t>HF</t>
  </si>
  <si>
    <t>LX9211</t>
  </si>
  <si>
    <t>DPNP</t>
  </si>
  <si>
    <t>II</t>
  </si>
  <si>
    <t>Bristol-Myers Squibb</t>
  </si>
  <si>
    <t>AAK1</t>
  </si>
  <si>
    <t xml:space="preserve">Sotagliflozin </t>
  </si>
  <si>
    <t>T1D</t>
  </si>
  <si>
    <t>III</t>
  </si>
  <si>
    <t>HCM</t>
  </si>
  <si>
    <t>PC</t>
  </si>
  <si>
    <t>Obesity</t>
  </si>
  <si>
    <t>Main</t>
  </si>
  <si>
    <t>Generic</t>
  </si>
  <si>
    <t>Clinical Trials</t>
  </si>
  <si>
    <t xml:space="preserve">sotagliflozin </t>
  </si>
  <si>
    <t>Indication</t>
  </si>
  <si>
    <t xml:space="preserve">Heart Failure </t>
  </si>
  <si>
    <t xml:space="preserve">Clinical Trials </t>
  </si>
  <si>
    <t>N216203</t>
  </si>
  <si>
    <t>Revenue</t>
  </si>
  <si>
    <t>Expires on 05/26/2028</t>
  </si>
  <si>
    <t xml:space="preserve">Printed </t>
  </si>
  <si>
    <t>Read</t>
  </si>
  <si>
    <t>Importance</t>
  </si>
  <si>
    <t>Index</t>
  </si>
  <si>
    <t xml:space="preserve">Search term </t>
  </si>
  <si>
    <t>"AAK1"</t>
  </si>
  <si>
    <t>Phosphorylation of the AP2 mu subunit by AAK1 mediates high affinity binding to membrane protein sorting signals.</t>
  </si>
  <si>
    <t>Ricotta D, Conner SD, Schmid SL, von Figura K, Honing S.</t>
  </si>
  <si>
    <t>(first paper published on this topic)</t>
  </si>
  <si>
    <t>"AAK1 Pain"</t>
  </si>
  <si>
    <t>Discovery of pyrrolo[2,1-f][1,2,4]triazine-based inhibitors of adaptor protein 2-associated kinase 1 for the treatment of pain.</t>
  </si>
  <si>
    <t>Good A, Parker DD, Muckelbauer JK, Khan J, Camac D, Ghosh K, Halan V, Lippy JS, Santone KS, Denton RR, Westphal R, Bristow LJ, Conway CM, Bronson JJ, Macor JE.</t>
  </si>
  <si>
    <t>Dzierba CD, Dasgupta B, Karageorge G, Kostich W, Hamman B, Allen J, Esposito KM, Padmanabha R, Grace J, Lentz K, Morrison J, Morgan D, Easton A, Bourin C, Browning MR, Rajamani R</t>
  </si>
  <si>
    <t>Discovery of (S)-1-((2',6-Bis(difluoromethyl)-[2,4'-bipyridin]-5-yl)oxy)-2,4-dimethylpentan-2-amine (BMS-986176/LX-9211): A Highly Selective, CNS Penetrable, and Orally Active Adaptor Protein-2 Associated Kinase 1 Inhibitor in Clinical Trials for the Treatment of Neuropathic Pain.</t>
  </si>
  <si>
    <t>Luo G, Chen L, Kostich WA, Hamman B, Allen J, Easton A, Bourin C, Gulianello M, Lippy J, Nara S, Maishal TK, Thiyagarajan K, Jalagam P, Pattipati SN, Dandapani K, Dokania M, Vattikundala P, Sharma V,</t>
  </si>
  <si>
    <t xml:space="preserve">Elavazhagan S, Verma MK, Das ML, Wagh S, Balakrishnan A, Johnson BM, Santone KS, Thalody G, Denton R, Saminathan H, Holenarsipur VK, Kumar A, Rao A, Putlur SP, Sarvasiddhi SK, Shankar G, Louis JV, </t>
  </si>
  <si>
    <t>Bronson JJ, Macor JE, Dzierba CD.</t>
  </si>
  <si>
    <t xml:space="preserve">Ramarao M, Conway CM, Li YW, Pieschl R, Tian Y, Hong Y, Ditta J, Mathur A, Li J, Smith D, Pawluczyk J, Sun D, Yip S, Wu DR, Vetrichelvan M, Gupta A, Wilson A, Gopinathan S, Wason S, Bristow L, Albright CF, </t>
  </si>
  <si>
    <t>Inhibitors of Adaptor-Associated Kinase 1 (AAK1) May Treat Neuropathic Pain, Schizophrenia, Parkinson's Disease, and Other Disorders.</t>
  </si>
  <si>
    <t>Abdel-Magid AF.</t>
  </si>
  <si>
    <t>Inhibition of AAK1 Kinase as a Novel Therapeutic Approach to Treat Neuropathic Pain.</t>
  </si>
  <si>
    <t>Kostich W, Hamman BD, Li YW, Naidu S, Dandapani K, Feng J, Easton A, Bourin C, Baker K, Allen J, Savelieva K, Louis JV, Dokania M, Elavazhagan S, Vattikundala P, Sharma V, Das ML, Shankar G, </t>
  </si>
  <si>
    <t>An overview of the safety and efficacy of LX-9211 in treating neuropathic pain conditions.</t>
  </si>
  <si>
    <t>Upshaw WC, Richey JM, Ravi G, Chen A, Ahmadzadeh S, Shekoohi S, Viswanath O, Kaye AD.</t>
  </si>
  <si>
    <t>Recent progress in discovery of novel AAK1 inhibitors: from pain therapy to potential anti-viral agents.</t>
  </si>
  <si>
    <t>Yuan YH, Mao ND, Duan JL, Zhang H, Garrido C, Lirussi F, Gao Y, Xie T, Ye XY.</t>
  </si>
  <si>
    <t>Diabetic Peripheral Neuropathic Pain </t>
  </si>
  <si>
    <t>"Diabetic Peripheral Neuropathic Pain"</t>
  </si>
  <si>
    <t>Global hotspots and trends in diabetic peripheral neuropathy research from 2011 to 2023.</t>
  </si>
  <si>
    <t>Tang F, Zhao F, Jiang Y, Zhang T, Wang B.</t>
  </si>
  <si>
    <t>Development of a novel AAK1 inhibitor via Kinobeads-based screening.</t>
  </si>
  <si>
    <t>Yoshida A, Ohtsuka S, Matsumoto F, Miyagawa T, Okino R, Ikeda Y, Tada N, Gotoh A, Magari M, Hatano N, Morishita R, Satoh A, Sunatsuki Y, Nilsson UJ, Ishikawa T, Tokumitsu H.</t>
  </si>
  <si>
    <t>Efficacy and Safety of LX9211 for Relief of Diabetic Peripheral Neuropathic Pain (RELIEF-DPN 1): Results of a Double-Blind, Randomized, Placebo-Controlled, Proof-of-Concept Study.</t>
  </si>
  <si>
    <t>Pop-Busui R, Patel A, Sang CN, Banks PL, Pierce PF, Sun F, Granowitz C, Gopinathan S.</t>
  </si>
  <si>
    <t>Q224</t>
  </si>
  <si>
    <t>in thousands</t>
  </si>
  <si>
    <t>Product Revenue</t>
  </si>
  <si>
    <t>Royalties and other</t>
  </si>
  <si>
    <t>COGS</t>
  </si>
  <si>
    <t>Gross Profit</t>
  </si>
  <si>
    <t>R&amp;D</t>
  </si>
  <si>
    <t>SG&amp;A</t>
  </si>
  <si>
    <t>OpEx</t>
  </si>
  <si>
    <t>OpInc</t>
  </si>
  <si>
    <t>Interest and other expense</t>
  </si>
  <si>
    <t xml:space="preserve">Interest income and other </t>
  </si>
  <si>
    <t>Net Loss</t>
  </si>
  <si>
    <t>EPS</t>
  </si>
  <si>
    <t>Shares</t>
  </si>
  <si>
    <t>Q223</t>
  </si>
  <si>
    <t>Rev q/q</t>
  </si>
  <si>
    <t>Q123</t>
  </si>
  <si>
    <t>Q124</t>
  </si>
  <si>
    <t>Q323</t>
  </si>
  <si>
    <t>Q423</t>
  </si>
  <si>
    <t>Q422</t>
  </si>
  <si>
    <t>Q322</t>
  </si>
  <si>
    <t>Q222</t>
  </si>
  <si>
    <t>Q122</t>
  </si>
  <si>
    <t>Q421</t>
  </si>
  <si>
    <t>Q321</t>
  </si>
  <si>
    <t>Q221</t>
  </si>
  <si>
    <t>Q121</t>
  </si>
  <si>
    <t>F2021</t>
  </si>
  <si>
    <t>F2022</t>
  </si>
  <si>
    <t>F2024</t>
  </si>
  <si>
    <t>Q324</t>
  </si>
  <si>
    <t>Q424</t>
  </si>
  <si>
    <t>F2023</t>
  </si>
  <si>
    <t>Product%Rev</t>
  </si>
  <si>
    <t>Royalties%Rev</t>
  </si>
  <si>
    <t>Rev y/y</t>
  </si>
  <si>
    <t>Price</t>
  </si>
  <si>
    <t>MC</t>
  </si>
  <si>
    <t>Debt</t>
  </si>
  <si>
    <t xml:space="preserve">Cash </t>
  </si>
  <si>
    <t>EV</t>
  </si>
  <si>
    <t>CEO</t>
  </si>
  <si>
    <t xml:space="preserve">Brand </t>
  </si>
  <si>
    <t>in thousands except "Price"</t>
  </si>
  <si>
    <t>×</t>
  </si>
  <si>
    <t>Zynquista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</si>
</sst>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u/>
      <sz val="11"/>
      <color theme="10"/>
      <name val="Aptos Narrow"/>
      <family val="2"/>
      <scheme val="minor"/>
    </font>
    <font>
      <sz val="12"/>
      <color rgb="FF212121"/>
      <name val="Segoe UI"/>
      <family val="2"/>
    </font>
    <font>
      <sz val="11"/>
      <color rgb="FF212121"/>
      <name val="Segoe UI"/>
      <family val="2"/>
    </font>
    <font>
      <u/>
      <sz val="11"/>
      <color theme="10"/>
      <name val="Times New Roman"/>
      <family val="1"/>
    </font>
    <font>
      <sz val="11"/>
      <color theme="1"/>
      <name val="Times New Roman"/>
      <family val="1"/>
    </font>
    <font>
      <b/>
      <sz val="11"/>
      <color theme="3" tint="0.249977111117893"/>
      <name val="Times New Roman"/>
      <family val="1"/>
    </font>
    <font>
      <sz val="11"/>
      <color theme="3" tint="0.249977111117893"/>
      <name val="Times New Roman"/>
      <family val="1"/>
    </font>
    <font>
      <i/>
      <sz val="11"/>
      <color theme="3" tint="0.249977111117893"/>
      <name val="Times New Roman"/>
      <family val="1"/>
    </font>
    <font>
      <sz val="9"/>
      <color indexed="81"/>
      <name val="Segoe UI"/>
      <family val="2"/>
    </font>
    <font>
      <b/>
      <sz val="11"/>
      <color theme="1"/>
      <name val="Aptos Black"/>
      <family val="2"/>
    </font>
  </fonts>
  <fills count="3">
    <fill>
      <patternFill patternType="none"/>
    </fill>
    <fill>
      <patternFill patternType="gray125"/>
    </fill>
    <fill>
      <patternFill patternType="solid">
        <fgColor theme="0" tint="-0.249977111117893"/>
        <bgColor indexed="64"/>
      </patternFill>
    </fill>
  </fills>
  <borders count="14">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39">
    <xf numFmtId="0" fontId="0" fillId="0" borderId="0" xfId="0"/>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14" fontId="0" fillId="0" borderId="0" xfId="0" applyNumberFormat="1" applyBorder="1" applyAlignment="1">
      <alignment horizontal="center"/>
    </xf>
    <xf numFmtId="0" fontId="4" fillId="0" borderId="0" xfId="2"/>
    <xf numFmtId="0" fontId="0" fillId="0" borderId="11" xfId="0" applyBorder="1" applyAlignment="1">
      <alignment horizontal="center"/>
    </xf>
    <xf numFmtId="0" fontId="0" fillId="0" borderId="0" xfId="0" applyFill="1" applyBorder="1" applyAlignment="1">
      <alignment horizontal="left"/>
    </xf>
    <xf numFmtId="0" fontId="0" fillId="2" borderId="0" xfId="0" applyFill="1" applyAlignment="1">
      <alignment horizontal="center"/>
    </xf>
    <xf numFmtId="0" fontId="5" fillId="0" borderId="0" xfId="0" applyFont="1"/>
    <xf numFmtId="0" fontId="4" fillId="0" borderId="0" xfId="2"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3" fontId="7" fillId="0" borderId="0" xfId="2" applyNumberFormat="1" applyFont="1"/>
    <xf numFmtId="3" fontId="8" fillId="0" borderId="0" xfId="0" applyNumberFormat="1" applyFont="1"/>
    <xf numFmtId="3" fontId="9" fillId="0" borderId="0" xfId="0" applyNumberFormat="1" applyFont="1"/>
    <xf numFmtId="3" fontId="10" fillId="0" borderId="0" xfId="0" applyNumberFormat="1" applyFont="1"/>
    <xf numFmtId="4" fontId="10" fillId="0" borderId="0" xfId="0" applyNumberFormat="1" applyFont="1"/>
    <xf numFmtId="9" fontId="11" fillId="0" borderId="0" xfId="1" applyFont="1"/>
    <xf numFmtId="3" fontId="11" fillId="0" borderId="0" xfId="0" applyNumberFormat="1" applyFont="1"/>
    <xf numFmtId="0" fontId="0" fillId="0" borderId="7" xfId="0" applyBorder="1"/>
    <xf numFmtId="0" fontId="0" fillId="0" borderId="8" xfId="0" applyBorder="1"/>
    <xf numFmtId="0" fontId="0" fillId="0" borderId="9" xfId="0" applyBorder="1"/>
    <xf numFmtId="0" fontId="0" fillId="0" borderId="1" xfId="0" applyBorder="1"/>
    <xf numFmtId="3" fontId="0" fillId="0" borderId="10" xfId="0" applyNumberFormat="1" applyBorder="1"/>
    <xf numFmtId="3" fontId="0" fillId="0" borderId="3" xfId="0" applyNumberFormat="1" applyBorder="1"/>
    <xf numFmtId="0" fontId="13" fillId="0" borderId="0" xfId="0" applyFont="1" applyAlignment="1">
      <alignment horizontal="center"/>
    </xf>
    <xf numFmtId="0" fontId="3" fillId="0" borderId="0" xfId="0" applyFont="1" applyAlignment="1">
      <alignment horizontal="center"/>
    </xf>
    <xf numFmtId="0" fontId="0" fillId="2" borderId="0" xfId="0" applyFont="1" applyFill="1" applyAlignment="1">
      <alignment horizontal="center"/>
    </xf>
    <xf numFmtId="0" fontId="2" fillId="0" borderId="0" xfId="0" applyFont="1"/>
    <xf numFmtId="0" fontId="0" fillId="0" borderId="12" xfId="0" applyBorder="1"/>
    <xf numFmtId="0" fontId="0" fillId="0" borderId="13" xfId="0" applyBorder="1"/>
  </cellXfs>
  <cellStyles count="3">
    <cellStyle name="Link" xfId="2" builtinId="8"/>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17</xdr:col>
      <xdr:colOff>25400</xdr:colOff>
      <xdr:row>2</xdr:row>
      <xdr:rowOff>95250</xdr:rowOff>
    </xdr:from>
    <xdr:to>
      <xdr:col>17</xdr:col>
      <xdr:colOff>25400</xdr:colOff>
      <xdr:row>21</xdr:row>
      <xdr:rowOff>177800</xdr:rowOff>
    </xdr:to>
    <xdr:cxnSp macro="">
      <xdr:nvCxnSpPr>
        <xdr:cNvPr id="3" name="Gerader Verbinder 2">
          <a:extLst>
            <a:ext uri="{FF2B5EF4-FFF2-40B4-BE49-F238E27FC236}">
              <a16:creationId xmlns:a16="http://schemas.microsoft.com/office/drawing/2014/main" id="{F9CAB812-355F-7A8D-176B-4753631605E2}"/>
            </a:ext>
          </a:extLst>
        </xdr:cNvPr>
        <xdr:cNvCxnSpPr/>
      </xdr:nvCxnSpPr>
      <xdr:spPr>
        <a:xfrm>
          <a:off x="6534150" y="476250"/>
          <a:ext cx="0" cy="35052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24</xdr:col>
      <xdr:colOff>38100</xdr:colOff>
      <xdr:row>2</xdr:row>
      <xdr:rowOff>66675</xdr:rowOff>
    </xdr:from>
    <xdr:to>
      <xdr:col>24</xdr:col>
      <xdr:colOff>38100</xdr:colOff>
      <xdr:row>21</xdr:row>
      <xdr:rowOff>149225</xdr:rowOff>
    </xdr:to>
    <xdr:cxnSp macro="">
      <xdr:nvCxnSpPr>
        <xdr:cNvPr id="4" name="Gerader Verbinder 3">
          <a:extLst>
            <a:ext uri="{FF2B5EF4-FFF2-40B4-BE49-F238E27FC236}">
              <a16:creationId xmlns:a16="http://schemas.microsoft.com/office/drawing/2014/main" id="{4FE39A3A-D59E-4451-86FE-BE9FF4A2EBDE}"/>
            </a:ext>
          </a:extLst>
        </xdr:cNvPr>
        <xdr:cNvCxnSpPr/>
      </xdr:nvCxnSpPr>
      <xdr:spPr>
        <a:xfrm>
          <a:off x="19497675" y="447675"/>
          <a:ext cx="0" cy="3692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Norbert Malburg" id="{A394AFC6-AFCE-44D1-B20F-AACF1F125CE4}" userId="S::malburg@sms-cie.de::ed8233a0-bf81-43a8-8bb1-21c7a1649d27"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4" dT="2024-08-16T09:18:09.58" personId="{A394AFC6-AFCE-44D1-B20F-AACF1F125CE4}" id="{3B3A586C-491A-4A6F-89E2-5B51E3325837}">
    <text>Launch of Inpefa</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8" Type="http://schemas.openxmlformats.org/officeDocument/2006/relationships/hyperlink" Target="https://pubmed.ncbi.nlm.nih.gov/39121272/" TargetMode="External"/><Relationship Id="rId3" Type="http://schemas.openxmlformats.org/officeDocument/2006/relationships/hyperlink" Target="https://pubmed.ncbi.nlm.nih.gov/35257579/" TargetMode="External"/><Relationship Id="rId7" Type="http://schemas.openxmlformats.org/officeDocument/2006/relationships/hyperlink" Target="https://pubmed.ncbi.nlm.nih.gov/37955299/" TargetMode="External"/><Relationship Id="rId2" Type="http://schemas.openxmlformats.org/officeDocument/2006/relationships/hyperlink" Target="https://pubmed.ncbi.nlm.nih.gov/37362320/" TargetMode="External"/><Relationship Id="rId1" Type="http://schemas.openxmlformats.org/officeDocument/2006/relationships/hyperlink" Target="https://pubmed.ncbi.nlm.nih.gov/11877457/" TargetMode="External"/><Relationship Id="rId6" Type="http://schemas.openxmlformats.org/officeDocument/2006/relationships/hyperlink" Target="https://pubmed.ncbi.nlm.nih.gov/38973395/" TargetMode="External"/><Relationship Id="rId5" Type="http://schemas.openxmlformats.org/officeDocument/2006/relationships/hyperlink" Target="https://pubmed.ncbi.nlm.nih.gov/27411717/" TargetMode="External"/><Relationship Id="rId10" Type="http://schemas.openxmlformats.org/officeDocument/2006/relationships/hyperlink" Target="https://pubmed.ncbi.nlm.nih.gov/38895916/" TargetMode="External"/><Relationship Id="rId4" Type="http://schemas.openxmlformats.org/officeDocument/2006/relationships/hyperlink" Target="https://pubmed.ncbi.nlm.nih.gov/28626516/" TargetMode="External"/><Relationship Id="rId9" Type="http://schemas.openxmlformats.org/officeDocument/2006/relationships/hyperlink" Target="https://pubmed.ncbi.nlm.nih.gov/385091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61ED0-94E3-4758-B899-075DB14B2DE5}">
  <dimension ref="A1:N13"/>
  <sheetViews>
    <sheetView tabSelected="1" workbookViewId="0">
      <selection activeCell="L13" sqref="L13"/>
    </sheetView>
  </sheetViews>
  <sheetFormatPr baseColWidth="10" defaultRowHeight="15" x14ac:dyDescent="0.25"/>
  <cols>
    <col min="1" max="1" width="8.5703125" bestFit="1" customWidth="1"/>
    <col min="2" max="2" width="12.28515625" bestFit="1" customWidth="1"/>
    <col min="5" max="5" width="10.7109375" bestFit="1" customWidth="1"/>
    <col min="7" max="7" width="19.28515625" bestFit="1" customWidth="1"/>
  </cols>
  <sheetData>
    <row r="1" spans="1:14" x14ac:dyDescent="0.25">
      <c r="A1" t="s">
        <v>0</v>
      </c>
    </row>
    <row r="3" spans="1:14" ht="15.75" thickBot="1" x14ac:dyDescent="0.3">
      <c r="L3" t="s">
        <v>112</v>
      </c>
    </row>
    <row r="4" spans="1:14" ht="15.75" thickBot="1" x14ac:dyDescent="0.3">
      <c r="B4" s="5" t="s">
        <v>2</v>
      </c>
      <c r="C4" s="6" t="s">
        <v>3</v>
      </c>
      <c r="D4" s="6" t="s">
        <v>4</v>
      </c>
      <c r="E4" s="6" t="s">
        <v>6</v>
      </c>
      <c r="F4" s="6" t="s">
        <v>7</v>
      </c>
      <c r="G4" s="7" t="s">
        <v>8</v>
      </c>
      <c r="L4" s="27" t="s">
        <v>105</v>
      </c>
      <c r="M4" s="28">
        <v>1.64</v>
      </c>
    </row>
    <row r="5" spans="1:14" x14ac:dyDescent="0.25">
      <c r="B5" s="8" t="s">
        <v>9</v>
      </c>
      <c r="C5" s="9" t="s">
        <v>11</v>
      </c>
      <c r="D5" s="11">
        <v>45072</v>
      </c>
      <c r="E5" s="9"/>
      <c r="F5" s="9" t="s">
        <v>10</v>
      </c>
      <c r="G5" s="10" t="s">
        <v>30</v>
      </c>
      <c r="H5" s="14" t="s">
        <v>32</v>
      </c>
      <c r="L5" s="29" t="s">
        <v>81</v>
      </c>
      <c r="M5" s="31">
        <f>+Model!Q17</f>
        <v>310836</v>
      </c>
      <c r="N5" t="s">
        <v>67</v>
      </c>
    </row>
    <row r="6" spans="1:14" ht="15.75" thickBot="1" x14ac:dyDescent="0.3">
      <c r="B6" s="37" t="s">
        <v>114</v>
      </c>
      <c r="G6" s="38"/>
      <c r="L6" s="29" t="s">
        <v>106</v>
      </c>
      <c r="M6" s="31">
        <f>+M4*M5</f>
        <v>509771.04</v>
      </c>
    </row>
    <row r="7" spans="1:14" ht="15.75" thickBot="1" x14ac:dyDescent="0.3">
      <c r="B7" s="5"/>
      <c r="C7" s="6"/>
      <c r="D7" s="6" t="s">
        <v>5</v>
      </c>
      <c r="E7" s="6"/>
      <c r="F7" s="6"/>
      <c r="G7" s="7"/>
      <c r="L7" s="29" t="s">
        <v>107</v>
      </c>
      <c r="M7" s="31">
        <f>99499+12220+6001</f>
        <v>117720</v>
      </c>
      <c r="N7" t="s">
        <v>67</v>
      </c>
    </row>
    <row r="8" spans="1:14" x14ac:dyDescent="0.25">
      <c r="B8" s="8" t="s">
        <v>12</v>
      </c>
      <c r="C8" s="9" t="s">
        <v>13</v>
      </c>
      <c r="D8" s="9" t="s">
        <v>14</v>
      </c>
      <c r="E8" s="9"/>
      <c r="F8" s="9" t="s">
        <v>16</v>
      </c>
      <c r="G8" s="13" t="s">
        <v>15</v>
      </c>
      <c r="L8" s="29" t="s">
        <v>108</v>
      </c>
      <c r="M8" s="31">
        <f>35617+2620</f>
        <v>38237</v>
      </c>
      <c r="N8" t="s">
        <v>67</v>
      </c>
    </row>
    <row r="9" spans="1:14" x14ac:dyDescent="0.25">
      <c r="B9" s="8" t="s">
        <v>17</v>
      </c>
      <c r="C9" s="9" t="s">
        <v>18</v>
      </c>
      <c r="D9" s="9" t="s">
        <v>19</v>
      </c>
      <c r="E9" s="9"/>
      <c r="F9" s="9" t="s">
        <v>10</v>
      </c>
      <c r="G9" s="10"/>
      <c r="L9" s="30" t="s">
        <v>109</v>
      </c>
      <c r="M9" s="32">
        <f>+M6-M8+M7</f>
        <v>589254.04</v>
      </c>
    </row>
    <row r="10" spans="1:14" x14ac:dyDescent="0.25">
      <c r="B10" s="8" t="s">
        <v>17</v>
      </c>
      <c r="C10" s="9" t="s">
        <v>20</v>
      </c>
      <c r="D10" s="9" t="s">
        <v>14</v>
      </c>
      <c r="E10" s="9"/>
      <c r="F10" s="9" t="s">
        <v>10</v>
      </c>
      <c r="G10" s="10"/>
    </row>
    <row r="11" spans="1:14" x14ac:dyDescent="0.25">
      <c r="B11" s="2"/>
      <c r="C11" s="3" t="s">
        <v>22</v>
      </c>
      <c r="D11" s="3" t="s">
        <v>21</v>
      </c>
      <c r="E11" s="3"/>
      <c r="F11" s="3"/>
      <c r="G11" s="4"/>
    </row>
    <row r="12" spans="1:14" x14ac:dyDescent="0.25">
      <c r="B12" s="1"/>
      <c r="C12" s="1"/>
      <c r="D12" s="1"/>
      <c r="E12" s="1"/>
      <c r="F12" s="1"/>
      <c r="G12" s="1"/>
    </row>
    <row r="13" spans="1:14" x14ac:dyDescent="0.25">
      <c r="L13" t="s">
        <v>110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74895-3AE5-4D6C-BE12-BC8AF6BF877E}">
  <dimension ref="A1:X22"/>
  <sheetViews>
    <sheetView zoomScale="110" zoomScaleNormal="110" workbookViewId="0">
      <pane xSplit="2" ySplit="2" topLeftCell="C3" activePane="bottomRight" state="frozen"/>
      <selection pane="topRight" activeCell="C1" sqref="C1"/>
      <selection pane="bottomLeft" activeCell="A3" sqref="A3"/>
      <selection pane="bottomRight" activeCell="D23" sqref="D23"/>
    </sheetView>
  </sheetViews>
  <sheetFormatPr baseColWidth="10" defaultRowHeight="15" x14ac:dyDescent="0.25"/>
  <cols>
    <col min="1" max="1" width="5.42578125" style="21" bestFit="1" customWidth="1"/>
    <col min="2" max="2" width="23.5703125" style="21" bestFit="1" customWidth="1"/>
    <col min="3" max="16384" width="11.42578125" style="21"/>
  </cols>
  <sheetData>
    <row r="1" spans="1:24" x14ac:dyDescent="0.25">
      <c r="A1" s="20" t="s">
        <v>23</v>
      </c>
    </row>
    <row r="2" spans="1:24" x14ac:dyDescent="0.25">
      <c r="B2" s="21" t="s">
        <v>68</v>
      </c>
      <c r="D2" s="21" t="s">
        <v>95</v>
      </c>
      <c r="E2" s="21" t="s">
        <v>94</v>
      </c>
      <c r="F2" s="21" t="s">
        <v>93</v>
      </c>
      <c r="G2" s="21" t="s">
        <v>92</v>
      </c>
      <c r="H2" s="21" t="s">
        <v>91</v>
      </c>
      <c r="I2" s="21" t="s">
        <v>90</v>
      </c>
      <c r="J2" s="21" t="s">
        <v>89</v>
      </c>
      <c r="K2" s="21" t="s">
        <v>88</v>
      </c>
      <c r="L2" s="21" t="s">
        <v>84</v>
      </c>
      <c r="M2" s="21" t="s">
        <v>82</v>
      </c>
      <c r="N2" s="21" t="s">
        <v>86</v>
      </c>
      <c r="O2" s="21" t="s">
        <v>87</v>
      </c>
      <c r="P2" s="21" t="s">
        <v>85</v>
      </c>
      <c r="Q2" s="21" t="s">
        <v>67</v>
      </c>
      <c r="R2" s="21" t="s">
        <v>99</v>
      </c>
      <c r="S2" s="21" t="s">
        <v>100</v>
      </c>
      <c r="U2" s="21" t="s">
        <v>96</v>
      </c>
      <c r="V2" s="21" t="s">
        <v>97</v>
      </c>
      <c r="W2" s="21" t="s">
        <v>101</v>
      </c>
      <c r="X2" s="21" t="s">
        <v>98</v>
      </c>
    </row>
    <row r="4" spans="1:24" x14ac:dyDescent="0.25">
      <c r="B4" s="21" t="s">
        <v>69</v>
      </c>
      <c r="D4" s="21">
        <v>0</v>
      </c>
      <c r="E4" s="21">
        <v>0</v>
      </c>
      <c r="F4" s="21">
        <v>0</v>
      </c>
      <c r="G4" s="21">
        <v>0</v>
      </c>
      <c r="H4" s="21">
        <v>0</v>
      </c>
      <c r="I4" s="21">
        <v>0</v>
      </c>
      <c r="J4" s="21">
        <v>0</v>
      </c>
      <c r="K4" s="21">
        <v>0</v>
      </c>
      <c r="L4" s="21">
        <v>0</v>
      </c>
      <c r="M4" s="21">
        <v>291</v>
      </c>
      <c r="N4" s="21">
        <v>148</v>
      </c>
      <c r="O4" s="21">
        <f>1110-N4-M4-L4</f>
        <v>671</v>
      </c>
      <c r="P4" s="21">
        <v>1093</v>
      </c>
      <c r="Q4" s="21">
        <v>1617</v>
      </c>
      <c r="U4" s="21">
        <f>+SUM(D4:G4)</f>
        <v>0</v>
      </c>
      <c r="V4" s="21">
        <f>+SUM(H4:K4)</f>
        <v>0</v>
      </c>
      <c r="W4" s="21">
        <f>+SUM(L4:O4)</f>
        <v>1110</v>
      </c>
      <c r="X4" s="21">
        <f>+SUM(P4:S4)</f>
        <v>2710</v>
      </c>
    </row>
    <row r="5" spans="1:24" x14ac:dyDescent="0.25">
      <c r="B5" s="21" t="s">
        <v>70</v>
      </c>
      <c r="D5" s="21">
        <v>27</v>
      </c>
      <c r="E5" s="21">
        <v>234</v>
      </c>
      <c r="F5" s="21">
        <v>23</v>
      </c>
      <c r="G5" s="21">
        <f>298-F5-E5-D5</f>
        <v>14</v>
      </c>
      <c r="H5" s="21">
        <v>37</v>
      </c>
      <c r="I5" s="21">
        <v>35</v>
      </c>
      <c r="J5" s="21">
        <v>39</v>
      </c>
      <c r="K5" s="21">
        <f>139-J5-I5-H5</f>
        <v>28</v>
      </c>
      <c r="L5" s="21">
        <v>24</v>
      </c>
      <c r="M5" s="21">
        <v>26</v>
      </c>
      <c r="N5" s="21">
        <v>14</v>
      </c>
      <c r="O5" s="21">
        <f>94-N5-M5-L5</f>
        <v>30</v>
      </c>
      <c r="P5" s="21">
        <v>37</v>
      </c>
      <c r="Q5" s="21">
        <v>30</v>
      </c>
      <c r="U5" s="21">
        <f>+SUM(D5:G5)</f>
        <v>298</v>
      </c>
      <c r="V5" s="21">
        <f>+SUM(H5:K5)</f>
        <v>139</v>
      </c>
      <c r="W5" s="21">
        <f>+SUM(L5:O5)</f>
        <v>94</v>
      </c>
      <c r="X5" s="21">
        <f>+SUM(P5:S5)</f>
        <v>67</v>
      </c>
    </row>
    <row r="6" spans="1:24" s="22" customFormat="1" ht="14.25" x14ac:dyDescent="0.2">
      <c r="B6" s="22" t="s">
        <v>31</v>
      </c>
      <c r="D6" s="22">
        <f>+D5+D4</f>
        <v>27</v>
      </c>
      <c r="E6" s="22">
        <f>+E5+E4</f>
        <v>234</v>
      </c>
      <c r="F6" s="22">
        <f>+F5+F4</f>
        <v>23</v>
      </c>
      <c r="G6" s="22">
        <f>+G5+G4</f>
        <v>14</v>
      </c>
      <c r="H6" s="22">
        <f>+H5+H4</f>
        <v>37</v>
      </c>
      <c r="I6" s="22">
        <f>+I5+I4</f>
        <v>35</v>
      </c>
      <c r="J6" s="22">
        <f>+J5+J4</f>
        <v>39</v>
      </c>
      <c r="K6" s="22">
        <f>+K5+K4</f>
        <v>28</v>
      </c>
      <c r="L6" s="22">
        <f>+L5+L4</f>
        <v>24</v>
      </c>
      <c r="M6" s="22">
        <f>+M5+M4</f>
        <v>317</v>
      </c>
      <c r="N6" s="22">
        <f>+N5+N4</f>
        <v>162</v>
      </c>
      <c r="O6" s="22">
        <f>+O5+O4</f>
        <v>701</v>
      </c>
      <c r="P6" s="22">
        <f>+P5+P4</f>
        <v>1130</v>
      </c>
      <c r="Q6" s="22">
        <f>+Q5+Q4</f>
        <v>1647</v>
      </c>
      <c r="U6" s="22">
        <f>+SUM(D6:G6)</f>
        <v>298</v>
      </c>
      <c r="V6" s="22">
        <f>+SUM(H6:K6)</f>
        <v>139</v>
      </c>
      <c r="W6" s="22">
        <f>+SUM(L6:O6)</f>
        <v>1204</v>
      </c>
      <c r="X6" s="22">
        <f>+SUM(P6:S6)</f>
        <v>2777</v>
      </c>
    </row>
    <row r="7" spans="1:24" x14ac:dyDescent="0.25">
      <c r="B7" s="21" t="s">
        <v>71</v>
      </c>
      <c r="D7" s="21">
        <v>0</v>
      </c>
      <c r="E7" s="21">
        <v>0</v>
      </c>
      <c r="F7" s="21">
        <v>0</v>
      </c>
      <c r="G7" s="21">
        <v>0</v>
      </c>
      <c r="H7" s="21">
        <v>0</v>
      </c>
      <c r="I7" s="21">
        <v>0</v>
      </c>
      <c r="J7" s="21">
        <v>0</v>
      </c>
      <c r="K7" s="21">
        <v>0</v>
      </c>
      <c r="L7" s="21">
        <v>0</v>
      </c>
      <c r="M7" s="21">
        <v>8</v>
      </c>
      <c r="N7" s="21">
        <v>7</v>
      </c>
      <c r="O7" s="21">
        <f>85-N7-M7-L7</f>
        <v>70</v>
      </c>
      <c r="P7" s="21">
        <v>31</v>
      </c>
      <c r="Q7" s="21">
        <v>166</v>
      </c>
      <c r="U7" s="21">
        <f>+SUM(D7:G7)</f>
        <v>0</v>
      </c>
      <c r="V7" s="21">
        <f>+SUM(H7:K7)</f>
        <v>0</v>
      </c>
      <c r="W7" s="21">
        <f>+SUM(L7:O7)</f>
        <v>85</v>
      </c>
      <c r="X7" s="21">
        <f>+SUM(P7:S7)</f>
        <v>197</v>
      </c>
    </row>
    <row r="8" spans="1:24" s="23" customFormat="1" x14ac:dyDescent="0.25">
      <c r="B8" s="23" t="s">
        <v>72</v>
      </c>
      <c r="D8" s="23">
        <f>+D6-D7</f>
        <v>27</v>
      </c>
      <c r="E8" s="23">
        <f>+E6-E7</f>
        <v>234</v>
      </c>
      <c r="F8" s="23">
        <f>+F6-F7</f>
        <v>23</v>
      </c>
      <c r="G8" s="23">
        <f>+G6-G7</f>
        <v>14</v>
      </c>
      <c r="H8" s="23">
        <f>+H6-H7</f>
        <v>37</v>
      </c>
      <c r="I8" s="23">
        <f>+I6-I7</f>
        <v>35</v>
      </c>
      <c r="J8" s="23">
        <f>+J6-J7</f>
        <v>39</v>
      </c>
      <c r="K8" s="23">
        <f>+K6-K7</f>
        <v>28</v>
      </c>
      <c r="L8" s="23">
        <f>+L6-L7</f>
        <v>24</v>
      </c>
      <c r="M8" s="23">
        <f>+M6-M7</f>
        <v>309</v>
      </c>
      <c r="N8" s="23">
        <f>+N6-N7</f>
        <v>155</v>
      </c>
      <c r="O8" s="23">
        <f>+O6-O7</f>
        <v>631</v>
      </c>
      <c r="P8" s="23">
        <f>+P6-P7</f>
        <v>1099</v>
      </c>
      <c r="Q8" s="23">
        <f>+Q6-Q7</f>
        <v>1481</v>
      </c>
      <c r="U8" s="23">
        <f>+SUM(D8:G8)</f>
        <v>298</v>
      </c>
      <c r="V8" s="23">
        <f>+SUM(H8:K8)</f>
        <v>139</v>
      </c>
      <c r="W8" s="23">
        <f>+SUM(L8:O8)</f>
        <v>1119</v>
      </c>
      <c r="X8" s="23">
        <f>+SUM(P8:S8)</f>
        <v>2580</v>
      </c>
    </row>
    <row r="9" spans="1:24" x14ac:dyDescent="0.25">
      <c r="B9" s="21" t="s">
        <v>73</v>
      </c>
      <c r="D9" s="21">
        <v>12609</v>
      </c>
      <c r="E9" s="21">
        <v>10257</v>
      </c>
      <c r="F9" s="21">
        <v>15682</v>
      </c>
      <c r="G9" s="21">
        <f>55046-F9-E9-D9</f>
        <v>16498</v>
      </c>
      <c r="H9" s="21">
        <v>14926</v>
      </c>
      <c r="I9" s="21">
        <v>13356</v>
      </c>
      <c r="J9" s="21">
        <v>10557</v>
      </c>
      <c r="K9" s="21">
        <f>52816-J9-I9-H9</f>
        <v>13977</v>
      </c>
      <c r="L9" s="21">
        <v>12026</v>
      </c>
      <c r="M9" s="21">
        <v>14541</v>
      </c>
      <c r="N9" s="21">
        <v>17558</v>
      </c>
      <c r="O9" s="21">
        <f>58887-N9-M9-L9</f>
        <v>14762</v>
      </c>
      <c r="P9" s="21">
        <v>14372</v>
      </c>
      <c r="Q9" s="21">
        <v>17643</v>
      </c>
      <c r="U9" s="21">
        <f>+SUM(D9:G9)</f>
        <v>55046</v>
      </c>
      <c r="V9" s="21">
        <f>+SUM(H9:K9)</f>
        <v>52816</v>
      </c>
      <c r="W9" s="21">
        <f>+SUM(L9:O9)</f>
        <v>58887</v>
      </c>
      <c r="X9" s="21">
        <f>+SUM(P9:S9)</f>
        <v>32015</v>
      </c>
    </row>
    <row r="10" spans="1:24" x14ac:dyDescent="0.25">
      <c r="B10" s="21" t="s">
        <v>74</v>
      </c>
      <c r="D10" s="21">
        <v>8257</v>
      </c>
      <c r="E10" s="21">
        <v>7936</v>
      </c>
      <c r="F10" s="21">
        <v>7303</v>
      </c>
      <c r="G10" s="21">
        <f>32342-F10-E10-D10</f>
        <v>8846</v>
      </c>
      <c r="H10" s="21">
        <v>8491</v>
      </c>
      <c r="I10" s="21">
        <v>10686</v>
      </c>
      <c r="J10" s="21">
        <v>12577</v>
      </c>
      <c r="K10" s="21">
        <f>48083-J10-I10-H10</f>
        <v>16329</v>
      </c>
      <c r="L10" s="21">
        <v>19140</v>
      </c>
      <c r="M10" s="21">
        <v>30008</v>
      </c>
      <c r="N10" s="21">
        <v>32228</v>
      </c>
      <c r="O10" s="21">
        <f>113982-N10-M10-L10</f>
        <v>32606</v>
      </c>
      <c r="P10" s="21">
        <v>32060</v>
      </c>
      <c r="Q10" s="21">
        <v>39192</v>
      </c>
      <c r="U10" s="21">
        <f>+SUM(D10:G10)</f>
        <v>32342</v>
      </c>
      <c r="V10" s="21">
        <f>+SUM(H10:K10)</f>
        <v>48083</v>
      </c>
      <c r="W10" s="21">
        <f>+SUM(L10:O10)</f>
        <v>113982</v>
      </c>
      <c r="X10" s="21">
        <f>+SUM(P10:S10)</f>
        <v>71252</v>
      </c>
    </row>
    <row r="11" spans="1:24" s="23" customFormat="1" x14ac:dyDescent="0.25">
      <c r="B11" s="23" t="s">
        <v>75</v>
      </c>
      <c r="D11" s="23">
        <f>+D10+D9+D7</f>
        <v>20866</v>
      </c>
      <c r="E11" s="23">
        <f>+E10+E9+E7</f>
        <v>18193</v>
      </c>
      <c r="F11" s="23">
        <f>+F10+F9+F7</f>
        <v>22985</v>
      </c>
      <c r="G11" s="23">
        <f>+G10+G9+G7</f>
        <v>25344</v>
      </c>
      <c r="H11" s="23">
        <f>+H10+H9+H7</f>
        <v>23417</v>
      </c>
      <c r="I11" s="23">
        <f>+I10+I9+I7</f>
        <v>24042</v>
      </c>
      <c r="J11" s="23">
        <f>+J10+J9+J7</f>
        <v>23134</v>
      </c>
      <c r="K11" s="23">
        <f>+K10+K9+K7</f>
        <v>30306</v>
      </c>
      <c r="L11" s="23">
        <f>+L10+L9+L7</f>
        <v>31166</v>
      </c>
      <c r="M11" s="23">
        <f>+M10+M9+M7</f>
        <v>44557</v>
      </c>
      <c r="N11" s="23">
        <f>+N10+N9+N7</f>
        <v>49793</v>
      </c>
      <c r="O11" s="23">
        <f>+O10+O9+O7</f>
        <v>47438</v>
      </c>
      <c r="P11" s="23">
        <f>+P10+P9+P7</f>
        <v>46463</v>
      </c>
      <c r="Q11" s="23">
        <f>+Q10+Q9+Q7</f>
        <v>57001</v>
      </c>
      <c r="U11" s="23">
        <f>+SUM(D11:G11)</f>
        <v>87388</v>
      </c>
      <c r="V11" s="23">
        <f>+SUM(H11:K11)</f>
        <v>100899</v>
      </c>
      <c r="W11" s="23">
        <f>+SUM(L11:O11)</f>
        <v>172954</v>
      </c>
      <c r="X11" s="23">
        <f>+SUM(P11:S11)</f>
        <v>103464</v>
      </c>
    </row>
    <row r="12" spans="1:24" s="23" customFormat="1" x14ac:dyDescent="0.25">
      <c r="B12" s="23" t="s">
        <v>76</v>
      </c>
      <c r="D12" s="23">
        <f>+D6-D11</f>
        <v>-20839</v>
      </c>
      <c r="E12" s="23">
        <f>+E6-E11</f>
        <v>-17959</v>
      </c>
      <c r="F12" s="23">
        <f>+F6-F11</f>
        <v>-22962</v>
      </c>
      <c r="G12" s="23">
        <f>+G6-G11</f>
        <v>-25330</v>
      </c>
      <c r="H12" s="23">
        <f>+H6-H11</f>
        <v>-23380</v>
      </c>
      <c r="I12" s="23">
        <f>+I6-I11</f>
        <v>-24007</v>
      </c>
      <c r="J12" s="23">
        <f>+J6-J11</f>
        <v>-23095</v>
      </c>
      <c r="K12" s="23">
        <f>+K6-K11</f>
        <v>-30278</v>
      </c>
      <c r="L12" s="23">
        <f>+L6-L11</f>
        <v>-31142</v>
      </c>
      <c r="M12" s="23">
        <f>+M6-M11</f>
        <v>-44240</v>
      </c>
      <c r="N12" s="23">
        <f>+N6-N11</f>
        <v>-49631</v>
      </c>
      <c r="O12" s="23">
        <f>+O6-O11</f>
        <v>-46737</v>
      </c>
      <c r="P12" s="23">
        <f>+P6-P11</f>
        <v>-45333</v>
      </c>
      <c r="Q12" s="23">
        <f>+Q6-Q11</f>
        <v>-55354</v>
      </c>
      <c r="U12" s="23">
        <f>+SUM(D12:G12)</f>
        <v>-87090</v>
      </c>
      <c r="V12" s="23">
        <f>+SUM(H12:K12)</f>
        <v>-100760</v>
      </c>
      <c r="W12" s="23">
        <f>+SUM(L12:O12)</f>
        <v>-171750</v>
      </c>
      <c r="X12" s="23">
        <f>+SUM(P12:S12)</f>
        <v>-100687</v>
      </c>
    </row>
    <row r="13" spans="1:24" x14ac:dyDescent="0.25">
      <c r="B13" s="21" t="s">
        <v>77</v>
      </c>
      <c r="D13" s="21">
        <v>-167</v>
      </c>
      <c r="E13" s="21">
        <v>-169</v>
      </c>
      <c r="F13" s="21">
        <v>-171</v>
      </c>
      <c r="G13" s="21">
        <f>-802-F13-E13-D13</f>
        <v>-295</v>
      </c>
      <c r="H13" s="21">
        <v>-110</v>
      </c>
      <c r="I13" s="21">
        <v>-703</v>
      </c>
      <c r="J13" s="21">
        <v>-864</v>
      </c>
      <c r="K13" s="21">
        <f>-2780-J13-I13-H13</f>
        <v>-1103</v>
      </c>
      <c r="L13" s="21">
        <v>-1821</v>
      </c>
      <c r="M13" s="21">
        <v>-1960</v>
      </c>
      <c r="N13" s="21">
        <v>-3899</v>
      </c>
      <c r="O13" s="21">
        <f>-13101-N13-M13-L13</f>
        <v>-5421</v>
      </c>
      <c r="P13" s="21">
        <v>-4948</v>
      </c>
      <c r="Q13" s="21">
        <v>-2211</v>
      </c>
      <c r="U13" s="21">
        <f>+SUM(D13:G13)</f>
        <v>-802</v>
      </c>
      <c r="V13" s="21">
        <f>+SUM(H13:K13)</f>
        <v>-2780</v>
      </c>
      <c r="W13" s="21">
        <f>+SUM(L13:O13)</f>
        <v>-13101</v>
      </c>
      <c r="X13" s="21">
        <f>+SUM(P13:S13)</f>
        <v>-7159</v>
      </c>
    </row>
    <row r="14" spans="1:24" x14ac:dyDescent="0.25">
      <c r="B14" s="21" t="s">
        <v>78</v>
      </c>
      <c r="D14" s="21">
        <v>48</v>
      </c>
      <c r="E14" s="21">
        <v>61</v>
      </c>
      <c r="F14" s="21">
        <v>11</v>
      </c>
      <c r="G14" s="21">
        <f>134-F14-E14-D14</f>
        <v>14</v>
      </c>
      <c r="H14" s="21">
        <v>14</v>
      </c>
      <c r="I14" s="21">
        <v>123</v>
      </c>
      <c r="J14" s="21">
        <v>572</v>
      </c>
      <c r="K14" s="21">
        <f>1596-J14-I14-H14</f>
        <v>887</v>
      </c>
      <c r="L14" s="21">
        <v>1029</v>
      </c>
      <c r="M14" s="21">
        <v>1296</v>
      </c>
      <c r="N14" s="21">
        <v>3005</v>
      </c>
      <c r="O14" s="21">
        <f>7732-N14-M14-L14</f>
        <v>2402</v>
      </c>
      <c r="P14" s="21">
        <v>1884</v>
      </c>
      <c r="Q14" s="21">
        <v>4136</v>
      </c>
      <c r="U14" s="21">
        <f>+SUM(D14:G14)</f>
        <v>134</v>
      </c>
      <c r="V14" s="21">
        <f>+SUM(H14:K14)</f>
        <v>1596</v>
      </c>
      <c r="W14" s="21">
        <f>+SUM(L14:O14)</f>
        <v>7732</v>
      </c>
      <c r="X14" s="21">
        <f>+SUM(P14:S14)</f>
        <v>6020</v>
      </c>
    </row>
    <row r="15" spans="1:24" s="23" customFormat="1" x14ac:dyDescent="0.25">
      <c r="B15" s="23" t="s">
        <v>79</v>
      </c>
      <c r="D15" s="23">
        <f>+D12+D14+D13</f>
        <v>-20958</v>
      </c>
      <c r="E15" s="23">
        <f>+E12+E14+E13</f>
        <v>-18067</v>
      </c>
      <c r="F15" s="23">
        <f>+F12+F14+F13</f>
        <v>-23122</v>
      </c>
      <c r="G15" s="23">
        <f>+G12+G14+G13</f>
        <v>-25611</v>
      </c>
      <c r="H15" s="23">
        <f>+H12+H14+H13</f>
        <v>-23476</v>
      </c>
      <c r="I15" s="23">
        <f>+I12+I14+I13</f>
        <v>-24587</v>
      </c>
      <c r="J15" s="23">
        <f>+J12+J14+J13</f>
        <v>-23387</v>
      </c>
      <c r="K15" s="23">
        <f>+K12+K14+K13</f>
        <v>-30494</v>
      </c>
      <c r="L15" s="23">
        <f>+L12+L14+L13</f>
        <v>-31934</v>
      </c>
      <c r="M15" s="23">
        <f>+M12+M14+M13</f>
        <v>-44904</v>
      </c>
      <c r="N15" s="23">
        <f>+N12+N14+N13</f>
        <v>-50525</v>
      </c>
      <c r="O15" s="23">
        <f>+O12+O14+O13</f>
        <v>-49756</v>
      </c>
      <c r="P15" s="23">
        <f>+P12+P14+P13</f>
        <v>-48397</v>
      </c>
      <c r="Q15" s="23">
        <f>+Q12+Q14+Q13</f>
        <v>-53429</v>
      </c>
      <c r="U15" s="23">
        <f>+SUM(D15:G15)</f>
        <v>-87758</v>
      </c>
      <c r="V15" s="23">
        <f>+SUM(H15:K15)</f>
        <v>-101944</v>
      </c>
      <c r="W15" s="23">
        <f>+SUM(L15:O15)</f>
        <v>-177119</v>
      </c>
      <c r="X15" s="23">
        <f>+SUM(P15:S15)</f>
        <v>-101826</v>
      </c>
    </row>
    <row r="16" spans="1:24" s="24" customFormat="1" x14ac:dyDescent="0.25">
      <c r="B16" s="24" t="s">
        <v>80</v>
      </c>
      <c r="D16" s="24">
        <f>+D15/D17</f>
        <v>-0.14617203356140021</v>
      </c>
      <c r="E16" s="24">
        <f>+E15/E17</f>
        <v>-0.12507355435407164</v>
      </c>
      <c r="F16" s="24">
        <f>+F15/F17</f>
        <v>-0.15528959810874704</v>
      </c>
      <c r="G16" s="24">
        <f>+G15/G17</f>
        <v>-0.17120339051031458</v>
      </c>
      <c r="H16" s="24">
        <f>+H15/H17</f>
        <v>-0.15739859202145493</v>
      </c>
      <c r="I16" s="24">
        <f>+I15/I17</f>
        <v>-0.16433402844615549</v>
      </c>
      <c r="J16" s="24">
        <f>+J15/J17</f>
        <v>-0.13371335132415496</v>
      </c>
      <c r="K16" s="24">
        <f>+K15/K17</f>
        <v>-0.16157816093172112</v>
      </c>
      <c r="L16" s="24">
        <f>+L15/L17</f>
        <v>-0.16895044811495444</v>
      </c>
      <c r="M16" s="24">
        <f>+M15/M17</f>
        <v>-0.21927601412226602</v>
      </c>
      <c r="N16" s="24">
        <f>+N15/N17</f>
        <v>-0.20628763907318567</v>
      </c>
      <c r="O16" s="24">
        <f>+O15/O17</f>
        <v>-0.22500791389680277</v>
      </c>
      <c r="P16" s="24">
        <f>+P15/P17</f>
        <v>-0.1972248257875219</v>
      </c>
      <c r="Q16" s="24">
        <f>+Q15/Q17</f>
        <v>-0.17188806959296865</v>
      </c>
      <c r="U16" s="24">
        <f>+SUM(D16:G16)</f>
        <v>-0.59773857653453344</v>
      </c>
      <c r="V16" s="24">
        <f>+SUM(H16:K16)</f>
        <v>-0.61702413272348644</v>
      </c>
      <c r="W16" s="24">
        <f>+SUM(L16:O16)</f>
        <v>-0.81952201520720891</v>
      </c>
      <c r="X16" s="24">
        <f>+SUM(P16:S16)</f>
        <v>-0.36911289538049052</v>
      </c>
    </row>
    <row r="17" spans="2:24" x14ac:dyDescent="0.25">
      <c r="B17" s="21" t="s">
        <v>81</v>
      </c>
      <c r="D17" s="21">
        <v>143379</v>
      </c>
      <c r="E17" s="21">
        <v>144451</v>
      </c>
      <c r="F17" s="21">
        <v>148896</v>
      </c>
      <c r="G17" s="21">
        <v>149594</v>
      </c>
      <c r="H17" s="21">
        <v>149150</v>
      </c>
      <c r="I17" s="21">
        <v>149616</v>
      </c>
      <c r="J17" s="21">
        <v>174904</v>
      </c>
      <c r="K17" s="21">
        <v>188726</v>
      </c>
      <c r="L17" s="21">
        <v>189014</v>
      </c>
      <c r="M17" s="21">
        <v>204783</v>
      </c>
      <c r="N17" s="21">
        <v>244925</v>
      </c>
      <c r="O17" s="21">
        <v>221130</v>
      </c>
      <c r="P17" s="21">
        <v>245390</v>
      </c>
      <c r="Q17" s="21">
        <v>310836</v>
      </c>
      <c r="U17" s="21">
        <f>+AVERAGE(D17:G17)</f>
        <v>146580</v>
      </c>
      <c r="V17" s="21">
        <f>+AVERAGE(H17:K17)</f>
        <v>165599</v>
      </c>
      <c r="W17" s="21">
        <f>+AVERAGE(L17:O17)</f>
        <v>214963</v>
      </c>
      <c r="X17" s="21">
        <f>+AVERAGE(P17:S17)</f>
        <v>278113</v>
      </c>
    </row>
    <row r="19" spans="2:24" s="25" customFormat="1" x14ac:dyDescent="0.25">
      <c r="B19" s="25" t="s">
        <v>83</v>
      </c>
      <c r="E19" s="25">
        <f t="shared" ref="E19:Q19" si="0">+E6/D6-1</f>
        <v>7.6666666666666661</v>
      </c>
      <c r="F19" s="25">
        <f t="shared" si="0"/>
        <v>-0.90170940170940173</v>
      </c>
      <c r="G19" s="25">
        <f t="shared" si="0"/>
        <v>-0.39130434782608692</v>
      </c>
      <c r="H19" s="25">
        <f t="shared" si="0"/>
        <v>1.6428571428571428</v>
      </c>
      <c r="I19" s="25">
        <f t="shared" si="0"/>
        <v>-5.4054054054054057E-2</v>
      </c>
      <c r="J19" s="25">
        <f t="shared" si="0"/>
        <v>0.11428571428571432</v>
      </c>
      <c r="K19" s="25">
        <f t="shared" si="0"/>
        <v>-0.28205128205128205</v>
      </c>
      <c r="L19" s="25">
        <f t="shared" si="0"/>
        <v>-0.1428571428571429</v>
      </c>
      <c r="M19" s="25">
        <f t="shared" si="0"/>
        <v>12.208333333333334</v>
      </c>
      <c r="N19" s="25">
        <f t="shared" si="0"/>
        <v>-0.48895899053627756</v>
      </c>
      <c r="O19" s="25">
        <f>+O6/N6-1</f>
        <v>3.3271604938271606</v>
      </c>
      <c r="P19" s="25">
        <f t="shared" si="0"/>
        <v>0.61198288159771752</v>
      </c>
      <c r="Q19" s="25">
        <f>+Q6/P6-1</f>
        <v>0.4575221238938052</v>
      </c>
    </row>
    <row r="20" spans="2:24" s="25" customFormat="1" x14ac:dyDescent="0.25">
      <c r="B20" s="25" t="s">
        <v>104</v>
      </c>
      <c r="H20" s="25">
        <f>+H6/D6-1</f>
        <v>0.37037037037037046</v>
      </c>
      <c r="I20" s="25">
        <f>+I6/E6-1</f>
        <v>-0.8504273504273504</v>
      </c>
      <c r="J20" s="25">
        <f>+J6/F6-1</f>
        <v>0.69565217391304346</v>
      </c>
      <c r="K20" s="25">
        <f>+K6/G6-1</f>
        <v>1</v>
      </c>
      <c r="L20" s="25">
        <f>+L6/H6-1</f>
        <v>-0.35135135135135132</v>
      </c>
      <c r="M20" s="25">
        <f>+M6/I6-1</f>
        <v>8.0571428571428569</v>
      </c>
      <c r="N20" s="25">
        <f>+N6/J6-1</f>
        <v>3.1538461538461542</v>
      </c>
      <c r="O20" s="25">
        <f>+O6/K6-1</f>
        <v>24.035714285714285</v>
      </c>
      <c r="P20" s="25">
        <f>+P6/L6-1</f>
        <v>46.083333333333336</v>
      </c>
      <c r="Q20" s="25">
        <f>+Q6/M6-1</f>
        <v>4.1955835962145107</v>
      </c>
      <c r="V20" s="25">
        <f>+V6/U6-1</f>
        <v>-0.53355704697986583</v>
      </c>
      <c r="W20" s="25">
        <f>+W6/V6-1</f>
        <v>7.6618705035971217</v>
      </c>
      <c r="X20" s="25">
        <f>+X6/W6-1</f>
        <v>1.3064784053156147</v>
      </c>
    </row>
    <row r="21" spans="2:24" s="26" customFormat="1" x14ac:dyDescent="0.25">
      <c r="B21" s="26" t="s">
        <v>102</v>
      </c>
      <c r="D21" s="25">
        <f t="shared" ref="D21:Q21" si="1">+D4/D6</f>
        <v>0</v>
      </c>
      <c r="E21" s="25">
        <f t="shared" si="1"/>
        <v>0</v>
      </c>
      <c r="F21" s="25">
        <f t="shared" si="1"/>
        <v>0</v>
      </c>
      <c r="G21" s="25">
        <f t="shared" si="1"/>
        <v>0</v>
      </c>
      <c r="H21" s="25">
        <f t="shared" si="1"/>
        <v>0</v>
      </c>
      <c r="I21" s="25">
        <f t="shared" si="1"/>
        <v>0</v>
      </c>
      <c r="J21" s="25">
        <f t="shared" si="1"/>
        <v>0</v>
      </c>
      <c r="K21" s="25">
        <f t="shared" si="1"/>
        <v>0</v>
      </c>
      <c r="L21" s="25">
        <f t="shared" si="1"/>
        <v>0</v>
      </c>
      <c r="M21" s="25">
        <f t="shared" si="1"/>
        <v>0.917981072555205</v>
      </c>
      <c r="N21" s="25">
        <f t="shared" si="1"/>
        <v>0.9135802469135802</v>
      </c>
      <c r="O21" s="25">
        <f t="shared" si="1"/>
        <v>0.95720399429386593</v>
      </c>
      <c r="P21" s="25">
        <f t="shared" si="1"/>
        <v>0.96725663716814159</v>
      </c>
      <c r="Q21" s="25">
        <f>+Q4/Q6</f>
        <v>0.98178506375227692</v>
      </c>
    </row>
    <row r="22" spans="2:24" s="26" customFormat="1" x14ac:dyDescent="0.25">
      <c r="B22" s="26" t="s">
        <v>103</v>
      </c>
      <c r="D22" s="25">
        <f t="shared" ref="D22:Q22" si="2">+D5/D6</f>
        <v>1</v>
      </c>
      <c r="E22" s="25">
        <f t="shared" si="2"/>
        <v>1</v>
      </c>
      <c r="F22" s="25">
        <f t="shared" si="2"/>
        <v>1</v>
      </c>
      <c r="G22" s="25">
        <f t="shared" si="2"/>
        <v>1</v>
      </c>
      <c r="H22" s="25">
        <f t="shared" si="2"/>
        <v>1</v>
      </c>
      <c r="I22" s="25">
        <f t="shared" si="2"/>
        <v>1</v>
      </c>
      <c r="J22" s="25">
        <f t="shared" si="2"/>
        <v>1</v>
      </c>
      <c r="K22" s="25">
        <f t="shared" si="2"/>
        <v>1</v>
      </c>
      <c r="L22" s="25">
        <f t="shared" si="2"/>
        <v>1</v>
      </c>
      <c r="M22" s="25">
        <f t="shared" si="2"/>
        <v>8.2018927444794956E-2</v>
      </c>
      <c r="N22" s="25">
        <f t="shared" si="2"/>
        <v>8.6419753086419748E-2</v>
      </c>
      <c r="O22" s="25">
        <f t="shared" si="2"/>
        <v>4.2796005706134094E-2</v>
      </c>
      <c r="P22" s="25">
        <f t="shared" si="2"/>
        <v>3.2743362831858407E-2</v>
      </c>
      <c r="Q22" s="25">
        <f>+Q5/Q6</f>
        <v>1.8214936247723135E-2</v>
      </c>
    </row>
  </sheetData>
  <hyperlinks>
    <hyperlink ref="A1" location="Main!A1" display="Main" xr:uid="{483D6113-0D0A-4121-8BB6-1729233C2CDC}"/>
  </hyperlinks>
  <pageMargins left="0.7" right="0.7" top="0.78740157499999996" bottom="0.78740157499999996"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E2C96-82C1-460B-8A23-830118672E93}">
  <dimension ref="A1:D7"/>
  <sheetViews>
    <sheetView workbookViewId="0">
      <selection activeCell="C3" sqref="C3:F6"/>
    </sheetView>
  </sheetViews>
  <sheetFormatPr baseColWidth="10" defaultRowHeight="15" x14ac:dyDescent="0.25"/>
  <cols>
    <col min="1" max="1" width="5.42578125" bestFit="1" customWidth="1"/>
  </cols>
  <sheetData>
    <row r="1" spans="1:4" x14ac:dyDescent="0.25">
      <c r="A1" s="12" t="s">
        <v>23</v>
      </c>
    </row>
    <row r="3" spans="1:4" x14ac:dyDescent="0.25">
      <c r="C3" t="s">
        <v>2</v>
      </c>
    </row>
    <row r="4" spans="1:4" x14ac:dyDescent="0.25">
      <c r="C4" t="s">
        <v>24</v>
      </c>
      <c r="D4" t="s">
        <v>12</v>
      </c>
    </row>
    <row r="5" spans="1:4" x14ac:dyDescent="0.25">
      <c r="C5" t="s">
        <v>27</v>
      </c>
      <c r="D5" t="s">
        <v>59</v>
      </c>
    </row>
    <row r="7" spans="1:4" x14ac:dyDescent="0.25">
      <c r="C7" t="s">
        <v>25</v>
      </c>
    </row>
  </sheetData>
  <hyperlinks>
    <hyperlink ref="A1" location="Main!A1" display="Main" xr:uid="{F757D8DA-CFC4-4C49-BBF9-C7B031390970}"/>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B9E3A-C273-4803-9421-0AACF7CB16C9}">
  <dimension ref="A1:B7"/>
  <sheetViews>
    <sheetView workbookViewId="0">
      <selection activeCell="B3" sqref="B3:O25"/>
    </sheetView>
  </sheetViews>
  <sheetFormatPr baseColWidth="10" defaultRowHeight="15" x14ac:dyDescent="0.25"/>
  <cols>
    <col min="1" max="1" width="5.42578125" bestFit="1" customWidth="1"/>
    <col min="2" max="2" width="13.5703125" bestFit="1" customWidth="1"/>
  </cols>
  <sheetData>
    <row r="1" spans="1:2" x14ac:dyDescent="0.25">
      <c r="A1" s="12" t="s">
        <v>23</v>
      </c>
    </row>
    <row r="3" spans="1:2" x14ac:dyDescent="0.25">
      <c r="B3" t="s">
        <v>111</v>
      </c>
    </row>
    <row r="4" spans="1:2" x14ac:dyDescent="0.25">
      <c r="B4" t="s">
        <v>24</v>
      </c>
    </row>
    <row r="5" spans="1:2" x14ac:dyDescent="0.25">
      <c r="B5" t="s">
        <v>27</v>
      </c>
    </row>
    <row r="7" spans="1:2" x14ac:dyDescent="0.25">
      <c r="B7" t="s">
        <v>29</v>
      </c>
    </row>
  </sheetData>
  <hyperlinks>
    <hyperlink ref="A1" location="Main!A1" display="Main" xr:uid="{4C2869C5-20CD-4148-B18F-CEB8F1EEEACA}"/>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021E4-BBCA-4FED-92D1-1C6AE6600230}">
  <dimension ref="A1:D10"/>
  <sheetViews>
    <sheetView workbookViewId="0">
      <selection activeCell="E19" sqref="E19"/>
    </sheetView>
  </sheetViews>
  <sheetFormatPr baseColWidth="10" defaultRowHeight="15" x14ac:dyDescent="0.25"/>
  <cols>
    <col min="1" max="1" width="5.42578125" bestFit="1" customWidth="1"/>
    <col min="4" max="4" width="12.7109375" bestFit="1" customWidth="1"/>
  </cols>
  <sheetData>
    <row r="1" spans="1:4" x14ac:dyDescent="0.25">
      <c r="A1" s="12" t="s">
        <v>23</v>
      </c>
    </row>
    <row r="4" spans="1:4" x14ac:dyDescent="0.25">
      <c r="C4" t="s">
        <v>2</v>
      </c>
    </row>
    <row r="5" spans="1:4" x14ac:dyDescent="0.25">
      <c r="C5" t="s">
        <v>24</v>
      </c>
      <c r="D5" t="s">
        <v>26</v>
      </c>
    </row>
    <row r="6" spans="1:4" x14ac:dyDescent="0.25">
      <c r="C6" t="s">
        <v>27</v>
      </c>
      <c r="D6" t="s">
        <v>28</v>
      </c>
    </row>
    <row r="7" spans="1:4" x14ac:dyDescent="0.25">
      <c r="C7" t="s">
        <v>7</v>
      </c>
      <c r="D7" t="s">
        <v>10</v>
      </c>
    </row>
    <row r="10" spans="1:4" x14ac:dyDescent="0.25">
      <c r="C10" t="s">
        <v>29</v>
      </c>
    </row>
  </sheetData>
  <hyperlinks>
    <hyperlink ref="A1" location="Main!A1" display="Main" xr:uid="{DD7F5CF7-1D74-4EE2-9DD3-0C78EB17BE6E}"/>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EC878-09BB-4F19-832E-F44F4AC93CC1}">
  <sheetPr>
    <tabColor rgb="FFFFC000"/>
  </sheetPr>
  <dimension ref="A1:P43"/>
  <sheetViews>
    <sheetView workbookViewId="0">
      <pane ySplit="1" topLeftCell="A2" activePane="bottomLeft" state="frozen"/>
      <selection pane="bottomLeft" activeCell="F8" sqref="F8"/>
    </sheetView>
  </sheetViews>
  <sheetFormatPr baseColWidth="10" defaultRowHeight="15" x14ac:dyDescent="0.25"/>
  <cols>
    <col min="1" max="3" width="11.42578125" style="1"/>
    <col min="4" max="4" width="35.7109375" style="34" bestFit="1" customWidth="1"/>
  </cols>
  <sheetData>
    <row r="1" spans="1:16" s="15" customFormat="1" x14ac:dyDescent="0.25">
      <c r="A1" s="15" t="s">
        <v>33</v>
      </c>
      <c r="B1" s="15" t="s">
        <v>34</v>
      </c>
      <c r="C1" s="15" t="s">
        <v>35</v>
      </c>
      <c r="D1" s="35" t="s">
        <v>37</v>
      </c>
      <c r="E1" s="15" t="s">
        <v>36</v>
      </c>
      <c r="F1" s="15" t="s">
        <v>1</v>
      </c>
    </row>
    <row r="3" spans="1:16" x14ac:dyDescent="0.25">
      <c r="A3" s="33" t="s">
        <v>113</v>
      </c>
      <c r="D3" s="34" t="s">
        <v>38</v>
      </c>
      <c r="E3">
        <v>1</v>
      </c>
      <c r="F3" s="12" t="s">
        <v>39</v>
      </c>
      <c r="P3" s="36" t="s">
        <v>41</v>
      </c>
    </row>
    <row r="4" spans="1:16" x14ac:dyDescent="0.25">
      <c r="F4" t="s">
        <v>40</v>
      </c>
    </row>
    <row r="5" spans="1:16" x14ac:dyDescent="0.25">
      <c r="E5">
        <v>2</v>
      </c>
      <c r="F5" s="12" t="s">
        <v>63</v>
      </c>
    </row>
    <row r="6" spans="1:16" x14ac:dyDescent="0.25">
      <c r="F6" t="s">
        <v>64</v>
      </c>
    </row>
    <row r="8" spans="1:16" x14ac:dyDescent="0.25">
      <c r="D8" s="34" t="s">
        <v>42</v>
      </c>
      <c r="E8">
        <v>3</v>
      </c>
      <c r="F8" s="12" t="s">
        <v>43</v>
      </c>
    </row>
    <row r="9" spans="1:16" x14ac:dyDescent="0.25">
      <c r="F9" t="s">
        <v>45</v>
      </c>
    </row>
    <row r="10" spans="1:16" x14ac:dyDescent="0.25">
      <c r="F10" t="s">
        <v>44</v>
      </c>
    </row>
    <row r="11" spans="1:16" x14ac:dyDescent="0.25">
      <c r="E11">
        <v>4</v>
      </c>
      <c r="F11" s="12" t="s">
        <v>46</v>
      </c>
    </row>
    <row r="12" spans="1:16" x14ac:dyDescent="0.25">
      <c r="F12" t="s">
        <v>47</v>
      </c>
    </row>
    <row r="13" spans="1:16" x14ac:dyDescent="0.25">
      <c r="F13" t="s">
        <v>48</v>
      </c>
    </row>
    <row r="14" spans="1:16" x14ac:dyDescent="0.25">
      <c r="F14" t="s">
        <v>50</v>
      </c>
    </row>
    <row r="15" spans="1:16" x14ac:dyDescent="0.25">
      <c r="F15" t="s">
        <v>49</v>
      </c>
    </row>
    <row r="16" spans="1:16" x14ac:dyDescent="0.25">
      <c r="E16">
        <v>5</v>
      </c>
      <c r="F16" s="12" t="s">
        <v>51</v>
      </c>
    </row>
    <row r="17" spans="4:6" x14ac:dyDescent="0.25">
      <c r="F17" t="s">
        <v>52</v>
      </c>
    </row>
    <row r="18" spans="4:6" x14ac:dyDescent="0.25">
      <c r="E18">
        <v>6</v>
      </c>
      <c r="F18" s="12" t="s">
        <v>53</v>
      </c>
    </row>
    <row r="19" spans="4:6" x14ac:dyDescent="0.25">
      <c r="F19" t="s">
        <v>54</v>
      </c>
    </row>
    <row r="20" spans="4:6" x14ac:dyDescent="0.25">
      <c r="E20">
        <v>7</v>
      </c>
      <c r="F20" s="12" t="s">
        <v>55</v>
      </c>
    </row>
    <row r="21" spans="4:6" x14ac:dyDescent="0.25">
      <c r="F21" t="s">
        <v>56</v>
      </c>
    </row>
    <row r="22" spans="4:6" x14ac:dyDescent="0.25">
      <c r="E22">
        <v>8</v>
      </c>
      <c r="F22" s="12" t="s">
        <v>57</v>
      </c>
    </row>
    <row r="23" spans="4:6" x14ac:dyDescent="0.25">
      <c r="F23" t="s">
        <v>58</v>
      </c>
    </row>
    <row r="25" spans="4:6" x14ac:dyDescent="0.25">
      <c r="D25" s="34" t="s">
        <v>60</v>
      </c>
      <c r="E25">
        <v>9</v>
      </c>
      <c r="F25" s="12" t="s">
        <v>61</v>
      </c>
    </row>
    <row r="26" spans="4:6" x14ac:dyDescent="0.25">
      <c r="F26" t="s">
        <v>62</v>
      </c>
    </row>
    <row r="27" spans="4:6" x14ac:dyDescent="0.25">
      <c r="E27">
        <v>10</v>
      </c>
      <c r="F27" s="12" t="s">
        <v>65</v>
      </c>
    </row>
    <row r="28" spans="4:6" x14ac:dyDescent="0.25">
      <c r="F28" t="s">
        <v>66</v>
      </c>
    </row>
    <row r="29" spans="4:6" ht="16.5" x14ac:dyDescent="0.25">
      <c r="E29">
        <v>11</v>
      </c>
      <c r="F29" s="19"/>
    </row>
    <row r="41" spans="6:6" ht="17.25" x14ac:dyDescent="0.3">
      <c r="F41" s="16"/>
    </row>
    <row r="42" spans="6:6" x14ac:dyDescent="0.25">
      <c r="F42" s="17"/>
    </row>
    <row r="43" spans="6:6" ht="17.25" x14ac:dyDescent="0.25">
      <c r="F43" s="18"/>
    </row>
  </sheetData>
  <hyperlinks>
    <hyperlink ref="F3" r:id="rId1" xr:uid="{C62314B3-036F-42C7-B3BB-BC27E6A0541B}"/>
    <hyperlink ref="F8" r:id="rId2" xr:uid="{338986C4-2EC1-4075-9005-F9875A3483FD}"/>
    <hyperlink ref="F11" r:id="rId3" display="Discovery of (S)-1-((2',6-Bis(difluoromethyl)-[2,4'-bipyridin]-5-yl)oxy)-2,4-dimethylpentan-2-amine (BMS-986176/LX-9211): A Highly Selective, CNS Penetrable, and Orally Active Adaptor Protein-2 Associated Kinase 1 Inhibitor in Clinical Trials for the Treatment of Neuropathic Pain." xr:uid="{7F478A06-3886-4476-B1C2-7726037F430B}"/>
    <hyperlink ref="F16" r:id="rId4" xr:uid="{EEB7120B-5E1A-420B-85EB-90509022E951}"/>
    <hyperlink ref="F18" r:id="rId5" xr:uid="{D45A2777-4B3B-4119-ACB1-02A0E83145C7}"/>
    <hyperlink ref="F20" r:id="rId6" xr:uid="{1283F7AF-6485-4954-B1F1-EF10A9AA7965}"/>
    <hyperlink ref="F22" r:id="rId7" xr:uid="{BD9445EC-608D-49FF-80A3-132AF50D6ECB}"/>
    <hyperlink ref="F25" r:id="rId8" xr:uid="{E34C5B31-4C71-4923-B76D-4AC31D4157B8}"/>
    <hyperlink ref="F5" r:id="rId9" xr:uid="{8524601A-F8F7-42E0-89AD-8AA0062552B3}"/>
    <hyperlink ref="F27" r:id="rId10" display="https://pubmed.ncbi.nlm.nih.gov/38895916/" xr:uid="{B797BEF3-E740-4A0D-9000-87D967B44DF5}"/>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Main</vt:lpstr>
      <vt:lpstr>Model</vt:lpstr>
      <vt:lpstr>LX9211</vt:lpstr>
      <vt:lpstr>Sotagliflozin</vt:lpstr>
      <vt:lpstr>Inpefa</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 Malburg</dc:creator>
  <cp:lastModifiedBy>Norbert Malburg</cp:lastModifiedBy>
  <dcterms:created xsi:type="dcterms:W3CDTF">2024-08-16T07:24:47Z</dcterms:created>
  <dcterms:modified xsi:type="dcterms:W3CDTF">2024-08-16T13:12:47Z</dcterms:modified>
</cp:coreProperties>
</file>