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lburg\Desktop\MDGL - Madrigal Pharmaceuticals Inc\"/>
    </mc:Choice>
  </mc:AlternateContent>
  <xr:revisionPtr revIDLastSave="0" documentId="13_ncr:1_{3439BCF8-601D-46E2-8F78-D3840D988645}" xr6:coauthVersionLast="47" xr6:coauthVersionMax="47" xr10:uidLastSave="{00000000-0000-0000-0000-000000000000}"/>
  <bookViews>
    <workbookView xWindow="1605" yWindow="1230" windowWidth="27000" windowHeight="14370" xr2:uid="{8DDF75C2-CCDD-44C4-8224-12693ABBE702}"/>
  </bookViews>
  <sheets>
    <sheet name="Main" sheetId="1" r:id="rId1"/>
    <sheet name="Model" sheetId="4" r:id="rId2"/>
    <sheet name="MGL-3196" sheetId="3" r:id="rId3"/>
    <sheet name="Rezdiffr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9" i="1" s="1"/>
  <c r="L7" i="1"/>
  <c r="L6" i="1"/>
  <c r="L5" i="1"/>
  <c r="Y17" i="4"/>
  <c r="Z17" i="4"/>
  <c r="Y6" i="4"/>
  <c r="Z6" i="4"/>
  <c r="Y7" i="4"/>
  <c r="Z7" i="4"/>
  <c r="Y8" i="4"/>
  <c r="Z8" i="4"/>
  <c r="Y9" i="4"/>
  <c r="Z9" i="4"/>
  <c r="Y10" i="4"/>
  <c r="Z10" i="4"/>
  <c r="Y11" i="4"/>
  <c r="Z11" i="4"/>
  <c r="Y12" i="4"/>
  <c r="Z12" i="4"/>
  <c r="Y13" i="4"/>
  <c r="Z13" i="4"/>
  <c r="Y14" i="4"/>
  <c r="Z14" i="4"/>
  <c r="Y15" i="4"/>
  <c r="Z15" i="4"/>
  <c r="Y16" i="4"/>
  <c r="Z16" i="4"/>
  <c r="Y5" i="4"/>
  <c r="Z5" i="4"/>
  <c r="AA14" i="4"/>
  <c r="AA17" i="4"/>
  <c r="AA16" i="4"/>
  <c r="AA15" i="4"/>
  <c r="AA13" i="4"/>
  <c r="AA12" i="4"/>
  <c r="AA11" i="4"/>
  <c r="AA10" i="4"/>
  <c r="AA9" i="4"/>
  <c r="AA6" i="4"/>
  <c r="AA7" i="4"/>
  <c r="AA8" i="4"/>
  <c r="AA5" i="4"/>
  <c r="B16" i="4"/>
  <c r="B15" i="4"/>
  <c r="C11" i="4"/>
  <c r="B11" i="4"/>
  <c r="B12" i="4" s="1"/>
  <c r="C6" i="4"/>
  <c r="C8" i="4" s="1"/>
  <c r="B6" i="4"/>
  <c r="B8" i="4" s="1"/>
  <c r="D15" i="4"/>
  <c r="D16" i="4" s="1"/>
  <c r="D12" i="4"/>
  <c r="D11" i="4"/>
  <c r="D8" i="4"/>
  <c r="D6" i="4"/>
  <c r="F11" i="4"/>
  <c r="E11" i="4"/>
  <c r="F6" i="4"/>
  <c r="F8" i="4" s="1"/>
  <c r="F12" i="4" s="1"/>
  <c r="F15" i="4" s="1"/>
  <c r="F16" i="4" s="1"/>
  <c r="E6" i="4"/>
  <c r="E8" i="4" s="1"/>
  <c r="J14" i="4"/>
  <c r="J13" i="4"/>
  <c r="J10" i="4"/>
  <c r="J9" i="4"/>
  <c r="N13" i="4"/>
  <c r="N14" i="4"/>
  <c r="N10" i="4"/>
  <c r="N9" i="4"/>
  <c r="I11" i="4"/>
  <c r="H11" i="4"/>
  <c r="G11" i="4"/>
  <c r="J6" i="4"/>
  <c r="J8" i="4" s="1"/>
  <c r="I6" i="4"/>
  <c r="I8" i="4" s="1"/>
  <c r="H6" i="4"/>
  <c r="H8" i="4" s="1"/>
  <c r="H12" i="4" s="1"/>
  <c r="H15" i="4" s="1"/>
  <c r="H16" i="4" s="1"/>
  <c r="G6" i="4"/>
  <c r="G8" i="4"/>
  <c r="O11" i="4"/>
  <c r="M11" i="4"/>
  <c r="L11" i="4"/>
  <c r="K11" i="4"/>
  <c r="O6" i="4"/>
  <c r="O8" i="4" s="1"/>
  <c r="N6" i="4"/>
  <c r="N8" i="4" s="1"/>
  <c r="M6" i="4"/>
  <c r="M8" i="4" s="1"/>
  <c r="L6" i="4"/>
  <c r="L8" i="4" s="1"/>
  <c r="K6" i="4"/>
  <c r="K8" i="4" s="1"/>
  <c r="P11" i="4"/>
  <c r="P6" i="4"/>
  <c r="P8" i="4" s="1"/>
  <c r="C12" i="4" l="1"/>
  <c r="C15" i="4" s="1"/>
  <c r="C16" i="4" s="1"/>
  <c r="G12" i="4"/>
  <c r="G15" i="4" s="1"/>
  <c r="G16" i="4" s="1"/>
  <c r="E12" i="4"/>
  <c r="E15" i="4" s="1"/>
  <c r="E16" i="4" s="1"/>
  <c r="I12" i="4"/>
  <c r="I15" i="4" s="1"/>
  <c r="I16" i="4" s="1"/>
  <c r="N11" i="4"/>
  <c r="J11" i="4"/>
  <c r="J12" i="4" s="1"/>
  <c r="J15" i="4" s="1"/>
  <c r="J16" i="4" s="1"/>
  <c r="M12" i="4"/>
  <c r="M15" i="4" s="1"/>
  <c r="M16" i="4" s="1"/>
  <c r="L12" i="4"/>
  <c r="L15" i="4" s="1"/>
  <c r="L16" i="4" s="1"/>
  <c r="N12" i="4"/>
  <c r="N15" i="4" s="1"/>
  <c r="N16" i="4" s="1"/>
  <c r="K12" i="4"/>
  <c r="K15" i="4" s="1"/>
  <c r="K16" i="4" s="1"/>
  <c r="O12" i="4"/>
  <c r="O15" i="4" s="1"/>
  <c r="O16" i="4" s="1"/>
  <c r="P12" i="4"/>
  <c r="P15" i="4" s="1"/>
  <c r="P1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tc={A753CF03-83DF-4897-9B0C-2F037EB684FA}</author>
  </authors>
  <commentList>
    <comment ref="P6" authorId="0" shapeId="0" xr:uid="{A753CF03-83DF-4897-9B0C-2F037EB684F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Launch of  Rezdiffra</t>
      </text>
    </comment>
  </commentList>
</comments>
</file>

<file path=xl/sharedStrings.xml><?xml version="1.0" encoding="utf-8"?>
<sst xmlns="http://schemas.openxmlformats.org/spreadsheetml/2006/main" count="70" uniqueCount="64">
  <si>
    <t>Name</t>
  </si>
  <si>
    <t>Indicatin</t>
  </si>
  <si>
    <t xml:space="preserve">Approved </t>
  </si>
  <si>
    <t>Economics</t>
  </si>
  <si>
    <t>MOA</t>
  </si>
  <si>
    <t>IP</t>
  </si>
  <si>
    <t>Phase</t>
  </si>
  <si>
    <t>Price</t>
  </si>
  <si>
    <t>Shares</t>
  </si>
  <si>
    <t>MC</t>
  </si>
  <si>
    <t>Cash</t>
  </si>
  <si>
    <t>Debt</t>
  </si>
  <si>
    <t>EV</t>
  </si>
  <si>
    <t>https://synapse.patsnap.com/organization/95c2e2b880cdcf25e53ed078a5b24ece</t>
  </si>
  <si>
    <t>Rezdiffra</t>
  </si>
  <si>
    <t>MGL-3196</t>
  </si>
  <si>
    <t>III</t>
  </si>
  <si>
    <t>THR-ß agonist</t>
  </si>
  <si>
    <t>NASH</t>
  </si>
  <si>
    <t>Main</t>
  </si>
  <si>
    <t>Generic</t>
  </si>
  <si>
    <t>Indication</t>
  </si>
  <si>
    <t xml:space="preserve">Clinical Trials </t>
  </si>
  <si>
    <t>Phase 3: "MAESTRO-NASH"</t>
  </si>
  <si>
    <t>https://www.medchemexpress.com/MGL-3196.html?utm_source=google&amp;utm_medium=CPC&amp;utm_campaign=Europe&amp;utm_term=HY-12216&amp;utm_content=MGL-3196&amp;gad_source=1&amp;gclid=Cj0KCQjwiOy1BhDCARIsADGvQnCPxWQ4M-5ERkp-T3XSu8cbUj2mJPbtELyLD_D63KuDzFe8FVhWH08aApMtEALw_wcB</t>
  </si>
  <si>
    <t xml:space="preserve">Resmetiron </t>
  </si>
  <si>
    <t>Clinical Trials</t>
  </si>
  <si>
    <t>Phase 3: "MAESTRO-NAFLD1"</t>
  </si>
  <si>
    <t>Revenue</t>
  </si>
  <si>
    <t>COGS</t>
  </si>
  <si>
    <t>Gross Profit</t>
  </si>
  <si>
    <t xml:space="preserve">R&amp;D </t>
  </si>
  <si>
    <t>SG&amp;A</t>
  </si>
  <si>
    <t>OpEx</t>
  </si>
  <si>
    <t>OpInc</t>
  </si>
  <si>
    <t>Q224</t>
  </si>
  <si>
    <t>Product Revenue, net</t>
  </si>
  <si>
    <t>Q124</t>
  </si>
  <si>
    <t>Q423</t>
  </si>
  <si>
    <t>Q323</t>
  </si>
  <si>
    <t>Q223</t>
  </si>
  <si>
    <t>Q123</t>
  </si>
  <si>
    <t>Interest Income</t>
  </si>
  <si>
    <t>Interest Expense</t>
  </si>
  <si>
    <t>Net Loss</t>
  </si>
  <si>
    <t>EPS</t>
  </si>
  <si>
    <t>in thousands</t>
  </si>
  <si>
    <t>Q422</t>
  </si>
  <si>
    <t>Q322</t>
  </si>
  <si>
    <t>Q222</t>
  </si>
  <si>
    <t>Q122</t>
  </si>
  <si>
    <t>Q421</t>
  </si>
  <si>
    <t>Q321</t>
  </si>
  <si>
    <t>Q221</t>
  </si>
  <si>
    <t>Q121</t>
  </si>
  <si>
    <t>Q420</t>
  </si>
  <si>
    <t>Q324</t>
  </si>
  <si>
    <t>Q424</t>
  </si>
  <si>
    <t>F2024</t>
  </si>
  <si>
    <t>F2023</t>
  </si>
  <si>
    <t>F2022</t>
  </si>
  <si>
    <t>F2021</t>
  </si>
  <si>
    <t>F2020</t>
  </si>
  <si>
    <t>F2019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</si>
</sst>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3" tint="9.9978637043366805E-2"/>
      <name val="Aptos Narrow"/>
      <family val="2"/>
      <scheme val="minor"/>
    </font>
    <font>
      <sz val="11"/>
      <color theme="3" tint="9.9978637043366805E-2"/>
      <name val="Aptos Narrow"/>
      <family val="2"/>
      <scheme val="minor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0" xfId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6" xfId="1" applyBorder="1"/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2" fillId="0" borderId="8" xfId="1" applyBorder="1"/>
    <xf numFmtId="0" fontId="3" fillId="0" borderId="0" xfId="0" applyFont="1"/>
    <xf numFmtId="3" fontId="0" fillId="0" borderId="0" xfId="0" applyNumberFormat="1"/>
    <xf numFmtId="3" fontId="4" fillId="0" borderId="0" xfId="0" applyNumberFormat="1" applyFont="1"/>
    <xf numFmtId="3" fontId="5" fillId="0" borderId="0" xfId="0" applyNumberFormat="1" applyFont="1"/>
    <xf numFmtId="4" fontId="4" fillId="0" borderId="0" xfId="0" applyNumberFormat="1" applyFont="1"/>
    <xf numFmtId="3" fontId="1" fillId="0" borderId="7" xfId="0" applyNumberFormat="1" applyFont="1" applyBorder="1"/>
    <xf numFmtId="3" fontId="1" fillId="0" borderId="9" xfId="0" applyNumberFormat="1" applyFon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3</xdr:row>
      <xdr:rowOff>57150</xdr:rowOff>
    </xdr:from>
    <xdr:to>
      <xdr:col>16</xdr:col>
      <xdr:colOff>38100</xdr:colOff>
      <xdr:row>22</xdr:row>
      <xdr:rowOff>171450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1EC29E89-8AEE-FF8A-C75A-5A94104CF04C}"/>
            </a:ext>
          </a:extLst>
        </xdr:cNvPr>
        <xdr:cNvCxnSpPr/>
      </xdr:nvCxnSpPr>
      <xdr:spPr>
        <a:xfrm>
          <a:off x="12753975" y="628650"/>
          <a:ext cx="9525" cy="3733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38100</xdr:colOff>
      <xdr:row>3</xdr:row>
      <xdr:rowOff>28575</xdr:rowOff>
    </xdr:from>
    <xdr:to>
      <xdr:col>27</xdr:col>
      <xdr:colOff>47625</xdr:colOff>
      <xdr:row>22</xdr:row>
      <xdr:rowOff>142875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116929E9-9DE6-4BEA-A4EB-12D0DC254772}"/>
            </a:ext>
          </a:extLst>
        </xdr:cNvPr>
        <xdr:cNvCxnSpPr/>
      </xdr:nvCxnSpPr>
      <xdr:spPr>
        <a:xfrm>
          <a:off x="19621500" y="600075"/>
          <a:ext cx="9525" cy="3733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orbert Malburg" id="{A6469DF0-5163-4EE3-83AC-F6709567BA6D}" userId="S::malburg@sms-cie.de::ed8233a0-bf81-43a8-8bb1-21c7a1649d27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4-08-13T09:21:50.10" personId="{A6469DF0-5163-4EE3-83AC-F6709567BA6D}" id="{A753CF03-83DF-4897-9B0C-2F037EB684FA}">
    <text>Launch of  Rezdiffra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9B07-11B3-41E2-8E5A-2AB503CE5398}">
  <dimension ref="B3:O25"/>
  <sheetViews>
    <sheetView tabSelected="1" workbookViewId="0">
      <selection activeCell="E11" sqref="E11"/>
    </sheetView>
  </sheetViews>
  <sheetFormatPr baseColWidth="10" defaultRowHeight="15" x14ac:dyDescent="0.25"/>
  <cols>
    <col min="1" max="5" width="11.42578125" style="4"/>
    <col min="6" max="6" width="13.5703125" style="4" bestFit="1" customWidth="1"/>
    <col min="7" max="16384" width="11.42578125" style="4"/>
  </cols>
  <sheetData>
    <row r="3" spans="2:12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</row>
    <row r="4" spans="2:12" x14ac:dyDescent="0.25">
      <c r="B4" s="15" t="s">
        <v>14</v>
      </c>
      <c r="C4" s="16" t="s">
        <v>18</v>
      </c>
      <c r="D4" s="17">
        <v>45539</v>
      </c>
      <c r="E4" s="18"/>
      <c r="F4" s="18" t="s">
        <v>17</v>
      </c>
      <c r="G4" s="8"/>
      <c r="K4" s="5" t="s">
        <v>7</v>
      </c>
      <c r="L4" s="6">
        <v>242.09</v>
      </c>
    </row>
    <row r="5" spans="2:12" x14ac:dyDescent="0.25">
      <c r="B5" s="12"/>
      <c r="C5" s="13"/>
      <c r="D5" s="2" t="s">
        <v>6</v>
      </c>
      <c r="E5" s="13"/>
      <c r="F5" s="13"/>
      <c r="G5" s="14"/>
      <c r="K5" s="7" t="s">
        <v>8</v>
      </c>
      <c r="L5" s="27">
        <f>+Model!P17</f>
        <v>21402.646000000001</v>
      </c>
    </row>
    <row r="6" spans="2:12" x14ac:dyDescent="0.25">
      <c r="B6" s="21" t="s">
        <v>15</v>
      </c>
      <c r="C6" s="19"/>
      <c r="D6" s="20" t="s">
        <v>16</v>
      </c>
      <c r="E6" s="19"/>
      <c r="F6" s="19"/>
      <c r="G6" s="10"/>
      <c r="K6" s="7" t="s">
        <v>9</v>
      </c>
      <c r="L6" s="27">
        <f>+L5*L4</f>
        <v>5181366.5701400004</v>
      </c>
    </row>
    <row r="7" spans="2:12" x14ac:dyDescent="0.25">
      <c r="K7" s="7" t="s">
        <v>10</v>
      </c>
      <c r="L7" s="27">
        <f>494597+5000</f>
        <v>499597</v>
      </c>
    </row>
    <row r="8" spans="2:12" x14ac:dyDescent="0.25">
      <c r="K8" s="7" t="s">
        <v>11</v>
      </c>
      <c r="L8" s="27">
        <f>8994+116607+900</f>
        <v>126501</v>
      </c>
    </row>
    <row r="9" spans="2:12" x14ac:dyDescent="0.25">
      <c r="K9" s="9" t="s">
        <v>12</v>
      </c>
      <c r="L9" s="28">
        <f>+L6-L7+L8</f>
        <v>4808270.5701400004</v>
      </c>
    </row>
    <row r="25" spans="15:15" x14ac:dyDescent="0.25">
      <c r="O25" s="4" t="s">
        <v>13</v>
      </c>
    </row>
  </sheetData>
  <hyperlinks>
    <hyperlink ref="B4" location="Rezdiffra!A1" display="Rezdiffra" xr:uid="{734025BE-886C-4B0F-8992-7BB0400C8EC6}"/>
    <hyperlink ref="B6" location="'MGL-3196'!A1" display="MGL-3196" xr:uid="{558767C4-F4E6-4258-A52C-BE335EE3C5D8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9C5B7-C30B-4945-B1B0-6D474217BB6B}">
  <dimension ref="A2:AB1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5" sqref="D5"/>
    </sheetView>
  </sheetViews>
  <sheetFormatPr baseColWidth="10" defaultRowHeight="15" x14ac:dyDescent="0.25"/>
  <cols>
    <col min="1" max="1" width="19.42578125" style="23" bestFit="1" customWidth="1"/>
    <col min="2" max="19" width="11.42578125" style="23"/>
    <col min="20" max="20" width="0" style="23" hidden="1" customWidth="1"/>
    <col min="21" max="21" width="11.42578125" style="23" hidden="1" customWidth="1"/>
    <col min="22" max="22" width="11.42578125" style="23" customWidth="1"/>
    <col min="23" max="16384" width="11.42578125" style="23"/>
  </cols>
  <sheetData>
    <row r="2" spans="1:28" x14ac:dyDescent="0.25">
      <c r="A2" s="23" t="s">
        <v>46</v>
      </c>
      <c r="B2" s="23" t="s">
        <v>55</v>
      </c>
      <c r="C2" s="23" t="s">
        <v>54</v>
      </c>
      <c r="D2" s="23" t="s">
        <v>53</v>
      </c>
      <c r="E2" s="23" t="s">
        <v>52</v>
      </c>
      <c r="F2" s="23" t="s">
        <v>51</v>
      </c>
      <c r="G2" s="23" t="s">
        <v>50</v>
      </c>
      <c r="H2" s="23" t="s">
        <v>49</v>
      </c>
      <c r="I2" s="23" t="s">
        <v>48</v>
      </c>
      <c r="J2" s="23" t="s">
        <v>47</v>
      </c>
      <c r="K2" s="23" t="s">
        <v>41</v>
      </c>
      <c r="L2" s="23" t="s">
        <v>40</v>
      </c>
      <c r="M2" s="23" t="s">
        <v>39</v>
      </c>
      <c r="N2" s="23" t="s">
        <v>38</v>
      </c>
      <c r="O2" s="23" t="s">
        <v>37</v>
      </c>
      <c r="P2" s="23" t="s">
        <v>35</v>
      </c>
      <c r="Q2" s="23" t="s">
        <v>56</v>
      </c>
      <c r="R2" s="23" t="s">
        <v>57</v>
      </c>
      <c r="W2" s="23" t="s">
        <v>63</v>
      </c>
      <c r="X2" s="23" t="s">
        <v>62</v>
      </c>
      <c r="Y2" s="23" t="s">
        <v>61</v>
      </c>
      <c r="Z2" s="23" t="s">
        <v>60</v>
      </c>
      <c r="AA2" s="23" t="s">
        <v>59</v>
      </c>
      <c r="AB2" s="23" t="s">
        <v>58</v>
      </c>
    </row>
    <row r="5" spans="1:28" x14ac:dyDescent="0.25">
      <c r="A5" s="23" t="s">
        <v>36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14638</v>
      </c>
      <c r="Y5" s="23">
        <f>+SUM(C5:F5)</f>
        <v>0</v>
      </c>
      <c r="Z5" s="23">
        <f>+SUM(G5:J5)</f>
        <v>0</v>
      </c>
      <c r="AA5" s="23">
        <f>+SUM(K5:N5)</f>
        <v>0</v>
      </c>
    </row>
    <row r="6" spans="1:28" s="24" customFormat="1" x14ac:dyDescent="0.25">
      <c r="A6" s="24" t="s">
        <v>28</v>
      </c>
      <c r="B6" s="24">
        <f t="shared" ref="B6" si="0">+B5</f>
        <v>0</v>
      </c>
      <c r="C6" s="24">
        <f t="shared" ref="C6" si="1">+C5</f>
        <v>0</v>
      </c>
      <c r="D6" s="24">
        <f t="shared" ref="D6:E6" si="2">+D5</f>
        <v>0</v>
      </c>
      <c r="E6" s="24">
        <f t="shared" si="2"/>
        <v>0</v>
      </c>
      <c r="F6" s="24">
        <f t="shared" ref="F6" si="3">+F5</f>
        <v>0</v>
      </c>
      <c r="G6" s="24">
        <f t="shared" ref="G6" si="4">+G5</f>
        <v>0</v>
      </c>
      <c r="H6" s="24">
        <f t="shared" ref="H6" si="5">+H5</f>
        <v>0</v>
      </c>
      <c r="I6" s="24">
        <f t="shared" ref="I6" si="6">+I5</f>
        <v>0</v>
      </c>
      <c r="J6" s="24">
        <f t="shared" ref="J6" si="7">+J5</f>
        <v>0</v>
      </c>
      <c r="K6" s="24">
        <f t="shared" ref="K6:O6" si="8">+K5</f>
        <v>0</v>
      </c>
      <c r="L6" s="24">
        <f t="shared" si="8"/>
        <v>0</v>
      </c>
      <c r="M6" s="24">
        <f t="shared" si="8"/>
        <v>0</v>
      </c>
      <c r="N6" s="24">
        <f t="shared" si="8"/>
        <v>0</v>
      </c>
      <c r="O6" s="24">
        <f t="shared" si="8"/>
        <v>0</v>
      </c>
      <c r="P6" s="24">
        <f>+P5</f>
        <v>14638</v>
      </c>
      <c r="Y6" s="24">
        <f t="shared" ref="Y6:Y17" si="9">+SUM(C6:F6)</f>
        <v>0</v>
      </c>
      <c r="Z6" s="24">
        <f t="shared" ref="Z6:Z17" si="10">+SUM(G6:J6)</f>
        <v>0</v>
      </c>
      <c r="AA6" s="24">
        <f t="shared" ref="AA6:AA17" si="11">+SUM(K6:N6)</f>
        <v>0</v>
      </c>
    </row>
    <row r="7" spans="1:28" x14ac:dyDescent="0.25">
      <c r="A7" s="23" t="s">
        <v>29</v>
      </c>
      <c r="B7" s="23">
        <v>0</v>
      </c>
      <c r="C7" s="23">
        <v>0</v>
      </c>
      <c r="D7" s="23">
        <v>0</v>
      </c>
      <c r="E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636</v>
      </c>
      <c r="Y7" s="23">
        <f t="shared" si="9"/>
        <v>0</v>
      </c>
      <c r="Z7" s="23">
        <f t="shared" si="10"/>
        <v>0</v>
      </c>
      <c r="AA7" s="23">
        <f t="shared" si="11"/>
        <v>0</v>
      </c>
    </row>
    <row r="8" spans="1:28" s="25" customFormat="1" x14ac:dyDescent="0.25">
      <c r="A8" s="25" t="s">
        <v>30</v>
      </c>
      <c r="B8" s="25">
        <f t="shared" ref="B8" si="12">+B6-B7</f>
        <v>0</v>
      </c>
      <c r="C8" s="25">
        <f t="shared" ref="C8" si="13">+C6-C7</f>
        <v>0</v>
      </c>
      <c r="D8" s="25">
        <f t="shared" ref="D8:E8" si="14">+D6-D7</f>
        <v>0</v>
      </c>
      <c r="E8" s="25">
        <f t="shared" si="14"/>
        <v>0</v>
      </c>
      <c r="F8" s="25">
        <f t="shared" ref="F8" si="15">+F6-F7</f>
        <v>0</v>
      </c>
      <c r="G8" s="25">
        <f t="shared" ref="G8" si="16">+G6-G7</f>
        <v>0</v>
      </c>
      <c r="H8" s="25">
        <f t="shared" ref="H8" si="17">+H6-H7</f>
        <v>0</v>
      </c>
      <c r="I8" s="25">
        <f t="shared" ref="I8" si="18">+I6-I7</f>
        <v>0</v>
      </c>
      <c r="J8" s="25">
        <f t="shared" ref="J8" si="19">+J6-J7</f>
        <v>0</v>
      </c>
      <c r="K8" s="25">
        <f t="shared" ref="K8:O8" si="20">+K6-K7</f>
        <v>0</v>
      </c>
      <c r="L8" s="25">
        <f t="shared" si="20"/>
        <v>0</v>
      </c>
      <c r="M8" s="25">
        <f t="shared" si="20"/>
        <v>0</v>
      </c>
      <c r="N8" s="25">
        <f t="shared" si="20"/>
        <v>0</v>
      </c>
      <c r="O8" s="25">
        <f t="shared" si="20"/>
        <v>0</v>
      </c>
      <c r="P8" s="25">
        <f>+P6-P7</f>
        <v>14002</v>
      </c>
      <c r="Y8" s="25">
        <f t="shared" si="9"/>
        <v>0</v>
      </c>
      <c r="Z8" s="25">
        <f t="shared" si="10"/>
        <v>0</v>
      </c>
      <c r="AA8" s="25">
        <f t="shared" si="11"/>
        <v>0</v>
      </c>
    </row>
    <row r="9" spans="1:28" x14ac:dyDescent="0.25">
      <c r="A9" s="23" t="s">
        <v>31</v>
      </c>
      <c r="C9" s="23">
        <v>45770</v>
      </c>
      <c r="D9" s="23">
        <v>51632</v>
      </c>
      <c r="E9" s="23">
        <v>54873</v>
      </c>
      <c r="G9" s="23">
        <v>47929</v>
      </c>
      <c r="H9" s="23">
        <v>58449</v>
      </c>
      <c r="I9" s="23">
        <v>68271</v>
      </c>
      <c r="J9" s="23">
        <f>245441-I9-H9-G9</f>
        <v>70792</v>
      </c>
      <c r="K9" s="23">
        <v>62154</v>
      </c>
      <c r="L9" s="23">
        <v>68605</v>
      </c>
      <c r="M9" s="23">
        <v>70951</v>
      </c>
      <c r="N9" s="23">
        <f>272350-M9-L9-K9</f>
        <v>70640</v>
      </c>
      <c r="O9" s="23">
        <v>71237</v>
      </c>
      <c r="P9" s="23">
        <v>71091</v>
      </c>
      <c r="Y9" s="23">
        <f t="shared" si="9"/>
        <v>152275</v>
      </c>
      <c r="Z9" s="23">
        <f t="shared" si="10"/>
        <v>245441</v>
      </c>
      <c r="AA9" s="23">
        <f>+SUM(K9:N9)</f>
        <v>272350</v>
      </c>
    </row>
    <row r="10" spans="1:28" x14ac:dyDescent="0.25">
      <c r="A10" s="23" t="s">
        <v>32</v>
      </c>
      <c r="C10" s="23">
        <v>7209</v>
      </c>
      <c r="D10" s="23">
        <v>10110</v>
      </c>
      <c r="E10" s="23">
        <v>8287</v>
      </c>
      <c r="G10" s="23">
        <v>9658</v>
      </c>
      <c r="H10" s="23">
        <v>11774</v>
      </c>
      <c r="I10" s="23">
        <v>12141</v>
      </c>
      <c r="J10" s="23">
        <f>48130-I10-H10-G10</f>
        <v>14557</v>
      </c>
      <c r="K10" s="23">
        <v>16182</v>
      </c>
      <c r="L10" s="23">
        <v>17845</v>
      </c>
      <c r="M10" s="23">
        <v>27583</v>
      </c>
      <c r="N10" s="23">
        <f>108146-M10-K10-L10</f>
        <v>46536</v>
      </c>
      <c r="O10" s="23">
        <v>80800</v>
      </c>
      <c r="P10" s="23">
        <v>105448</v>
      </c>
      <c r="Y10" s="23">
        <f t="shared" si="9"/>
        <v>25606</v>
      </c>
      <c r="Z10" s="23">
        <f t="shared" si="10"/>
        <v>48130</v>
      </c>
      <c r="AA10" s="23">
        <f>+SUM(K10:N10)</f>
        <v>108146</v>
      </c>
    </row>
    <row r="11" spans="1:28" s="25" customFormat="1" x14ac:dyDescent="0.25">
      <c r="A11" s="25" t="s">
        <v>33</v>
      </c>
      <c r="B11" s="25">
        <f t="shared" ref="B11" si="21">+B9+B10</f>
        <v>0</v>
      </c>
      <c r="C11" s="25">
        <f t="shared" ref="C11" si="22">+C9+C10</f>
        <v>52979</v>
      </c>
      <c r="D11" s="25">
        <f t="shared" ref="D11:E11" si="23">+D9+D10</f>
        <v>61742</v>
      </c>
      <c r="E11" s="25">
        <f t="shared" si="23"/>
        <v>63160</v>
      </c>
      <c r="F11" s="25">
        <f t="shared" ref="F11" si="24">+F9+F10</f>
        <v>0</v>
      </c>
      <c r="G11" s="25">
        <f t="shared" ref="G11" si="25">+G9+G10</f>
        <v>57587</v>
      </c>
      <c r="H11" s="25">
        <f t="shared" ref="H11" si="26">+H9+H10</f>
        <v>70223</v>
      </c>
      <c r="I11" s="25">
        <f t="shared" ref="I11" si="27">+I9+I10</f>
        <v>80412</v>
      </c>
      <c r="J11" s="25">
        <f t="shared" ref="J11" si="28">+J9+J10</f>
        <v>85349</v>
      </c>
      <c r="K11" s="25">
        <f t="shared" ref="K11:O11" si="29">+K9+K10</f>
        <v>78336</v>
      </c>
      <c r="L11" s="25">
        <f t="shared" si="29"/>
        <v>86450</v>
      </c>
      <c r="M11" s="25">
        <f t="shared" si="29"/>
        <v>98534</v>
      </c>
      <c r="N11" s="25">
        <f t="shared" si="29"/>
        <v>117176</v>
      </c>
      <c r="O11" s="25">
        <f t="shared" si="29"/>
        <v>152037</v>
      </c>
      <c r="P11" s="25">
        <f>+P9+P10</f>
        <v>176539</v>
      </c>
      <c r="Y11" s="25">
        <f t="shared" si="9"/>
        <v>177881</v>
      </c>
      <c r="Z11" s="25">
        <f t="shared" si="10"/>
        <v>293571</v>
      </c>
      <c r="AA11" s="25">
        <f>+SUM(K11:N11)</f>
        <v>380496</v>
      </c>
    </row>
    <row r="12" spans="1:28" s="25" customFormat="1" x14ac:dyDescent="0.25">
      <c r="A12" s="25" t="s">
        <v>34</v>
      </c>
      <c r="B12" s="25">
        <f t="shared" ref="B12" si="30">+B8-B11</f>
        <v>0</v>
      </c>
      <c r="C12" s="25">
        <f t="shared" ref="C12" si="31">+C8-C11</f>
        <v>-52979</v>
      </c>
      <c r="D12" s="25">
        <f t="shared" ref="D12:E12" si="32">+D8-D11</f>
        <v>-61742</v>
      </c>
      <c r="E12" s="25">
        <f t="shared" si="32"/>
        <v>-63160</v>
      </c>
      <c r="F12" s="25">
        <f t="shared" ref="F12" si="33">+F8-F11</f>
        <v>0</v>
      </c>
      <c r="G12" s="25">
        <f t="shared" ref="G12" si="34">+G8-G11</f>
        <v>-57587</v>
      </c>
      <c r="H12" s="25">
        <f t="shared" ref="H12" si="35">+H8-H11</f>
        <v>-70223</v>
      </c>
      <c r="I12" s="25">
        <f t="shared" ref="I12" si="36">+I8-I11</f>
        <v>-80412</v>
      </c>
      <c r="J12" s="25">
        <f t="shared" ref="J12" si="37">+J8-J11</f>
        <v>-85349</v>
      </c>
      <c r="K12" s="25">
        <f t="shared" ref="K12:O12" si="38">+K8-K11</f>
        <v>-78336</v>
      </c>
      <c r="L12" s="25">
        <f t="shared" si="38"/>
        <v>-86450</v>
      </c>
      <c r="M12" s="25">
        <f t="shared" si="38"/>
        <v>-98534</v>
      </c>
      <c r="N12" s="25">
        <f t="shared" si="38"/>
        <v>-117176</v>
      </c>
      <c r="O12" s="25">
        <f t="shared" si="38"/>
        <v>-152037</v>
      </c>
      <c r="P12" s="25">
        <f>+P8-P11</f>
        <v>-162537</v>
      </c>
      <c r="Y12" s="25">
        <f t="shared" si="9"/>
        <v>-177881</v>
      </c>
      <c r="Z12" s="25">
        <f t="shared" si="10"/>
        <v>-293571</v>
      </c>
      <c r="AA12" s="25">
        <f>+SUM(K12:N12)</f>
        <v>-380496</v>
      </c>
    </row>
    <row r="13" spans="1:28" x14ac:dyDescent="0.25">
      <c r="A13" s="23" t="s">
        <v>42</v>
      </c>
      <c r="C13" s="23">
        <v>160</v>
      </c>
      <c r="D13" s="23">
        <v>91</v>
      </c>
      <c r="E13" s="23">
        <v>60</v>
      </c>
      <c r="G13" s="23">
        <v>69</v>
      </c>
      <c r="H13" s="23">
        <v>323</v>
      </c>
      <c r="I13" s="23">
        <v>717</v>
      </c>
      <c r="J13" s="23">
        <f>2185-I13-H13-G13</f>
        <v>1076</v>
      </c>
      <c r="K13" s="23">
        <v>3776</v>
      </c>
      <c r="L13" s="23">
        <v>3551</v>
      </c>
      <c r="M13" s="23">
        <v>3298</v>
      </c>
      <c r="N13" s="23">
        <f>19578-M13-L13-K13</f>
        <v>8953</v>
      </c>
      <c r="O13" s="23">
        <v>8334</v>
      </c>
      <c r="P13" s="23">
        <v>14222</v>
      </c>
      <c r="Y13" s="23">
        <f t="shared" si="9"/>
        <v>311</v>
      </c>
      <c r="Z13" s="23">
        <f t="shared" si="10"/>
        <v>2185</v>
      </c>
      <c r="AA13" s="23">
        <f>+SUM(K13:N13)</f>
        <v>19578</v>
      </c>
    </row>
    <row r="14" spans="1:28" x14ac:dyDescent="0.25">
      <c r="A14" s="23" t="s">
        <v>43</v>
      </c>
      <c r="C14" s="23">
        <v>273</v>
      </c>
      <c r="D14" s="23">
        <v>0</v>
      </c>
      <c r="E14" s="23">
        <v>0</v>
      </c>
      <c r="G14" s="23">
        <v>0</v>
      </c>
      <c r="H14" s="23">
        <v>-780</v>
      </c>
      <c r="I14" s="23">
        <v>-1502</v>
      </c>
      <c r="J14" s="23">
        <f>-3964-I14-H14-G14</f>
        <v>-1682</v>
      </c>
      <c r="K14" s="23">
        <v>-2336</v>
      </c>
      <c r="L14" s="23">
        <v>-2901</v>
      </c>
      <c r="M14" s="23">
        <v>-3504</v>
      </c>
      <c r="N14" s="23">
        <f>-17712-M14-L14-K14</f>
        <v>-8971</v>
      </c>
      <c r="O14" s="23">
        <v>-3838</v>
      </c>
      <c r="P14" s="23">
        <v>-3656</v>
      </c>
      <c r="Y14" s="23">
        <f t="shared" si="9"/>
        <v>273</v>
      </c>
      <c r="Z14" s="23">
        <f t="shared" si="10"/>
        <v>-3964</v>
      </c>
      <c r="AA14" s="23">
        <f>+SUM(K14:N14)</f>
        <v>-17712</v>
      </c>
    </row>
    <row r="15" spans="1:28" s="24" customFormat="1" x14ac:dyDescent="0.25">
      <c r="A15" s="24" t="s">
        <v>44</v>
      </c>
      <c r="B15" s="24">
        <f t="shared" ref="B15" si="39">+B12+B13+B14</f>
        <v>0</v>
      </c>
      <c r="C15" s="24">
        <f t="shared" ref="C15" si="40">+C12+C13+C14</f>
        <v>-52546</v>
      </c>
      <c r="D15" s="24">
        <f t="shared" ref="D15:E15" si="41">+D12+D13+D14</f>
        <v>-61651</v>
      </c>
      <c r="E15" s="24">
        <f t="shared" si="41"/>
        <v>-63100</v>
      </c>
      <c r="F15" s="24">
        <f t="shared" ref="F15" si="42">+F12+F13+F14</f>
        <v>0</v>
      </c>
      <c r="G15" s="24">
        <f t="shared" ref="G15" si="43">+G12+G13+G14</f>
        <v>-57518</v>
      </c>
      <c r="H15" s="24">
        <f t="shared" ref="H15" si="44">+H12+H13+H14</f>
        <v>-70680</v>
      </c>
      <c r="I15" s="24">
        <f t="shared" ref="I15" si="45">+I12+I13+I14</f>
        <v>-81197</v>
      </c>
      <c r="J15" s="24">
        <f t="shared" ref="J15" si="46">+J12+J13+J14</f>
        <v>-85955</v>
      </c>
      <c r="K15" s="24">
        <f t="shared" ref="K15:P15" si="47">+K12+K13+K14</f>
        <v>-76896</v>
      </c>
      <c r="L15" s="24">
        <f t="shared" si="47"/>
        <v>-85800</v>
      </c>
      <c r="M15" s="24">
        <f t="shared" si="47"/>
        <v>-98740</v>
      </c>
      <c r="N15" s="24">
        <f t="shared" si="47"/>
        <v>-117194</v>
      </c>
      <c r="O15" s="24">
        <f t="shared" si="47"/>
        <v>-147541</v>
      </c>
      <c r="P15" s="24">
        <f t="shared" si="47"/>
        <v>-151971</v>
      </c>
      <c r="Y15" s="24">
        <f t="shared" si="9"/>
        <v>-177297</v>
      </c>
      <c r="Z15" s="24">
        <f t="shared" si="10"/>
        <v>-295350</v>
      </c>
      <c r="AA15" s="24">
        <f>+SUM(K15:N15)</f>
        <v>-378630</v>
      </c>
    </row>
    <row r="16" spans="1:28" s="26" customFormat="1" x14ac:dyDescent="0.25">
      <c r="A16" s="26" t="s">
        <v>45</v>
      </c>
      <c r="B16" s="26" t="e">
        <f t="shared" ref="B16" si="48">+B15/B17</f>
        <v>#DIV/0!</v>
      </c>
      <c r="C16" s="26">
        <f t="shared" ref="C16" si="49">+C15/C17</f>
        <v>-3.3172140023475416</v>
      </c>
      <c r="D16" s="26">
        <f t="shared" ref="D16:E16" si="50">+D15/D17</f>
        <v>-3.6046059861214688</v>
      </c>
      <c r="E16" s="26">
        <f t="shared" si="50"/>
        <v>-3.7921183554393996</v>
      </c>
      <c r="F16" s="26" t="e">
        <f t="shared" ref="F16" si="51">+F15/F17</f>
        <v>#DIV/0!</v>
      </c>
      <c r="G16" s="26">
        <f t="shared" ref="G16" si="52">+G15/G17</f>
        <v>-3.3629580559882992</v>
      </c>
      <c r="H16" s="26">
        <f t="shared" ref="H16" si="53">+H15/H17</f>
        <v>-4.1325128724443303</v>
      </c>
      <c r="I16" s="26">
        <f t="shared" ref="I16" si="54">+I15/I17</f>
        <v>-4.7474200297660198</v>
      </c>
      <c r="J16" s="26">
        <f t="shared" ref="J16" si="55">+J15/J17</f>
        <v>-5.0156965539471701</v>
      </c>
      <c r="K16" s="26">
        <f t="shared" ref="K16:O16" si="56">+K15/K17</f>
        <v>-4.2278601999876404</v>
      </c>
      <c r="L16" s="26">
        <f t="shared" si="56"/>
        <v>-4.6857203273756598</v>
      </c>
      <c r="M16" s="26">
        <f t="shared" si="56"/>
        <v>-5.344110605012423</v>
      </c>
      <c r="N16" s="26">
        <f t="shared" si="56"/>
        <v>-6.2711588870884247</v>
      </c>
      <c r="O16" s="26">
        <f t="shared" si="56"/>
        <v>-7.3764713158252739</v>
      </c>
      <c r="P16" s="26">
        <f>+P15/P17</f>
        <v>-7.1005706490683442</v>
      </c>
      <c r="Y16" s="24" t="e">
        <f t="shared" si="9"/>
        <v>#DIV/0!</v>
      </c>
      <c r="Z16" s="24">
        <f t="shared" si="10"/>
        <v>-17.258587512145819</v>
      </c>
      <c r="AA16" s="24">
        <f>+SUM(K16:N16)</f>
        <v>-20.528850019464148</v>
      </c>
    </row>
    <row r="17" spans="1:27" x14ac:dyDescent="0.25">
      <c r="A17" s="23" t="s">
        <v>8</v>
      </c>
      <c r="C17" s="23">
        <v>15840.401</v>
      </c>
      <c r="D17" s="23">
        <v>17103.395</v>
      </c>
      <c r="E17" s="23">
        <v>16639.776000000002</v>
      </c>
      <c r="G17" s="23">
        <v>17103.395</v>
      </c>
      <c r="H17" s="23">
        <v>17103.395</v>
      </c>
      <c r="I17" s="23">
        <v>17103.395</v>
      </c>
      <c r="J17" s="23">
        <v>17137.201000000001</v>
      </c>
      <c r="K17" s="23">
        <v>18187.923999999999</v>
      </c>
      <c r="L17" s="23">
        <v>18310.952000000001</v>
      </c>
      <c r="M17" s="23">
        <v>18476.414000000001</v>
      </c>
      <c r="N17" s="23">
        <v>18687.774000000001</v>
      </c>
      <c r="O17" s="23">
        <v>20001.569</v>
      </c>
      <c r="P17" s="23">
        <v>21402.646000000001</v>
      </c>
      <c r="Y17" s="23">
        <f>+AVERAGE(C17:F17)</f>
        <v>16527.857333333333</v>
      </c>
      <c r="Z17" s="23">
        <f>+AVERAGE(G17:J17)</f>
        <v>17111.8465</v>
      </c>
      <c r="AA17" s="23">
        <f>+AVERAGE(K17:N17)</f>
        <v>18415.766000000003</v>
      </c>
    </row>
  </sheetData>
  <pageMargins left="0.7" right="0.7" top="0.78740157499999996" bottom="0.78740157499999996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70F0-19A2-4F41-807E-B427C72DD79E}">
  <dimension ref="A1:C8"/>
  <sheetViews>
    <sheetView workbookViewId="0">
      <selection activeCell="G14" sqref="G14"/>
    </sheetView>
  </sheetViews>
  <sheetFormatPr baseColWidth="10" defaultRowHeight="15" x14ac:dyDescent="0.25"/>
  <cols>
    <col min="1" max="1" width="5.42578125" bestFit="1" customWidth="1"/>
  </cols>
  <sheetData>
    <row r="1" spans="1:3" x14ac:dyDescent="0.25">
      <c r="A1" s="11" t="s">
        <v>19</v>
      </c>
    </row>
    <row r="3" spans="1:3" x14ac:dyDescent="0.25">
      <c r="B3" t="s">
        <v>0</v>
      </c>
      <c r="C3" t="s">
        <v>15</v>
      </c>
    </row>
    <row r="4" spans="1:3" x14ac:dyDescent="0.25">
      <c r="B4" t="s">
        <v>20</v>
      </c>
      <c r="C4" t="s">
        <v>25</v>
      </c>
    </row>
    <row r="6" spans="1:3" x14ac:dyDescent="0.25">
      <c r="B6" t="s">
        <v>26</v>
      </c>
    </row>
    <row r="8" spans="1:3" x14ac:dyDescent="0.25">
      <c r="C8" s="22" t="s">
        <v>27</v>
      </c>
    </row>
  </sheetData>
  <hyperlinks>
    <hyperlink ref="A1" location="Main!A1" display="Main" xr:uid="{9B371661-8090-49A3-A586-365DCB94D4AA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E2A3-69CC-48EE-B1C9-EEDCAD8891B5}">
  <dimension ref="A1:H18"/>
  <sheetViews>
    <sheetView workbookViewId="0">
      <selection activeCell="G6" sqref="G6"/>
    </sheetView>
  </sheetViews>
  <sheetFormatPr baseColWidth="10" defaultRowHeight="15" x14ac:dyDescent="0.25"/>
  <cols>
    <col min="1" max="1" width="5.42578125" bestFit="1" customWidth="1"/>
  </cols>
  <sheetData>
    <row r="1" spans="1:4" x14ac:dyDescent="0.25">
      <c r="A1" s="11" t="s">
        <v>19</v>
      </c>
    </row>
    <row r="3" spans="1:4" x14ac:dyDescent="0.25">
      <c r="C3" t="s">
        <v>0</v>
      </c>
    </row>
    <row r="4" spans="1:4" x14ac:dyDescent="0.25">
      <c r="C4" t="s">
        <v>20</v>
      </c>
    </row>
    <row r="5" spans="1:4" x14ac:dyDescent="0.25">
      <c r="C5" t="s">
        <v>21</v>
      </c>
    </row>
    <row r="9" spans="1:4" x14ac:dyDescent="0.25">
      <c r="C9" t="s">
        <v>22</v>
      </c>
    </row>
    <row r="11" spans="1:4" x14ac:dyDescent="0.25">
      <c r="D11" s="22" t="s">
        <v>23</v>
      </c>
    </row>
    <row r="18" spans="8:8" x14ac:dyDescent="0.25">
      <c r="H18" t="s">
        <v>24</v>
      </c>
    </row>
  </sheetData>
  <hyperlinks>
    <hyperlink ref="A1" location="Main!A1" display="Main" xr:uid="{E3511CBF-8E25-49A4-A4AA-7645FE5DB91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Main</vt:lpstr>
      <vt:lpstr>Model</vt:lpstr>
      <vt:lpstr>MGL-3196</vt:lpstr>
      <vt:lpstr>Rezdiffra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 Malburg</dc:creator>
  <cp:lastModifiedBy>Norbert Malburg</cp:lastModifiedBy>
  <dcterms:created xsi:type="dcterms:W3CDTF">2024-08-13T08:18:46Z</dcterms:created>
  <dcterms:modified xsi:type="dcterms:W3CDTF">2024-08-13T09:25:05Z</dcterms:modified>
</cp:coreProperties>
</file>