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lburg\Desktop\LXRX - Lexicon Pharmaceuticals Inc\"/>
    </mc:Choice>
  </mc:AlternateContent>
  <xr:revisionPtr revIDLastSave="0" documentId="13_ncr:1_{B69EE5C5-2B15-4E41-82EE-393CB29F1138}" xr6:coauthVersionLast="47" xr6:coauthVersionMax="47" xr10:uidLastSave="{00000000-0000-0000-0000-000000000000}"/>
  <bookViews>
    <workbookView xWindow="855" yWindow="525" windowWidth="27165" windowHeight="14970" xr2:uid="{9E948B05-6B2E-4361-950E-7AA546655F08}"/>
  </bookViews>
  <sheets>
    <sheet name="Main" sheetId="1" r:id="rId1"/>
    <sheet name="Model" sheetId="2" r:id="rId2"/>
    <sheet name="LX9211" sheetId="3" r:id="rId3"/>
    <sheet name="Sotagliflozin" sheetId="6" r:id="rId4"/>
    <sheet name="Inpefa" sheetId="4" r:id="rId5"/>
    <sheet name="Literatur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9" i="2" l="1"/>
  <c r="P19" i="2"/>
  <c r="N19" i="2"/>
  <c r="M19" i="2"/>
  <c r="L19" i="2"/>
  <c r="K19" i="2"/>
  <c r="J19" i="2"/>
  <c r="I19" i="2"/>
  <c r="H19" i="2"/>
  <c r="G19" i="2"/>
  <c r="F19" i="2"/>
  <c r="E19" i="2"/>
  <c r="Q19" i="2"/>
  <c r="M7" i="1"/>
  <c r="M8" i="1"/>
  <c r="M5" i="1"/>
  <c r="M6" i="1" s="1"/>
  <c r="M9" i="1" s="1"/>
  <c r="N22" i="2"/>
  <c r="I22" i="2"/>
  <c r="K21" i="2"/>
  <c r="G21" i="2"/>
  <c r="V17" i="2"/>
  <c r="W17" i="2"/>
  <c r="X17" i="2"/>
  <c r="X14" i="2"/>
  <c r="X13" i="2"/>
  <c r="X10" i="2"/>
  <c r="X9" i="2"/>
  <c r="X7" i="2"/>
  <c r="X5" i="2"/>
  <c r="X4" i="2"/>
  <c r="U17" i="2"/>
  <c r="V13" i="2"/>
  <c r="V7" i="2"/>
  <c r="U7" i="2"/>
  <c r="U4" i="2"/>
  <c r="V4" i="2"/>
  <c r="F11" i="2"/>
  <c r="F6" i="2"/>
  <c r="F8" i="2" s="1"/>
  <c r="G14" i="2"/>
  <c r="U14" i="2" s="1"/>
  <c r="G13" i="2"/>
  <c r="U13" i="2" s="1"/>
  <c r="G10" i="2"/>
  <c r="U10" i="2" s="1"/>
  <c r="G9" i="2"/>
  <c r="U9" i="2" s="1"/>
  <c r="G5" i="2"/>
  <c r="G6" i="2" s="1"/>
  <c r="K14" i="2"/>
  <c r="V14" i="2" s="1"/>
  <c r="K13" i="2"/>
  <c r="K10" i="2"/>
  <c r="V10" i="2" s="1"/>
  <c r="K9" i="2"/>
  <c r="V9" i="2" s="1"/>
  <c r="K5" i="2"/>
  <c r="K6" i="2" s="1"/>
  <c r="K8" i="2" s="1"/>
  <c r="E11" i="2"/>
  <c r="E6" i="2"/>
  <c r="E8" i="2" s="1"/>
  <c r="I11" i="2"/>
  <c r="I6" i="2"/>
  <c r="I21" i="2" s="1"/>
  <c r="D11" i="2"/>
  <c r="D6" i="2"/>
  <c r="D12" i="2" s="1"/>
  <c r="D15" i="2" s="1"/>
  <c r="D16" i="2" s="1"/>
  <c r="H11" i="2"/>
  <c r="H6" i="2"/>
  <c r="H22" i="2" s="1"/>
  <c r="O14" i="2"/>
  <c r="W14" i="2" s="1"/>
  <c r="O13" i="2"/>
  <c r="W13" i="2" s="1"/>
  <c r="O10" i="2"/>
  <c r="W10" i="2" s="1"/>
  <c r="O9" i="2"/>
  <c r="W9" i="2" s="1"/>
  <c r="O7" i="2"/>
  <c r="W7" i="2" s="1"/>
  <c r="O5" i="2"/>
  <c r="W5" i="2" s="1"/>
  <c r="O4" i="2"/>
  <c r="W4" i="2" s="1"/>
  <c r="J11" i="2"/>
  <c r="J6" i="2"/>
  <c r="J22" i="2" s="1"/>
  <c r="N11" i="2"/>
  <c r="N6" i="2"/>
  <c r="N21" i="2" s="1"/>
  <c r="L11" i="2"/>
  <c r="L6" i="2"/>
  <c r="L22" i="2" s="1"/>
  <c r="P11" i="2"/>
  <c r="P6" i="2"/>
  <c r="P22" i="2" s="1"/>
  <c r="M11" i="2"/>
  <c r="M6" i="2"/>
  <c r="M21" i="2" s="1"/>
  <c r="Q11" i="2"/>
  <c r="Q6" i="2"/>
  <c r="Q21" i="2" s="1"/>
  <c r="K20" i="2" l="1"/>
  <c r="V5" i="2"/>
  <c r="X11" i="2"/>
  <c r="Q20" i="2"/>
  <c r="Q22" i="2"/>
  <c r="G22" i="2"/>
  <c r="V11" i="2"/>
  <c r="J20" i="2"/>
  <c r="N20" i="2"/>
  <c r="F21" i="2"/>
  <c r="J21" i="2"/>
  <c r="E22" i="2"/>
  <c r="M22" i="2"/>
  <c r="F22" i="2"/>
  <c r="H8" i="2"/>
  <c r="V8" i="2" s="1"/>
  <c r="H20" i="2"/>
  <c r="L20" i="2"/>
  <c r="P20" i="2"/>
  <c r="U6" i="2"/>
  <c r="X6" i="2"/>
  <c r="D21" i="2"/>
  <c r="H21" i="2"/>
  <c r="L21" i="2"/>
  <c r="P21" i="2"/>
  <c r="K22" i="2"/>
  <c r="O6" i="2"/>
  <c r="W6" i="2" s="1"/>
  <c r="W20" i="2" s="1"/>
  <c r="H12" i="2"/>
  <c r="K11" i="2"/>
  <c r="I20" i="2"/>
  <c r="M20" i="2"/>
  <c r="U5" i="2"/>
  <c r="V6" i="2"/>
  <c r="E21" i="2"/>
  <c r="D22" i="2"/>
  <c r="F12" i="2"/>
  <c r="F15" i="2" s="1"/>
  <c r="F16" i="2" s="1"/>
  <c r="U16" i="2" s="1"/>
  <c r="E12" i="2"/>
  <c r="E15" i="2" s="1"/>
  <c r="E16" i="2" s="1"/>
  <c r="G11" i="2"/>
  <c r="G12" i="2" s="1"/>
  <c r="G15" i="2" s="1"/>
  <c r="G16" i="2" s="1"/>
  <c r="G8" i="2"/>
  <c r="K12" i="2"/>
  <c r="K15" i="2" s="1"/>
  <c r="K16" i="2" s="1"/>
  <c r="I12" i="2"/>
  <c r="I15" i="2" s="1"/>
  <c r="I16" i="2" s="1"/>
  <c r="I8" i="2"/>
  <c r="D8" i="2"/>
  <c r="U8" i="2" s="1"/>
  <c r="O11" i="2"/>
  <c r="O12" i="2" s="1"/>
  <c r="O15" i="2" s="1"/>
  <c r="O16" i="2" s="1"/>
  <c r="J12" i="2"/>
  <c r="J15" i="2" s="1"/>
  <c r="J16" i="2" s="1"/>
  <c r="J8" i="2"/>
  <c r="N12" i="2"/>
  <c r="N15" i="2" s="1"/>
  <c r="N16" i="2" s="1"/>
  <c r="Q12" i="2"/>
  <c r="Q15" i="2" s="1"/>
  <c r="Q16" i="2" s="1"/>
  <c r="P12" i="2"/>
  <c r="N8" i="2"/>
  <c r="L12" i="2"/>
  <c r="L8" i="2"/>
  <c r="Q8" i="2"/>
  <c r="P8" i="2"/>
  <c r="X8" i="2" s="1"/>
  <c r="M12" i="2"/>
  <c r="M15" i="2" s="1"/>
  <c r="M16" i="2" s="1"/>
  <c r="M8" i="2"/>
  <c r="V20" i="2" l="1"/>
  <c r="X20" i="2"/>
  <c r="L15" i="2"/>
  <c r="W12" i="2"/>
  <c r="H15" i="2"/>
  <c r="V12" i="2"/>
  <c r="O22" i="2"/>
  <c r="O21" i="2"/>
  <c r="O20" i="2"/>
  <c r="P15" i="2"/>
  <c r="X12" i="2"/>
  <c r="U15" i="2"/>
  <c r="W11" i="2"/>
  <c r="O8" i="2"/>
  <c r="W8" i="2" s="1"/>
  <c r="U12" i="2"/>
  <c r="U11" i="2"/>
  <c r="H16" i="2" l="1"/>
  <c r="V16" i="2" s="1"/>
  <c r="V15" i="2"/>
  <c r="L16" i="2"/>
  <c r="W16" i="2" s="1"/>
  <c r="W15" i="2"/>
  <c r="P16" i="2"/>
  <c r="X16" i="2" s="1"/>
  <c r="X1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tc={3B3A586C-491A-4A6F-89E2-5B51E3325837}</author>
  </authors>
  <commentList>
    <comment ref="M4" authorId="0" shapeId="0" xr:uid="{3B3A586C-491A-4A6F-89E2-5B51E3325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Launch of Inpefa</t>
      </text>
    </comment>
  </commentList>
</comments>
</file>

<file path=xl/sharedStrings.xml><?xml version="1.0" encoding="utf-8"?>
<sst xmlns="http://schemas.openxmlformats.org/spreadsheetml/2006/main" count="178" uniqueCount="156">
  <si>
    <t>Universe</t>
  </si>
  <si>
    <t>Name</t>
  </si>
  <si>
    <t>Brand</t>
  </si>
  <si>
    <t xml:space="preserve">Indication </t>
  </si>
  <si>
    <t xml:space="preserve">Approved </t>
  </si>
  <si>
    <t>Phase</t>
  </si>
  <si>
    <t>Economics</t>
  </si>
  <si>
    <t>MOA</t>
  </si>
  <si>
    <t>IP</t>
  </si>
  <si>
    <t>Inpefa</t>
  </si>
  <si>
    <t>SGLT2/SGLT1</t>
  </si>
  <si>
    <t>HF</t>
  </si>
  <si>
    <t>LX9211</t>
  </si>
  <si>
    <t>DPNP</t>
  </si>
  <si>
    <t>Bristol-Myers Squibb</t>
  </si>
  <si>
    <t>AAK1</t>
  </si>
  <si>
    <t xml:space="preserve">Sotagliflozin </t>
  </si>
  <si>
    <t>T1D</t>
  </si>
  <si>
    <t>III</t>
  </si>
  <si>
    <t>HCM</t>
  </si>
  <si>
    <t>PC</t>
  </si>
  <si>
    <t>Obesity</t>
  </si>
  <si>
    <t>Main</t>
  </si>
  <si>
    <t>Generic</t>
  </si>
  <si>
    <t>Clinical Trials</t>
  </si>
  <si>
    <t xml:space="preserve">sotagliflozin </t>
  </si>
  <si>
    <t>Indication</t>
  </si>
  <si>
    <t xml:space="preserve">Clinical Trials </t>
  </si>
  <si>
    <t>N216203</t>
  </si>
  <si>
    <t>Revenue</t>
  </si>
  <si>
    <t>Expires on 05/26/2028</t>
  </si>
  <si>
    <t xml:space="preserve">Printed </t>
  </si>
  <si>
    <t>Read</t>
  </si>
  <si>
    <t>Importance</t>
  </si>
  <si>
    <t>Index</t>
  </si>
  <si>
    <t xml:space="preserve">Search term </t>
  </si>
  <si>
    <t>"AAK1"</t>
  </si>
  <si>
    <t>Phosphorylation of the AP2 mu subunit by AAK1 mediates high affinity binding to membrane protein sorting signals.</t>
  </si>
  <si>
    <t>Ricotta D, Conner SD, Schmid SL, von Figura K, Honing S.</t>
  </si>
  <si>
    <t>(first paper published on this topic)</t>
  </si>
  <si>
    <t>"AAK1 Pain"</t>
  </si>
  <si>
    <t>Discovery of pyrrolo[2,1-f][1,2,4]triazine-based inhibitors of adaptor protein 2-associated kinase 1 for the treatment of pain.</t>
  </si>
  <si>
    <t>Good A, Parker DD, Muckelbauer JK, Khan J, Camac D, Ghosh K, Halan V, Lippy JS, Santone KS, Denton RR, Westphal R, Bristow LJ, Conway CM, Bronson JJ, Macor JE.</t>
  </si>
  <si>
    <t>Dzierba CD, Dasgupta B, Karageorge G, Kostich W, Hamman B, Allen J, Esposito KM, Padmanabha R, Grace J, Lentz K, Morrison J, Morgan D, Easton A, Bourin C, Browning MR, Rajamani R</t>
  </si>
  <si>
    <t>Discovery of (S)-1-((2',6-Bis(difluoromethyl)-[2,4'-bipyridin]-5-yl)oxy)-2,4-dimethylpentan-2-amine (BMS-986176/LX-9211): A Highly Selective, CNS Penetrable, and Orally Active Adaptor Protein-2 Associated Kinase 1 Inhibitor in Clinical Trials for the Treatment of Neuropathic Pain.</t>
  </si>
  <si>
    <t>Luo G, Chen L, Kostich WA, Hamman B, Allen J, Easton A, Bourin C, Gulianello M, Lippy J, Nara S, Maishal TK, Thiyagarajan K, Jalagam P, Pattipati SN, Dandapani K, Dokania M, Vattikundala P, Sharma V,</t>
  </si>
  <si>
    <t xml:space="preserve">Elavazhagan S, Verma MK, Das ML, Wagh S, Balakrishnan A, Johnson BM, Santone KS, Thalody G, Denton R, Saminathan H, Holenarsipur VK, Kumar A, Rao A, Putlur SP, Sarvasiddhi SK, Shankar G, Louis JV, </t>
  </si>
  <si>
    <t>Bronson JJ, Macor JE, Dzierba CD.</t>
  </si>
  <si>
    <t xml:space="preserve">Ramarao M, Conway CM, Li YW, Pieschl R, Tian Y, Hong Y, Ditta J, Mathur A, Li J, Smith D, Pawluczyk J, Sun D, Yip S, Wu DR, Vetrichelvan M, Gupta A, Wilson A, Gopinathan S, Wason S, Bristow L, Albright CF, </t>
  </si>
  <si>
    <t>Inhibitors of Adaptor-Associated Kinase 1 (AAK1) May Treat Neuropathic Pain, Schizophrenia, Parkinson's Disease, and Other Disorders.</t>
  </si>
  <si>
    <t>Abdel-Magid AF.</t>
  </si>
  <si>
    <t>Inhibition of AAK1 Kinase as a Novel Therapeutic Approach to Treat Neuropathic Pain.</t>
  </si>
  <si>
    <t>Kostich W, Hamman BD, Li YW, Naidu S, Dandapani K, Feng J, Easton A, Bourin C, Baker K, Allen J, Savelieva K, Louis JV, Dokania M, Elavazhagan S, Vattikundala P, Sharma V, Das ML, Shankar G, </t>
  </si>
  <si>
    <t>An overview of the safety and efficacy of LX-9211 in treating neuropathic pain conditions.</t>
  </si>
  <si>
    <t>Upshaw WC, Richey JM, Ravi G, Chen A, Ahmadzadeh S, Shekoohi S, Viswanath O, Kaye AD.</t>
  </si>
  <si>
    <t>Recent progress in discovery of novel AAK1 inhibitors: from pain therapy to potential anti-viral agents.</t>
  </si>
  <si>
    <t>Yuan YH, Mao ND, Duan JL, Zhang H, Garrido C, Lirussi F, Gao Y, Xie T, Ye XY.</t>
  </si>
  <si>
    <t>Diabetic Peripheral Neuropathic Pain </t>
  </si>
  <si>
    <t>"Diabetic Peripheral Neuropathic Pain"</t>
  </si>
  <si>
    <t>Global hotspots and trends in diabetic peripheral neuropathy research from 2011 to 2023.</t>
  </si>
  <si>
    <t>Tang F, Zhao F, Jiang Y, Zhang T, Wang B.</t>
  </si>
  <si>
    <t>Development of a novel AAK1 inhibitor via Kinobeads-based screening.</t>
  </si>
  <si>
    <t>Yoshida A, Ohtsuka S, Matsumoto F, Miyagawa T, Okino R, Ikeda Y, Tada N, Gotoh A, Magari M, Hatano N, Morishita R, Satoh A, Sunatsuki Y, Nilsson UJ, Ishikawa T, Tokumitsu H.</t>
  </si>
  <si>
    <t>Efficacy and Safety of LX9211 for Relief of Diabetic Peripheral Neuropathic Pain (RELIEF-DPN 1): Results of a Double-Blind, Randomized, Placebo-Controlled, Proof-of-Concept Study.</t>
  </si>
  <si>
    <t>Pop-Busui R, Patel A, Sang CN, Banks PL, Pierce PF, Sun F, Granowitz C, Gopinathan S.</t>
  </si>
  <si>
    <t>Q224</t>
  </si>
  <si>
    <t>in thousands</t>
  </si>
  <si>
    <t>Product Revenue</t>
  </si>
  <si>
    <t>Royalties and other</t>
  </si>
  <si>
    <t>COGS</t>
  </si>
  <si>
    <t>Gross Profit</t>
  </si>
  <si>
    <t>R&amp;D</t>
  </si>
  <si>
    <t>SG&amp;A</t>
  </si>
  <si>
    <t>OpEx</t>
  </si>
  <si>
    <t>OpInc</t>
  </si>
  <si>
    <t>Interest and other expense</t>
  </si>
  <si>
    <t xml:space="preserve">Interest income and other </t>
  </si>
  <si>
    <t>Net Loss</t>
  </si>
  <si>
    <t>EPS</t>
  </si>
  <si>
    <t>Shares</t>
  </si>
  <si>
    <t>Q223</t>
  </si>
  <si>
    <t>Rev q/q</t>
  </si>
  <si>
    <t>Q123</t>
  </si>
  <si>
    <t>Q124</t>
  </si>
  <si>
    <t>Q323</t>
  </si>
  <si>
    <t>Q423</t>
  </si>
  <si>
    <t>Q422</t>
  </si>
  <si>
    <t>Q322</t>
  </si>
  <si>
    <t>Q222</t>
  </si>
  <si>
    <t>Q122</t>
  </si>
  <si>
    <t>Q421</t>
  </si>
  <si>
    <t>Q321</t>
  </si>
  <si>
    <t>Q221</t>
  </si>
  <si>
    <t>Q121</t>
  </si>
  <si>
    <t>F2021</t>
  </si>
  <si>
    <t>F2022</t>
  </si>
  <si>
    <t>F2024</t>
  </si>
  <si>
    <t>Q324</t>
  </si>
  <si>
    <t>Q424</t>
  </si>
  <si>
    <t>F2023</t>
  </si>
  <si>
    <t>Product%Rev</t>
  </si>
  <si>
    <t>Royalties%Rev</t>
  </si>
  <si>
    <t>Rev y/y</t>
  </si>
  <si>
    <t>Price</t>
  </si>
  <si>
    <t>MC</t>
  </si>
  <si>
    <t>Debt</t>
  </si>
  <si>
    <t xml:space="preserve">Cash </t>
  </si>
  <si>
    <t>EV</t>
  </si>
  <si>
    <t>CEO</t>
  </si>
  <si>
    <t xml:space="preserve">Brand </t>
  </si>
  <si>
    <t>in thousands except "Price"</t>
  </si>
  <si>
    <t>×</t>
  </si>
  <si>
    <t>Zynquista</t>
  </si>
  <si>
    <t>21/08/24: Lexicon announces FDA Advisory Committee Meeting for Zynquista (on  31/10/24); PDUFA goal remains 20/12/24</t>
  </si>
  <si>
    <t xml:space="preserve"> - headcount reduction by 75, or approx. 50% till Q324</t>
  </si>
  <si>
    <t xml:space="preserve"> - proper investments in the potential launch of Zynquista</t>
  </si>
  <si>
    <t xml:space="preserve"> - continuing promotion for Inpefa</t>
  </si>
  <si>
    <t xml:space="preserve"> =&gt; Will they have a better promotion than the promotion of Inpefa???</t>
  </si>
  <si>
    <t>2b</t>
  </si>
  <si>
    <t>LX9851</t>
  </si>
  <si>
    <t xml:space="preserve"> - LX9211 data expected in the first half of 2025</t>
  </si>
  <si>
    <t>CKD</t>
  </si>
  <si>
    <t xml:space="preserve">07/08/2024: </t>
  </si>
  <si>
    <t xml:space="preserve">Sotagliflozin in Patients with Diabetis and Chronic Kidney Disease </t>
  </si>
  <si>
    <t xml:space="preserve">About Sotagliflozin: </t>
  </si>
  <si>
    <t>sotagliflozin is an oral inhibitor of two proteins responsible for glucose regulation known as sodium-glucose cotransporter types 2 and 1 (SGLT2 and SGLT1). SGLT2 is responsible for glucose and</t>
  </si>
  <si>
    <t xml:space="preserve"> sodium reabsorption by the kidney and SGLT1 is responsible for glucose and sodium absorption in the gastrointestinal tract. Sotagliflozin has been studied in multiple patient populations encompassing heart failure,</t>
  </si>
  <si>
    <t xml:space="preserve"> diabetes, and chronic kidney disease in clinical studies involving approximately 20,000 patients. </t>
  </si>
  <si>
    <t>About LX9211:</t>
  </si>
  <si>
    <t xml:space="preserve">LX9211 is a potent, orally delivered, selective, investigational small molecule inhibitor of adaptor-associated kinase 1 (AAK1). Lexicon identified AAK1 in its target discovery efforts as a promising approach for the treatment of </t>
  </si>
  <si>
    <t xml:space="preserve">neuropathic pain and identified LX9211 and another development candidate in a neuroscience drug discovery alliance with Bristol-Myers Squibb from which Lexicon holds exclusive development and commercialization rights. </t>
  </si>
  <si>
    <t xml:space="preserve">Preclinical studies of LX9211 demonstrated central nervous system penetration and reduction in pain behavior in models of neuropathic pain without affecting opiate pathways. LX9211 has received Fast Track designation from </t>
  </si>
  <si>
    <t>the U.S. Food and Drug Administration for development in diabetic peripheral neuropathic pain.</t>
  </si>
  <si>
    <r>
      <t xml:space="preserve">13/08/24: Strategic Repositioning: Focus on promotional efforts for Inpefa &amp; Zynquista are </t>
    </r>
    <r>
      <rPr>
        <i/>
        <sz val="11"/>
        <color rgb="FFFF0000"/>
        <rFont val="Times New Roman"/>
        <family val="1"/>
      </rPr>
      <t>expected to result in cost savings of 40m for 2025</t>
    </r>
    <r>
      <rPr>
        <i/>
        <sz val="11"/>
        <color theme="1"/>
        <rFont val="Times New Roman"/>
        <family val="1"/>
      </rPr>
      <t>, while ensuring R&amp;D programs (HCM &amp; LX8211)</t>
    </r>
  </si>
  <si>
    <t>Commenced Phase 3 "SONATA" study of sotagliflozin in HCM</t>
  </si>
  <si>
    <t>01/08/2024:</t>
  </si>
  <si>
    <t>ACLS5-inhibitor</t>
  </si>
  <si>
    <r>
      <t xml:space="preserve">01/08/2024: </t>
    </r>
    <r>
      <rPr>
        <sz val="11"/>
        <color rgb="FFFF0000"/>
        <rFont val="Times New Roman"/>
        <family val="1"/>
      </rPr>
      <t>Resubmitted</t>
    </r>
    <r>
      <rPr>
        <sz val="11"/>
        <color theme="1"/>
        <rFont val="Times New Roman"/>
        <family val="1"/>
      </rPr>
      <t xml:space="preserve"> NDA for Zynquista in T1D ("Preparations are underwayfor an early 2025 launch"</t>
    </r>
  </si>
  <si>
    <t xml:space="preserve"> + ACLS5-inhibitor selected for the treatment of obesity and the commencing IND-enabling studies</t>
  </si>
  <si>
    <t xml:space="preserve"> + Expected "topline" data in Q2 2025 from "PROGRESS" Phase 2b study of LX9211 for DPNP</t>
  </si>
  <si>
    <t xml:space="preserve"> + Commenced "SONATA" Phase 3 study in HCM</t>
  </si>
  <si>
    <t>About Inpefa:</t>
  </si>
  <si>
    <t xml:space="preserve">INPEFA® (sotagliflozin) is an oral inhibitor of two proteins responsible for glucose regulation known as sodium-glucose cotransporter types 2 and 1 (SGLT2 and SGLT1). SGLT2 is responsible for glucose and </t>
  </si>
  <si>
    <t>sodium reabsorption by the kidney and SGLT1 is responsible for glucose and sodium absorption in the gastrointestinal tract. Sotagliflozin has been studied in multiple patient populations encompassing heart failure,</t>
  </si>
  <si>
    <t xml:space="preserve"> diabetes, and chronic kidney disease in clinical studies involving approximately 20,000 patients</t>
  </si>
  <si>
    <t>Heart Failure, T2D mellitus, CKD</t>
  </si>
  <si>
    <t xml:space="preserve">Contradictions: </t>
  </si>
  <si>
    <t xml:space="preserve"> 1. INPEFA is contraindicated in patients with hypersensitivity to INPEFA or any of its components.</t>
  </si>
  <si>
    <t xml:space="preserve"> 2. INPEFA increases the risk of ketoacidosis in patients with type 1 diabetes mellitus (T1DM). There have been postmarketing reports of fatal events of ketoacidosis in patients with type 2 diabetes using sodium glucose transporter 2 (SGLT2) inhibitors</t>
  </si>
  <si>
    <t xml:space="preserve"> 3. INPEFA can cause intravascular volume depletion which may sometimes manifest as symptomatic hypotension or acute transient changes in creatinine.  There have been post-marketing reports of acute kidney injury, some requiring hospitalization</t>
  </si>
  <si>
    <t xml:space="preserve"> and dialysis, in patients with type 2 diabetes mellitus receiving SGLT2 inhibitors.  Patients with impaired renal function (eGFR &lt; 60 mL/min/1.73 m2), elderly patients, or patients on loop diuretics may be at increased risk for volume depletion or hypotension.</t>
  </si>
  <si>
    <t xml:space="preserve"> 4. Treatment with SGLT2 inhibitors, including INPEFA, increases the risk for urinary tract infections.  Serious urinary tract infections including urosepsis and pyelonephritis requiring hospitalization have been reported</t>
  </si>
  <si>
    <t>further contradictions</t>
  </si>
  <si>
    <t xml:space="preserve">07/08/24: Efficacy and Safety Data of Sotagliflozin in Patients with Type 1 Diabetes and Chronic Kidney Disease Among Three Lexicon-Sponsored Presentations at the 2024 Annual Conference </t>
  </si>
  <si>
    <t xml:space="preserve"> of the Association of Diabetes Care &amp; Education Specialists</t>
  </si>
  <si>
    <t xml:space="preserve">Phase 2 "RELIEF-DPN 1" Efficacy, Safety and PK of LX9211 in Patients With DPNP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</si>
</sst>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ptos Narrow"/>
      <family val="2"/>
      <scheme val="minor"/>
    </font>
    <font>
      <u/>
      <sz val="11"/>
      <color theme="10"/>
      <name val="Aptos Narrow"/>
      <family val="2"/>
      <scheme val="minor"/>
    </font>
    <font>
      <u/>
      <sz val="11"/>
      <color theme="10"/>
      <name val="Times New Roman"/>
      <family val="1"/>
    </font>
    <font>
      <sz val="11"/>
      <color theme="1"/>
      <name val="Times New Roman"/>
      <family val="1"/>
    </font>
    <font>
      <b/>
      <sz val="11"/>
      <color theme="3" tint="0.249977111117893"/>
      <name val="Times New Roman"/>
      <family val="1"/>
    </font>
    <font>
      <sz val="11"/>
      <color theme="3" tint="0.249977111117893"/>
      <name val="Times New Roman"/>
      <family val="1"/>
    </font>
    <font>
      <i/>
      <sz val="11"/>
      <color theme="3" tint="0.249977111117893"/>
      <name val="Times New Roman"/>
      <family val="1"/>
    </font>
    <font>
      <i/>
      <sz val="11"/>
      <color theme="1"/>
      <name val="Times New Roman"/>
      <family val="1"/>
    </font>
    <font>
      <i/>
      <sz val="11"/>
      <color rgb="FFFF0000"/>
      <name val="Times New Roman"/>
      <family val="1"/>
    </font>
    <font>
      <sz val="11"/>
      <color rgb="FFFF0000"/>
      <name val="Times New Roman"/>
      <family val="1"/>
    </font>
    <font>
      <b/>
      <sz val="11"/>
      <color theme="1"/>
      <name val="Times New Roman"/>
      <family val="1"/>
    </font>
    <font>
      <sz val="11"/>
      <color rgb="FF212121"/>
      <name val="Times New Roman"/>
      <family val="1"/>
    </font>
    <font>
      <sz val="12"/>
      <color rgb="FF212121"/>
      <name val="Times New Roman"/>
      <family val="1"/>
    </font>
    <font>
      <b/>
      <u/>
      <sz val="11"/>
      <color theme="1"/>
      <name val="Times New Roman"/>
      <family val="1"/>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43">
    <xf numFmtId="0" fontId="0" fillId="0" borderId="0" xfId="0"/>
    <xf numFmtId="0" fontId="2" fillId="0" borderId="0" xfId="2"/>
    <xf numFmtId="3" fontId="3" fillId="0" borderId="0" xfId="2" applyNumberFormat="1" applyFont="1"/>
    <xf numFmtId="3" fontId="4" fillId="0" borderId="0" xfId="0" applyNumberFormat="1" applyFont="1"/>
    <xf numFmtId="3" fontId="5" fillId="0" borderId="0" xfId="0" applyNumberFormat="1" applyFont="1"/>
    <xf numFmtId="3" fontId="6" fillId="0" borderId="0" xfId="0" applyNumberFormat="1" applyFont="1"/>
    <xf numFmtId="4" fontId="6" fillId="0" borderId="0" xfId="0" applyNumberFormat="1" applyFont="1"/>
    <xf numFmtId="9" fontId="7" fillId="0" borderId="0" xfId="1" applyFont="1"/>
    <xf numFmtId="3" fontId="7" fillId="0" borderId="0" xfId="0" applyNumberFormat="1" applyFont="1"/>
    <xf numFmtId="0" fontId="4" fillId="0" borderId="0" xfId="0" applyFont="1"/>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xf numFmtId="0" fontId="4" fillId="0" borderId="8" xfId="0" applyFont="1" applyBorder="1"/>
    <xf numFmtId="0" fontId="4" fillId="0" borderId="9" xfId="0" applyFont="1" applyBorder="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10" xfId="0" applyFont="1" applyBorder="1" applyAlignment="1">
      <alignment horizontal="center"/>
    </xf>
    <xf numFmtId="0" fontId="4" fillId="0" borderId="0" xfId="0" applyFont="1" applyAlignment="1">
      <alignment horizontal="left"/>
    </xf>
    <xf numFmtId="0" fontId="4" fillId="0" borderId="9" xfId="0" applyFont="1" applyBorder="1"/>
    <xf numFmtId="3" fontId="4" fillId="0" borderId="10" xfId="0" applyNumberFormat="1" applyFont="1" applyBorder="1"/>
    <xf numFmtId="0" fontId="4" fillId="0" borderId="12" xfId="0" applyFont="1" applyBorder="1"/>
    <xf numFmtId="0" fontId="4" fillId="0" borderId="13" xfId="0" applyFont="1" applyBorder="1"/>
    <xf numFmtId="0" fontId="4" fillId="0" borderId="11" xfId="0" applyFont="1" applyBorder="1" applyAlignment="1">
      <alignment horizontal="center"/>
    </xf>
    <xf numFmtId="0" fontId="4" fillId="0" borderId="1" xfId="0" applyFont="1" applyBorder="1"/>
    <xf numFmtId="3" fontId="4" fillId="0" borderId="3" xfId="0" applyNumberFormat="1" applyFont="1" applyBorder="1"/>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8" fillId="0" borderId="0" xfId="0" applyFont="1"/>
    <xf numFmtId="0" fontId="9" fillId="0" borderId="0" xfId="0" applyFont="1"/>
    <xf numFmtId="0" fontId="10" fillId="0" borderId="0" xfId="0" applyFont="1"/>
    <xf numFmtId="0" fontId="3" fillId="0" borderId="0" xfId="2" applyFont="1"/>
    <xf numFmtId="0" fontId="4" fillId="2" borderId="0" xfId="0" applyFont="1" applyFill="1" applyAlignment="1">
      <alignment horizontal="center"/>
    </xf>
    <xf numFmtId="0" fontId="11" fillId="0" borderId="0" xfId="0" applyFont="1" applyAlignment="1">
      <alignment horizontal="center"/>
    </xf>
    <xf numFmtId="0" fontId="12" fillId="0" borderId="0" xfId="0" applyFont="1" applyAlignment="1">
      <alignment vertical="center" wrapText="1"/>
    </xf>
    <xf numFmtId="0" fontId="13" fillId="0" borderId="0" xfId="0" applyFont="1"/>
    <xf numFmtId="0" fontId="3" fillId="0" borderId="0" xfId="2" applyFont="1" applyAlignment="1">
      <alignment vertical="center" wrapText="1"/>
    </xf>
    <xf numFmtId="0" fontId="13" fillId="0" borderId="0" xfId="0" applyFont="1" applyAlignment="1">
      <alignment vertical="center" wrapText="1"/>
    </xf>
    <xf numFmtId="0" fontId="4" fillId="0" borderId="0" xfId="0" applyFont="1" applyAlignment="1">
      <alignment horizontal="right"/>
    </xf>
    <xf numFmtId="14" fontId="8" fillId="0" borderId="0" xfId="0" applyNumberFormat="1" applyFont="1" applyAlignment="1">
      <alignment horizontal="right"/>
    </xf>
    <xf numFmtId="0" fontId="14" fillId="0" borderId="0" xfId="0" applyFont="1"/>
  </cellXfs>
  <cellStyles count="3">
    <cellStyle name="Link" xfId="2" builtinId="8"/>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25400</xdr:colOff>
      <xdr:row>2</xdr:row>
      <xdr:rowOff>95250</xdr:rowOff>
    </xdr:from>
    <xdr:to>
      <xdr:col>17</xdr:col>
      <xdr:colOff>25400</xdr:colOff>
      <xdr:row>21</xdr:row>
      <xdr:rowOff>177800</xdr:rowOff>
    </xdr:to>
    <xdr:cxnSp macro="">
      <xdr:nvCxnSpPr>
        <xdr:cNvPr id="3" name="Gerader Verbinder 2">
          <a:extLst>
            <a:ext uri="{FF2B5EF4-FFF2-40B4-BE49-F238E27FC236}">
              <a16:creationId xmlns:a16="http://schemas.microsoft.com/office/drawing/2014/main" id="{F9CAB812-355F-7A8D-176B-4753631605E2}"/>
            </a:ext>
          </a:extLst>
        </xdr:cNvPr>
        <xdr:cNvCxnSpPr/>
      </xdr:nvCxnSpPr>
      <xdr:spPr>
        <a:xfrm>
          <a:off x="6534150" y="476250"/>
          <a:ext cx="0" cy="35052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38100</xdr:colOff>
      <xdr:row>2</xdr:row>
      <xdr:rowOff>66675</xdr:rowOff>
    </xdr:from>
    <xdr:to>
      <xdr:col>24</xdr:col>
      <xdr:colOff>38100</xdr:colOff>
      <xdr:row>21</xdr:row>
      <xdr:rowOff>149225</xdr:rowOff>
    </xdr:to>
    <xdr:cxnSp macro="">
      <xdr:nvCxnSpPr>
        <xdr:cNvPr id="4" name="Gerader Verbinder 3">
          <a:extLst>
            <a:ext uri="{FF2B5EF4-FFF2-40B4-BE49-F238E27FC236}">
              <a16:creationId xmlns:a16="http://schemas.microsoft.com/office/drawing/2014/main" id="{4FE39A3A-D59E-4451-86FE-BE9FF4A2EBDE}"/>
            </a:ext>
          </a:extLst>
        </xdr:cNvPr>
        <xdr:cNvCxnSpPr/>
      </xdr:nvCxnSpPr>
      <xdr:spPr>
        <a:xfrm>
          <a:off x="19497675" y="447675"/>
          <a:ext cx="0" cy="3692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Norbert Malburg" id="{A394AFC6-AFCE-44D1-B20F-AACF1F125CE4}" userId="S::malburg@sms-cie.de::ed8233a0-bf81-43a8-8bb1-21c7a1649d27"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4" dT="2024-08-16T09:18:09.58" personId="{A394AFC6-AFCE-44D1-B20F-AACF1F125CE4}" id="{3B3A586C-491A-4A6F-89E2-5B51E3325837}">
    <text>Launch of Inpefa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ejm.org/doi/full/10.1056/NEJMoa203018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lexpharma.com/media-center/news/2024-08-01-lexicon-pharmaceuticals-reports-second-quarter-2024-financial-results-and-provides-business-updat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ubmed.ncbi.nlm.nih.gov/39121272/" TargetMode="External"/><Relationship Id="rId3" Type="http://schemas.openxmlformats.org/officeDocument/2006/relationships/hyperlink" Target="https://pubmed.ncbi.nlm.nih.gov/35257579/" TargetMode="External"/><Relationship Id="rId7" Type="http://schemas.openxmlformats.org/officeDocument/2006/relationships/hyperlink" Target="https://pubmed.ncbi.nlm.nih.gov/37955299/" TargetMode="External"/><Relationship Id="rId2" Type="http://schemas.openxmlformats.org/officeDocument/2006/relationships/hyperlink" Target="https://pubmed.ncbi.nlm.nih.gov/37362320/" TargetMode="External"/><Relationship Id="rId1" Type="http://schemas.openxmlformats.org/officeDocument/2006/relationships/hyperlink" Target="https://pubmed.ncbi.nlm.nih.gov/11877457/" TargetMode="External"/><Relationship Id="rId6" Type="http://schemas.openxmlformats.org/officeDocument/2006/relationships/hyperlink" Target="https://pubmed.ncbi.nlm.nih.gov/38973395/" TargetMode="External"/><Relationship Id="rId5" Type="http://schemas.openxmlformats.org/officeDocument/2006/relationships/hyperlink" Target="https://pubmed.ncbi.nlm.nih.gov/27411717/" TargetMode="External"/><Relationship Id="rId10" Type="http://schemas.openxmlformats.org/officeDocument/2006/relationships/hyperlink" Target="https://pubmed.ncbi.nlm.nih.gov/38895916/" TargetMode="External"/><Relationship Id="rId4" Type="http://schemas.openxmlformats.org/officeDocument/2006/relationships/hyperlink" Target="https://pubmed.ncbi.nlm.nih.gov/28626516/" TargetMode="External"/><Relationship Id="rId9" Type="http://schemas.openxmlformats.org/officeDocument/2006/relationships/hyperlink" Target="https://pubmed.ncbi.nlm.nih.gov/38509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1ED0-94E3-4758-B899-075DB14B2DE5}">
  <dimension ref="A1:N26"/>
  <sheetViews>
    <sheetView tabSelected="1" workbookViewId="0">
      <selection activeCell="N31" sqref="N31"/>
    </sheetView>
  </sheetViews>
  <sheetFormatPr baseColWidth="10" defaultRowHeight="15" x14ac:dyDescent="0.25"/>
  <cols>
    <col min="1" max="1" width="8.5703125" style="9" bestFit="1" customWidth="1"/>
    <col min="2" max="2" width="12.28515625" style="9" bestFit="1" customWidth="1"/>
    <col min="3" max="4" width="11.42578125" style="9"/>
    <col min="5" max="5" width="10.7109375" style="9" bestFit="1" customWidth="1"/>
    <col min="6" max="6" width="14.7109375" style="9" bestFit="1" customWidth="1"/>
    <col min="7" max="7" width="19.28515625" style="9" bestFit="1" customWidth="1"/>
    <col min="8" max="16384" width="11.42578125" style="9"/>
  </cols>
  <sheetData>
    <row r="1" spans="1:14" x14ac:dyDescent="0.25">
      <c r="A1" s="9" t="s">
        <v>0</v>
      </c>
    </row>
    <row r="3" spans="1:14" ht="15.75" thickBot="1" x14ac:dyDescent="0.3">
      <c r="L3" s="9" t="s">
        <v>110</v>
      </c>
    </row>
    <row r="4" spans="1:14" ht="15.75" thickBot="1" x14ac:dyDescent="0.3">
      <c r="B4" s="10" t="s">
        <v>2</v>
      </c>
      <c r="C4" s="11" t="s">
        <v>3</v>
      </c>
      <c r="D4" s="11" t="s">
        <v>4</v>
      </c>
      <c r="E4" s="11" t="s">
        <v>6</v>
      </c>
      <c r="F4" s="11" t="s">
        <v>7</v>
      </c>
      <c r="G4" s="12" t="s">
        <v>8</v>
      </c>
      <c r="L4" s="13" t="s">
        <v>103</v>
      </c>
      <c r="M4" s="14">
        <v>1.64</v>
      </c>
    </row>
    <row r="5" spans="1:14" x14ac:dyDescent="0.25">
      <c r="B5" s="15" t="s">
        <v>9</v>
      </c>
      <c r="C5" s="16" t="s">
        <v>11</v>
      </c>
      <c r="D5" s="17">
        <v>45072</v>
      </c>
      <c r="E5" s="16"/>
      <c r="F5" s="16" t="s">
        <v>10</v>
      </c>
      <c r="G5" s="18" t="s">
        <v>28</v>
      </c>
      <c r="H5" s="19" t="s">
        <v>30</v>
      </c>
      <c r="L5" s="20" t="s">
        <v>79</v>
      </c>
      <c r="M5" s="21">
        <f>+Model!Q17</f>
        <v>310836</v>
      </c>
      <c r="N5" s="9" t="s">
        <v>65</v>
      </c>
    </row>
    <row r="6" spans="1:14" ht="15.75" thickBot="1" x14ac:dyDescent="0.3">
      <c r="B6" s="22" t="s">
        <v>112</v>
      </c>
      <c r="C6" s="16" t="s">
        <v>121</v>
      </c>
      <c r="G6" s="23"/>
      <c r="L6" s="20" t="s">
        <v>104</v>
      </c>
      <c r="M6" s="21">
        <f>+M4*M5</f>
        <v>509771.04</v>
      </c>
    </row>
    <row r="7" spans="1:14" ht="15.75" thickBot="1" x14ac:dyDescent="0.3">
      <c r="B7" s="10"/>
      <c r="C7" s="11"/>
      <c r="D7" s="11" t="s">
        <v>5</v>
      </c>
      <c r="E7" s="11"/>
      <c r="F7" s="11"/>
      <c r="G7" s="12"/>
      <c r="L7" s="20" t="s">
        <v>105</v>
      </c>
      <c r="M7" s="21">
        <f>99499+12220+6001</f>
        <v>117720</v>
      </c>
      <c r="N7" s="9" t="s">
        <v>65</v>
      </c>
    </row>
    <row r="8" spans="1:14" x14ac:dyDescent="0.25">
      <c r="B8" s="15" t="s">
        <v>12</v>
      </c>
      <c r="C8" s="16" t="s">
        <v>13</v>
      </c>
      <c r="D8" s="16" t="s">
        <v>118</v>
      </c>
      <c r="E8" s="16"/>
      <c r="F8" s="16" t="s">
        <v>15</v>
      </c>
      <c r="G8" s="24" t="s">
        <v>14</v>
      </c>
      <c r="L8" s="20" t="s">
        <v>106</v>
      </c>
      <c r="M8" s="21">
        <f>35617+2620</f>
        <v>38237</v>
      </c>
      <c r="N8" s="9" t="s">
        <v>65</v>
      </c>
    </row>
    <row r="9" spans="1:14" x14ac:dyDescent="0.25">
      <c r="B9" s="15" t="s">
        <v>16</v>
      </c>
      <c r="C9" s="16" t="s">
        <v>17</v>
      </c>
      <c r="D9" s="16" t="s">
        <v>18</v>
      </c>
      <c r="E9" s="16"/>
      <c r="F9" s="16" t="s">
        <v>10</v>
      </c>
      <c r="G9" s="18"/>
      <c r="L9" s="25" t="s">
        <v>107</v>
      </c>
      <c r="M9" s="26">
        <f>+M6-M8+M7</f>
        <v>589254.04</v>
      </c>
    </row>
    <row r="10" spans="1:14" x14ac:dyDescent="0.25">
      <c r="B10" s="15" t="s">
        <v>16</v>
      </c>
      <c r="C10" s="16" t="s">
        <v>19</v>
      </c>
      <c r="D10" s="16" t="s">
        <v>18</v>
      </c>
      <c r="E10" s="16"/>
      <c r="F10" s="16" t="s">
        <v>10</v>
      </c>
      <c r="G10" s="18"/>
    </row>
    <row r="11" spans="1:14" x14ac:dyDescent="0.25">
      <c r="B11" s="27" t="s">
        <v>119</v>
      </c>
      <c r="C11" s="28" t="s">
        <v>21</v>
      </c>
      <c r="D11" s="28" t="s">
        <v>20</v>
      </c>
      <c r="E11" s="28"/>
      <c r="F11" s="28" t="s">
        <v>136</v>
      </c>
      <c r="G11" s="29"/>
    </row>
    <row r="12" spans="1:14" x14ac:dyDescent="0.25">
      <c r="B12" s="16"/>
      <c r="C12" s="16"/>
      <c r="D12" s="16"/>
      <c r="E12" s="16"/>
      <c r="F12" s="16"/>
      <c r="G12" s="16"/>
    </row>
    <row r="13" spans="1:14" x14ac:dyDescent="0.25">
      <c r="L13" s="9" t="s">
        <v>108</v>
      </c>
    </row>
    <row r="15" spans="1:14" x14ac:dyDescent="0.25">
      <c r="D15" s="30" t="s">
        <v>113</v>
      </c>
      <c r="E15" s="30"/>
    </row>
    <row r="16" spans="1:14" x14ac:dyDescent="0.25">
      <c r="D16" s="30" t="s">
        <v>133</v>
      </c>
      <c r="E16" s="30"/>
    </row>
    <row r="17" spans="4:10" x14ac:dyDescent="0.25">
      <c r="D17" s="30"/>
      <c r="E17" s="30" t="s">
        <v>114</v>
      </c>
    </row>
    <row r="18" spans="4:10" x14ac:dyDescent="0.25">
      <c r="D18" s="30"/>
      <c r="E18" s="31" t="s">
        <v>115</v>
      </c>
      <c r="J18" s="32" t="s">
        <v>117</v>
      </c>
    </row>
    <row r="19" spans="4:10" x14ac:dyDescent="0.25">
      <c r="D19" s="30"/>
      <c r="E19" s="30" t="s">
        <v>116</v>
      </c>
    </row>
    <row r="20" spans="4:10" x14ac:dyDescent="0.25">
      <c r="D20" s="30"/>
      <c r="E20" s="30" t="s">
        <v>120</v>
      </c>
    </row>
    <row r="21" spans="4:10" x14ac:dyDescent="0.25">
      <c r="D21" s="30" t="s">
        <v>153</v>
      </c>
      <c r="E21" s="30"/>
    </row>
    <row r="22" spans="4:10" x14ac:dyDescent="0.25">
      <c r="E22" s="9" t="s">
        <v>154</v>
      </c>
    </row>
    <row r="23" spans="4:10" x14ac:dyDescent="0.25">
      <c r="D23" s="9" t="s">
        <v>137</v>
      </c>
    </row>
    <row r="24" spans="4:10" x14ac:dyDescent="0.25">
      <c r="E24" s="9" t="s">
        <v>140</v>
      </c>
    </row>
    <row r="25" spans="4:10" x14ac:dyDescent="0.25">
      <c r="E25" s="9" t="s">
        <v>139</v>
      </c>
    </row>
    <row r="26" spans="4:10" x14ac:dyDescent="0.25">
      <c r="E26" s="9" t="s">
        <v>138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4895-3AE5-4D6C-BE12-BC8AF6BF877E}">
  <dimension ref="A1:X22"/>
  <sheetViews>
    <sheetView zoomScale="110" zoomScaleNormal="110" workbookViewId="0">
      <pane xSplit="2" ySplit="2" topLeftCell="C3" activePane="bottomRight" state="frozen"/>
      <selection pane="topRight" activeCell="C1" sqref="C1"/>
      <selection pane="bottomLeft" activeCell="A3" sqref="A3"/>
      <selection pane="bottomRight" activeCell="F25" sqref="F25"/>
    </sheetView>
  </sheetViews>
  <sheetFormatPr baseColWidth="10" defaultRowHeight="15" x14ac:dyDescent="0.25"/>
  <cols>
    <col min="1" max="1" width="5.42578125" style="3" bestFit="1" customWidth="1"/>
    <col min="2" max="2" width="23.5703125" style="3" bestFit="1" customWidth="1"/>
    <col min="3" max="16384" width="11.42578125" style="3"/>
  </cols>
  <sheetData>
    <row r="1" spans="1:24" x14ac:dyDescent="0.25">
      <c r="A1" s="2" t="s">
        <v>22</v>
      </c>
    </row>
    <row r="2" spans="1:24" x14ac:dyDescent="0.25">
      <c r="B2" s="3" t="s">
        <v>66</v>
      </c>
      <c r="D2" s="3" t="s">
        <v>93</v>
      </c>
      <c r="E2" s="3" t="s">
        <v>92</v>
      </c>
      <c r="F2" s="3" t="s">
        <v>91</v>
      </c>
      <c r="G2" s="3" t="s">
        <v>90</v>
      </c>
      <c r="H2" s="3" t="s">
        <v>89</v>
      </c>
      <c r="I2" s="3" t="s">
        <v>88</v>
      </c>
      <c r="J2" s="3" t="s">
        <v>87</v>
      </c>
      <c r="K2" s="3" t="s">
        <v>86</v>
      </c>
      <c r="L2" s="3" t="s">
        <v>82</v>
      </c>
      <c r="M2" s="3" t="s">
        <v>80</v>
      </c>
      <c r="N2" s="3" t="s">
        <v>84</v>
      </c>
      <c r="O2" s="3" t="s">
        <v>85</v>
      </c>
      <c r="P2" s="3" t="s">
        <v>83</v>
      </c>
      <c r="Q2" s="3" t="s">
        <v>65</v>
      </c>
      <c r="R2" s="3" t="s">
        <v>97</v>
      </c>
      <c r="S2" s="3" t="s">
        <v>98</v>
      </c>
      <c r="U2" s="3" t="s">
        <v>94</v>
      </c>
      <c r="V2" s="3" t="s">
        <v>95</v>
      </c>
      <c r="W2" s="3" t="s">
        <v>99</v>
      </c>
      <c r="X2" s="3" t="s">
        <v>96</v>
      </c>
    </row>
    <row r="4" spans="1:24" x14ac:dyDescent="0.25">
      <c r="B4" s="3" t="s">
        <v>67</v>
      </c>
      <c r="D4" s="3">
        <v>0</v>
      </c>
      <c r="E4" s="3">
        <v>0</v>
      </c>
      <c r="F4" s="3">
        <v>0</v>
      </c>
      <c r="G4" s="3">
        <v>0</v>
      </c>
      <c r="H4" s="3">
        <v>0</v>
      </c>
      <c r="I4" s="3">
        <v>0</v>
      </c>
      <c r="J4" s="3">
        <v>0</v>
      </c>
      <c r="K4" s="3">
        <v>0</v>
      </c>
      <c r="L4" s="3">
        <v>0</v>
      </c>
      <c r="M4" s="3">
        <v>291</v>
      </c>
      <c r="N4" s="3">
        <v>148</v>
      </c>
      <c r="O4" s="3">
        <f>1110-N4-M4-L4</f>
        <v>671</v>
      </c>
      <c r="P4" s="3">
        <v>1093</v>
      </c>
      <c r="Q4" s="3">
        <v>1617</v>
      </c>
      <c r="U4" s="3">
        <f t="shared" ref="U4:U16" si="0">+SUM(D4:G4)</f>
        <v>0</v>
      </c>
      <c r="V4" s="3">
        <f t="shared" ref="V4:V16" si="1">+SUM(H4:K4)</f>
        <v>0</v>
      </c>
      <c r="W4" s="3">
        <f t="shared" ref="W4:W16" si="2">+SUM(L4:O4)</f>
        <v>1110</v>
      </c>
      <c r="X4" s="3">
        <f t="shared" ref="X4:X16" si="3">+SUM(P4:S4)</f>
        <v>2710</v>
      </c>
    </row>
    <row r="5" spans="1:24" x14ac:dyDescent="0.25">
      <c r="B5" s="3" t="s">
        <v>68</v>
      </c>
      <c r="D5" s="3">
        <v>27</v>
      </c>
      <c r="E5" s="3">
        <v>234</v>
      </c>
      <c r="F5" s="3">
        <v>23</v>
      </c>
      <c r="G5" s="3">
        <f>298-F5-E5-D5</f>
        <v>14</v>
      </c>
      <c r="H5" s="3">
        <v>37</v>
      </c>
      <c r="I5" s="3">
        <v>35</v>
      </c>
      <c r="J5" s="3">
        <v>39</v>
      </c>
      <c r="K5" s="3">
        <f>139-J5-I5-H5</f>
        <v>28</v>
      </c>
      <c r="L5" s="3">
        <v>24</v>
      </c>
      <c r="M5" s="3">
        <v>26</v>
      </c>
      <c r="N5" s="3">
        <v>14</v>
      </c>
      <c r="O5" s="3">
        <f>94-N5-M5-L5</f>
        <v>30</v>
      </c>
      <c r="P5" s="3">
        <v>37</v>
      </c>
      <c r="Q5" s="3">
        <v>30</v>
      </c>
      <c r="U5" s="3">
        <f t="shared" si="0"/>
        <v>298</v>
      </c>
      <c r="V5" s="3">
        <f t="shared" si="1"/>
        <v>139</v>
      </c>
      <c r="W5" s="3">
        <f t="shared" si="2"/>
        <v>94</v>
      </c>
      <c r="X5" s="3">
        <f t="shared" si="3"/>
        <v>67</v>
      </c>
    </row>
    <row r="6" spans="1:24" s="4" customFormat="1" ht="14.25" x14ac:dyDescent="0.2">
      <c r="B6" s="4" t="s">
        <v>29</v>
      </c>
      <c r="D6" s="4">
        <f t="shared" ref="D6:Q6" si="4">+D5+D4</f>
        <v>27</v>
      </c>
      <c r="E6" s="4">
        <f t="shared" si="4"/>
        <v>234</v>
      </c>
      <c r="F6" s="4">
        <f t="shared" si="4"/>
        <v>23</v>
      </c>
      <c r="G6" s="4">
        <f t="shared" si="4"/>
        <v>14</v>
      </c>
      <c r="H6" s="4">
        <f t="shared" si="4"/>
        <v>37</v>
      </c>
      <c r="I6" s="4">
        <f t="shared" si="4"/>
        <v>35</v>
      </c>
      <c r="J6" s="4">
        <f t="shared" si="4"/>
        <v>39</v>
      </c>
      <c r="K6" s="4">
        <f t="shared" si="4"/>
        <v>28</v>
      </c>
      <c r="L6" s="4">
        <f t="shared" si="4"/>
        <v>24</v>
      </c>
      <c r="M6" s="4">
        <f t="shared" si="4"/>
        <v>317</v>
      </c>
      <c r="N6" s="4">
        <f t="shared" si="4"/>
        <v>162</v>
      </c>
      <c r="O6" s="4">
        <f t="shared" si="4"/>
        <v>701</v>
      </c>
      <c r="P6" s="4">
        <f t="shared" si="4"/>
        <v>1130</v>
      </c>
      <c r="Q6" s="4">
        <f t="shared" si="4"/>
        <v>1647</v>
      </c>
      <c r="U6" s="4">
        <f t="shared" si="0"/>
        <v>298</v>
      </c>
      <c r="V6" s="4">
        <f t="shared" si="1"/>
        <v>139</v>
      </c>
      <c r="W6" s="4">
        <f t="shared" si="2"/>
        <v>1204</v>
      </c>
      <c r="X6" s="4">
        <f t="shared" si="3"/>
        <v>2777</v>
      </c>
    </row>
    <row r="7" spans="1:24" x14ac:dyDescent="0.25">
      <c r="B7" s="3" t="s">
        <v>69</v>
      </c>
      <c r="D7" s="3">
        <v>0</v>
      </c>
      <c r="E7" s="3">
        <v>0</v>
      </c>
      <c r="F7" s="3">
        <v>0</v>
      </c>
      <c r="G7" s="3">
        <v>0</v>
      </c>
      <c r="H7" s="3">
        <v>0</v>
      </c>
      <c r="I7" s="3">
        <v>0</v>
      </c>
      <c r="J7" s="3">
        <v>0</v>
      </c>
      <c r="K7" s="3">
        <v>0</v>
      </c>
      <c r="L7" s="3">
        <v>0</v>
      </c>
      <c r="M7" s="3">
        <v>8</v>
      </c>
      <c r="N7" s="3">
        <v>7</v>
      </c>
      <c r="O7" s="3">
        <f>85-N7-M7-L7</f>
        <v>70</v>
      </c>
      <c r="P7" s="3">
        <v>31</v>
      </c>
      <c r="Q7" s="3">
        <v>166</v>
      </c>
      <c r="U7" s="3">
        <f t="shared" si="0"/>
        <v>0</v>
      </c>
      <c r="V7" s="3">
        <f t="shared" si="1"/>
        <v>0</v>
      </c>
      <c r="W7" s="3">
        <f t="shared" si="2"/>
        <v>85</v>
      </c>
      <c r="X7" s="3">
        <f t="shared" si="3"/>
        <v>197</v>
      </c>
    </row>
    <row r="8" spans="1:24" s="5" customFormat="1" x14ac:dyDescent="0.25">
      <c r="B8" s="5" t="s">
        <v>70</v>
      </c>
      <c r="D8" s="5">
        <f t="shared" ref="D8:Q8" si="5">+D6-D7</f>
        <v>27</v>
      </c>
      <c r="E8" s="5">
        <f t="shared" si="5"/>
        <v>234</v>
      </c>
      <c r="F8" s="5">
        <f t="shared" si="5"/>
        <v>23</v>
      </c>
      <c r="G8" s="5">
        <f t="shared" si="5"/>
        <v>14</v>
      </c>
      <c r="H8" s="5">
        <f t="shared" si="5"/>
        <v>37</v>
      </c>
      <c r="I8" s="5">
        <f t="shared" si="5"/>
        <v>35</v>
      </c>
      <c r="J8" s="5">
        <f t="shared" si="5"/>
        <v>39</v>
      </c>
      <c r="K8" s="5">
        <f t="shared" si="5"/>
        <v>28</v>
      </c>
      <c r="L8" s="5">
        <f t="shared" si="5"/>
        <v>24</v>
      </c>
      <c r="M8" s="5">
        <f t="shared" si="5"/>
        <v>309</v>
      </c>
      <c r="N8" s="5">
        <f t="shared" si="5"/>
        <v>155</v>
      </c>
      <c r="O8" s="5">
        <f t="shared" si="5"/>
        <v>631</v>
      </c>
      <c r="P8" s="5">
        <f t="shared" si="5"/>
        <v>1099</v>
      </c>
      <c r="Q8" s="5">
        <f t="shared" si="5"/>
        <v>1481</v>
      </c>
      <c r="U8" s="5">
        <f t="shared" si="0"/>
        <v>298</v>
      </c>
      <c r="V8" s="5">
        <f t="shared" si="1"/>
        <v>139</v>
      </c>
      <c r="W8" s="5">
        <f t="shared" si="2"/>
        <v>1119</v>
      </c>
      <c r="X8" s="5">
        <f t="shared" si="3"/>
        <v>2580</v>
      </c>
    </row>
    <row r="9" spans="1:24" x14ac:dyDescent="0.25">
      <c r="B9" s="3" t="s">
        <v>71</v>
      </c>
      <c r="D9" s="3">
        <v>12609</v>
      </c>
      <c r="E9" s="3">
        <v>10257</v>
      </c>
      <c r="F9" s="3">
        <v>15682</v>
      </c>
      <c r="G9" s="3">
        <f>55046-F9-E9-D9</f>
        <v>16498</v>
      </c>
      <c r="H9" s="3">
        <v>14926</v>
      </c>
      <c r="I9" s="3">
        <v>13356</v>
      </c>
      <c r="J9" s="3">
        <v>10557</v>
      </c>
      <c r="K9" s="3">
        <f>52816-J9-I9-H9</f>
        <v>13977</v>
      </c>
      <c r="L9" s="3">
        <v>12026</v>
      </c>
      <c r="M9" s="3">
        <v>14541</v>
      </c>
      <c r="N9" s="3">
        <v>17558</v>
      </c>
      <c r="O9" s="3">
        <f>58887-N9-M9-L9</f>
        <v>14762</v>
      </c>
      <c r="P9" s="3">
        <v>14372</v>
      </c>
      <c r="Q9" s="3">
        <v>17643</v>
      </c>
      <c r="U9" s="3">
        <f t="shared" si="0"/>
        <v>55046</v>
      </c>
      <c r="V9" s="3">
        <f t="shared" si="1"/>
        <v>52816</v>
      </c>
      <c r="W9" s="3">
        <f t="shared" si="2"/>
        <v>58887</v>
      </c>
      <c r="X9" s="3">
        <f t="shared" si="3"/>
        <v>32015</v>
      </c>
    </row>
    <row r="10" spans="1:24" x14ac:dyDescent="0.25">
      <c r="B10" s="3" t="s">
        <v>72</v>
      </c>
      <c r="D10" s="3">
        <v>8257</v>
      </c>
      <c r="E10" s="3">
        <v>7936</v>
      </c>
      <c r="F10" s="3">
        <v>7303</v>
      </c>
      <c r="G10" s="3">
        <f>32342-F10-E10-D10</f>
        <v>8846</v>
      </c>
      <c r="H10" s="3">
        <v>8491</v>
      </c>
      <c r="I10" s="3">
        <v>10686</v>
      </c>
      <c r="J10" s="3">
        <v>12577</v>
      </c>
      <c r="K10" s="3">
        <f>48083-J10-I10-H10</f>
        <v>16329</v>
      </c>
      <c r="L10" s="3">
        <v>19140</v>
      </c>
      <c r="M10" s="3">
        <v>30008</v>
      </c>
      <c r="N10" s="3">
        <v>32228</v>
      </c>
      <c r="O10" s="3">
        <f>113982-N10-M10-L10</f>
        <v>32606</v>
      </c>
      <c r="P10" s="3">
        <v>32060</v>
      </c>
      <c r="Q10" s="3">
        <v>39192</v>
      </c>
      <c r="U10" s="3">
        <f t="shared" si="0"/>
        <v>32342</v>
      </c>
      <c r="V10" s="3">
        <f t="shared" si="1"/>
        <v>48083</v>
      </c>
      <c r="W10" s="3">
        <f t="shared" si="2"/>
        <v>113982</v>
      </c>
      <c r="X10" s="3">
        <f t="shared" si="3"/>
        <v>71252</v>
      </c>
    </row>
    <row r="11" spans="1:24" s="5" customFormat="1" x14ac:dyDescent="0.25">
      <c r="B11" s="5" t="s">
        <v>73</v>
      </c>
      <c r="D11" s="5">
        <f t="shared" ref="D11:Q11" si="6">+D10+D9+D7</f>
        <v>20866</v>
      </c>
      <c r="E11" s="5">
        <f t="shared" si="6"/>
        <v>18193</v>
      </c>
      <c r="F11" s="5">
        <f t="shared" si="6"/>
        <v>22985</v>
      </c>
      <c r="G11" s="5">
        <f t="shared" si="6"/>
        <v>25344</v>
      </c>
      <c r="H11" s="5">
        <f t="shared" si="6"/>
        <v>23417</v>
      </c>
      <c r="I11" s="5">
        <f t="shared" si="6"/>
        <v>24042</v>
      </c>
      <c r="J11" s="5">
        <f t="shared" si="6"/>
        <v>23134</v>
      </c>
      <c r="K11" s="5">
        <f t="shared" si="6"/>
        <v>30306</v>
      </c>
      <c r="L11" s="5">
        <f t="shared" si="6"/>
        <v>31166</v>
      </c>
      <c r="M11" s="5">
        <f t="shared" si="6"/>
        <v>44557</v>
      </c>
      <c r="N11" s="5">
        <f t="shared" si="6"/>
        <v>49793</v>
      </c>
      <c r="O11" s="5">
        <f t="shared" si="6"/>
        <v>47438</v>
      </c>
      <c r="P11" s="5">
        <f t="shared" si="6"/>
        <v>46463</v>
      </c>
      <c r="Q11" s="5">
        <f t="shared" si="6"/>
        <v>57001</v>
      </c>
      <c r="U11" s="5">
        <f t="shared" si="0"/>
        <v>87388</v>
      </c>
      <c r="V11" s="5">
        <f t="shared" si="1"/>
        <v>100899</v>
      </c>
      <c r="W11" s="5">
        <f t="shared" si="2"/>
        <v>172954</v>
      </c>
      <c r="X11" s="5">
        <f t="shared" si="3"/>
        <v>103464</v>
      </c>
    </row>
    <row r="12" spans="1:24" s="5" customFormat="1" x14ac:dyDescent="0.25">
      <c r="B12" s="5" t="s">
        <v>74</v>
      </c>
      <c r="D12" s="5">
        <f t="shared" ref="D12:Q12" si="7">+D6-D11</f>
        <v>-20839</v>
      </c>
      <c r="E12" s="5">
        <f t="shared" si="7"/>
        <v>-17959</v>
      </c>
      <c r="F12" s="5">
        <f t="shared" si="7"/>
        <v>-22962</v>
      </c>
      <c r="G12" s="5">
        <f t="shared" si="7"/>
        <v>-25330</v>
      </c>
      <c r="H12" s="5">
        <f t="shared" si="7"/>
        <v>-23380</v>
      </c>
      <c r="I12" s="5">
        <f t="shared" si="7"/>
        <v>-24007</v>
      </c>
      <c r="J12" s="5">
        <f t="shared" si="7"/>
        <v>-23095</v>
      </c>
      <c r="K12" s="5">
        <f t="shared" si="7"/>
        <v>-30278</v>
      </c>
      <c r="L12" s="5">
        <f t="shared" si="7"/>
        <v>-31142</v>
      </c>
      <c r="M12" s="5">
        <f t="shared" si="7"/>
        <v>-44240</v>
      </c>
      <c r="N12" s="5">
        <f t="shared" si="7"/>
        <v>-49631</v>
      </c>
      <c r="O12" s="5">
        <f t="shared" si="7"/>
        <v>-46737</v>
      </c>
      <c r="P12" s="5">
        <f t="shared" si="7"/>
        <v>-45333</v>
      </c>
      <c r="Q12" s="5">
        <f t="shared" si="7"/>
        <v>-55354</v>
      </c>
      <c r="U12" s="5">
        <f t="shared" si="0"/>
        <v>-87090</v>
      </c>
      <c r="V12" s="5">
        <f t="shared" si="1"/>
        <v>-100760</v>
      </c>
      <c r="W12" s="5">
        <f t="shared" si="2"/>
        <v>-171750</v>
      </c>
      <c r="X12" s="5">
        <f t="shared" si="3"/>
        <v>-100687</v>
      </c>
    </row>
    <row r="13" spans="1:24" x14ac:dyDescent="0.25">
      <c r="B13" s="3" t="s">
        <v>75</v>
      </c>
      <c r="D13" s="3">
        <v>-167</v>
      </c>
      <c r="E13" s="3">
        <v>-169</v>
      </c>
      <c r="F13" s="3">
        <v>-171</v>
      </c>
      <c r="G13" s="3">
        <f>-802-F13-E13-D13</f>
        <v>-295</v>
      </c>
      <c r="H13" s="3">
        <v>-110</v>
      </c>
      <c r="I13" s="3">
        <v>-703</v>
      </c>
      <c r="J13" s="3">
        <v>-864</v>
      </c>
      <c r="K13" s="3">
        <f>-2780-J13-I13-H13</f>
        <v>-1103</v>
      </c>
      <c r="L13" s="3">
        <v>-1821</v>
      </c>
      <c r="M13" s="3">
        <v>-1960</v>
      </c>
      <c r="N13" s="3">
        <v>-3899</v>
      </c>
      <c r="O13" s="3">
        <f>-13101-N13-M13-L13</f>
        <v>-5421</v>
      </c>
      <c r="P13" s="3">
        <v>-4948</v>
      </c>
      <c r="Q13" s="3">
        <v>-2211</v>
      </c>
      <c r="U13" s="3">
        <f t="shared" si="0"/>
        <v>-802</v>
      </c>
      <c r="V13" s="3">
        <f t="shared" si="1"/>
        <v>-2780</v>
      </c>
      <c r="W13" s="3">
        <f t="shared" si="2"/>
        <v>-13101</v>
      </c>
      <c r="X13" s="3">
        <f t="shared" si="3"/>
        <v>-7159</v>
      </c>
    </row>
    <row r="14" spans="1:24" x14ac:dyDescent="0.25">
      <c r="B14" s="3" t="s">
        <v>76</v>
      </c>
      <c r="D14" s="3">
        <v>48</v>
      </c>
      <c r="E14" s="3">
        <v>61</v>
      </c>
      <c r="F14" s="3">
        <v>11</v>
      </c>
      <c r="G14" s="3">
        <f>134-F14-E14-D14</f>
        <v>14</v>
      </c>
      <c r="H14" s="3">
        <v>14</v>
      </c>
      <c r="I14" s="3">
        <v>123</v>
      </c>
      <c r="J14" s="3">
        <v>572</v>
      </c>
      <c r="K14" s="3">
        <f>1596-J14-I14-H14</f>
        <v>887</v>
      </c>
      <c r="L14" s="3">
        <v>1029</v>
      </c>
      <c r="M14" s="3">
        <v>1296</v>
      </c>
      <c r="N14" s="3">
        <v>3005</v>
      </c>
      <c r="O14" s="3">
        <f>7732-N14-M14-L14</f>
        <v>2402</v>
      </c>
      <c r="P14" s="3">
        <v>1884</v>
      </c>
      <c r="Q14" s="3">
        <v>4136</v>
      </c>
      <c r="U14" s="3">
        <f t="shared" si="0"/>
        <v>134</v>
      </c>
      <c r="V14" s="3">
        <f t="shared" si="1"/>
        <v>1596</v>
      </c>
      <c r="W14" s="3">
        <f t="shared" si="2"/>
        <v>7732</v>
      </c>
      <c r="X14" s="3">
        <f t="shared" si="3"/>
        <v>6020</v>
      </c>
    </row>
    <row r="15" spans="1:24" s="5" customFormat="1" x14ac:dyDescent="0.25">
      <c r="B15" s="5" t="s">
        <v>77</v>
      </c>
      <c r="D15" s="5">
        <f t="shared" ref="D15:Q15" si="8">+D12+D14+D13</f>
        <v>-20958</v>
      </c>
      <c r="E15" s="5">
        <f t="shared" si="8"/>
        <v>-18067</v>
      </c>
      <c r="F15" s="5">
        <f t="shared" si="8"/>
        <v>-23122</v>
      </c>
      <c r="G15" s="5">
        <f t="shared" si="8"/>
        <v>-25611</v>
      </c>
      <c r="H15" s="5">
        <f t="shared" si="8"/>
        <v>-23476</v>
      </c>
      <c r="I15" s="5">
        <f t="shared" si="8"/>
        <v>-24587</v>
      </c>
      <c r="J15" s="5">
        <f t="shared" si="8"/>
        <v>-23387</v>
      </c>
      <c r="K15" s="5">
        <f t="shared" si="8"/>
        <v>-30494</v>
      </c>
      <c r="L15" s="5">
        <f t="shared" si="8"/>
        <v>-31934</v>
      </c>
      <c r="M15" s="5">
        <f t="shared" si="8"/>
        <v>-44904</v>
      </c>
      <c r="N15" s="5">
        <f t="shared" si="8"/>
        <v>-50525</v>
      </c>
      <c r="O15" s="5">
        <f t="shared" si="8"/>
        <v>-49756</v>
      </c>
      <c r="P15" s="5">
        <f t="shared" si="8"/>
        <v>-48397</v>
      </c>
      <c r="Q15" s="5">
        <f t="shared" si="8"/>
        <v>-53429</v>
      </c>
      <c r="U15" s="5">
        <f t="shared" si="0"/>
        <v>-87758</v>
      </c>
      <c r="V15" s="5">
        <f t="shared" si="1"/>
        <v>-101944</v>
      </c>
      <c r="W15" s="5">
        <f t="shared" si="2"/>
        <v>-177119</v>
      </c>
      <c r="X15" s="5">
        <f t="shared" si="3"/>
        <v>-101826</v>
      </c>
    </row>
    <row r="16" spans="1:24" s="6" customFormat="1" x14ac:dyDescent="0.25">
      <c r="B16" s="6" t="s">
        <v>78</v>
      </c>
      <c r="D16" s="6">
        <f t="shared" ref="D16:Q16" si="9">+D15/D17</f>
        <v>-0.14617203356140021</v>
      </c>
      <c r="E16" s="6">
        <f t="shared" si="9"/>
        <v>-0.12507355435407164</v>
      </c>
      <c r="F16" s="6">
        <f t="shared" si="9"/>
        <v>-0.15528959810874704</v>
      </c>
      <c r="G16" s="6">
        <f t="shared" si="9"/>
        <v>-0.17120339051031458</v>
      </c>
      <c r="H16" s="6">
        <f t="shared" si="9"/>
        <v>-0.15739859202145493</v>
      </c>
      <c r="I16" s="6">
        <f t="shared" si="9"/>
        <v>-0.16433402844615549</v>
      </c>
      <c r="J16" s="6">
        <f t="shared" si="9"/>
        <v>-0.13371335132415496</v>
      </c>
      <c r="K16" s="6">
        <f t="shared" si="9"/>
        <v>-0.16157816093172112</v>
      </c>
      <c r="L16" s="6">
        <f t="shared" si="9"/>
        <v>-0.16895044811495444</v>
      </c>
      <c r="M16" s="6">
        <f t="shared" si="9"/>
        <v>-0.21927601412226602</v>
      </c>
      <c r="N16" s="6">
        <f t="shared" si="9"/>
        <v>-0.20628763907318567</v>
      </c>
      <c r="O16" s="6">
        <f t="shared" si="9"/>
        <v>-0.22500791389680277</v>
      </c>
      <c r="P16" s="6">
        <f t="shared" si="9"/>
        <v>-0.1972248257875219</v>
      </c>
      <c r="Q16" s="6">
        <f t="shared" si="9"/>
        <v>-0.17188806959296865</v>
      </c>
      <c r="U16" s="6">
        <f t="shared" si="0"/>
        <v>-0.59773857653453344</v>
      </c>
      <c r="V16" s="6">
        <f t="shared" si="1"/>
        <v>-0.61702413272348644</v>
      </c>
      <c r="W16" s="6">
        <f t="shared" si="2"/>
        <v>-0.81952201520720891</v>
      </c>
      <c r="X16" s="6">
        <f t="shared" si="3"/>
        <v>-0.36911289538049052</v>
      </c>
    </row>
    <row r="17" spans="2:24" x14ac:dyDescent="0.25">
      <c r="B17" s="3" t="s">
        <v>79</v>
      </c>
      <c r="D17" s="3">
        <v>143379</v>
      </c>
      <c r="E17" s="3">
        <v>144451</v>
      </c>
      <c r="F17" s="3">
        <v>148896</v>
      </c>
      <c r="G17" s="3">
        <v>149594</v>
      </c>
      <c r="H17" s="3">
        <v>149150</v>
      </c>
      <c r="I17" s="3">
        <v>149616</v>
      </c>
      <c r="J17" s="3">
        <v>174904</v>
      </c>
      <c r="K17" s="3">
        <v>188726</v>
      </c>
      <c r="L17" s="3">
        <v>189014</v>
      </c>
      <c r="M17" s="3">
        <v>204783</v>
      </c>
      <c r="N17" s="3">
        <v>244925</v>
      </c>
      <c r="O17" s="3">
        <v>221130</v>
      </c>
      <c r="P17" s="3">
        <v>245390</v>
      </c>
      <c r="Q17" s="3">
        <v>310836</v>
      </c>
      <c r="U17" s="3">
        <f>+AVERAGE(D17:G17)</f>
        <v>146580</v>
      </c>
      <c r="V17" s="3">
        <f>+AVERAGE(H17:K17)</f>
        <v>165599</v>
      </c>
      <c r="W17" s="3">
        <f>+AVERAGE(L17:O17)</f>
        <v>214963</v>
      </c>
      <c r="X17" s="3">
        <f>+AVERAGE(P17:S17)</f>
        <v>278113</v>
      </c>
    </row>
    <row r="19" spans="2:24" s="7" customFormat="1" x14ac:dyDescent="0.25">
      <c r="B19" s="7" t="s">
        <v>81</v>
      </c>
      <c r="E19" s="7">
        <f t="shared" ref="E19:P19" si="10">+E6/D6-1</f>
        <v>7.6666666666666661</v>
      </c>
      <c r="F19" s="7">
        <f t="shared" si="10"/>
        <v>-0.90170940170940173</v>
      </c>
      <c r="G19" s="7">
        <f t="shared" si="10"/>
        <v>-0.39130434782608692</v>
      </c>
      <c r="H19" s="7">
        <f t="shared" si="10"/>
        <v>1.6428571428571428</v>
      </c>
      <c r="I19" s="7">
        <f t="shared" si="10"/>
        <v>-5.4054054054054057E-2</v>
      </c>
      <c r="J19" s="7">
        <f t="shared" si="10"/>
        <v>0.11428571428571432</v>
      </c>
      <c r="K19" s="7">
        <f t="shared" si="10"/>
        <v>-0.28205128205128205</v>
      </c>
      <c r="L19" s="7">
        <f t="shared" si="10"/>
        <v>-0.1428571428571429</v>
      </c>
      <c r="M19" s="7">
        <f t="shared" si="10"/>
        <v>12.208333333333334</v>
      </c>
      <c r="N19" s="7">
        <f t="shared" si="10"/>
        <v>-0.48895899053627756</v>
      </c>
      <c r="O19" s="7">
        <f>+O6/N6-1</f>
        <v>3.3271604938271606</v>
      </c>
      <c r="P19" s="7">
        <f t="shared" si="10"/>
        <v>0.61198288159771752</v>
      </c>
      <c r="Q19" s="7">
        <f>+Q6/P6-1</f>
        <v>0.4575221238938052</v>
      </c>
    </row>
    <row r="20" spans="2:24" s="7" customFormat="1" x14ac:dyDescent="0.25">
      <c r="B20" s="7" t="s">
        <v>102</v>
      </c>
      <c r="H20" s="7">
        <f t="shared" ref="H20:Q20" si="11">+H6/D6-1</f>
        <v>0.37037037037037046</v>
      </c>
      <c r="I20" s="7">
        <f t="shared" si="11"/>
        <v>-0.8504273504273504</v>
      </c>
      <c r="J20" s="7">
        <f t="shared" si="11"/>
        <v>0.69565217391304346</v>
      </c>
      <c r="K20" s="7">
        <f t="shared" si="11"/>
        <v>1</v>
      </c>
      <c r="L20" s="7">
        <f t="shared" si="11"/>
        <v>-0.35135135135135132</v>
      </c>
      <c r="M20" s="7">
        <f t="shared" si="11"/>
        <v>8.0571428571428569</v>
      </c>
      <c r="N20" s="7">
        <f t="shared" si="11"/>
        <v>3.1538461538461542</v>
      </c>
      <c r="O20" s="7">
        <f t="shared" si="11"/>
        <v>24.035714285714285</v>
      </c>
      <c r="P20" s="7">
        <f t="shared" si="11"/>
        <v>46.083333333333336</v>
      </c>
      <c r="Q20" s="7">
        <f t="shared" si="11"/>
        <v>4.1955835962145107</v>
      </c>
      <c r="V20" s="7">
        <f>+V6/U6-1</f>
        <v>-0.53355704697986583</v>
      </c>
      <c r="W20" s="7">
        <f>+W6/V6-1</f>
        <v>7.6618705035971217</v>
      </c>
      <c r="X20" s="7">
        <f>+X6/W6-1</f>
        <v>1.3064784053156147</v>
      </c>
    </row>
    <row r="21" spans="2:24" s="8" customFormat="1" x14ac:dyDescent="0.25">
      <c r="B21" s="8" t="s">
        <v>100</v>
      </c>
      <c r="D21" s="7">
        <f t="shared" ref="D21:P21" si="12">+D4/D6</f>
        <v>0</v>
      </c>
      <c r="E21" s="7">
        <f t="shared" si="12"/>
        <v>0</v>
      </c>
      <c r="F21" s="7">
        <f t="shared" si="12"/>
        <v>0</v>
      </c>
      <c r="G21" s="7">
        <f t="shared" si="12"/>
        <v>0</v>
      </c>
      <c r="H21" s="7">
        <f t="shared" si="12"/>
        <v>0</v>
      </c>
      <c r="I21" s="7">
        <f t="shared" si="12"/>
        <v>0</v>
      </c>
      <c r="J21" s="7">
        <f t="shared" si="12"/>
        <v>0</v>
      </c>
      <c r="K21" s="7">
        <f t="shared" si="12"/>
        <v>0</v>
      </c>
      <c r="L21" s="7">
        <f t="shared" si="12"/>
        <v>0</v>
      </c>
      <c r="M21" s="7">
        <f t="shared" si="12"/>
        <v>0.917981072555205</v>
      </c>
      <c r="N21" s="7">
        <f t="shared" si="12"/>
        <v>0.9135802469135802</v>
      </c>
      <c r="O21" s="7">
        <f t="shared" si="12"/>
        <v>0.95720399429386593</v>
      </c>
      <c r="P21" s="7">
        <f t="shared" si="12"/>
        <v>0.96725663716814159</v>
      </c>
      <c r="Q21" s="7">
        <f>+Q4/Q6</f>
        <v>0.98178506375227692</v>
      </c>
    </row>
    <row r="22" spans="2:24" s="8" customFormat="1" x14ac:dyDescent="0.25">
      <c r="B22" s="8" t="s">
        <v>101</v>
      </c>
      <c r="D22" s="7">
        <f t="shared" ref="D22:P22" si="13">+D5/D6</f>
        <v>1</v>
      </c>
      <c r="E22" s="7">
        <f t="shared" si="13"/>
        <v>1</v>
      </c>
      <c r="F22" s="7">
        <f t="shared" si="13"/>
        <v>1</v>
      </c>
      <c r="G22" s="7">
        <f t="shared" si="13"/>
        <v>1</v>
      </c>
      <c r="H22" s="7">
        <f t="shared" si="13"/>
        <v>1</v>
      </c>
      <c r="I22" s="7">
        <f t="shared" si="13"/>
        <v>1</v>
      </c>
      <c r="J22" s="7">
        <f t="shared" si="13"/>
        <v>1</v>
      </c>
      <c r="K22" s="7">
        <f t="shared" si="13"/>
        <v>1</v>
      </c>
      <c r="L22" s="7">
        <f t="shared" si="13"/>
        <v>1</v>
      </c>
      <c r="M22" s="7">
        <f t="shared" si="13"/>
        <v>8.2018927444794956E-2</v>
      </c>
      <c r="N22" s="7">
        <f t="shared" si="13"/>
        <v>8.6419753086419748E-2</v>
      </c>
      <c r="O22" s="7">
        <f t="shared" si="13"/>
        <v>4.2796005706134094E-2</v>
      </c>
      <c r="P22" s="7">
        <f t="shared" si="13"/>
        <v>3.2743362831858407E-2</v>
      </c>
      <c r="Q22" s="7">
        <f>+Q5/Q6</f>
        <v>1.8214936247723135E-2</v>
      </c>
    </row>
  </sheetData>
  <hyperlinks>
    <hyperlink ref="A1" location="Main!A1" display="Main" xr:uid="{483D6113-0D0A-4121-8BB6-1729233C2CDC}"/>
  </hyperlinks>
  <pageMargins left="0.7" right="0.7" top="0.78740157499999996" bottom="0.78740157499999996"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E2C96-82C1-460B-8A23-830118672E93}">
  <dimension ref="A1:D15"/>
  <sheetViews>
    <sheetView workbookViewId="0">
      <selection activeCell="H26" sqref="H26"/>
    </sheetView>
  </sheetViews>
  <sheetFormatPr baseColWidth="10" defaultRowHeight="15" x14ac:dyDescent="0.25"/>
  <cols>
    <col min="1" max="1" width="5.42578125" style="9" bestFit="1" customWidth="1"/>
    <col min="2" max="2" width="11.42578125" style="9"/>
    <col min="3" max="3" width="13.140625" style="9" bestFit="1" customWidth="1"/>
    <col min="4" max="16384" width="11.42578125" style="9"/>
  </cols>
  <sheetData>
    <row r="1" spans="1:4" x14ac:dyDescent="0.25">
      <c r="A1" s="33" t="s">
        <v>22</v>
      </c>
    </row>
    <row r="3" spans="1:4" x14ac:dyDescent="0.25">
      <c r="C3" s="9" t="s">
        <v>2</v>
      </c>
    </row>
    <row r="4" spans="1:4" x14ac:dyDescent="0.25">
      <c r="C4" s="9" t="s">
        <v>23</v>
      </c>
      <c r="D4" s="9" t="s">
        <v>12</v>
      </c>
    </row>
    <row r="5" spans="1:4" x14ac:dyDescent="0.25">
      <c r="C5" s="9" t="s">
        <v>26</v>
      </c>
      <c r="D5" s="9" t="s">
        <v>57</v>
      </c>
    </row>
    <row r="8" spans="1:4" x14ac:dyDescent="0.25">
      <c r="C8" s="9" t="s">
        <v>128</v>
      </c>
      <c r="D8" s="9" t="s">
        <v>129</v>
      </c>
    </row>
    <row r="9" spans="1:4" x14ac:dyDescent="0.25">
      <c r="D9" s="9" t="s">
        <v>130</v>
      </c>
    </row>
    <row r="10" spans="1:4" x14ac:dyDescent="0.25">
      <c r="D10" s="9" t="s">
        <v>131</v>
      </c>
    </row>
    <row r="11" spans="1:4" x14ac:dyDescent="0.25">
      <c r="D11" s="9" t="s">
        <v>132</v>
      </c>
    </row>
    <row r="14" spans="1:4" x14ac:dyDescent="0.25">
      <c r="C14" s="9" t="s">
        <v>24</v>
      </c>
    </row>
    <row r="15" spans="1:4" x14ac:dyDescent="0.25">
      <c r="D15" s="42" t="s">
        <v>155</v>
      </c>
    </row>
  </sheetData>
  <hyperlinks>
    <hyperlink ref="A1" location="Main!A1" display="Main" xr:uid="{F757D8DA-CFC4-4C49-BBF9-C7B031390970}"/>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B9E3A-C273-4803-9421-0AACF7CB16C9}">
  <dimension ref="A1:C18"/>
  <sheetViews>
    <sheetView workbookViewId="0">
      <selection activeCell="L24" sqref="L24"/>
    </sheetView>
  </sheetViews>
  <sheetFormatPr baseColWidth="10" defaultRowHeight="15" x14ac:dyDescent="0.25"/>
  <cols>
    <col min="1" max="1" width="5.42578125" style="9" bestFit="1" customWidth="1"/>
    <col min="2" max="2" width="18.5703125" style="9" bestFit="1" customWidth="1"/>
    <col min="3" max="16384" width="11.42578125" style="9"/>
  </cols>
  <sheetData>
    <row r="1" spans="1:3" x14ac:dyDescent="0.25">
      <c r="A1" s="33" t="s">
        <v>22</v>
      </c>
    </row>
    <row r="3" spans="1:3" x14ac:dyDescent="0.25">
      <c r="B3" s="9" t="s">
        <v>109</v>
      </c>
    </row>
    <row r="4" spans="1:3" x14ac:dyDescent="0.25">
      <c r="B4" s="9" t="s">
        <v>23</v>
      </c>
    </row>
    <row r="5" spans="1:3" x14ac:dyDescent="0.25">
      <c r="B5" s="9" t="s">
        <v>26</v>
      </c>
    </row>
    <row r="7" spans="1:3" x14ac:dyDescent="0.25">
      <c r="B7" s="9" t="s">
        <v>124</v>
      </c>
      <c r="C7" s="9" t="s">
        <v>125</v>
      </c>
    </row>
    <row r="8" spans="1:3" x14ac:dyDescent="0.25">
      <c r="C8" s="9" t="s">
        <v>126</v>
      </c>
    </row>
    <row r="9" spans="1:3" x14ac:dyDescent="0.25">
      <c r="C9" s="9" t="s">
        <v>127</v>
      </c>
    </row>
    <row r="12" spans="1:3" x14ac:dyDescent="0.25">
      <c r="B12" s="9" t="s">
        <v>27</v>
      </c>
    </row>
    <row r="15" spans="1:3" x14ac:dyDescent="0.25">
      <c r="B15" s="40" t="s">
        <v>122</v>
      </c>
      <c r="C15" s="33" t="s">
        <v>123</v>
      </c>
    </row>
    <row r="16" spans="1:3" x14ac:dyDescent="0.25">
      <c r="B16" s="40"/>
    </row>
    <row r="17" spans="2:3" x14ac:dyDescent="0.25">
      <c r="B17" s="40"/>
    </row>
    <row r="18" spans="2:3" x14ac:dyDescent="0.25">
      <c r="B18" s="41" t="s">
        <v>135</v>
      </c>
      <c r="C18" s="30" t="s">
        <v>134</v>
      </c>
    </row>
  </sheetData>
  <hyperlinks>
    <hyperlink ref="A1" location="Main!A1" display="Main" xr:uid="{4C2869C5-20CD-4148-B18F-CEB8F1EEEACA}"/>
    <hyperlink ref="C15" r:id="rId1" location=":~:text=Conclusions,was%20associated%20with%20adverse%20events." xr:uid="{6BB3DC8E-F95E-4F91-9255-518A33FD2791}"/>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21E4-BBCA-4FED-92D1-1C6AE6600230}">
  <dimension ref="A1:D28"/>
  <sheetViews>
    <sheetView workbookViewId="0">
      <selection activeCell="N31" sqref="N31"/>
    </sheetView>
  </sheetViews>
  <sheetFormatPr baseColWidth="10" defaultRowHeight="15" x14ac:dyDescent="0.25"/>
  <cols>
    <col min="1" max="1" width="5.42578125" style="9" bestFit="1" customWidth="1"/>
    <col min="2" max="2" width="11.42578125" style="9"/>
    <col min="3" max="3" width="14" style="9" bestFit="1" customWidth="1"/>
    <col min="4" max="4" width="12.7109375" style="9" bestFit="1" customWidth="1"/>
    <col min="5" max="16384" width="11.42578125" style="9"/>
  </cols>
  <sheetData>
    <row r="1" spans="1:4" x14ac:dyDescent="0.25">
      <c r="A1" s="33" t="s">
        <v>22</v>
      </c>
    </row>
    <row r="4" spans="1:4" x14ac:dyDescent="0.25">
      <c r="C4" s="9" t="s">
        <v>2</v>
      </c>
      <c r="D4" s="9" t="s">
        <v>9</v>
      </c>
    </row>
    <row r="5" spans="1:4" x14ac:dyDescent="0.25">
      <c r="C5" s="9" t="s">
        <v>23</v>
      </c>
      <c r="D5" s="9" t="s">
        <v>25</v>
      </c>
    </row>
    <row r="6" spans="1:4" x14ac:dyDescent="0.25">
      <c r="C6" s="9" t="s">
        <v>26</v>
      </c>
      <c r="D6" s="9" t="s">
        <v>145</v>
      </c>
    </row>
    <row r="7" spans="1:4" x14ac:dyDescent="0.25">
      <c r="C7" s="9" t="s">
        <v>7</v>
      </c>
      <c r="D7" s="9" t="s">
        <v>10</v>
      </c>
    </row>
    <row r="10" spans="1:4" x14ac:dyDescent="0.25">
      <c r="C10" s="9" t="s">
        <v>141</v>
      </c>
      <c r="D10" s="9" t="s">
        <v>142</v>
      </c>
    </row>
    <row r="11" spans="1:4" x14ac:dyDescent="0.25">
      <c r="D11" s="9" t="s">
        <v>143</v>
      </c>
    </row>
    <row r="12" spans="1:4" x14ac:dyDescent="0.25">
      <c r="D12" s="9" t="s">
        <v>144</v>
      </c>
    </row>
    <row r="15" spans="1:4" x14ac:dyDescent="0.25">
      <c r="C15" s="9" t="s">
        <v>146</v>
      </c>
      <c r="D15" s="9" t="s">
        <v>147</v>
      </c>
    </row>
    <row r="16" spans="1:4" x14ac:dyDescent="0.25">
      <c r="D16" s="9" t="s">
        <v>148</v>
      </c>
    </row>
    <row r="17" spans="3:4" x14ac:dyDescent="0.25">
      <c r="D17" s="9" t="s">
        <v>149</v>
      </c>
    </row>
    <row r="18" spans="3:4" x14ac:dyDescent="0.25">
      <c r="D18" s="9" t="s">
        <v>150</v>
      </c>
    </row>
    <row r="19" spans="3:4" x14ac:dyDescent="0.25">
      <c r="D19" s="9" t="s">
        <v>151</v>
      </c>
    </row>
    <row r="20" spans="3:4" x14ac:dyDescent="0.25">
      <c r="D20" s="1" t="s">
        <v>152</v>
      </c>
    </row>
    <row r="28" spans="3:4" x14ac:dyDescent="0.25">
      <c r="C28" s="9" t="s">
        <v>27</v>
      </c>
    </row>
  </sheetData>
  <hyperlinks>
    <hyperlink ref="A1" location="Main!A1" display="Main" xr:uid="{DD7F5CF7-1D74-4EE2-9DD3-0C78EB17BE6E}"/>
    <hyperlink ref="D20" r:id="rId1" xr:uid="{C7288E90-7689-4FA8-82EF-2F006FB06198}"/>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C878-09BB-4F19-832E-F44F4AC93CC1}">
  <sheetPr>
    <tabColor rgb="FFFFC000"/>
  </sheetPr>
  <dimension ref="A1:P43"/>
  <sheetViews>
    <sheetView workbookViewId="0">
      <pane ySplit="1" topLeftCell="A2" activePane="bottomLeft" state="frozen"/>
      <selection pane="bottomLeft" activeCell="M32" sqref="M32"/>
    </sheetView>
  </sheetViews>
  <sheetFormatPr baseColWidth="10" defaultRowHeight="15" x14ac:dyDescent="0.25"/>
  <cols>
    <col min="1" max="3" width="11.42578125" style="16"/>
    <col min="4" max="4" width="35.7109375" style="35" bestFit="1" customWidth="1"/>
    <col min="5" max="16384" width="11.42578125" style="9"/>
  </cols>
  <sheetData>
    <row r="1" spans="1:16" s="34" customFormat="1" x14ac:dyDescent="0.25">
      <c r="A1" s="34" t="s">
        <v>31</v>
      </c>
      <c r="B1" s="34" t="s">
        <v>32</v>
      </c>
      <c r="C1" s="34" t="s">
        <v>33</v>
      </c>
      <c r="D1" s="34" t="s">
        <v>35</v>
      </c>
      <c r="E1" s="34" t="s">
        <v>34</v>
      </c>
      <c r="F1" s="34" t="s">
        <v>1</v>
      </c>
    </row>
    <row r="3" spans="1:16" x14ac:dyDescent="0.25">
      <c r="A3" s="35" t="s">
        <v>111</v>
      </c>
      <c r="D3" s="35" t="s">
        <v>36</v>
      </c>
      <c r="E3" s="9">
        <v>1</v>
      </c>
      <c r="F3" s="33" t="s">
        <v>37</v>
      </c>
      <c r="P3" s="32" t="s">
        <v>39</v>
      </c>
    </row>
    <row r="4" spans="1:16" x14ac:dyDescent="0.25">
      <c r="F4" s="9" t="s">
        <v>38</v>
      </c>
    </row>
    <row r="5" spans="1:16" x14ac:dyDescent="0.25">
      <c r="E5" s="9">
        <v>2</v>
      </c>
      <c r="F5" s="33" t="s">
        <v>61</v>
      </c>
    </row>
    <row r="6" spans="1:16" x14ac:dyDescent="0.25">
      <c r="F6" s="9" t="s">
        <v>62</v>
      </c>
    </row>
    <row r="8" spans="1:16" x14ac:dyDescent="0.25">
      <c r="D8" s="35" t="s">
        <v>40</v>
      </c>
      <c r="E8" s="9">
        <v>3</v>
      </c>
      <c r="F8" s="33" t="s">
        <v>41</v>
      </c>
    </row>
    <row r="9" spans="1:16" x14ac:dyDescent="0.25">
      <c r="F9" s="9" t="s">
        <v>43</v>
      </c>
    </row>
    <row r="10" spans="1:16" x14ac:dyDescent="0.25">
      <c r="F10" s="9" t="s">
        <v>42</v>
      </c>
    </row>
    <row r="11" spans="1:16" x14ac:dyDescent="0.25">
      <c r="E11" s="9">
        <v>4</v>
      </c>
      <c r="F11" s="33" t="s">
        <v>44</v>
      </c>
    </row>
    <row r="12" spans="1:16" x14ac:dyDescent="0.25">
      <c r="F12" s="9" t="s">
        <v>45</v>
      </c>
    </row>
    <row r="13" spans="1:16" x14ac:dyDescent="0.25">
      <c r="F13" s="9" t="s">
        <v>46</v>
      </c>
    </row>
    <row r="14" spans="1:16" x14ac:dyDescent="0.25">
      <c r="F14" s="9" t="s">
        <v>48</v>
      </c>
    </row>
    <row r="15" spans="1:16" x14ac:dyDescent="0.25">
      <c r="F15" s="9" t="s">
        <v>47</v>
      </c>
    </row>
    <row r="16" spans="1:16" x14ac:dyDescent="0.25">
      <c r="E16" s="9">
        <v>5</v>
      </c>
      <c r="F16" s="33" t="s">
        <v>49</v>
      </c>
    </row>
    <row r="17" spans="4:6" x14ac:dyDescent="0.25">
      <c r="F17" s="9" t="s">
        <v>50</v>
      </c>
    </row>
    <row r="18" spans="4:6" x14ac:dyDescent="0.25">
      <c r="E18" s="9">
        <v>6</v>
      </c>
      <c r="F18" s="33" t="s">
        <v>51</v>
      </c>
    </row>
    <row r="19" spans="4:6" x14ac:dyDescent="0.25">
      <c r="F19" s="9" t="s">
        <v>52</v>
      </c>
    </row>
    <row r="20" spans="4:6" x14ac:dyDescent="0.25">
      <c r="E20" s="9">
        <v>7</v>
      </c>
      <c r="F20" s="33" t="s">
        <v>53</v>
      </c>
    </row>
    <row r="21" spans="4:6" x14ac:dyDescent="0.25">
      <c r="F21" s="9" t="s">
        <v>54</v>
      </c>
    </row>
    <row r="22" spans="4:6" x14ac:dyDescent="0.25">
      <c r="E22" s="9">
        <v>8</v>
      </c>
      <c r="F22" s="33" t="s">
        <v>55</v>
      </c>
    </row>
    <row r="23" spans="4:6" x14ac:dyDescent="0.25">
      <c r="F23" s="9" t="s">
        <v>56</v>
      </c>
    </row>
    <row r="25" spans="4:6" x14ac:dyDescent="0.25">
      <c r="D25" s="35" t="s">
        <v>58</v>
      </c>
      <c r="E25" s="9">
        <v>9</v>
      </c>
      <c r="F25" s="33" t="s">
        <v>59</v>
      </c>
    </row>
    <row r="26" spans="4:6" x14ac:dyDescent="0.25">
      <c r="F26" s="9" t="s">
        <v>60</v>
      </c>
    </row>
    <row r="27" spans="4:6" x14ac:dyDescent="0.25">
      <c r="E27" s="9">
        <v>10</v>
      </c>
      <c r="F27" s="33" t="s">
        <v>63</v>
      </c>
    </row>
    <row r="28" spans="4:6" x14ac:dyDescent="0.25">
      <c r="F28" s="9" t="s">
        <v>64</v>
      </c>
    </row>
    <row r="29" spans="4:6" x14ac:dyDescent="0.25">
      <c r="E29" s="9">
        <v>11</v>
      </c>
      <c r="F29" s="36"/>
    </row>
    <row r="41" spans="6:6" ht="15.75" x14ac:dyDescent="0.25">
      <c r="F41" s="37"/>
    </row>
    <row r="42" spans="6:6" x14ac:dyDescent="0.25">
      <c r="F42" s="38"/>
    </row>
    <row r="43" spans="6:6" ht="15.75" x14ac:dyDescent="0.25">
      <c r="F43" s="39"/>
    </row>
  </sheetData>
  <hyperlinks>
    <hyperlink ref="F3" r:id="rId1" xr:uid="{C62314B3-036F-42C7-B3BB-BC27E6A0541B}"/>
    <hyperlink ref="F8" r:id="rId2" xr:uid="{338986C4-2EC1-4075-9005-F9875A3483FD}"/>
    <hyperlink ref="F11" r:id="rId3" display="Discovery of (S)-1-((2',6-Bis(difluoromethyl)-[2,4'-bipyridin]-5-yl)oxy)-2,4-dimethylpentan-2-amine (BMS-986176/LX-9211): A Highly Selective, CNS Penetrable, and Orally Active Adaptor Protein-2 Associated Kinase 1 Inhibitor in Clinical Trials for the Treatment of Neuropathic Pain." xr:uid="{7F478A06-3886-4476-B1C2-7726037F430B}"/>
    <hyperlink ref="F16" r:id="rId4" xr:uid="{EEB7120B-5E1A-420B-85EB-90509022E951}"/>
    <hyperlink ref="F18" r:id="rId5" xr:uid="{D45A2777-4B3B-4119-ACB1-02A0E83145C7}"/>
    <hyperlink ref="F20" r:id="rId6" xr:uid="{1283F7AF-6485-4954-B1F1-EF10A9AA7965}"/>
    <hyperlink ref="F22" r:id="rId7" xr:uid="{BD9445EC-608D-49FF-80A3-132AF50D6ECB}"/>
    <hyperlink ref="F25" r:id="rId8" xr:uid="{E34C5B31-4C71-4923-B76D-4AC31D4157B8}"/>
    <hyperlink ref="F5" r:id="rId9" xr:uid="{8524601A-F8F7-42E0-89AD-8AA0062552B3}"/>
    <hyperlink ref="F27" r:id="rId10" display="https://pubmed.ncbi.nlm.nih.gov/38895916/" xr:uid="{B797BEF3-E740-4A0D-9000-87D967B44DF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Main</vt:lpstr>
      <vt:lpstr>Model</vt:lpstr>
      <vt:lpstr>LX9211</vt:lpstr>
      <vt:lpstr>Sotagliflozin</vt:lpstr>
      <vt:lpstr>Inpefa</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 Malburg</dc:creator>
  <cp:lastModifiedBy>Norbert Malburg</cp:lastModifiedBy>
  <dcterms:created xsi:type="dcterms:W3CDTF">2024-08-16T07:24:47Z</dcterms:created>
  <dcterms:modified xsi:type="dcterms:W3CDTF">2024-08-22T13:46:48Z</dcterms:modified>
</cp:coreProperties>
</file>