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d\Downloads\Telegram Desktop\"/>
    </mc:Choice>
  </mc:AlternateContent>
  <xr:revisionPtr revIDLastSave="0" documentId="8_{CC5F6011-E81B-3944-8C8E-0590DFB413D2}" xr6:coauthVersionLast="47" xr6:coauthVersionMax="47" xr10:uidLastSave="{00000000-0000-0000-0000-000000000000}"/>
  <bookViews>
    <workbookView xWindow="-120" yWindow="-120" windowWidth="38640" windowHeight="21120" xr2:uid="{B9ECCC53-0BB8-4A76-A229-F9EE672C41E2}"/>
  </bookViews>
  <sheets>
    <sheet name="الشركات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2" l="1"/>
  <c r="B51" i="2"/>
  <c r="B53" i="2"/>
  <c r="G39" i="2"/>
  <c r="G40" i="2"/>
  <c r="F40" i="2"/>
  <c r="E41" i="2"/>
  <c r="F41" i="2"/>
  <c r="G41" i="2"/>
  <c r="E42" i="2"/>
  <c r="F42" i="2"/>
  <c r="G42" i="2"/>
  <c r="E43" i="2"/>
  <c r="F43" i="2"/>
  <c r="G43" i="2"/>
  <c r="F39" i="2"/>
  <c r="G38" i="2"/>
  <c r="G37" i="2"/>
  <c r="F37" i="2"/>
  <c r="F38" i="2"/>
  <c r="G35" i="2"/>
  <c r="G36" i="2"/>
  <c r="E39" i="2"/>
  <c r="E38" i="2"/>
  <c r="F36" i="2"/>
  <c r="F35" i="2"/>
  <c r="G34" i="2"/>
  <c r="F34" i="2"/>
  <c r="X47" i="2"/>
  <c r="W47" i="2"/>
  <c r="V47" i="2"/>
  <c r="U47" i="2"/>
  <c r="T47" i="2"/>
  <c r="S47" i="2"/>
  <c r="R47" i="2"/>
  <c r="Q47" i="2"/>
  <c r="P47" i="2"/>
  <c r="X46" i="2"/>
  <c r="W46" i="2"/>
  <c r="V46" i="2"/>
  <c r="U46" i="2"/>
  <c r="T46" i="2"/>
  <c r="S46" i="2"/>
  <c r="R46" i="2"/>
  <c r="Q46" i="2"/>
  <c r="P46" i="2"/>
  <c r="X45" i="2"/>
  <c r="W45" i="2"/>
  <c r="V45" i="2"/>
  <c r="U45" i="2"/>
  <c r="T45" i="2"/>
  <c r="S45" i="2"/>
  <c r="R45" i="2"/>
  <c r="Q45" i="2"/>
  <c r="P45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E28" i="2"/>
  <c r="F28" i="2"/>
  <c r="K8" i="2"/>
  <c r="I21" i="2"/>
  <c r="J21" i="2"/>
  <c r="K21" i="2"/>
  <c r="M24" i="2"/>
  <c r="J20" i="2"/>
  <c r="J19" i="2"/>
  <c r="L14" i="2"/>
  <c r="L18" i="2"/>
  <c r="J16" i="2"/>
  <c r="J15" i="2"/>
  <c r="I8" i="2"/>
  <c r="L8" i="2"/>
  <c r="BE15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K6" i="2"/>
  <c r="J8" i="2"/>
  <c r="BB58" i="2"/>
  <c r="AZ58" i="2"/>
  <c r="BB57" i="2"/>
  <c r="AZ57" i="2"/>
  <c r="BB56" i="2"/>
  <c r="AZ56" i="2"/>
  <c r="BB55" i="2"/>
  <c r="AZ55" i="2"/>
  <c r="BB54" i="2"/>
  <c r="AZ54" i="2"/>
  <c r="BB53" i="2"/>
  <c r="AZ53" i="2"/>
  <c r="BB52" i="2"/>
  <c r="AZ52" i="2"/>
  <c r="BB51" i="2"/>
  <c r="AZ51" i="2"/>
  <c r="BB50" i="2"/>
  <c r="AZ50" i="2"/>
  <c r="M21" i="2"/>
  <c r="W48" i="2"/>
  <c r="P48" i="2"/>
  <c r="Q48" i="2"/>
  <c r="V48" i="2"/>
  <c r="R48" i="2"/>
  <c r="E34" i="2"/>
  <c r="S48" i="2"/>
  <c r="E35" i="2"/>
  <c r="X48" i="2"/>
  <c r="E40" i="2"/>
  <c r="T48" i="2"/>
  <c r="E36" i="2"/>
  <c r="X50" i="2" a="1"/>
  <c r="X50" i="2"/>
  <c r="W50" i="2" a="1"/>
  <c r="W50" i="2"/>
  <c r="V50" i="2" a="1"/>
  <c r="V50" i="2"/>
  <c r="U50" i="2" a="1"/>
  <c r="U50" i="2"/>
  <c r="T50" i="2" a="1"/>
  <c r="T50" i="2"/>
  <c r="S50" i="2" a="1"/>
  <c r="S50" i="2"/>
  <c r="R50" i="2" a="1"/>
  <c r="R50" i="2"/>
  <c r="Q50" i="2" a="1"/>
  <c r="Q50" i="2"/>
  <c r="P50" i="2" a="1"/>
  <c r="P50" i="2"/>
  <c r="G28" i="2"/>
  <c r="F31" i="2"/>
  <c r="M50" i="2" a="1"/>
  <c r="M50" i="2"/>
  <c r="U48" i="2"/>
  <c r="E37" i="2"/>
  <c r="BZ28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BE35" i="2"/>
  <c r="BE36" i="2"/>
  <c r="BE37" i="2"/>
  <c r="BE38" i="2"/>
  <c r="M8" i="2"/>
  <c r="BV28" i="2"/>
  <c r="L6" i="2"/>
  <c r="L5" i="2"/>
  <c r="L4" i="2"/>
  <c r="L3" i="2"/>
  <c r="D16" i="2"/>
  <c r="D17" i="2"/>
  <c r="D18" i="2"/>
  <c r="D19" i="2"/>
  <c r="D20" i="2"/>
  <c r="D21" i="2"/>
  <c r="D22" i="2"/>
  <c r="D23" i="2"/>
  <c r="D24" i="2"/>
  <c r="D25" i="2"/>
  <c r="D26" i="2"/>
  <c r="D27" i="2"/>
  <c r="E33" i="2"/>
  <c r="F33" i="2"/>
  <c r="G33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32" i="2"/>
  <c r="G32" i="2"/>
  <c r="F32" i="2"/>
  <c r="G31" i="2"/>
  <c r="E31" i="2"/>
  <c r="BF15" i="2" a="1"/>
  <c r="BF15" i="2"/>
  <c r="BT16" i="2"/>
  <c r="I26" i="2"/>
  <c r="CG16" i="2"/>
  <c r="CF16" i="2"/>
  <c r="BS16" i="2"/>
  <c r="CC28" i="2"/>
  <c r="CE28" i="2"/>
  <c r="BU28" i="2"/>
  <c r="BY28" i="2"/>
  <c r="CA28" i="2"/>
  <c r="CB28" i="2"/>
  <c r="BW28" i="2"/>
  <c r="BX28" i="2"/>
  <c r="CJ28" i="2"/>
  <c r="CD28" i="2"/>
  <c r="CB16" i="2"/>
  <c r="CC16" i="2"/>
  <c r="CE16" i="2"/>
  <c r="CD16" i="2"/>
  <c r="CA16" i="2"/>
  <c r="BU16" i="2"/>
  <c r="BV16" i="2"/>
  <c r="BW16" i="2"/>
  <c r="BX16" i="2"/>
  <c r="BY16" i="2"/>
  <c r="BZ16" i="2"/>
  <c r="E16" i="2"/>
  <c r="F16" i="2"/>
  <c r="G16" i="2"/>
  <c r="C16" i="2"/>
  <c r="B16" i="2"/>
  <c r="A16" i="2"/>
  <c r="K3" i="2"/>
  <c r="CK28" i="2"/>
  <c r="K26" i="2"/>
  <c r="J26" i="2"/>
  <c r="M26" i="2"/>
  <c r="J39" i="2"/>
  <c r="L26" i="2"/>
  <c r="J33" i="2"/>
  <c r="CF15" i="2"/>
  <c r="BT15" i="2"/>
  <c r="CF17" i="2"/>
  <c r="BT17" i="2"/>
  <c r="BS15" i="2"/>
  <c r="CG15" i="2"/>
  <c r="BS17" i="2"/>
  <c r="CG17" i="2"/>
  <c r="CI28" i="2"/>
  <c r="CT28" i="2"/>
  <c r="CU16" i="2"/>
  <c r="CS16" i="2"/>
  <c r="CV16" i="2"/>
  <c r="CT16" i="2"/>
  <c r="CO16" i="2"/>
  <c r="CN16" i="2"/>
  <c r="CK16" i="2"/>
  <c r="CJ16" i="2"/>
  <c r="CI16" i="2"/>
  <c r="CE15" i="2"/>
  <c r="CD15" i="2"/>
  <c r="CC15" i="2"/>
  <c r="CB15" i="2"/>
  <c r="CA15" i="2"/>
  <c r="CB17" i="2"/>
  <c r="CE17" i="2"/>
  <c r="CC17" i="2"/>
  <c r="CD17" i="2"/>
  <c r="CA17" i="2"/>
  <c r="BU15" i="2"/>
  <c r="BV15" i="2"/>
  <c r="BW15" i="2"/>
  <c r="BX15" i="2"/>
  <c r="BY15" i="2"/>
  <c r="BX17" i="2"/>
  <c r="BY17" i="2"/>
  <c r="BU17" i="2"/>
  <c r="BV17" i="2"/>
  <c r="BW17" i="2"/>
  <c r="BZ15" i="2"/>
  <c r="BZ17" i="2"/>
  <c r="F15" i="2"/>
  <c r="E15" i="2"/>
  <c r="A15" i="2"/>
  <c r="C15" i="2"/>
  <c r="B15" i="2"/>
  <c r="G15" i="2"/>
  <c r="G17" i="2"/>
  <c r="A17" i="2"/>
  <c r="F17" i="2"/>
  <c r="E17" i="2"/>
  <c r="B17" i="2"/>
  <c r="C17" i="2"/>
  <c r="J62" i="2"/>
  <c r="J51" i="2"/>
  <c r="K58" i="2"/>
  <c r="L58" i="2"/>
  <c r="J35" i="2"/>
  <c r="J56" i="2"/>
  <c r="CF18" i="2"/>
  <c r="BT18" i="2"/>
  <c r="CF14" i="2"/>
  <c r="BT14" i="2"/>
  <c r="BS14" i="2"/>
  <c r="CG14" i="2"/>
  <c r="BS18" i="2"/>
  <c r="CG18" i="2"/>
  <c r="CR16" i="2"/>
  <c r="CW16" i="2"/>
  <c r="CU15" i="2"/>
  <c r="CS15" i="2"/>
  <c r="CU17" i="2"/>
  <c r="CV15" i="2"/>
  <c r="CR15" i="2"/>
  <c r="CV17" i="2"/>
  <c r="CR17" i="2"/>
  <c r="CT15" i="2"/>
  <c r="CT17" i="2"/>
  <c r="CL16" i="2"/>
  <c r="CP16" i="2"/>
  <c r="CO17" i="2"/>
  <c r="CO15" i="2"/>
  <c r="CN17" i="2"/>
  <c r="CN15" i="2"/>
  <c r="CK17" i="2"/>
  <c r="CJ17" i="2"/>
  <c r="CK15" i="2"/>
  <c r="CJ15" i="2"/>
  <c r="CI15" i="2"/>
  <c r="CI17" i="2"/>
  <c r="CD14" i="2"/>
  <c r="CB14" i="2"/>
  <c r="CA14" i="2"/>
  <c r="CE14" i="2"/>
  <c r="CC14" i="2"/>
  <c r="CD18" i="2"/>
  <c r="CE18" i="2"/>
  <c r="CC18" i="2"/>
  <c r="CB18" i="2"/>
  <c r="CA18" i="2"/>
  <c r="BV14" i="2"/>
  <c r="BU14" i="2"/>
  <c r="BW14" i="2"/>
  <c r="BX14" i="2"/>
  <c r="BY14" i="2"/>
  <c r="BY18" i="2"/>
  <c r="BW18" i="2"/>
  <c r="BU18" i="2"/>
  <c r="BV18" i="2"/>
  <c r="BX18" i="2"/>
  <c r="BZ14" i="2"/>
  <c r="BZ18" i="2"/>
  <c r="G14" i="2"/>
  <c r="E14" i="2"/>
  <c r="F14" i="2"/>
  <c r="A14" i="2"/>
  <c r="C14" i="2"/>
  <c r="B14" i="2"/>
  <c r="G18" i="2"/>
  <c r="C18" i="2"/>
  <c r="F18" i="2"/>
  <c r="E18" i="2"/>
  <c r="A18" i="2"/>
  <c r="B18" i="2"/>
  <c r="K54" i="2"/>
  <c r="L54" i="2"/>
  <c r="J31" i="2"/>
  <c r="K55" i="2"/>
  <c r="L55" i="2"/>
  <c r="J32" i="2"/>
  <c r="M33" i="2"/>
  <c r="K59" i="2"/>
  <c r="L59" i="2"/>
  <c r="J36" i="2"/>
  <c r="M36" i="2"/>
  <c r="K57" i="2"/>
  <c r="L57" i="2"/>
  <c r="J34" i="2"/>
  <c r="M34" i="2"/>
  <c r="K60" i="2"/>
  <c r="L60" i="2"/>
  <c r="J37" i="2"/>
  <c r="K53" i="2"/>
  <c r="L53" i="2"/>
  <c r="J30" i="2"/>
  <c r="K52" i="2"/>
  <c r="L52" i="2"/>
  <c r="J29" i="2"/>
  <c r="M29" i="2"/>
  <c r="K61" i="2"/>
  <c r="L61" i="2"/>
  <c r="J38" i="2"/>
  <c r="M39" i="2"/>
  <c r="CF13" i="2"/>
  <c r="BT13" i="2"/>
  <c r="CF19" i="2"/>
  <c r="BT19" i="2"/>
  <c r="BS13" i="2"/>
  <c r="CG13" i="2"/>
  <c r="BS19" i="2"/>
  <c r="CG19" i="2"/>
  <c r="CW15" i="2"/>
  <c r="CV18" i="2"/>
  <c r="CR18" i="2"/>
  <c r="CS17" i="2"/>
  <c r="CW17" i="2"/>
  <c r="CV14" i="2"/>
  <c r="CR14" i="2"/>
  <c r="CU18" i="2"/>
  <c r="CS18" i="2"/>
  <c r="CU14" i="2"/>
  <c r="CS14" i="2"/>
  <c r="CT14" i="2"/>
  <c r="CT18" i="2"/>
  <c r="CL17" i="2"/>
  <c r="CL15" i="2"/>
  <c r="CP15" i="2"/>
  <c r="CP17" i="2"/>
  <c r="CN14" i="2"/>
  <c r="CO14" i="2"/>
  <c r="CO18" i="2"/>
  <c r="CN18" i="2"/>
  <c r="CJ14" i="2"/>
  <c r="CJ18" i="2"/>
  <c r="CK14" i="2"/>
  <c r="CK18" i="2"/>
  <c r="CI14" i="2"/>
  <c r="CI18" i="2"/>
  <c r="CE13" i="2"/>
  <c r="CD13" i="2"/>
  <c r="CC13" i="2"/>
  <c r="CB13" i="2"/>
  <c r="CA13" i="2"/>
  <c r="CC19" i="2"/>
  <c r="CD19" i="2"/>
  <c r="CE19" i="2"/>
  <c r="CB19" i="2"/>
  <c r="CA19" i="2"/>
  <c r="BV13" i="2"/>
  <c r="BU13" i="2"/>
  <c r="BX13" i="2"/>
  <c r="BY13" i="2"/>
  <c r="BW13" i="2"/>
  <c r="BX19" i="2"/>
  <c r="BW19" i="2"/>
  <c r="BY19" i="2"/>
  <c r="BU19" i="2"/>
  <c r="BV19" i="2"/>
  <c r="BZ13" i="2"/>
  <c r="BZ19" i="2"/>
  <c r="B13" i="2"/>
  <c r="G13" i="2"/>
  <c r="F13" i="2"/>
  <c r="E13" i="2"/>
  <c r="C13" i="2"/>
  <c r="A13" i="2"/>
  <c r="G19" i="2"/>
  <c r="F19" i="2"/>
  <c r="A19" i="2"/>
  <c r="E19" i="2"/>
  <c r="B19" i="2"/>
  <c r="C19" i="2"/>
  <c r="M35" i="2"/>
  <c r="M37" i="2"/>
  <c r="M32" i="2"/>
  <c r="M31" i="2"/>
  <c r="M38" i="2"/>
  <c r="M30" i="2"/>
  <c r="CF12" i="2"/>
  <c r="BT12" i="2"/>
  <c r="CF20" i="2"/>
  <c r="BT20" i="2"/>
  <c r="BS12" i="2"/>
  <c r="CG12" i="2"/>
  <c r="BS20" i="2"/>
  <c r="CG20" i="2"/>
  <c r="CW18" i="2"/>
  <c r="CV13" i="2"/>
  <c r="CR13" i="2"/>
  <c r="CW14" i="2"/>
  <c r="CU19" i="2"/>
  <c r="CS19" i="2"/>
  <c r="CV19" i="2"/>
  <c r="CR19" i="2"/>
  <c r="CU13" i="2"/>
  <c r="CS13" i="2"/>
  <c r="CT13" i="2"/>
  <c r="CT19" i="2"/>
  <c r="CL14" i="2"/>
  <c r="CL18" i="2"/>
  <c r="CP14" i="2"/>
  <c r="CP18" i="2"/>
  <c r="CO13" i="2"/>
  <c r="CO19" i="2"/>
  <c r="CN13" i="2"/>
  <c r="CN19" i="2"/>
  <c r="CJ19" i="2"/>
  <c r="CK13" i="2"/>
  <c r="CJ13" i="2"/>
  <c r="CK19" i="2"/>
  <c r="CI19" i="2"/>
  <c r="CI13" i="2"/>
  <c r="CD12" i="2"/>
  <c r="CC12" i="2"/>
  <c r="CB12" i="2"/>
  <c r="CE12" i="2"/>
  <c r="CA12" i="2"/>
  <c r="CB20" i="2"/>
  <c r="CD20" i="2"/>
  <c r="CE20" i="2"/>
  <c r="CC20" i="2"/>
  <c r="CA20" i="2"/>
  <c r="BY20" i="2"/>
  <c r="BU20" i="2"/>
  <c r="BV20" i="2"/>
  <c r="BX20" i="2"/>
  <c r="BW20" i="2"/>
  <c r="BV12" i="2"/>
  <c r="BX12" i="2"/>
  <c r="BY12" i="2"/>
  <c r="BW12" i="2"/>
  <c r="BU12" i="2"/>
  <c r="BZ12" i="2"/>
  <c r="BZ20" i="2"/>
  <c r="A12" i="2"/>
  <c r="G12" i="2"/>
  <c r="F12" i="2"/>
  <c r="E12" i="2"/>
  <c r="C12" i="2"/>
  <c r="B12" i="2"/>
  <c r="C20" i="2"/>
  <c r="F20" i="2"/>
  <c r="G20" i="2"/>
  <c r="E20" i="2"/>
  <c r="B20" i="2"/>
  <c r="A20" i="2"/>
  <c r="CF21" i="2"/>
  <c r="BT21" i="2"/>
  <c r="CF11" i="2"/>
  <c r="BT11" i="2"/>
  <c r="BS11" i="2"/>
  <c r="CG11" i="2"/>
  <c r="BS21" i="2"/>
  <c r="CG21" i="2"/>
  <c r="CV20" i="2"/>
  <c r="CR20" i="2"/>
  <c r="CU12" i="2"/>
  <c r="CS12" i="2"/>
  <c r="CW13" i="2"/>
  <c r="CW19" i="2"/>
  <c r="CU20" i="2"/>
  <c r="CV12" i="2"/>
  <c r="CT12" i="2"/>
  <c r="CT20" i="2"/>
  <c r="CL19" i="2"/>
  <c r="CL13" i="2"/>
  <c r="CP19" i="2"/>
  <c r="CP13" i="2"/>
  <c r="CO12" i="2"/>
  <c r="CN12" i="2"/>
  <c r="CO20" i="2"/>
  <c r="CN20" i="2"/>
  <c r="CJ12" i="2"/>
  <c r="CK20" i="2"/>
  <c r="CK12" i="2"/>
  <c r="CJ20" i="2"/>
  <c r="CI20" i="2"/>
  <c r="CI12" i="2"/>
  <c r="CA11" i="2"/>
  <c r="CC11" i="2"/>
  <c r="CB11" i="2"/>
  <c r="CE11" i="2"/>
  <c r="CD11" i="2"/>
  <c r="CD21" i="2"/>
  <c r="CE21" i="2"/>
  <c r="CC21" i="2"/>
  <c r="CB21" i="2"/>
  <c r="CA21" i="2"/>
  <c r="BV11" i="2"/>
  <c r="BU11" i="2"/>
  <c r="BW11" i="2"/>
  <c r="BX11" i="2"/>
  <c r="BY11" i="2"/>
  <c r="BX21" i="2"/>
  <c r="BW21" i="2"/>
  <c r="BY21" i="2"/>
  <c r="BU21" i="2"/>
  <c r="BV21" i="2"/>
  <c r="BZ11" i="2"/>
  <c r="BZ21" i="2"/>
  <c r="F11" i="2"/>
  <c r="A11" i="2"/>
  <c r="E11" i="2"/>
  <c r="C11" i="2"/>
  <c r="B11" i="2"/>
  <c r="G11" i="2"/>
  <c r="E21" i="2"/>
  <c r="G21" i="2"/>
  <c r="F21" i="2"/>
  <c r="C21" i="2"/>
  <c r="B21" i="2"/>
  <c r="A21" i="2"/>
  <c r="CF10" i="2"/>
  <c r="BT10" i="2"/>
  <c r="CF22" i="2"/>
  <c r="BT22" i="2"/>
  <c r="BS22" i="2"/>
  <c r="CG22" i="2"/>
  <c r="BS10" i="2"/>
  <c r="CG10" i="2"/>
  <c r="CW20" i="2"/>
  <c r="CW12" i="2"/>
  <c r="CR12" i="2"/>
  <c r="CS20" i="2"/>
  <c r="CU21" i="2"/>
  <c r="CS21" i="2"/>
  <c r="CU11" i="2"/>
  <c r="CS11" i="2"/>
  <c r="CV11" i="2"/>
  <c r="CR11" i="2"/>
  <c r="CV21" i="2"/>
  <c r="CR21" i="2"/>
  <c r="CT11" i="2"/>
  <c r="CT21" i="2"/>
  <c r="CL12" i="2"/>
  <c r="CL20" i="2"/>
  <c r="CP20" i="2"/>
  <c r="CP12" i="2"/>
  <c r="CO21" i="2"/>
  <c r="CO11" i="2"/>
  <c r="CJ11" i="2"/>
  <c r="CN11" i="2"/>
  <c r="CN21" i="2"/>
  <c r="CJ21" i="2"/>
  <c r="CK21" i="2"/>
  <c r="CK11" i="2"/>
  <c r="CI11" i="2"/>
  <c r="CI21" i="2"/>
  <c r="CE10" i="2"/>
  <c r="CD10" i="2"/>
  <c r="CA10" i="2"/>
  <c r="CC10" i="2"/>
  <c r="CB10" i="2"/>
  <c r="CA22" i="2"/>
  <c r="CE22" i="2"/>
  <c r="CC22" i="2"/>
  <c r="CD22" i="2"/>
  <c r="CB22" i="2"/>
  <c r="BX10" i="2"/>
  <c r="BY10" i="2"/>
  <c r="BU10" i="2"/>
  <c r="BV10" i="2"/>
  <c r="BW10" i="2"/>
  <c r="BY22" i="2"/>
  <c r="BU22" i="2"/>
  <c r="BW22" i="2"/>
  <c r="BX22" i="2"/>
  <c r="BV22" i="2"/>
  <c r="BZ10" i="2"/>
  <c r="BZ22" i="2"/>
  <c r="G22" i="2"/>
  <c r="E22" i="2"/>
  <c r="C22" i="2"/>
  <c r="B22" i="2"/>
  <c r="A22" i="2"/>
  <c r="F22" i="2"/>
  <c r="C10" i="2"/>
  <c r="E10" i="2"/>
  <c r="B10" i="2"/>
  <c r="F10" i="2"/>
  <c r="A10" i="2"/>
  <c r="G10" i="2"/>
  <c r="CF23" i="2"/>
  <c r="BT23" i="2"/>
  <c r="CF9" i="2"/>
  <c r="BT9" i="2"/>
  <c r="BS23" i="2"/>
  <c r="CG23" i="2"/>
  <c r="BS9" i="2"/>
  <c r="CG9" i="2"/>
  <c r="CV22" i="2"/>
  <c r="CR22" i="2"/>
  <c r="CV10" i="2"/>
  <c r="CR10" i="2"/>
  <c r="CU22" i="2"/>
  <c r="CS22" i="2"/>
  <c r="CW21" i="2"/>
  <c r="CW11" i="2"/>
  <c r="CU10" i="2"/>
  <c r="CS10" i="2"/>
  <c r="CL11" i="2"/>
  <c r="CT22" i="2"/>
  <c r="CT10" i="2"/>
  <c r="CL21" i="2"/>
  <c r="CP11" i="2"/>
  <c r="CP21" i="2"/>
  <c r="CO10" i="2"/>
  <c r="CO22" i="2"/>
  <c r="CN22" i="2"/>
  <c r="CN10" i="2"/>
  <c r="CJ22" i="2"/>
  <c r="CJ10" i="2"/>
  <c r="CK10" i="2"/>
  <c r="CK22" i="2"/>
  <c r="CI22" i="2"/>
  <c r="CI10" i="2"/>
  <c r="CE9" i="2"/>
  <c r="CB9" i="2"/>
  <c r="CA9" i="2"/>
  <c r="CD9" i="2"/>
  <c r="CC9" i="2"/>
  <c r="CB23" i="2"/>
  <c r="CD23" i="2"/>
  <c r="CA23" i="2"/>
  <c r="CE23" i="2"/>
  <c r="CC23" i="2"/>
  <c r="BX23" i="2"/>
  <c r="BW23" i="2"/>
  <c r="BY23" i="2"/>
  <c r="BU23" i="2"/>
  <c r="BV23" i="2"/>
  <c r="BV9" i="2"/>
  <c r="BW9" i="2"/>
  <c r="BX9" i="2"/>
  <c r="BY9" i="2"/>
  <c r="BU9" i="2"/>
  <c r="BZ9" i="2"/>
  <c r="BZ23" i="2"/>
  <c r="C9" i="2"/>
  <c r="B9" i="2"/>
  <c r="A9" i="2"/>
  <c r="G9" i="2"/>
  <c r="F9" i="2"/>
  <c r="E9" i="2"/>
  <c r="G23" i="2"/>
  <c r="F23" i="2"/>
  <c r="E23" i="2"/>
  <c r="C23" i="2"/>
  <c r="B23" i="2"/>
  <c r="A23" i="2"/>
  <c r="CF8" i="2"/>
  <c r="BT8" i="2"/>
  <c r="CF24" i="2"/>
  <c r="BT24" i="2"/>
  <c r="BS24" i="2"/>
  <c r="CG24" i="2"/>
  <c r="BS8" i="2"/>
  <c r="CG8" i="2"/>
  <c r="CW22" i="2"/>
  <c r="CW10" i="2"/>
  <c r="CU9" i="2"/>
  <c r="CS9" i="2"/>
  <c r="CV9" i="2"/>
  <c r="CR9" i="2"/>
  <c r="CU23" i="2"/>
  <c r="CS23" i="2"/>
  <c r="CV23" i="2"/>
  <c r="CT9" i="2"/>
  <c r="CT23" i="2"/>
  <c r="CL22" i="2"/>
  <c r="CL10" i="2"/>
  <c r="CO9" i="2"/>
  <c r="CP22" i="2"/>
  <c r="CP10" i="2"/>
  <c r="CO23" i="2"/>
  <c r="CN9" i="2"/>
  <c r="CN23" i="2"/>
  <c r="CK9" i="2"/>
  <c r="CK23" i="2"/>
  <c r="CJ23" i="2"/>
  <c r="CJ9" i="2"/>
  <c r="CI23" i="2"/>
  <c r="CI9" i="2"/>
  <c r="CC8" i="2"/>
  <c r="CB8" i="2"/>
  <c r="CA8" i="2"/>
  <c r="CD8" i="2"/>
  <c r="CE8" i="2"/>
  <c r="CC24" i="2"/>
  <c r="CD24" i="2"/>
  <c r="CB24" i="2"/>
  <c r="CA24" i="2"/>
  <c r="CE24" i="2"/>
  <c r="BU8" i="2"/>
  <c r="BX8" i="2"/>
  <c r="BY8" i="2"/>
  <c r="BV8" i="2"/>
  <c r="BW8" i="2"/>
  <c r="BW24" i="2"/>
  <c r="BX24" i="2"/>
  <c r="BY24" i="2"/>
  <c r="BU24" i="2"/>
  <c r="BV24" i="2"/>
  <c r="BZ8" i="2"/>
  <c r="BZ24" i="2"/>
  <c r="C8" i="2"/>
  <c r="B8" i="2"/>
  <c r="G8" i="2"/>
  <c r="A8" i="2"/>
  <c r="F8" i="2"/>
  <c r="E8" i="2"/>
  <c r="E24" i="2"/>
  <c r="G24" i="2"/>
  <c r="B24" i="2"/>
  <c r="A24" i="2"/>
  <c r="F24" i="2"/>
  <c r="C24" i="2"/>
  <c r="CF25" i="2"/>
  <c r="BT25" i="2"/>
  <c r="CF7" i="2"/>
  <c r="BT7" i="2"/>
  <c r="BS25" i="2"/>
  <c r="CG25" i="2"/>
  <c r="BS7" i="2"/>
  <c r="CG7" i="2"/>
  <c r="CW23" i="2"/>
  <c r="CW9" i="2"/>
  <c r="CU8" i="2"/>
  <c r="CS8" i="2"/>
  <c r="CV24" i="2"/>
  <c r="CR24" i="2"/>
  <c r="CR23" i="2"/>
  <c r="CU24" i="2"/>
  <c r="CS24" i="2"/>
  <c r="CV8" i="2"/>
  <c r="CR8" i="2"/>
  <c r="CT8" i="2"/>
  <c r="CT24" i="2"/>
  <c r="CL23" i="2"/>
  <c r="CL9" i="2"/>
  <c r="CP9" i="2"/>
  <c r="CP23" i="2"/>
  <c r="CO8" i="2"/>
  <c r="CO24" i="2"/>
  <c r="CN24" i="2"/>
  <c r="CN8" i="2"/>
  <c r="CK8" i="2"/>
  <c r="CJ24" i="2"/>
  <c r="CK24" i="2"/>
  <c r="CJ8" i="2"/>
  <c r="CI8" i="2"/>
  <c r="CI24" i="2"/>
  <c r="CE7" i="2"/>
  <c r="CC7" i="2"/>
  <c r="CA7" i="2"/>
  <c r="CB7" i="2"/>
  <c r="CD7" i="2"/>
  <c r="CD25" i="2"/>
  <c r="CC25" i="2"/>
  <c r="CB25" i="2"/>
  <c r="CA25" i="2"/>
  <c r="CE25" i="2"/>
  <c r="BV25" i="2"/>
  <c r="BW25" i="2"/>
  <c r="BX25" i="2"/>
  <c r="BY25" i="2"/>
  <c r="BU25" i="2"/>
  <c r="BY7" i="2"/>
  <c r="BX7" i="2"/>
  <c r="BW7" i="2"/>
  <c r="BU7" i="2"/>
  <c r="BV7" i="2"/>
  <c r="BZ7" i="2"/>
  <c r="BZ25" i="2"/>
  <c r="F7" i="2"/>
  <c r="E7" i="2"/>
  <c r="G7" i="2"/>
  <c r="C7" i="2"/>
  <c r="B7" i="2"/>
  <c r="A7" i="2"/>
  <c r="G25" i="2"/>
  <c r="F25" i="2"/>
  <c r="C25" i="2"/>
  <c r="B25" i="2"/>
  <c r="A25" i="2"/>
  <c r="E25" i="2"/>
  <c r="CF26" i="2"/>
  <c r="BT26" i="2"/>
  <c r="CF6" i="2"/>
  <c r="BT6" i="2"/>
  <c r="BS26" i="2"/>
  <c r="CG26" i="2"/>
  <c r="BS6" i="2"/>
  <c r="CG6" i="2"/>
  <c r="CU7" i="2"/>
  <c r="CS7" i="2"/>
  <c r="CW8" i="2"/>
  <c r="CW24" i="2"/>
  <c r="CV7" i="2"/>
  <c r="CU25" i="2"/>
  <c r="CS25" i="2"/>
  <c r="CV25" i="2"/>
  <c r="CR25" i="2"/>
  <c r="CT7" i="2"/>
  <c r="CT25" i="2"/>
  <c r="CL24" i="2"/>
  <c r="CL8" i="2"/>
  <c r="CP24" i="2"/>
  <c r="CP8" i="2"/>
  <c r="CO7" i="2"/>
  <c r="CO25" i="2"/>
  <c r="CN25" i="2"/>
  <c r="CN7" i="2"/>
  <c r="CJ7" i="2"/>
  <c r="CK7" i="2"/>
  <c r="CJ25" i="2"/>
  <c r="CK25" i="2"/>
  <c r="CI7" i="2"/>
  <c r="CI25" i="2"/>
  <c r="CD6" i="2"/>
  <c r="CB6" i="2"/>
  <c r="CA6" i="2"/>
  <c r="CE6" i="2"/>
  <c r="CC6" i="2"/>
  <c r="CE26" i="2"/>
  <c r="CD26" i="2"/>
  <c r="CC26" i="2"/>
  <c r="CB26" i="2"/>
  <c r="CA26" i="2"/>
  <c r="BX6" i="2"/>
  <c r="BY6" i="2"/>
  <c r="BV6" i="2"/>
  <c r="BW6" i="2"/>
  <c r="BU6" i="2"/>
  <c r="BU26" i="2"/>
  <c r="BW26" i="2"/>
  <c r="BV26" i="2"/>
  <c r="BX26" i="2"/>
  <c r="BY26" i="2"/>
  <c r="BZ6" i="2"/>
  <c r="BZ26" i="2"/>
  <c r="A6" i="2"/>
  <c r="C6" i="2"/>
  <c r="G6" i="2"/>
  <c r="B6" i="2"/>
  <c r="F6" i="2"/>
  <c r="E6" i="2"/>
  <c r="F26" i="2"/>
  <c r="G26" i="2"/>
  <c r="E26" i="2"/>
  <c r="C26" i="2"/>
  <c r="B26" i="2"/>
  <c r="A26" i="2"/>
  <c r="CF5" i="2"/>
  <c r="BT5" i="2"/>
  <c r="CF27" i="2"/>
  <c r="BT27" i="2"/>
  <c r="BS5" i="2"/>
  <c r="CG5" i="2"/>
  <c r="BS27" i="2"/>
  <c r="CG27" i="2"/>
  <c r="CW7" i="2"/>
  <c r="CR7" i="2"/>
  <c r="CU6" i="2"/>
  <c r="CS6" i="2"/>
  <c r="CV26" i="2"/>
  <c r="CR26" i="2"/>
  <c r="CW25" i="2"/>
  <c r="CV6" i="2"/>
  <c r="CR6" i="2"/>
  <c r="CU26" i="2"/>
  <c r="CS26" i="2"/>
  <c r="CT26" i="2"/>
  <c r="CT6" i="2"/>
  <c r="CL7" i="2"/>
  <c r="CL25" i="2"/>
  <c r="CP25" i="2"/>
  <c r="CP7" i="2"/>
  <c r="CO6" i="2"/>
  <c r="CO26" i="2"/>
  <c r="CN26" i="2"/>
  <c r="CN6" i="2"/>
  <c r="CK26" i="2"/>
  <c r="CK6" i="2"/>
  <c r="CJ26" i="2"/>
  <c r="CJ6" i="2"/>
  <c r="CI6" i="2"/>
  <c r="CI26" i="2"/>
  <c r="CC5" i="2"/>
  <c r="CE5" i="2"/>
  <c r="CA5" i="2"/>
  <c r="CD5" i="2"/>
  <c r="CB5" i="2"/>
  <c r="CE27" i="2"/>
  <c r="CD27" i="2"/>
  <c r="CA27" i="2"/>
  <c r="CC27" i="2"/>
  <c r="CB27" i="2"/>
  <c r="BW5" i="2"/>
  <c r="BY5" i="2"/>
  <c r="BU5" i="2"/>
  <c r="BV5" i="2"/>
  <c r="BX5" i="2"/>
  <c r="BY27" i="2"/>
  <c r="BU27" i="2"/>
  <c r="BV27" i="2"/>
  <c r="BW27" i="2"/>
  <c r="BX27" i="2"/>
  <c r="BZ5" i="2"/>
  <c r="C5" i="2"/>
  <c r="BZ27" i="2"/>
  <c r="G5" i="2"/>
  <c r="B5" i="2"/>
  <c r="A5" i="2"/>
  <c r="E5" i="2"/>
  <c r="F5" i="2"/>
  <c r="G27" i="2"/>
  <c r="B27" i="2"/>
  <c r="F27" i="2"/>
  <c r="E27" i="2"/>
  <c r="A27" i="2"/>
  <c r="C27" i="2"/>
  <c r="CF4" i="2"/>
  <c r="BT4" i="2"/>
  <c r="BS4" i="2"/>
  <c r="CG4" i="2"/>
  <c r="CW6" i="2"/>
  <c r="CZ8" i="2"/>
  <c r="CZ7" i="2"/>
  <c r="CZ9" i="2"/>
  <c r="CZ26" i="2"/>
  <c r="CZ5" i="2"/>
  <c r="CZ6" i="2"/>
  <c r="CZ27" i="2"/>
  <c r="CZ16" i="2"/>
  <c r="CZ17" i="2"/>
  <c r="CZ15" i="2"/>
  <c r="CZ18" i="2"/>
  <c r="CZ14" i="2"/>
  <c r="CZ19" i="2"/>
  <c r="CZ13" i="2"/>
  <c r="CZ20" i="2"/>
  <c r="CZ12" i="2"/>
  <c r="CZ11" i="2"/>
  <c r="CZ10" i="2"/>
  <c r="CZ22" i="2"/>
  <c r="CZ21" i="2"/>
  <c r="CZ24" i="2"/>
  <c r="CZ25" i="2"/>
  <c r="CZ23" i="2"/>
  <c r="CY27" i="2"/>
  <c r="CY16" i="2"/>
  <c r="CY17" i="2"/>
  <c r="CY15" i="2"/>
  <c r="CY18" i="2"/>
  <c r="CY14" i="2"/>
  <c r="CY13" i="2"/>
  <c r="CY19" i="2"/>
  <c r="CY21" i="2"/>
  <c r="CY12" i="2"/>
  <c r="CY20" i="2"/>
  <c r="CY11" i="2"/>
  <c r="CY10" i="2"/>
  <c r="CY22" i="2"/>
  <c r="CY7" i="2"/>
  <c r="CY8" i="2"/>
  <c r="CY24" i="2"/>
  <c r="CY25" i="2"/>
  <c r="CY5" i="2"/>
  <c r="CY26" i="2"/>
  <c r="CY9" i="2"/>
  <c r="CU5" i="2"/>
  <c r="CS5" i="2"/>
  <c r="CY6" i="2"/>
  <c r="CY23" i="2"/>
  <c r="CV27" i="2"/>
  <c r="CR27" i="2"/>
  <c r="CW26" i="2"/>
  <c r="CU27" i="2"/>
  <c r="CV5" i="2"/>
  <c r="CT27" i="2"/>
  <c r="CT5" i="2"/>
  <c r="CL6" i="2"/>
  <c r="CL26" i="2"/>
  <c r="CP26" i="2"/>
  <c r="CP6" i="2"/>
  <c r="CO27" i="2"/>
  <c r="CO5" i="2"/>
  <c r="CN5" i="2"/>
  <c r="CN27" i="2"/>
  <c r="CK27" i="2"/>
  <c r="CK5" i="2"/>
  <c r="CJ27" i="2"/>
  <c r="CJ5" i="2"/>
  <c r="CI5" i="2"/>
  <c r="CI27" i="2"/>
  <c r="CE4" i="2"/>
  <c r="CD4" i="2"/>
  <c r="CC4" i="2"/>
  <c r="CB4" i="2"/>
  <c r="CA4" i="2"/>
  <c r="BY4" i="2"/>
  <c r="BU4" i="2"/>
  <c r="BV4" i="2"/>
  <c r="BW4" i="2"/>
  <c r="BX4" i="2"/>
  <c r="BZ4" i="2"/>
  <c r="F4" i="2"/>
  <c r="B4" i="2"/>
  <c r="A4" i="2"/>
  <c r="C4" i="2"/>
  <c r="G4" i="2"/>
  <c r="E4" i="2"/>
  <c r="BT3" i="2"/>
  <c r="CF3" i="2"/>
  <c r="CE3" i="2"/>
  <c r="CG3" i="2"/>
  <c r="BS3" i="2"/>
  <c r="DA18" i="2"/>
  <c r="DA15" i="2"/>
  <c r="DA16" i="2"/>
  <c r="DA13" i="2"/>
  <c r="DA21" i="2"/>
  <c r="DA14" i="2"/>
  <c r="DA19" i="2"/>
  <c r="DA12" i="2"/>
  <c r="DA20" i="2"/>
  <c r="DA10" i="2"/>
  <c r="DA25" i="2"/>
  <c r="DA22" i="2"/>
  <c r="DA17" i="2"/>
  <c r="DA11" i="2"/>
  <c r="DA24" i="2"/>
  <c r="DA23" i="2"/>
  <c r="DA27" i="2"/>
  <c r="DA6" i="2"/>
  <c r="DA5" i="2"/>
  <c r="DA26" i="2"/>
  <c r="DA9" i="2"/>
  <c r="DA7" i="2"/>
  <c r="DA8" i="2"/>
  <c r="CZ4" i="2"/>
  <c r="CY4" i="2"/>
  <c r="CW5" i="2"/>
  <c r="CW27" i="2"/>
  <c r="CU4" i="2"/>
  <c r="CS4" i="2"/>
  <c r="CV4" i="2"/>
  <c r="CS27" i="2"/>
  <c r="CR5" i="2"/>
  <c r="CT4" i="2"/>
  <c r="CL5" i="2"/>
  <c r="CL27" i="2"/>
  <c r="CP27" i="2"/>
  <c r="CP5" i="2"/>
  <c r="CO4" i="2"/>
  <c r="CN4" i="2"/>
  <c r="CJ4" i="2"/>
  <c r="CK4" i="2"/>
  <c r="CI4" i="2"/>
  <c r="CB3" i="2"/>
  <c r="CD3" i="2"/>
  <c r="CC3" i="2"/>
  <c r="CA3" i="2"/>
  <c r="BU3" i="2"/>
  <c r="BX3" i="2"/>
  <c r="BV3" i="2"/>
  <c r="BW3" i="2"/>
  <c r="BY3" i="2"/>
  <c r="BZ3" i="2"/>
  <c r="F3" i="2"/>
  <c r="G3" i="2"/>
  <c r="E3" i="2"/>
  <c r="C3" i="2"/>
  <c r="A3" i="2"/>
  <c r="B3" i="2"/>
  <c r="CG28" i="2" a="1"/>
  <c r="CG28" i="2"/>
  <c r="M15" i="2"/>
  <c r="BT28" i="2" a="1"/>
  <c r="BT28" i="2"/>
  <c r="CF28" i="2" a="1"/>
  <c r="CF28" i="2"/>
  <c r="M20" i="2"/>
  <c r="BS28" i="2" a="1"/>
  <c r="BS28" i="2"/>
  <c r="BS29" i="2" a="1"/>
  <c r="BS29" i="2"/>
  <c r="CZ3" i="2"/>
  <c r="DA4" i="2"/>
  <c r="CY3" i="2"/>
  <c r="CV3" i="2"/>
  <c r="CR3" i="2"/>
  <c r="CW4" i="2"/>
  <c r="CR4" i="2"/>
  <c r="CU3" i="2"/>
  <c r="CS3" i="2"/>
  <c r="CT3" i="2"/>
  <c r="CL4" i="2"/>
  <c r="CP4" i="2"/>
  <c r="CO3" i="2"/>
  <c r="CN3" i="2"/>
  <c r="CK3" i="2"/>
  <c r="CJ3" i="2"/>
  <c r="CI3" i="2"/>
  <c r="M16" i="2"/>
  <c r="CV28" i="2"/>
  <c r="CR28" i="2"/>
  <c r="CU28" i="2"/>
  <c r="CS28" i="2"/>
  <c r="M19" i="2"/>
  <c r="CN28" i="2"/>
  <c r="DA3" i="2"/>
  <c r="DA28" i="2" a="1"/>
  <c r="DA28" i="2"/>
  <c r="CW3" i="2"/>
  <c r="CL3" i="2"/>
  <c r="CP3" i="2"/>
  <c r="DA29" i="2" a="1"/>
  <c r="DA29" i="2"/>
  <c r="DA31" i="2"/>
  <c r="M12" i="2"/>
  <c r="CL28" i="2" a="1"/>
  <c r="CL28" i="2"/>
  <c r="CL29" i="2" a="1"/>
  <c r="CL29" i="2"/>
  <c r="CP28" i="2" a="1"/>
  <c r="CP28" i="2"/>
  <c r="CP29" i="2" a="1"/>
  <c r="CP29" i="2"/>
  <c r="CW28" i="2" a="1"/>
  <c r="CW28" i="2"/>
  <c r="CW29" i="2" a="1"/>
  <c r="CW29" i="2"/>
  <c r="CP31" i="2"/>
  <c r="J12" i="2"/>
  <c r="CP30" i="2"/>
  <c r="J11" i="2"/>
  <c r="DA30" i="2"/>
  <c r="M11" i="2"/>
  <c r="CL31" i="2"/>
  <c r="L12" i="2"/>
  <c r="CL30" i="2"/>
  <c r="L11" i="2"/>
  <c r="CW31" i="2"/>
  <c r="K12" i="2"/>
  <c r="CW30" i="2"/>
  <c r="K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interval="1" name="استعلام - ‏‏Table 0" description="‏‏الاتصال بالاستعلام 'Table 0' في المصنف." type="5" refreshedVersion="8" background="1" refreshOnLoad="1" saveData="1">
    <dbPr connection="Provider=Microsoft.Mashup.OleDb.1;Data Source=$Workbook$;Location=&quot;Table 0&quot;;Extended Properties=&quot;&quot;" command="SELECT * FROM [Table 0]"/>
  </connection>
  <connection id="2" xr16:uid="{00000000-0015-0000-FFFF-FFFF01000000}" keepAlive="1" name="استعلام - ‏‏الجدول1" description="‏‏الاتصال بالاستعلام 'الجدول1' في المصنف." type="5" refreshedVersion="0" background="1">
    <dbPr connection="Provider=Microsoft.Mashup.OleDb.1;Data Source=$Workbook$;Location=الجدول1;Extended Properties=&quot;&quot;" command="SELECT * FROM [الجدول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<sst xmlns="http://schemas.openxmlformats.org/spreadsheetml/2006/main" count="118" uniqueCount="80">
  <si>
    <t>STRIKE</t>
  </si>
  <si>
    <t>أدنى</t>
  </si>
  <si>
    <t>أعلى</t>
  </si>
  <si>
    <t>السعر</t>
  </si>
  <si>
    <t>#</t>
  </si>
  <si>
    <t>النوع</t>
  </si>
  <si>
    <t>تاريخ الانتهاء</t>
  </si>
  <si>
    <t>Call</t>
  </si>
  <si>
    <t>العرض</t>
  </si>
  <si>
    <t>الطلب</t>
  </si>
  <si>
    <t>الأعلى</t>
  </si>
  <si>
    <t>الأدنى</t>
  </si>
  <si>
    <t>Put</t>
  </si>
  <si>
    <t>الاسترايك</t>
  </si>
  <si>
    <t>التاريخ</t>
  </si>
  <si>
    <t>السعر الحالي</t>
  </si>
  <si>
    <t>اسم الشركة</t>
  </si>
  <si>
    <t>معلومات السعر</t>
  </si>
  <si>
    <t>تاريخ انتها العقود</t>
  </si>
  <si>
    <t>اغلاق</t>
  </si>
  <si>
    <t>فرق الاسترايك للعقود</t>
  </si>
  <si>
    <t>الشهر</t>
  </si>
  <si>
    <t>اليوم</t>
  </si>
  <si>
    <t>المتبقي على الانتهاء</t>
  </si>
  <si>
    <t>الأسبوع</t>
  </si>
  <si>
    <t>الأسترايك</t>
  </si>
  <si>
    <t>دلتا بوت</t>
  </si>
  <si>
    <t>جاما</t>
  </si>
  <si>
    <t>فيجا</t>
  </si>
  <si>
    <t>ثيتا</t>
  </si>
  <si>
    <t>الضمني</t>
  </si>
  <si>
    <t>دلتا الكول</t>
  </si>
  <si>
    <t>العقود المفتوحة</t>
  </si>
  <si>
    <t>الفوليوم</t>
  </si>
  <si>
    <t>فانا</t>
  </si>
  <si>
    <t>مستهدف</t>
  </si>
  <si>
    <t>شارم البوت</t>
  </si>
  <si>
    <t>شارت كول</t>
  </si>
  <si>
    <t>مجموع شارم</t>
  </si>
  <si>
    <t>جاما بوت</t>
  </si>
  <si>
    <t>جاما كول</t>
  </si>
  <si>
    <t>مجموع الجاما</t>
  </si>
  <si>
    <t>أعلى جاما</t>
  </si>
  <si>
    <t>اقل قاما</t>
  </si>
  <si>
    <t>اقل شارم</t>
  </si>
  <si>
    <t>اعلى شارم</t>
  </si>
  <si>
    <t>فانا كول</t>
  </si>
  <si>
    <t>فانا بوت</t>
  </si>
  <si>
    <t>المجموع</t>
  </si>
  <si>
    <t>اعلى</t>
  </si>
  <si>
    <t>شعاع جاما</t>
  </si>
  <si>
    <t>#1c143c</t>
  </si>
  <si>
    <t>شارم</t>
  </si>
  <si>
    <t>حجم الكول</t>
  </si>
  <si>
    <t>حجم البوت</t>
  </si>
  <si>
    <t>احجام القعود لسهم</t>
  </si>
  <si>
    <t>اعلى عقد كول</t>
  </si>
  <si>
    <t>اعلى عقد بوت</t>
  </si>
  <si>
    <t>ادنى</t>
  </si>
  <si>
    <t>عقود مفتوحة لسهم</t>
  </si>
  <si>
    <t>مفتوح بوت</t>
  </si>
  <si>
    <t>مفتوح كول</t>
  </si>
  <si>
    <t>اهداف العقد بناء على السعر الأعلى والأدنى لتاريخ الاسترايك</t>
  </si>
  <si>
    <t>النوع /الاتجاه</t>
  </si>
  <si>
    <t>CALL</t>
  </si>
  <si>
    <t>PUT</t>
  </si>
  <si>
    <t>الرمز</t>
  </si>
  <si>
    <t>العقد الآن</t>
  </si>
  <si>
    <t>الأهداف اللحظية للعقد</t>
  </si>
  <si>
    <t>الأعلى -الأدنى</t>
  </si>
  <si>
    <t xml:space="preserve">قائمة لمتابعة العقود </t>
  </si>
  <si>
    <t>الشركة</t>
  </si>
  <si>
    <t xml:space="preserve">السعر </t>
  </si>
  <si>
    <t>اليونانيات=K8&amp;J8&amp;I8</t>
  </si>
  <si>
    <t>العمود2 القائمة</t>
  </si>
  <si>
    <t>الشنة</t>
  </si>
  <si>
    <t>مركب</t>
  </si>
  <si>
    <t>Tsla</t>
  </si>
  <si>
    <t>nvda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</si>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</sst>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0.00%\▲;0.00%\▼;0.00%"/>
    <numFmt numFmtId="166" formatCode="[$-F400]h:mm:ss\ AM/PM"/>
  </numFmts>
  <fonts count="3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7"/>
      <name val="Arial Nova"/>
      <family val="2"/>
    </font>
    <font>
      <b/>
      <sz val="11"/>
      <color theme="0"/>
      <name val="Arial Nova"/>
      <family val="2"/>
    </font>
    <font>
      <b/>
      <sz val="12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color rgb="FF1C1C44"/>
      <name val="Arial"/>
      <family val="2"/>
      <scheme val="minor"/>
    </font>
    <font>
      <b/>
      <sz val="11"/>
      <color theme="7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sz val="10.5"/>
      <color rgb="FFFF0000"/>
      <name val="Cascadia Code"/>
      <family val="3"/>
    </font>
    <font>
      <b/>
      <sz val="10.5"/>
      <color rgb="FF33CC33"/>
      <name val="Cascadia Code"/>
      <family val="3"/>
    </font>
    <font>
      <b/>
      <sz val="10.5"/>
      <color rgb="FF15CAF0"/>
      <name val="Cascadia Code"/>
      <family val="3"/>
    </font>
    <font>
      <b/>
      <sz val="12"/>
      <color theme="1"/>
      <name val="Arial"/>
      <family val="2"/>
      <scheme val="minor"/>
    </font>
    <font>
      <b/>
      <sz val="12"/>
      <color rgb="FF0000FF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rgb="FF006600"/>
      <name val="Arial"/>
      <family val="2"/>
      <scheme val="minor"/>
    </font>
    <font>
      <b/>
      <sz val="14"/>
      <color theme="7"/>
      <name val="Calibri"/>
      <family val="2"/>
    </font>
    <font>
      <b/>
      <sz val="12"/>
      <color theme="7"/>
      <name val="Calibri"/>
      <family val="2"/>
    </font>
    <font>
      <b/>
      <sz val="12"/>
      <color theme="1"/>
      <name val="Arial "/>
    </font>
    <font>
      <b/>
      <sz val="10.5"/>
      <color theme="7"/>
      <name val="Cascadia Code"/>
      <family val="3"/>
    </font>
    <font>
      <b/>
      <sz val="16"/>
      <name val="Calibri"/>
      <family val="2"/>
    </font>
    <font>
      <b/>
      <sz val="14"/>
      <color rgb="FF0000FF"/>
      <name val="Arial"/>
      <family val="2"/>
      <scheme val="minor"/>
    </font>
    <font>
      <sz val="11"/>
      <color rgb="FF1C143C"/>
      <name val="Arial"/>
      <family val="2"/>
      <scheme val="minor"/>
    </font>
    <font>
      <b/>
      <sz val="14"/>
      <name val="Calibri"/>
      <family val="2"/>
    </font>
    <font>
      <b/>
      <sz val="14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2"/>
      <name val="Arial"/>
      <family val="2"/>
      <scheme val="minor"/>
    </font>
    <font>
      <b/>
      <sz val="11"/>
      <color rgb="FF333333"/>
      <name val="Arial"/>
      <family val="2"/>
      <scheme val="minor"/>
    </font>
    <font>
      <b/>
      <sz val="12"/>
      <name val="Calibri"/>
      <family val="2"/>
    </font>
    <font>
      <b/>
      <sz val="11"/>
      <color rgb="FF00660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242B54"/>
        <bgColor indexed="64"/>
      </patternFill>
    </fill>
    <fill>
      <patternFill patternType="solid">
        <fgColor rgb="FF1C143C"/>
        <bgColor indexed="64"/>
      </patternFill>
    </fill>
    <fill>
      <patternFill patternType="solid">
        <fgColor rgb="FF3246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rgb="FF14143C"/>
      </left>
      <right style="thin">
        <color rgb="FF14143C"/>
      </right>
      <top style="thin">
        <color rgb="FF14143C"/>
      </top>
      <bottom style="thin">
        <color rgb="FF14143C"/>
      </bottom>
      <diagonal/>
    </border>
    <border>
      <left style="thin">
        <color rgb="FF14143C"/>
      </left>
      <right style="thin">
        <color rgb="FF14143C"/>
      </right>
      <top style="thin">
        <color rgb="FF14143C"/>
      </top>
      <bottom style="double">
        <color theme="0"/>
      </bottom>
      <diagonal/>
    </border>
    <border>
      <left style="thin">
        <color rgb="FF14143C"/>
      </left>
      <right style="thin">
        <color rgb="FF14143C"/>
      </right>
      <top/>
      <bottom style="thin">
        <color rgb="FF14143C"/>
      </bottom>
      <diagonal/>
    </border>
    <border>
      <left/>
      <right/>
      <top/>
      <bottom style="thin">
        <color rgb="FF14143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9.9978637043366805E-2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9.9978637043366805E-2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42">
    <xf numFmtId="0" fontId="0" fillId="0" borderId="0" xfId="0"/>
    <xf numFmtId="0" fontId="0" fillId="3" borderId="0" xfId="0" applyFill="1"/>
    <xf numFmtId="0" fontId="2" fillId="3" borderId="0" xfId="0" applyFont="1" applyFill="1"/>
    <xf numFmtId="0" fontId="6" fillId="7" borderId="0" xfId="0" applyFont="1" applyFill="1" applyAlignment="1" applyProtection="1">
      <alignment horizontal="center" vertical="top"/>
      <protection hidden="1"/>
    </xf>
    <xf numFmtId="0" fontId="6" fillId="7" borderId="0" xfId="0" applyFont="1" applyFill="1" applyAlignment="1" applyProtection="1">
      <alignment horizontal="center" vertical="center"/>
      <protection hidden="1"/>
    </xf>
    <xf numFmtId="0" fontId="0" fillId="7" borderId="0" xfId="0" applyFill="1"/>
    <xf numFmtId="2" fontId="13" fillId="4" borderId="1" xfId="0" applyNumberFormat="1" applyFont="1" applyFill="1" applyBorder="1" applyAlignment="1" applyProtection="1">
      <alignment horizontal="center" vertical="center"/>
      <protection hidden="1"/>
    </xf>
    <xf numFmtId="2" fontId="14" fillId="4" borderId="1" xfId="0" applyNumberFormat="1" applyFont="1" applyFill="1" applyBorder="1" applyAlignment="1" applyProtection="1">
      <alignment horizontal="center" vertical="center"/>
      <protection hidden="1"/>
    </xf>
    <xf numFmtId="2" fontId="15" fillId="4" borderId="1" xfId="0" applyNumberFormat="1" applyFont="1" applyFill="1" applyBorder="1" applyAlignment="1" applyProtection="1">
      <alignment horizontal="center" vertical="center"/>
      <protection hidden="1"/>
    </xf>
    <xf numFmtId="2" fontId="13" fillId="2" borderId="1" xfId="0" applyNumberFormat="1" applyFont="1" applyFill="1" applyBorder="1" applyAlignment="1" applyProtection="1">
      <alignment horizontal="center" vertical="center"/>
      <protection hidden="1"/>
    </xf>
    <xf numFmtId="2" fontId="14" fillId="2" borderId="1" xfId="0" applyNumberFormat="1" applyFont="1" applyFill="1" applyBorder="1" applyAlignment="1" applyProtection="1">
      <alignment horizontal="center" vertical="center"/>
      <protection hidden="1"/>
    </xf>
    <xf numFmtId="2" fontId="15" fillId="2" borderId="1" xfId="0" applyNumberFormat="1" applyFont="1" applyFill="1" applyBorder="1" applyAlignment="1" applyProtection="1">
      <alignment horizontal="center" vertical="center"/>
      <protection hidden="1"/>
    </xf>
    <xf numFmtId="2" fontId="13" fillId="4" borderId="2" xfId="0" applyNumberFormat="1" applyFont="1" applyFill="1" applyBorder="1" applyAlignment="1" applyProtection="1">
      <alignment horizontal="center" vertical="center"/>
      <protection hidden="1"/>
    </xf>
    <xf numFmtId="2" fontId="14" fillId="4" borderId="2" xfId="0" applyNumberFormat="1" applyFont="1" applyFill="1" applyBorder="1" applyAlignment="1" applyProtection="1">
      <alignment horizontal="center" vertical="center"/>
      <protection hidden="1"/>
    </xf>
    <xf numFmtId="2" fontId="15" fillId="4" borderId="2" xfId="0" applyNumberFormat="1" applyFont="1" applyFill="1" applyBorder="1" applyAlignment="1" applyProtection="1">
      <alignment horizontal="center" vertical="center"/>
      <protection hidden="1"/>
    </xf>
    <xf numFmtId="2" fontId="13" fillId="2" borderId="3" xfId="0" applyNumberFormat="1" applyFont="1" applyFill="1" applyBorder="1" applyAlignment="1" applyProtection="1">
      <alignment horizontal="center" vertical="center"/>
      <protection hidden="1"/>
    </xf>
    <xf numFmtId="2" fontId="14" fillId="2" borderId="3" xfId="0" applyNumberFormat="1" applyFont="1" applyFill="1" applyBorder="1" applyAlignment="1" applyProtection="1">
      <alignment horizontal="center" vertical="center"/>
      <protection hidden="1"/>
    </xf>
    <xf numFmtId="2" fontId="15" fillId="2" borderId="3" xfId="0" applyNumberFormat="1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Protection="1">
      <protection hidden="1"/>
    </xf>
    <xf numFmtId="0" fontId="8" fillId="10" borderId="8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165" fontId="1" fillId="13" borderId="7" xfId="1" applyNumberFormat="1" applyFont="1" applyFill="1" applyBorder="1" applyAlignment="1" applyProtection="1">
      <alignment horizontal="center" vertical="center"/>
      <protection hidden="1"/>
    </xf>
    <xf numFmtId="0" fontId="23" fillId="4" borderId="1" xfId="0" applyFont="1" applyFill="1" applyBorder="1" applyAlignment="1" applyProtection="1">
      <alignment horizontal="center" vertical="center"/>
      <protection hidden="1"/>
    </xf>
    <xf numFmtId="0" fontId="23" fillId="2" borderId="1" xfId="0" applyFont="1" applyFill="1" applyBorder="1" applyAlignment="1" applyProtection="1">
      <alignment horizontal="center" vertical="center"/>
      <protection hidden="1"/>
    </xf>
    <xf numFmtId="0" fontId="23" fillId="4" borderId="2" xfId="0" applyFont="1" applyFill="1" applyBorder="1" applyAlignment="1" applyProtection="1">
      <alignment horizontal="center" vertical="center"/>
      <protection hidden="1"/>
    </xf>
    <xf numFmtId="0" fontId="23" fillId="2" borderId="3" xfId="0" applyFont="1" applyFill="1" applyBorder="1" applyAlignment="1" applyProtection="1">
      <alignment horizontal="center" vertical="center"/>
      <protection hidden="1"/>
    </xf>
    <xf numFmtId="0" fontId="21" fillId="14" borderId="10" xfId="0" applyFont="1" applyFill="1" applyBorder="1" applyAlignment="1">
      <alignment horizontal="center" vertical="center"/>
    </xf>
    <xf numFmtId="0" fontId="26" fillId="3" borderId="0" xfId="0" applyFont="1" applyFill="1"/>
    <xf numFmtId="0" fontId="21" fillId="14" borderId="14" xfId="0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vertical="center"/>
    </xf>
    <xf numFmtId="0" fontId="21" fillId="14" borderId="8" xfId="0" applyFont="1" applyFill="1" applyBorder="1" applyAlignment="1">
      <alignment vertical="center"/>
    </xf>
    <xf numFmtId="0" fontId="21" fillId="8" borderId="9" xfId="0" applyFont="1" applyFill="1" applyBorder="1" applyAlignment="1">
      <alignment vertical="center"/>
    </xf>
    <xf numFmtId="0" fontId="21" fillId="8" borderId="9" xfId="0" applyFont="1" applyFill="1" applyBorder="1" applyAlignment="1">
      <alignment horizontal="center" vertical="center"/>
    </xf>
    <xf numFmtId="0" fontId="28" fillId="6" borderId="7" xfId="0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Alignment="1" applyProtection="1">
      <alignment horizontal="center" vertical="center"/>
      <protection locked="0"/>
    </xf>
    <xf numFmtId="0" fontId="0" fillId="13" borderId="0" xfId="0" applyFill="1"/>
    <xf numFmtId="0" fontId="0" fillId="13" borderId="16" xfId="0" applyFill="1" applyBorder="1"/>
    <xf numFmtId="0" fontId="0" fillId="3" borderId="16" xfId="0" applyFill="1" applyBorder="1"/>
    <xf numFmtId="0" fontId="0" fillId="3" borderId="18" xfId="0" applyFill="1" applyBorder="1"/>
    <xf numFmtId="0" fontId="0" fillId="13" borderId="20" xfId="0" applyFill="1" applyBorder="1"/>
    <xf numFmtId="0" fontId="32" fillId="13" borderId="22" xfId="0" applyFont="1" applyFill="1" applyBorder="1" applyAlignment="1">
      <alignment horizontal="center" vertical="center"/>
    </xf>
    <xf numFmtId="10" fontId="11" fillId="14" borderId="6" xfId="0" applyNumberFormat="1" applyFont="1" applyFill="1" applyBorder="1" applyAlignment="1">
      <alignment horizontal="center"/>
    </xf>
    <xf numFmtId="9" fontId="11" fillId="14" borderId="6" xfId="0" applyNumberFormat="1" applyFont="1" applyFill="1" applyBorder="1" applyAlignment="1">
      <alignment horizontal="center" vertical="center"/>
    </xf>
    <xf numFmtId="0" fontId="29" fillId="9" borderId="6" xfId="0" applyFont="1" applyFill="1" applyBorder="1" applyAlignment="1">
      <alignment horizontal="center" vertical="center"/>
    </xf>
    <xf numFmtId="0" fontId="29" fillId="12" borderId="6" xfId="0" applyFont="1" applyFill="1" applyBorder="1" applyAlignment="1">
      <alignment horizontal="center" vertical="center"/>
    </xf>
    <xf numFmtId="0" fontId="2" fillId="7" borderId="0" xfId="0" applyFont="1" applyFill="1"/>
    <xf numFmtId="0" fontId="33" fillId="15" borderId="6" xfId="0" applyFont="1" applyFill="1" applyBorder="1" applyAlignment="1">
      <alignment horizontal="center" vertical="center"/>
    </xf>
    <xf numFmtId="0" fontId="30" fillId="16" borderId="0" xfId="0" applyFont="1" applyFill="1" applyAlignment="1" applyProtection="1">
      <alignment horizontal="center" vertical="center"/>
      <protection locked="0"/>
    </xf>
    <xf numFmtId="0" fontId="30" fillId="16" borderId="24" xfId="0" applyFont="1" applyFill="1" applyBorder="1" applyAlignment="1" applyProtection="1">
      <alignment horizontal="center" vertical="center"/>
      <protection locked="0"/>
    </xf>
    <xf numFmtId="0" fontId="30" fillId="13" borderId="24" xfId="0" applyFont="1" applyFill="1" applyBorder="1" applyAlignment="1" applyProtection="1">
      <alignment horizontal="center" vertical="center"/>
      <protection locked="0"/>
    </xf>
    <xf numFmtId="0" fontId="30" fillId="16" borderId="29" xfId="0" applyFont="1" applyFill="1" applyBorder="1" applyAlignment="1" applyProtection="1">
      <alignment horizontal="center" vertical="center"/>
      <protection locked="0"/>
    </xf>
    <xf numFmtId="0" fontId="30" fillId="13" borderId="26" xfId="0" applyFont="1" applyFill="1" applyBorder="1" applyAlignment="1" applyProtection="1">
      <alignment horizontal="center" vertical="center"/>
      <protection locked="0"/>
    </xf>
    <xf numFmtId="0" fontId="12" fillId="13" borderId="25" xfId="0" applyFont="1" applyFill="1" applyBorder="1" applyAlignment="1" applyProtection="1">
      <alignment horizontal="center" vertical="center"/>
      <protection locked="0"/>
    </xf>
    <xf numFmtId="2" fontId="9" fillId="13" borderId="31" xfId="0" applyNumberFormat="1" applyFont="1" applyFill="1" applyBorder="1" applyAlignment="1" applyProtection="1">
      <alignment horizontal="center" vertical="center"/>
      <protection locked="0"/>
    </xf>
    <xf numFmtId="14" fontId="9" fillId="13" borderId="25" xfId="0" applyNumberFormat="1" applyFont="1" applyFill="1" applyBorder="1" applyProtection="1">
      <protection locked="0"/>
    </xf>
    <xf numFmtId="0" fontId="12" fillId="16" borderId="24" xfId="0" applyFont="1" applyFill="1" applyBorder="1" applyAlignment="1" applyProtection="1">
      <alignment horizontal="center" vertical="center"/>
      <protection locked="0"/>
    </xf>
    <xf numFmtId="0" fontId="9" fillId="16" borderId="24" xfId="0" applyFont="1" applyFill="1" applyBorder="1" applyAlignment="1" applyProtection="1">
      <alignment horizontal="center"/>
      <protection locked="0"/>
    </xf>
    <xf numFmtId="14" fontId="9" fillId="16" borderId="24" xfId="0" applyNumberFormat="1" applyFont="1" applyFill="1" applyBorder="1" applyProtection="1">
      <protection locked="0"/>
    </xf>
    <xf numFmtId="0" fontId="12" fillId="13" borderId="24" xfId="0" applyFont="1" applyFill="1" applyBorder="1" applyAlignment="1" applyProtection="1">
      <alignment horizontal="center" vertical="center"/>
      <protection locked="0"/>
    </xf>
    <xf numFmtId="2" fontId="9" fillId="13" borderId="24" xfId="0" applyNumberFormat="1" applyFont="1" applyFill="1" applyBorder="1" applyAlignment="1" applyProtection="1">
      <alignment horizontal="center"/>
      <protection locked="0"/>
    </xf>
    <xf numFmtId="14" fontId="9" fillId="13" borderId="24" xfId="0" applyNumberFormat="1" applyFont="1" applyFill="1" applyBorder="1" applyProtection="1">
      <protection locked="0"/>
    </xf>
    <xf numFmtId="2" fontId="9" fillId="16" borderId="25" xfId="0" applyNumberFormat="1" applyFont="1" applyFill="1" applyBorder="1" applyAlignment="1" applyProtection="1">
      <alignment horizontal="center"/>
      <protection locked="0"/>
    </xf>
    <xf numFmtId="2" fontId="9" fillId="13" borderId="28" xfId="0" applyNumberFormat="1" applyFont="1" applyFill="1" applyBorder="1" applyAlignment="1" applyProtection="1">
      <alignment horizontal="center"/>
      <protection locked="0"/>
    </xf>
    <xf numFmtId="14" fontId="9" fillId="13" borderId="27" xfId="0" applyNumberFormat="1" applyFont="1" applyFill="1" applyBorder="1" applyProtection="1">
      <protection locked="0"/>
    </xf>
    <xf numFmtId="2" fontId="9" fillId="16" borderId="30" xfId="0" applyNumberFormat="1" applyFont="1" applyFill="1" applyBorder="1" applyAlignment="1" applyProtection="1">
      <alignment horizontal="center"/>
      <protection locked="0"/>
    </xf>
    <xf numFmtId="14" fontId="9" fillId="16" borderId="25" xfId="0" applyNumberFormat="1" applyFont="1" applyFill="1" applyBorder="1" applyProtection="1">
      <protection locked="0"/>
    </xf>
    <xf numFmtId="2" fontId="9" fillId="13" borderId="25" xfId="0" applyNumberFormat="1" applyFont="1" applyFill="1" applyBorder="1" applyAlignment="1" applyProtection="1">
      <alignment horizontal="center"/>
      <protection locked="0"/>
    </xf>
    <xf numFmtId="2" fontId="9" fillId="16" borderId="24" xfId="0" applyNumberFormat="1" applyFont="1" applyFill="1" applyBorder="1" applyAlignment="1" applyProtection="1">
      <alignment horizontal="center"/>
      <protection locked="0"/>
    </xf>
    <xf numFmtId="0" fontId="30" fillId="13" borderId="0" xfId="0" applyFont="1" applyFill="1" applyAlignment="1" applyProtection="1">
      <alignment horizontal="center" vertical="center"/>
      <protection locked="0"/>
    </xf>
    <xf numFmtId="0" fontId="0" fillId="3" borderId="0" xfId="0" applyFill="1" applyProtection="1">
      <protection hidden="1"/>
    </xf>
    <xf numFmtId="2" fontId="22" fillId="13" borderId="8" xfId="0" applyNumberFormat="1" applyFont="1" applyFill="1" applyBorder="1" applyAlignment="1" applyProtection="1">
      <alignment horizontal="center"/>
      <protection hidden="1"/>
    </xf>
    <xf numFmtId="2" fontId="19" fillId="13" borderId="14" xfId="0" applyNumberFormat="1" applyFont="1" applyFill="1" applyBorder="1" applyAlignment="1" applyProtection="1">
      <alignment horizontal="center" vertical="center"/>
      <protection hidden="1"/>
    </xf>
    <xf numFmtId="2" fontId="18" fillId="13" borderId="6" xfId="0" applyNumberFormat="1" applyFont="1" applyFill="1" applyBorder="1" applyAlignment="1" applyProtection="1">
      <alignment horizontal="center" vertical="center"/>
      <protection hidden="1"/>
    </xf>
    <xf numFmtId="0" fontId="7" fillId="12" borderId="13" xfId="0" applyFont="1" applyFill="1" applyBorder="1" applyAlignment="1" applyProtection="1">
      <alignment horizontal="center" vertical="center"/>
      <protection hidden="1"/>
    </xf>
    <xf numFmtId="2" fontId="17" fillId="13" borderId="6" xfId="0" applyNumberFormat="1" applyFont="1" applyFill="1" applyBorder="1" applyAlignment="1" applyProtection="1">
      <alignment horizontal="center" vertical="center"/>
      <protection hidden="1"/>
    </xf>
    <xf numFmtId="166" fontId="26" fillId="3" borderId="0" xfId="0" applyNumberFormat="1" applyFont="1" applyFill="1" applyProtection="1">
      <protection hidden="1"/>
    </xf>
    <xf numFmtId="0" fontId="26" fillId="3" borderId="0" xfId="0" applyFont="1" applyFill="1" applyProtection="1">
      <protection hidden="1"/>
    </xf>
    <xf numFmtId="0" fontId="21" fillId="14" borderId="5" xfId="0" applyFont="1" applyFill="1" applyBorder="1" applyAlignment="1" applyProtection="1">
      <alignment horizontal="right" vertical="center"/>
      <protection hidden="1"/>
    </xf>
    <xf numFmtId="0" fontId="28" fillId="6" borderId="7" xfId="0" applyFont="1" applyFill="1" applyBorder="1" applyAlignment="1" applyProtection="1">
      <alignment horizontal="center" vertical="center"/>
      <protection hidden="1"/>
    </xf>
    <xf numFmtId="2" fontId="31" fillId="13" borderId="6" xfId="0" applyNumberFormat="1" applyFont="1" applyFill="1" applyBorder="1" applyAlignment="1" applyProtection="1">
      <alignment horizontal="center" vertical="center"/>
      <protection hidden="1"/>
    </xf>
    <xf numFmtId="2" fontId="19" fillId="13" borderId="6" xfId="0" applyNumberFormat="1" applyFont="1" applyFill="1" applyBorder="1" applyAlignment="1" applyProtection="1">
      <alignment horizontal="center" vertical="center"/>
      <protection hidden="1"/>
    </xf>
    <xf numFmtId="2" fontId="2" fillId="3" borderId="23" xfId="0" applyNumberFormat="1" applyFont="1" applyFill="1" applyBorder="1" applyAlignment="1" applyProtection="1">
      <alignment horizontal="center" vertical="center"/>
      <protection hidden="1"/>
    </xf>
    <xf numFmtId="2" fontId="1" fillId="3" borderId="23" xfId="0" applyNumberFormat="1" applyFont="1" applyFill="1" applyBorder="1" applyAlignment="1" applyProtection="1">
      <alignment horizontal="center" vertical="center"/>
      <protection hidden="1"/>
    </xf>
    <xf numFmtId="2" fontId="2" fillId="3" borderId="14" xfId="0" applyNumberFormat="1" applyFont="1" applyFill="1" applyBorder="1" applyAlignment="1" applyProtection="1">
      <alignment horizontal="center" vertical="center"/>
      <protection hidden="1"/>
    </xf>
    <xf numFmtId="2" fontId="12" fillId="13" borderId="25" xfId="0" applyNumberFormat="1" applyFont="1" applyFill="1" applyBorder="1" applyAlignment="1" applyProtection="1">
      <alignment horizontal="center" vertical="center"/>
      <protection hidden="1"/>
    </xf>
    <xf numFmtId="2" fontId="34" fillId="13" borderId="25" xfId="0" applyNumberFormat="1" applyFont="1" applyFill="1" applyBorder="1" applyAlignment="1" applyProtection="1">
      <alignment horizontal="center" vertical="center"/>
      <protection hidden="1"/>
    </xf>
    <xf numFmtId="2" fontId="3" fillId="13" borderId="25" xfId="0" applyNumberFormat="1" applyFont="1" applyFill="1" applyBorder="1" applyAlignment="1" applyProtection="1">
      <alignment horizontal="center" vertical="center"/>
      <protection hidden="1"/>
    </xf>
    <xf numFmtId="2" fontId="12" fillId="16" borderId="24" xfId="0" applyNumberFormat="1" applyFont="1" applyFill="1" applyBorder="1" applyAlignment="1" applyProtection="1">
      <alignment horizontal="center"/>
      <protection hidden="1"/>
    </xf>
    <xf numFmtId="2" fontId="34" fillId="16" borderId="24" xfId="0" applyNumberFormat="1" applyFont="1" applyFill="1" applyBorder="1" applyAlignment="1" applyProtection="1">
      <alignment horizontal="center"/>
      <protection hidden="1"/>
    </xf>
    <xf numFmtId="2" fontId="3" fillId="16" borderId="24" xfId="0" applyNumberFormat="1" applyFont="1" applyFill="1" applyBorder="1" applyAlignment="1" applyProtection="1">
      <alignment horizontal="center"/>
      <protection hidden="1"/>
    </xf>
    <xf numFmtId="2" fontId="12" fillId="13" borderId="24" xfId="0" applyNumberFormat="1" applyFont="1" applyFill="1" applyBorder="1" applyAlignment="1" applyProtection="1">
      <alignment horizontal="center"/>
      <protection hidden="1"/>
    </xf>
    <xf numFmtId="2" fontId="34" fillId="13" borderId="24" xfId="0" applyNumberFormat="1" applyFont="1" applyFill="1" applyBorder="1" applyAlignment="1" applyProtection="1">
      <alignment horizontal="center"/>
      <protection hidden="1"/>
    </xf>
    <xf numFmtId="2" fontId="3" fillId="13" borderId="24" xfId="0" applyNumberFormat="1" applyFont="1" applyFill="1" applyBorder="1" applyAlignment="1" applyProtection="1">
      <alignment horizontal="center"/>
      <protection hidden="1"/>
    </xf>
    <xf numFmtId="0" fontId="26" fillId="3" borderId="0" xfId="0" applyFont="1" applyFill="1" applyAlignment="1">
      <alignment horizontal="center" vertical="center"/>
    </xf>
    <xf numFmtId="14" fontId="26" fillId="3" borderId="0" xfId="0" applyNumberFormat="1" applyFont="1" applyFill="1" applyProtection="1">
      <protection hidden="1"/>
    </xf>
    <xf numFmtId="14" fontId="26" fillId="3" borderId="0" xfId="0" applyNumberFormat="1" applyFont="1" applyFill="1"/>
    <xf numFmtId="0" fontId="26" fillId="3" borderId="0" xfId="0" applyFont="1" applyFill="1" applyAlignment="1" applyProtection="1">
      <alignment horizontal="center"/>
      <protection hidden="1"/>
    </xf>
    <xf numFmtId="2" fontId="26" fillId="3" borderId="0" xfId="0" applyNumberFormat="1" applyFont="1" applyFill="1" applyAlignment="1" applyProtection="1">
      <alignment horizontal="center"/>
      <protection hidden="1"/>
    </xf>
    <xf numFmtId="0" fontId="26" fillId="3" borderId="0" xfId="0" applyFont="1" applyFill="1" applyAlignment="1" applyProtection="1">
      <alignment horizontal="center" vertical="center"/>
      <protection hidden="1"/>
    </xf>
    <xf numFmtId="2" fontId="26" fillId="3" borderId="0" xfId="0" applyNumberFormat="1" applyFont="1" applyFill="1" applyProtection="1">
      <protection hidden="1"/>
    </xf>
    <xf numFmtId="2" fontId="26" fillId="3" borderId="0" xfId="0" applyNumberFormat="1" applyFont="1" applyFill="1"/>
    <xf numFmtId="0" fontId="26" fillId="3" borderId="0" xfId="0" applyFont="1" applyFill="1" applyAlignment="1" applyProtection="1">
      <alignment horizontal="left"/>
      <protection hidden="1"/>
    </xf>
    <xf numFmtId="0" fontId="26" fillId="3" borderId="0" xfId="0" applyFont="1" applyFill="1" applyAlignment="1">
      <alignment horizontal="left"/>
    </xf>
    <xf numFmtId="2" fontId="7" fillId="12" borderId="6" xfId="0" applyNumberFormat="1" applyFont="1" applyFill="1" applyBorder="1" applyAlignment="1" applyProtection="1">
      <alignment horizontal="center" vertical="center"/>
      <protection hidden="1"/>
    </xf>
    <xf numFmtId="2" fontId="7" fillId="12" borderId="7" xfId="0" applyNumberFormat="1" applyFont="1" applyFill="1" applyBorder="1" applyAlignment="1" applyProtection="1">
      <alignment horizontal="center" vertical="center"/>
      <protection hidden="1"/>
    </xf>
    <xf numFmtId="2" fontId="16" fillId="13" borderId="6" xfId="0" applyNumberFormat="1" applyFont="1" applyFill="1" applyBorder="1" applyAlignment="1" applyProtection="1">
      <alignment horizontal="center"/>
      <protection hidden="1"/>
    </xf>
    <xf numFmtId="0" fontId="16" fillId="13" borderId="6" xfId="0" applyFont="1" applyFill="1" applyBorder="1" applyAlignment="1" applyProtection="1">
      <alignment horizontal="center"/>
      <protection hidden="1"/>
    </xf>
    <xf numFmtId="0" fontId="16" fillId="13" borderId="7" xfId="0" applyFont="1" applyFill="1" applyBorder="1" applyAlignment="1" applyProtection="1">
      <alignment horizontal="center"/>
      <protection hidden="1"/>
    </xf>
    <xf numFmtId="2" fontId="7" fillId="9" borderId="6" xfId="0" applyNumberFormat="1" applyFont="1" applyFill="1" applyBorder="1" applyAlignment="1" applyProtection="1">
      <alignment horizontal="center" vertical="center"/>
      <protection hidden="1"/>
    </xf>
    <xf numFmtId="2" fontId="7" fillId="9" borderId="7" xfId="0" applyNumberFormat="1" applyFont="1" applyFill="1" applyBorder="1" applyAlignment="1" applyProtection="1">
      <alignment horizontal="center" vertical="center"/>
      <protection hidden="1"/>
    </xf>
    <xf numFmtId="2" fontId="16" fillId="13" borderId="7" xfId="0" applyNumberFormat="1" applyFont="1" applyFill="1" applyBorder="1" applyAlignment="1" applyProtection="1">
      <alignment horizontal="center"/>
      <protection hidden="1"/>
    </xf>
    <xf numFmtId="164" fontId="18" fillId="13" borderId="6" xfId="2" applyFont="1" applyFill="1" applyBorder="1" applyAlignment="1" applyProtection="1">
      <alignment horizontal="center" vertical="center"/>
      <protection hidden="1"/>
    </xf>
    <xf numFmtId="0" fontId="21" fillId="14" borderId="7" xfId="0" applyFont="1" applyFill="1" applyBorder="1" applyAlignment="1">
      <alignment horizontal="left" vertical="center"/>
    </xf>
    <xf numFmtId="0" fontId="21" fillId="14" borderId="5" xfId="0" applyFont="1" applyFill="1" applyBorder="1" applyAlignment="1">
      <alignment horizontal="left" vertical="center"/>
    </xf>
    <xf numFmtId="0" fontId="21" fillId="7" borderId="21" xfId="0" applyFont="1" applyFill="1" applyBorder="1" applyAlignment="1">
      <alignment horizontal="center"/>
    </xf>
    <xf numFmtId="0" fontId="21" fillId="7" borderId="19" xfId="0" applyFont="1" applyFill="1" applyBorder="1" applyAlignment="1">
      <alignment horizontal="center"/>
    </xf>
    <xf numFmtId="0" fontId="21" fillId="14" borderId="12" xfId="0" applyFont="1" applyFill="1" applyBorder="1" applyAlignment="1">
      <alignment horizontal="center" vertical="center"/>
    </xf>
    <xf numFmtId="0" fontId="21" fillId="14" borderId="10" xfId="0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14" fontId="27" fillId="6" borderId="7" xfId="0" applyNumberFormat="1" applyFont="1" applyFill="1" applyBorder="1" applyAlignment="1" applyProtection="1">
      <alignment horizontal="center" vertical="center"/>
      <protection locked="0"/>
    </xf>
    <xf numFmtId="14" fontId="27" fillId="6" borderId="8" xfId="0" applyNumberFormat="1" applyFont="1" applyFill="1" applyBorder="1" applyAlignment="1" applyProtection="1">
      <alignment horizontal="center" vertical="center"/>
      <protection locked="0"/>
    </xf>
    <xf numFmtId="0" fontId="2" fillId="7" borderId="10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164" fontId="19" fillId="13" borderId="6" xfId="2" applyFont="1" applyFill="1" applyBorder="1" applyAlignment="1" applyProtection="1">
      <alignment horizontal="center" vertical="center"/>
      <protection hidden="1"/>
    </xf>
    <xf numFmtId="0" fontId="26" fillId="3" borderId="0" xfId="0" applyFont="1" applyFill="1" applyAlignment="1">
      <alignment horizontal="center"/>
    </xf>
    <xf numFmtId="0" fontId="6" fillId="5" borderId="0" xfId="0" applyFont="1" applyFill="1" applyAlignment="1" applyProtection="1">
      <alignment horizontal="center" vertical="center"/>
      <protection hidden="1"/>
    </xf>
    <xf numFmtId="0" fontId="5" fillId="7" borderId="0" xfId="0" applyFont="1" applyFill="1" applyAlignment="1" applyProtection="1">
      <alignment horizontal="center" vertical="center"/>
      <protection hidden="1"/>
    </xf>
    <xf numFmtId="0" fontId="5" fillId="7" borderId="4" xfId="0" applyFont="1" applyFill="1" applyBorder="1" applyAlignment="1" applyProtection="1">
      <alignment horizontal="center" vertical="center"/>
      <protection hidden="1"/>
    </xf>
    <xf numFmtId="0" fontId="6" fillId="11" borderId="0" xfId="0" applyFont="1" applyFill="1" applyAlignment="1" applyProtection="1">
      <alignment horizontal="center" vertical="center"/>
      <protection hidden="1"/>
    </xf>
    <xf numFmtId="2" fontId="16" fillId="6" borderId="10" xfId="0" applyNumberFormat="1" applyFont="1" applyFill="1" applyBorder="1" applyAlignment="1" applyProtection="1">
      <alignment horizontal="center" vertical="center"/>
      <protection locked="0"/>
    </xf>
    <xf numFmtId="0" fontId="21" fillId="14" borderId="7" xfId="0" applyFont="1" applyFill="1" applyBorder="1" applyAlignment="1">
      <alignment horizontal="center" vertical="center"/>
    </xf>
    <xf numFmtId="0" fontId="21" fillId="14" borderId="5" xfId="0" applyFont="1" applyFill="1" applyBorder="1" applyAlignment="1">
      <alignment horizontal="center" vertical="center"/>
    </xf>
    <xf numFmtId="0" fontId="21" fillId="14" borderId="13" xfId="0" applyFont="1" applyFill="1" applyBorder="1" applyAlignment="1">
      <alignment horizontal="center" vertical="center"/>
    </xf>
    <xf numFmtId="0" fontId="20" fillId="14" borderId="9" xfId="0" applyFont="1" applyFill="1" applyBorder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20" fillId="14" borderId="6" xfId="0" applyFont="1" applyFill="1" applyBorder="1" applyAlignment="1">
      <alignment horizontal="center" vertical="center"/>
    </xf>
    <xf numFmtId="0" fontId="25" fillId="13" borderId="6" xfId="0" applyFont="1" applyFill="1" applyBorder="1" applyAlignment="1" applyProtection="1">
      <alignment horizontal="center" vertical="center"/>
      <protection locked="0"/>
    </xf>
    <xf numFmtId="0" fontId="25" fillId="13" borderId="7" xfId="0" applyFont="1" applyFill="1" applyBorder="1" applyAlignment="1" applyProtection="1">
      <alignment horizontal="center" vertical="center"/>
      <protection locked="0"/>
    </xf>
    <xf numFmtId="14" fontId="24" fillId="6" borderId="12" xfId="0" applyNumberFormat="1" applyFont="1" applyFill="1" applyBorder="1" applyAlignment="1" applyProtection="1">
      <alignment horizontal="center" vertical="center"/>
      <protection locked="0"/>
    </xf>
    <xf numFmtId="14" fontId="24" fillId="6" borderId="10" xfId="0" applyNumberFormat="1" applyFont="1" applyFill="1" applyBorder="1" applyAlignment="1" applyProtection="1">
      <alignment horizontal="center" vertical="center"/>
      <protection locked="0"/>
    </xf>
    <xf numFmtId="14" fontId="24" fillId="6" borderId="11" xfId="0" applyNumberFormat="1" applyFont="1" applyFill="1" applyBorder="1" applyAlignment="1" applyProtection="1">
      <alignment horizontal="center" vertical="center"/>
      <protection locked="0"/>
    </xf>
  </cellXfs>
  <cellStyles count="3">
    <cellStyle name="Comma" xfId="2" builtinId="3"/>
    <cellStyle name="Percent" xfId="1" builtinId="5"/>
    <cellStyle name="عادي" xfId="0" builtinId="0"/>
  </cellStyles>
  <dxfs count="11">
    <dxf>
      <font>
        <b/>
        <i val="0"/>
        <color theme="1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8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1C3E9111-D3F5-43F3-BF67-FF854E5D54EE}"/>
  </tableStyles>
  <colors>
    <mruColors>
      <color rgb="FF1C143C"/>
      <color rgb="FF00FF00"/>
      <color rgb="FF006600"/>
      <color rgb="FF0000FF"/>
      <color rgb="FF333333"/>
      <color rgb="FF049434"/>
      <color rgb="FF33CC33"/>
      <color rgb="FF040C04"/>
      <color rgb="FF11BF69"/>
      <color rgb="FF041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connections" Target="connections.xml" /><Relationship Id="rId7" Type="http://schemas.openxmlformats.org/officeDocument/2006/relationships/calcChain" Target="calcChain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 /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 /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 /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 /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ca-ES" sz="1600" b="1">
                <a:solidFill>
                  <a:srgbClr val="FFFF00"/>
                </a:solidFill>
              </a:rPr>
              <a:t>Charm </a:t>
            </a:r>
            <a:r>
              <a:rPr lang="ca-ES" sz="1600" b="1" i="0">
                <a:solidFill>
                  <a:srgbClr val="FFFF00"/>
                </a:solidFill>
                <a:effectLst/>
              </a:rPr>
              <a:t>Exposures ( CEX )</a:t>
            </a:r>
          </a:p>
        </c:rich>
      </c:tx>
      <c:layout>
        <c:manualLayout>
          <c:xMode val="edge"/>
          <c:yMode val="edge"/>
          <c:x val="0.22901530071757781"/>
          <c:y val="5.4530169600809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>
        <c:manualLayout>
          <c:layoutTarget val="inner"/>
          <c:xMode val="edge"/>
          <c:yMode val="edge"/>
          <c:x val="6.9408482265841037E-2"/>
          <c:y val="0.16758319685940182"/>
          <c:w val="0.88200295454814448"/>
          <c:h val="0.70613623363292299"/>
        </c:manualLayout>
      </c:layout>
      <c:lineChart>
        <c:grouping val="standard"/>
        <c:varyColors val="0"/>
        <c:ser>
          <c:idx val="0"/>
          <c:order val="0"/>
          <c:spPr>
            <a:ln w="38100" cap="rnd">
              <a:solidFill>
                <a:srgbClr val="11BF69"/>
              </a:solidFill>
              <a:round/>
            </a:ln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cat>
            <c:numRef>
              <c:f>الشركات!$BZ$3:$BZ$27</c:f>
              <c:numCache>
                <c:formatCode>0.00</c:formatCode>
                <c:ptCount val="25"/>
                <c:pt idx="0">
                  <c:v>405</c:v>
                </c:pt>
                <c:pt idx="1">
                  <c:v>410</c:v>
                </c:pt>
                <c:pt idx="2">
                  <c:v>415</c:v>
                </c:pt>
                <c:pt idx="3">
                  <c:v>420</c:v>
                </c:pt>
                <c:pt idx="4">
                  <c:v>425</c:v>
                </c:pt>
                <c:pt idx="5">
                  <c:v>430</c:v>
                </c:pt>
                <c:pt idx="6">
                  <c:v>435</c:v>
                </c:pt>
                <c:pt idx="7">
                  <c:v>440</c:v>
                </c:pt>
                <c:pt idx="8">
                  <c:v>445</c:v>
                </c:pt>
                <c:pt idx="9">
                  <c:v>450</c:v>
                </c:pt>
                <c:pt idx="10">
                  <c:v>455</c:v>
                </c:pt>
                <c:pt idx="11">
                  <c:v>460</c:v>
                </c:pt>
                <c:pt idx="12">
                  <c:v>465</c:v>
                </c:pt>
                <c:pt idx="13">
                  <c:v>470</c:v>
                </c:pt>
                <c:pt idx="14">
                  <c:v>475</c:v>
                </c:pt>
                <c:pt idx="15">
                  <c:v>480</c:v>
                </c:pt>
                <c:pt idx="16">
                  <c:v>485</c:v>
                </c:pt>
                <c:pt idx="17">
                  <c:v>490</c:v>
                </c:pt>
                <c:pt idx="18">
                  <c:v>495</c:v>
                </c:pt>
                <c:pt idx="19">
                  <c:v>500</c:v>
                </c:pt>
                <c:pt idx="20">
                  <c:v>505</c:v>
                </c:pt>
                <c:pt idx="21">
                  <c:v>510</c:v>
                </c:pt>
                <c:pt idx="22">
                  <c:v>515</c:v>
                </c:pt>
                <c:pt idx="23">
                  <c:v>520</c:v>
                </c:pt>
                <c:pt idx="24">
                  <c:v>525</c:v>
                </c:pt>
              </c:numCache>
            </c:numRef>
          </c:cat>
          <c:val>
            <c:numRef>
              <c:f>الشركات!$CL$3:$CL$27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-3.1834431579597269E-2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CF2-4124-A956-26A15E27447F}"/>
            </c:ext>
          </c:extLst>
        </c:ser>
        <c:ser>
          <c:idx val="1"/>
          <c:order val="1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الشركات!$BZ$3:$BZ$27</c:f>
              <c:numCache>
                <c:formatCode>0.00</c:formatCode>
                <c:ptCount val="25"/>
                <c:pt idx="0">
                  <c:v>405</c:v>
                </c:pt>
                <c:pt idx="1">
                  <c:v>410</c:v>
                </c:pt>
                <c:pt idx="2">
                  <c:v>415</c:v>
                </c:pt>
                <c:pt idx="3">
                  <c:v>420</c:v>
                </c:pt>
                <c:pt idx="4">
                  <c:v>425</c:v>
                </c:pt>
                <c:pt idx="5">
                  <c:v>430</c:v>
                </c:pt>
                <c:pt idx="6">
                  <c:v>435</c:v>
                </c:pt>
                <c:pt idx="7">
                  <c:v>440</c:v>
                </c:pt>
                <c:pt idx="8">
                  <c:v>445</c:v>
                </c:pt>
                <c:pt idx="9">
                  <c:v>450</c:v>
                </c:pt>
                <c:pt idx="10">
                  <c:v>455</c:v>
                </c:pt>
                <c:pt idx="11">
                  <c:v>460</c:v>
                </c:pt>
                <c:pt idx="12">
                  <c:v>465</c:v>
                </c:pt>
                <c:pt idx="13">
                  <c:v>470</c:v>
                </c:pt>
                <c:pt idx="14">
                  <c:v>475</c:v>
                </c:pt>
                <c:pt idx="15">
                  <c:v>480</c:v>
                </c:pt>
                <c:pt idx="16">
                  <c:v>485</c:v>
                </c:pt>
                <c:pt idx="17">
                  <c:v>490</c:v>
                </c:pt>
                <c:pt idx="18">
                  <c:v>495</c:v>
                </c:pt>
                <c:pt idx="19">
                  <c:v>500</c:v>
                </c:pt>
                <c:pt idx="20">
                  <c:v>505</c:v>
                </c:pt>
                <c:pt idx="21">
                  <c:v>510</c:v>
                </c:pt>
                <c:pt idx="22">
                  <c:v>515</c:v>
                </c:pt>
                <c:pt idx="23">
                  <c:v>520</c:v>
                </c:pt>
                <c:pt idx="24">
                  <c:v>525</c:v>
                </c:pt>
              </c:numCache>
            </c:numRef>
          </c:cat>
          <c:val>
            <c:numRef>
              <c:f>الشركات!$CH$3:$CH$28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2-4124-A956-26A15E274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656591"/>
        <c:axId val="1705982319"/>
      </c:lineChart>
      <c:catAx>
        <c:axId val="150465659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05982319"/>
        <c:crosses val="autoZero"/>
        <c:auto val="1"/>
        <c:lblAlgn val="ctr"/>
        <c:lblOffset val="100"/>
        <c:noMultiLvlLbl val="0"/>
      </c:catAx>
      <c:valAx>
        <c:axId val="170598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333333"/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50465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40C04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ca-ES" sz="1600" b="1" i="0" u="none" strike="noStrike" baseline="0">
                <a:solidFill>
                  <a:srgbClr val="FFFF00"/>
                </a:solidFill>
                <a:effectLst/>
              </a:rPr>
              <a:t>GAMMA</a:t>
            </a:r>
            <a:endParaRPr lang="ar-SA" sz="1600" b="1">
              <a:solidFill>
                <a:srgbClr val="FFFF00"/>
              </a:solidFill>
            </a:endParaRPr>
          </a:p>
        </c:rich>
      </c:tx>
      <c:layout>
        <c:manualLayout>
          <c:xMode val="edge"/>
          <c:yMode val="edge"/>
          <c:x val="0.31176194704517657"/>
          <c:y val="3.46026851449294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>
        <c:manualLayout>
          <c:layoutTarget val="inner"/>
          <c:xMode val="edge"/>
          <c:yMode val="edge"/>
          <c:x val="6.5423744569318737E-2"/>
          <c:y val="0.13255790794297945"/>
          <c:w val="0.87950551242689479"/>
          <c:h val="0.75578238190708447"/>
        </c:manualLayout>
      </c:layout>
      <c:lineChart>
        <c:grouping val="standard"/>
        <c:varyColors val="0"/>
        <c:ser>
          <c:idx val="0"/>
          <c:order val="0"/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الشركات!$BZ$3:$BZ$27</c:f>
              <c:numCache>
                <c:formatCode>0.00</c:formatCode>
                <c:ptCount val="25"/>
                <c:pt idx="0">
                  <c:v>405</c:v>
                </c:pt>
                <c:pt idx="1">
                  <c:v>410</c:v>
                </c:pt>
                <c:pt idx="2">
                  <c:v>415</c:v>
                </c:pt>
                <c:pt idx="3">
                  <c:v>420</c:v>
                </c:pt>
                <c:pt idx="4">
                  <c:v>425</c:v>
                </c:pt>
                <c:pt idx="5">
                  <c:v>430</c:v>
                </c:pt>
                <c:pt idx="6">
                  <c:v>435</c:v>
                </c:pt>
                <c:pt idx="7">
                  <c:v>440</c:v>
                </c:pt>
                <c:pt idx="8">
                  <c:v>445</c:v>
                </c:pt>
                <c:pt idx="9">
                  <c:v>450</c:v>
                </c:pt>
                <c:pt idx="10">
                  <c:v>455</c:v>
                </c:pt>
                <c:pt idx="11">
                  <c:v>460</c:v>
                </c:pt>
                <c:pt idx="12">
                  <c:v>465</c:v>
                </c:pt>
                <c:pt idx="13">
                  <c:v>470</c:v>
                </c:pt>
                <c:pt idx="14">
                  <c:v>475</c:v>
                </c:pt>
                <c:pt idx="15">
                  <c:v>480</c:v>
                </c:pt>
                <c:pt idx="16">
                  <c:v>485</c:v>
                </c:pt>
                <c:pt idx="17">
                  <c:v>490</c:v>
                </c:pt>
                <c:pt idx="18">
                  <c:v>495</c:v>
                </c:pt>
                <c:pt idx="19">
                  <c:v>500</c:v>
                </c:pt>
                <c:pt idx="20">
                  <c:v>505</c:v>
                </c:pt>
                <c:pt idx="21">
                  <c:v>510</c:v>
                </c:pt>
                <c:pt idx="22">
                  <c:v>515</c:v>
                </c:pt>
                <c:pt idx="23">
                  <c:v>520</c:v>
                </c:pt>
                <c:pt idx="24">
                  <c:v>525</c:v>
                </c:pt>
              </c:numCache>
            </c:numRef>
          </c:cat>
          <c:val>
            <c:numRef>
              <c:f>الشركات!$CP$3:$CP$27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F7D-4BF3-97C7-0C31B83F17E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الشركات!$BZ$3:$BZ$27</c:f>
              <c:numCache>
                <c:formatCode>0.00</c:formatCode>
                <c:ptCount val="25"/>
                <c:pt idx="0">
                  <c:v>405</c:v>
                </c:pt>
                <c:pt idx="1">
                  <c:v>410</c:v>
                </c:pt>
                <c:pt idx="2">
                  <c:v>415</c:v>
                </c:pt>
                <c:pt idx="3">
                  <c:v>420</c:v>
                </c:pt>
                <c:pt idx="4">
                  <c:v>425</c:v>
                </c:pt>
                <c:pt idx="5">
                  <c:v>430</c:v>
                </c:pt>
                <c:pt idx="6">
                  <c:v>435</c:v>
                </c:pt>
                <c:pt idx="7">
                  <c:v>440</c:v>
                </c:pt>
                <c:pt idx="8">
                  <c:v>445</c:v>
                </c:pt>
                <c:pt idx="9">
                  <c:v>450</c:v>
                </c:pt>
                <c:pt idx="10">
                  <c:v>455</c:v>
                </c:pt>
                <c:pt idx="11">
                  <c:v>460</c:v>
                </c:pt>
                <c:pt idx="12">
                  <c:v>465</c:v>
                </c:pt>
                <c:pt idx="13">
                  <c:v>470</c:v>
                </c:pt>
                <c:pt idx="14">
                  <c:v>475</c:v>
                </c:pt>
                <c:pt idx="15">
                  <c:v>480</c:v>
                </c:pt>
                <c:pt idx="16">
                  <c:v>485</c:v>
                </c:pt>
                <c:pt idx="17">
                  <c:v>490</c:v>
                </c:pt>
                <c:pt idx="18">
                  <c:v>495</c:v>
                </c:pt>
                <c:pt idx="19">
                  <c:v>500</c:v>
                </c:pt>
                <c:pt idx="20">
                  <c:v>505</c:v>
                </c:pt>
                <c:pt idx="21">
                  <c:v>510</c:v>
                </c:pt>
                <c:pt idx="22">
                  <c:v>515</c:v>
                </c:pt>
                <c:pt idx="23">
                  <c:v>520</c:v>
                </c:pt>
                <c:pt idx="24">
                  <c:v>525</c:v>
                </c:pt>
              </c:numCache>
            </c:numRef>
          </c:cat>
          <c:val>
            <c:numRef>
              <c:f>الشركات!$CH$3:$CH$27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D-4BF3-97C7-0C31B83F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4053071"/>
        <c:axId val="1705974639"/>
      </c:lineChart>
      <c:catAx>
        <c:axId val="191405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333333"/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05974639"/>
        <c:crosses val="autoZero"/>
        <c:auto val="1"/>
        <c:lblAlgn val="ctr"/>
        <c:lblOffset val="100"/>
        <c:noMultiLvlLbl val="0"/>
      </c:catAx>
      <c:valAx>
        <c:axId val="170597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333333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14053071"/>
        <c:crosses val="autoZero"/>
        <c:crossBetween val="between"/>
      </c:valAx>
      <c:spPr>
        <a:solidFill>
          <a:srgbClr val="040C04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40C04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bg1"/>
          </a:solidFill>
          <a:latin typeface="+mn-lt"/>
          <a:ea typeface="+mn-ea"/>
          <a:cs typeface="+mn-cs"/>
        </a:defRPr>
      </a:pPr>
      <a:endParaRPr lang="ar-EG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FF00"/>
                </a:solidFill>
              </a:rPr>
              <a:t>VANNA</a:t>
            </a:r>
            <a:endParaRPr lang="ar-SA" b="1">
              <a:solidFill>
                <a:srgbClr val="FFFF00"/>
              </a:solidFill>
            </a:endParaRPr>
          </a:p>
        </c:rich>
      </c:tx>
      <c:layout>
        <c:manualLayout>
          <c:xMode val="edge"/>
          <c:yMode val="edge"/>
          <c:x val="0.3171451360868448"/>
          <c:y val="3.376313006886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>
        <c:manualLayout>
          <c:layoutTarget val="inner"/>
          <c:xMode val="edge"/>
          <c:yMode val="edge"/>
          <c:x val="7.1167590048955079E-2"/>
          <c:y val="0.13543224829238132"/>
          <c:w val="0.87536736002837723"/>
          <c:h val="0.75478198638250438"/>
        </c:manualLayout>
      </c:layout>
      <c:lineChart>
        <c:grouping val="standard"/>
        <c:varyColors val="0"/>
        <c:ser>
          <c:idx val="0"/>
          <c:order val="0"/>
          <c:spPr>
            <a:ln w="38100" cap="rnd">
              <a:solidFill>
                <a:srgbClr val="049434"/>
              </a:solidFill>
              <a:round/>
            </a:ln>
            <a:effectLst/>
          </c:spPr>
          <c:marker>
            <c:symbol val="none"/>
          </c:marker>
          <c:cat>
            <c:numRef>
              <c:f>الشركات!$BZ$3:$BZ$27</c:f>
              <c:numCache>
                <c:formatCode>0.00</c:formatCode>
                <c:ptCount val="25"/>
                <c:pt idx="0">
                  <c:v>405</c:v>
                </c:pt>
                <c:pt idx="1">
                  <c:v>410</c:v>
                </c:pt>
                <c:pt idx="2">
                  <c:v>415</c:v>
                </c:pt>
                <c:pt idx="3">
                  <c:v>420</c:v>
                </c:pt>
                <c:pt idx="4">
                  <c:v>425</c:v>
                </c:pt>
                <c:pt idx="5">
                  <c:v>430</c:v>
                </c:pt>
                <c:pt idx="6">
                  <c:v>435</c:v>
                </c:pt>
                <c:pt idx="7">
                  <c:v>440</c:v>
                </c:pt>
                <c:pt idx="8">
                  <c:v>445</c:v>
                </c:pt>
                <c:pt idx="9">
                  <c:v>450</c:v>
                </c:pt>
                <c:pt idx="10">
                  <c:v>455</c:v>
                </c:pt>
                <c:pt idx="11">
                  <c:v>460</c:v>
                </c:pt>
                <c:pt idx="12">
                  <c:v>465</c:v>
                </c:pt>
                <c:pt idx="13">
                  <c:v>470</c:v>
                </c:pt>
                <c:pt idx="14">
                  <c:v>475</c:v>
                </c:pt>
                <c:pt idx="15">
                  <c:v>480</c:v>
                </c:pt>
                <c:pt idx="16">
                  <c:v>485</c:v>
                </c:pt>
                <c:pt idx="17">
                  <c:v>490</c:v>
                </c:pt>
                <c:pt idx="18">
                  <c:v>495</c:v>
                </c:pt>
                <c:pt idx="19">
                  <c:v>500</c:v>
                </c:pt>
                <c:pt idx="20">
                  <c:v>505</c:v>
                </c:pt>
                <c:pt idx="21">
                  <c:v>510</c:v>
                </c:pt>
                <c:pt idx="22">
                  <c:v>515</c:v>
                </c:pt>
                <c:pt idx="23">
                  <c:v>520</c:v>
                </c:pt>
                <c:pt idx="24">
                  <c:v>525</c:v>
                </c:pt>
              </c:numCache>
            </c:numRef>
          </c:cat>
          <c:val>
            <c:numRef>
              <c:f>الشركات!$CW$3:$CW$27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-1.0480520012784164E-11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523-47A4-9120-87679C51FAC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الشركات!$BZ$3:$BZ$27</c:f>
              <c:numCache>
                <c:formatCode>0.00</c:formatCode>
                <c:ptCount val="25"/>
                <c:pt idx="0">
                  <c:v>405</c:v>
                </c:pt>
                <c:pt idx="1">
                  <c:v>410</c:v>
                </c:pt>
                <c:pt idx="2">
                  <c:v>415</c:v>
                </c:pt>
                <c:pt idx="3">
                  <c:v>420</c:v>
                </c:pt>
                <c:pt idx="4">
                  <c:v>425</c:v>
                </c:pt>
                <c:pt idx="5">
                  <c:v>430</c:v>
                </c:pt>
                <c:pt idx="6">
                  <c:v>435</c:v>
                </c:pt>
                <c:pt idx="7">
                  <c:v>440</c:v>
                </c:pt>
                <c:pt idx="8">
                  <c:v>445</c:v>
                </c:pt>
                <c:pt idx="9">
                  <c:v>450</c:v>
                </c:pt>
                <c:pt idx="10">
                  <c:v>455</c:v>
                </c:pt>
                <c:pt idx="11">
                  <c:v>460</c:v>
                </c:pt>
                <c:pt idx="12">
                  <c:v>465</c:v>
                </c:pt>
                <c:pt idx="13">
                  <c:v>470</c:v>
                </c:pt>
                <c:pt idx="14">
                  <c:v>475</c:v>
                </c:pt>
                <c:pt idx="15">
                  <c:v>480</c:v>
                </c:pt>
                <c:pt idx="16">
                  <c:v>485</c:v>
                </c:pt>
                <c:pt idx="17">
                  <c:v>490</c:v>
                </c:pt>
                <c:pt idx="18">
                  <c:v>495</c:v>
                </c:pt>
                <c:pt idx="19">
                  <c:v>500</c:v>
                </c:pt>
                <c:pt idx="20">
                  <c:v>505</c:v>
                </c:pt>
                <c:pt idx="21">
                  <c:v>510</c:v>
                </c:pt>
                <c:pt idx="22">
                  <c:v>515</c:v>
                </c:pt>
                <c:pt idx="23">
                  <c:v>520</c:v>
                </c:pt>
                <c:pt idx="24">
                  <c:v>525</c:v>
                </c:pt>
              </c:numCache>
            </c:numRef>
          </c:cat>
          <c:val>
            <c:numRef>
              <c:f>الشركات!$CH$4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23-47A4-9120-87679C51FAC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الشركات!$BZ$3:$BZ$27</c:f>
              <c:numCache>
                <c:formatCode>0.00</c:formatCode>
                <c:ptCount val="25"/>
                <c:pt idx="0">
                  <c:v>405</c:v>
                </c:pt>
                <c:pt idx="1">
                  <c:v>410</c:v>
                </c:pt>
                <c:pt idx="2">
                  <c:v>415</c:v>
                </c:pt>
                <c:pt idx="3">
                  <c:v>420</c:v>
                </c:pt>
                <c:pt idx="4">
                  <c:v>425</c:v>
                </c:pt>
                <c:pt idx="5">
                  <c:v>430</c:v>
                </c:pt>
                <c:pt idx="6">
                  <c:v>435</c:v>
                </c:pt>
                <c:pt idx="7">
                  <c:v>440</c:v>
                </c:pt>
                <c:pt idx="8">
                  <c:v>445</c:v>
                </c:pt>
                <c:pt idx="9">
                  <c:v>450</c:v>
                </c:pt>
                <c:pt idx="10">
                  <c:v>455</c:v>
                </c:pt>
                <c:pt idx="11">
                  <c:v>460</c:v>
                </c:pt>
                <c:pt idx="12">
                  <c:v>465</c:v>
                </c:pt>
                <c:pt idx="13">
                  <c:v>470</c:v>
                </c:pt>
                <c:pt idx="14">
                  <c:v>475</c:v>
                </c:pt>
                <c:pt idx="15">
                  <c:v>480</c:v>
                </c:pt>
                <c:pt idx="16">
                  <c:v>485</c:v>
                </c:pt>
                <c:pt idx="17">
                  <c:v>490</c:v>
                </c:pt>
                <c:pt idx="18">
                  <c:v>495</c:v>
                </c:pt>
                <c:pt idx="19">
                  <c:v>500</c:v>
                </c:pt>
                <c:pt idx="20">
                  <c:v>505</c:v>
                </c:pt>
                <c:pt idx="21">
                  <c:v>510</c:v>
                </c:pt>
                <c:pt idx="22">
                  <c:v>515</c:v>
                </c:pt>
                <c:pt idx="23">
                  <c:v>520</c:v>
                </c:pt>
                <c:pt idx="24">
                  <c:v>525</c:v>
                </c:pt>
              </c:numCache>
            </c:numRef>
          </c:cat>
          <c:val>
            <c:numRef>
              <c:f>الشركات!$CH$3:$CH$27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23-47A4-9120-87679C51F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3492576"/>
        <c:axId val="416415136"/>
      </c:lineChart>
      <c:catAx>
        <c:axId val="132349257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416415136"/>
        <c:crosses val="autoZero"/>
        <c:auto val="1"/>
        <c:lblAlgn val="ctr"/>
        <c:lblOffset val="100"/>
        <c:noMultiLvlLbl val="0"/>
      </c:catAx>
      <c:valAx>
        <c:axId val="41641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32349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>
              <a:lumMod val="95000"/>
            </a:schemeClr>
          </a:solidFill>
        </a:defRPr>
      </a:pPr>
      <a:endParaRPr lang="ar-EG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ca-ES" sz="1400" b="1" i="0" u="none" strike="noStrike" kern="1200" spc="0" baseline="0">
                <a:solidFill>
                  <a:srgbClr val="FFFF00"/>
                </a:solidFill>
              </a:rPr>
              <a:t>GAMMA </a:t>
            </a:r>
            <a:r>
              <a:rPr lang="ca-ES" sz="1400" b="1" i="0" u="none" strike="noStrike" kern="1200" spc="0" baseline="0">
                <a:solidFill>
                  <a:srgbClr val="FFFF00"/>
                </a:solidFill>
                <a:effectLst/>
              </a:rPr>
              <a:t>Exposures ( GEX )</a:t>
            </a:r>
          </a:p>
        </c:rich>
      </c:tx>
      <c:layout>
        <c:manualLayout>
          <c:xMode val="edge"/>
          <c:yMode val="edge"/>
          <c:x val="0.16286472647584868"/>
          <c:y val="3.68794804466762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>
        <c:manualLayout>
          <c:layoutTarget val="inner"/>
          <c:xMode val="edge"/>
          <c:yMode val="edge"/>
          <c:x val="6.1387385170603673E-2"/>
          <c:y val="0.12794326241134751"/>
          <c:w val="0.91951539260717408"/>
          <c:h val="0.761442787736639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الشركات!$BZ$3:$BZ$27</c:f>
              <c:numCache>
                <c:formatCode>0.00</c:formatCode>
                <c:ptCount val="25"/>
                <c:pt idx="0">
                  <c:v>405</c:v>
                </c:pt>
                <c:pt idx="1">
                  <c:v>410</c:v>
                </c:pt>
                <c:pt idx="2">
                  <c:v>415</c:v>
                </c:pt>
                <c:pt idx="3">
                  <c:v>420</c:v>
                </c:pt>
                <c:pt idx="4">
                  <c:v>425</c:v>
                </c:pt>
                <c:pt idx="5">
                  <c:v>430</c:v>
                </c:pt>
                <c:pt idx="6">
                  <c:v>435</c:v>
                </c:pt>
                <c:pt idx="7">
                  <c:v>440</c:v>
                </c:pt>
                <c:pt idx="8">
                  <c:v>445</c:v>
                </c:pt>
                <c:pt idx="9">
                  <c:v>450</c:v>
                </c:pt>
                <c:pt idx="10">
                  <c:v>455</c:v>
                </c:pt>
                <c:pt idx="11">
                  <c:v>460</c:v>
                </c:pt>
                <c:pt idx="12">
                  <c:v>465</c:v>
                </c:pt>
                <c:pt idx="13">
                  <c:v>470</c:v>
                </c:pt>
                <c:pt idx="14">
                  <c:v>475</c:v>
                </c:pt>
                <c:pt idx="15">
                  <c:v>480</c:v>
                </c:pt>
                <c:pt idx="16">
                  <c:v>485</c:v>
                </c:pt>
                <c:pt idx="17">
                  <c:v>490</c:v>
                </c:pt>
                <c:pt idx="18">
                  <c:v>495</c:v>
                </c:pt>
                <c:pt idx="19">
                  <c:v>500</c:v>
                </c:pt>
                <c:pt idx="20">
                  <c:v>505</c:v>
                </c:pt>
                <c:pt idx="21">
                  <c:v>510</c:v>
                </c:pt>
                <c:pt idx="22">
                  <c:v>515</c:v>
                </c:pt>
                <c:pt idx="23">
                  <c:v>520</c:v>
                </c:pt>
                <c:pt idx="24">
                  <c:v>525</c:v>
                </c:pt>
              </c:numCache>
            </c:numRef>
          </c:cat>
          <c:val>
            <c:numRef>
              <c:f>الشركات!$DA$3:$DA$27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713-4AC5-910C-EB88815E903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الشركات!$BZ$3:$BZ$27</c:f>
              <c:numCache>
                <c:formatCode>0.00</c:formatCode>
                <c:ptCount val="25"/>
                <c:pt idx="0">
                  <c:v>405</c:v>
                </c:pt>
                <c:pt idx="1">
                  <c:v>410</c:v>
                </c:pt>
                <c:pt idx="2">
                  <c:v>415</c:v>
                </c:pt>
                <c:pt idx="3">
                  <c:v>420</c:v>
                </c:pt>
                <c:pt idx="4">
                  <c:v>425</c:v>
                </c:pt>
                <c:pt idx="5">
                  <c:v>430</c:v>
                </c:pt>
                <c:pt idx="6">
                  <c:v>435</c:v>
                </c:pt>
                <c:pt idx="7">
                  <c:v>440</c:v>
                </c:pt>
                <c:pt idx="8">
                  <c:v>445</c:v>
                </c:pt>
                <c:pt idx="9">
                  <c:v>450</c:v>
                </c:pt>
                <c:pt idx="10">
                  <c:v>455</c:v>
                </c:pt>
                <c:pt idx="11">
                  <c:v>460</c:v>
                </c:pt>
                <c:pt idx="12">
                  <c:v>465</c:v>
                </c:pt>
                <c:pt idx="13">
                  <c:v>470</c:v>
                </c:pt>
                <c:pt idx="14">
                  <c:v>475</c:v>
                </c:pt>
                <c:pt idx="15">
                  <c:v>480</c:v>
                </c:pt>
                <c:pt idx="16">
                  <c:v>485</c:v>
                </c:pt>
                <c:pt idx="17">
                  <c:v>490</c:v>
                </c:pt>
                <c:pt idx="18">
                  <c:v>495</c:v>
                </c:pt>
                <c:pt idx="19">
                  <c:v>500</c:v>
                </c:pt>
                <c:pt idx="20">
                  <c:v>505</c:v>
                </c:pt>
                <c:pt idx="21">
                  <c:v>510</c:v>
                </c:pt>
                <c:pt idx="22">
                  <c:v>515</c:v>
                </c:pt>
                <c:pt idx="23">
                  <c:v>520</c:v>
                </c:pt>
                <c:pt idx="24">
                  <c:v>525</c:v>
                </c:pt>
              </c:numCache>
            </c:numRef>
          </c:cat>
          <c:val>
            <c:numRef>
              <c:f>الشركات!$CH$3:$CH$27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713-4AC5-910C-EB88815E9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141408"/>
        <c:axId val="1312372016"/>
      </c:lineChart>
      <c:catAx>
        <c:axId val="37314140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312372016"/>
        <c:crosses val="autoZero"/>
        <c:auto val="1"/>
        <c:lblAlgn val="ctr"/>
        <c:lblOffset val="100"/>
        <c:noMultiLvlLbl val="0"/>
      </c:catAx>
      <c:valAx>
        <c:axId val="13123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333333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37314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2"/>
          </a:solidFill>
        </a:defRPr>
      </a:pPr>
      <a:endParaRPr lang="ar-EG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612199</xdr:colOff>
      <xdr:row>0</xdr:row>
      <xdr:rowOff>86285</xdr:rowOff>
    </xdr:from>
    <xdr:to>
      <xdr:col>34</xdr:col>
      <xdr:colOff>419100</xdr:colOff>
      <xdr:row>21</xdr:row>
      <xdr:rowOff>123825</xdr:rowOff>
    </xdr:to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983F9918-9919-4BE1-E20D-BA5BE9452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70891</xdr:colOff>
      <xdr:row>0</xdr:row>
      <xdr:rowOff>86549</xdr:rowOff>
    </xdr:from>
    <xdr:to>
      <xdr:col>23</xdr:col>
      <xdr:colOff>564667</xdr:colOff>
      <xdr:row>21</xdr:row>
      <xdr:rowOff>128840</xdr:rowOff>
    </xdr:to>
    <xdr:graphicFrame macro="">
      <xdr:nvGraphicFramePr>
        <xdr:cNvPr id="3" name="مخطط 2">
          <a:extLst>
            <a:ext uri="{FF2B5EF4-FFF2-40B4-BE49-F238E27FC236}">
              <a16:creationId xmlns:a16="http://schemas.microsoft.com/office/drawing/2014/main" id="{BE37C847-B437-B57B-F454-2B03BF478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607949</xdr:colOff>
      <xdr:row>21</xdr:row>
      <xdr:rowOff>172604</xdr:rowOff>
    </xdr:from>
    <xdr:to>
      <xdr:col>34</xdr:col>
      <xdr:colOff>415925</xdr:colOff>
      <xdr:row>43</xdr:row>
      <xdr:rowOff>33920</xdr:rowOff>
    </xdr:to>
    <xdr:graphicFrame macro="">
      <xdr:nvGraphicFramePr>
        <xdr:cNvPr id="11" name="مخطط 10">
          <a:extLst>
            <a:ext uri="{FF2B5EF4-FFF2-40B4-BE49-F238E27FC236}">
              <a16:creationId xmlns:a16="http://schemas.microsoft.com/office/drawing/2014/main" id="{482AD789-E96A-969E-730E-C8DD3E919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58674</xdr:colOff>
      <xdr:row>21</xdr:row>
      <xdr:rowOff>176822</xdr:rowOff>
    </xdr:from>
    <xdr:to>
      <xdr:col>23</xdr:col>
      <xdr:colOff>552450</xdr:colOff>
      <xdr:row>43</xdr:row>
      <xdr:rowOff>38138</xdr:rowOff>
    </xdr:to>
    <xdr:graphicFrame macro="">
      <xdr:nvGraphicFramePr>
        <xdr:cNvPr id="12" name="مخطط 11">
          <a:extLst>
            <a:ext uri="{FF2B5EF4-FFF2-40B4-BE49-F238E27FC236}">
              <a16:creationId xmlns:a16="http://schemas.microsoft.com/office/drawing/2014/main" id="{8D03FA36-634C-79A5-294D-48698FCD2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0.50181</cdr:x>
      <cdr:y>0.04967</cdr:y>
    </cdr:from>
    <cdr:to>
      <cdr:x>0.65745</cdr:x>
      <cdr:y>0.11561</cdr:y>
    </cdr:to>
    <cdr:sp macro="" textlink="الشركات!$I$5">
      <cdr:nvSpPr>
        <cdr:cNvPr id="2" name="مربع نص 1">
          <a:extLst xmlns:a="http://schemas.openxmlformats.org/drawingml/2006/main">
            <a:ext uri="{FF2B5EF4-FFF2-40B4-BE49-F238E27FC236}">
              <a16:creationId xmlns:a16="http://schemas.microsoft.com/office/drawing/2014/main" id="{C52B0053-C162-97F0-F818-1FC003D202DB}"/>
            </a:ext>
          </a:extLst>
        </cdr:cNvPr>
        <cdr:cNvSpPr txBox="1"/>
      </cdr:nvSpPr>
      <cdr:spPr>
        <a:xfrm xmlns:a="http://schemas.openxmlformats.org/drawingml/2006/main">
          <a:off x="3688619" y="221873"/>
          <a:ext cx="1144130" cy="2945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fld id="{705BD529-C9C3-48B0-8198-7D3426F5C419}" type="TxLink"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/>
            <a:t>04/08/2023</a:t>
          </a:fld>
          <a:endParaRPr lang="ar-SA" sz="1100" b="0">
            <a:solidFill>
              <a:schemeClr val="bg1"/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0.62859</cdr:x>
      <cdr:y>0.05037</cdr:y>
    </cdr:from>
    <cdr:to>
      <cdr:x>0.80339</cdr:x>
      <cdr:y>0.11631</cdr:y>
    </cdr:to>
    <cdr:sp macro="" textlink="الشركات!$L$8">
      <cdr:nvSpPr>
        <cdr:cNvPr id="3" name="مربع نص 1">
          <a:extLst xmlns:a="http://schemas.openxmlformats.org/drawingml/2006/main">
            <a:ext uri="{FF2B5EF4-FFF2-40B4-BE49-F238E27FC236}">
              <a16:creationId xmlns:a16="http://schemas.microsoft.com/office/drawing/2014/main" id="{82A1D24B-D432-A8AF-285C-60C233498B18}"/>
            </a:ext>
          </a:extLst>
        </cdr:cNvPr>
        <cdr:cNvSpPr txBox="1"/>
      </cdr:nvSpPr>
      <cdr:spPr>
        <a:xfrm xmlns:a="http://schemas.openxmlformats.org/drawingml/2006/main">
          <a:off x="4620577" y="224986"/>
          <a:ext cx="1284923" cy="2945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528C7430-35AF-42E1-BE60-1B23D7EE74F1}" type="TxLink">
            <a:rPr lang="en-US" sz="1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/>
            <a:t>04:50:01 م</a:t>
          </a:fld>
          <a:endParaRPr lang="ar-SA" sz="1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cdr:txBody>
    </cdr:sp>
  </cdr:relSizeAnchor>
  <cdr:relSizeAnchor xmlns:cdr="http://schemas.openxmlformats.org/drawingml/2006/chartDrawing">
    <cdr:from>
      <cdr:x>0.78309</cdr:x>
      <cdr:y>0.02204</cdr:y>
    </cdr:from>
    <cdr:to>
      <cdr:x>0.88416</cdr:x>
      <cdr:y>0.08208</cdr:y>
    </cdr:to>
    <cdr:sp macro="" textlink="الشركات!$CL$30">
      <cdr:nvSpPr>
        <cdr:cNvPr id="4" name="مربع نص 1">
          <a:extLst xmlns:a="http://schemas.openxmlformats.org/drawingml/2006/main">
            <a:ext uri="{FF2B5EF4-FFF2-40B4-BE49-F238E27FC236}">
              <a16:creationId xmlns:a16="http://schemas.microsoft.com/office/drawing/2014/main" id="{42A757E4-8F58-0409-F4DD-C9AB9749C6E5}"/>
            </a:ext>
          </a:extLst>
        </cdr:cNvPr>
        <cdr:cNvSpPr txBox="1"/>
      </cdr:nvSpPr>
      <cdr:spPr>
        <a:xfrm xmlns:a="http://schemas.openxmlformats.org/drawingml/2006/main">
          <a:off x="5756276" y="98426"/>
          <a:ext cx="742950" cy="268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40B1AEC6-7131-44BC-8805-9096E4E855CA}" type="TxLink">
            <a:rPr lang="en-US" sz="1100" b="1" i="0" u="none" strike="noStrike">
              <a:solidFill>
                <a:srgbClr val="33CC33"/>
              </a:solidFill>
              <a:latin typeface="Arial"/>
              <a:cs typeface="Arial"/>
            </a:rPr>
            <a:pPr algn="r"/>
            <a:t>470.00</a:t>
          </a:fld>
          <a:endParaRPr lang="ar-SA" sz="1100" b="1">
            <a:solidFill>
              <a:srgbClr val="33CC33"/>
            </a:solidFill>
          </a:endParaRPr>
        </a:p>
      </cdr:txBody>
    </cdr:sp>
  </cdr:relSizeAnchor>
  <cdr:relSizeAnchor xmlns:cdr="http://schemas.openxmlformats.org/drawingml/2006/chartDrawing">
    <cdr:from>
      <cdr:x>0.7805</cdr:x>
      <cdr:y>0.06891</cdr:y>
    </cdr:from>
    <cdr:to>
      <cdr:x>0.88416</cdr:x>
      <cdr:y>0.12895</cdr:y>
    </cdr:to>
    <cdr:sp macro="" textlink="الشركات!$CL$31">
      <cdr:nvSpPr>
        <cdr:cNvPr id="5" name="مربع نص 1">
          <a:extLst xmlns:a="http://schemas.openxmlformats.org/drawingml/2006/main">
            <a:ext uri="{FF2B5EF4-FFF2-40B4-BE49-F238E27FC236}">
              <a16:creationId xmlns:a16="http://schemas.microsoft.com/office/drawing/2014/main" id="{DEA1FA8D-382E-786E-DF94-7492897887D3}"/>
            </a:ext>
          </a:extLst>
        </cdr:cNvPr>
        <cdr:cNvSpPr txBox="1"/>
      </cdr:nvSpPr>
      <cdr:spPr>
        <a:xfrm xmlns:a="http://schemas.openxmlformats.org/drawingml/2006/main">
          <a:off x="5737225" y="307806"/>
          <a:ext cx="762000" cy="268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0EE55800-85D4-49CB-987D-39F1143F6F37}" type="TxLink">
            <a:rPr lang="en-US" sz="1100" b="1" i="0" u="none" strike="noStrike">
              <a:solidFill>
                <a:srgbClr val="FF0000"/>
              </a:solidFill>
              <a:latin typeface="Arial"/>
              <a:cs typeface="Arial"/>
            </a:rPr>
            <a:pPr algn="r"/>
            <a:t>405.00</a:t>
          </a:fld>
          <a:endParaRPr lang="ar-S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0.88007</cdr:x>
      <cdr:y>0.02204</cdr:y>
    </cdr:from>
    <cdr:to>
      <cdr:x>0.99661</cdr:x>
      <cdr:y>0.07593</cdr:y>
    </cdr:to>
    <cdr:sp macro="" textlink="">
      <cdr:nvSpPr>
        <cdr:cNvPr id="6" name="مربع نص 3">
          <a:extLst xmlns:a="http://schemas.openxmlformats.org/drawingml/2006/main">
            <a:ext uri="{FF2B5EF4-FFF2-40B4-BE49-F238E27FC236}">
              <a16:creationId xmlns:a16="http://schemas.microsoft.com/office/drawing/2014/main" id="{F67ED34C-7469-11B0-CD7B-BBAE1E2E97D7}"/>
            </a:ext>
          </a:extLst>
        </cdr:cNvPr>
        <cdr:cNvSpPr txBox="1"/>
      </cdr:nvSpPr>
      <cdr:spPr>
        <a:xfrm xmlns:a="http://schemas.openxmlformats.org/drawingml/2006/main">
          <a:off x="6443473" y="99351"/>
          <a:ext cx="853237" cy="2429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1"/>
          <a:r>
            <a:rPr lang="ar-SA" sz="1100" b="1" baseline="0">
              <a:solidFill>
                <a:srgbClr val="11BF69"/>
              </a:solidFill>
              <a:latin typeface="+mn-lt"/>
            </a:rPr>
            <a:t> </a:t>
          </a:r>
          <a:r>
            <a:rPr lang="ar-SA" sz="1100" b="1">
              <a:solidFill>
                <a:srgbClr val="11BF69"/>
              </a:solidFill>
              <a:latin typeface="+mn-lt"/>
            </a:rPr>
            <a:t>أعلى</a:t>
          </a:r>
          <a:r>
            <a:rPr lang="ar-SA" sz="1100" b="1" baseline="0">
              <a:solidFill>
                <a:srgbClr val="11BF69"/>
              </a:solidFill>
              <a:latin typeface="+mn-lt"/>
            </a:rPr>
            <a:t> شارم : </a:t>
          </a:r>
          <a:endParaRPr lang="ar-SA" sz="1100" b="1">
            <a:solidFill>
              <a:srgbClr val="11BF69"/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0.87392</cdr:x>
      <cdr:y>0.0683</cdr:y>
    </cdr:from>
    <cdr:to>
      <cdr:x>0.9813</cdr:x>
      <cdr:y>0.12834</cdr:y>
    </cdr:to>
    <cdr:sp macro="" textlink="">
      <cdr:nvSpPr>
        <cdr:cNvPr id="7" name="مربع نص 1">
          <a:extLst xmlns:a="http://schemas.openxmlformats.org/drawingml/2006/main">
            <a:ext uri="{FF2B5EF4-FFF2-40B4-BE49-F238E27FC236}">
              <a16:creationId xmlns:a16="http://schemas.microsoft.com/office/drawing/2014/main" id="{214E719E-F417-3158-9991-ECEDB2E1E5EF}"/>
            </a:ext>
          </a:extLst>
        </cdr:cNvPr>
        <cdr:cNvSpPr txBox="1"/>
      </cdr:nvSpPr>
      <cdr:spPr>
        <a:xfrm xmlns:a="http://schemas.openxmlformats.org/drawingml/2006/main">
          <a:off x="6398461" y="307955"/>
          <a:ext cx="786190" cy="2707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1"/>
          <a:r>
            <a:rPr lang="ar-SA" sz="1100" b="1">
              <a:solidFill>
                <a:srgbClr val="FF0000"/>
              </a:solidFill>
            </a:rPr>
            <a:t>أدنى شارم :</a:t>
          </a:r>
        </a:p>
      </cdr:txBody>
    </cdr:sp>
  </cdr:relSizeAnchor>
  <cdr:relSizeAnchor xmlns:cdr="http://schemas.openxmlformats.org/drawingml/2006/chartDrawing">
    <cdr:from>
      <cdr:x>0.11576</cdr:x>
      <cdr:y>0.04976</cdr:y>
    </cdr:from>
    <cdr:to>
      <cdr:x>0.23756</cdr:x>
      <cdr:y>0.1171</cdr:y>
    </cdr:to>
    <cdr:sp macro="" textlink="الشركات!$I$3">
      <cdr:nvSpPr>
        <cdr:cNvPr id="8" name="مربع نص 1">
          <a:extLst xmlns:a="http://schemas.openxmlformats.org/drawingml/2006/main">
            <a:ext uri="{FF2B5EF4-FFF2-40B4-BE49-F238E27FC236}">
              <a16:creationId xmlns:a16="http://schemas.microsoft.com/office/drawing/2014/main" id="{107EACFD-9816-1725-CF26-5A8BF1980431}"/>
            </a:ext>
          </a:extLst>
        </cdr:cNvPr>
        <cdr:cNvSpPr txBox="1"/>
      </cdr:nvSpPr>
      <cdr:spPr>
        <a:xfrm xmlns:a="http://schemas.openxmlformats.org/drawingml/2006/main">
          <a:off x="850900" y="222250"/>
          <a:ext cx="895349" cy="300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CA220466-BB26-495B-98BD-F832ECF621BD}" type="TxLink">
            <a:rPr lang="en-US" sz="1600" b="1" i="0" u="none" strike="noStrike">
              <a:solidFill>
                <a:schemeClr val="bg2"/>
              </a:solidFill>
              <a:latin typeface="+mn-lt"/>
              <a:cs typeface="Arial"/>
            </a:rPr>
            <a:pPr algn="r"/>
            <a:t>nvda</a:t>
          </a:fld>
          <a:endParaRPr lang="ar-SA" sz="1400" b="1">
            <a:solidFill>
              <a:schemeClr val="bg2"/>
            </a:solidFill>
            <a:latin typeface="+mn-lt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0.80362</cdr:x>
      <cdr:y>0.02455</cdr:y>
    </cdr:from>
    <cdr:to>
      <cdr:x>0.90827</cdr:x>
      <cdr:y>0.09498</cdr:y>
    </cdr:to>
    <cdr:sp macro="" textlink="">
      <cdr:nvSpPr>
        <cdr:cNvPr id="3" name="مربع نص 2">
          <a:extLst xmlns:a="http://schemas.openxmlformats.org/drawingml/2006/main">
            <a:ext uri="{FF2B5EF4-FFF2-40B4-BE49-F238E27FC236}">
              <a16:creationId xmlns:a16="http://schemas.microsoft.com/office/drawing/2014/main" id="{85951796-5C59-ECDA-6EC4-B3DE75CC058C}"/>
            </a:ext>
          </a:extLst>
        </cdr:cNvPr>
        <cdr:cNvSpPr txBox="1"/>
      </cdr:nvSpPr>
      <cdr:spPr>
        <a:xfrm xmlns:a="http://schemas.openxmlformats.org/drawingml/2006/main">
          <a:off x="5924551" y="109539"/>
          <a:ext cx="771525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SA" sz="1100"/>
        </a:p>
      </cdr:txBody>
    </cdr:sp>
  </cdr:relSizeAnchor>
  <cdr:relSizeAnchor xmlns:cdr="http://schemas.openxmlformats.org/drawingml/2006/chartDrawing">
    <cdr:from>
      <cdr:x>0.76283</cdr:x>
      <cdr:y>0.01158</cdr:y>
    </cdr:from>
    <cdr:to>
      <cdr:x>0.8638</cdr:x>
      <cdr:y>0.07184</cdr:y>
    </cdr:to>
    <cdr:sp macro="" textlink="الشركات!$CP$28">
      <cdr:nvSpPr>
        <cdr:cNvPr id="4" name="مربع نص 3">
          <a:extLst xmlns:a="http://schemas.openxmlformats.org/drawingml/2006/main">
            <a:ext uri="{FF2B5EF4-FFF2-40B4-BE49-F238E27FC236}">
              <a16:creationId xmlns:a16="http://schemas.microsoft.com/office/drawing/2014/main" id="{A01DBF60-50E5-232C-25FE-B91DE20B8A62}"/>
            </a:ext>
          </a:extLst>
        </cdr:cNvPr>
        <cdr:cNvSpPr txBox="1"/>
      </cdr:nvSpPr>
      <cdr:spPr>
        <a:xfrm xmlns:a="http://schemas.openxmlformats.org/drawingml/2006/main">
          <a:off x="5612918" y="51545"/>
          <a:ext cx="742950" cy="268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pPr algn="r"/>
          <a:fld id="{F46019F0-8917-4191-84F2-0CAA921AEF79}" type="TxLink">
            <a:rPr lang="en-US" sz="1100" b="1" i="0" u="none" strike="noStrike">
              <a:solidFill>
                <a:srgbClr val="11BF69"/>
              </a:solidFill>
              <a:latin typeface="Arial"/>
              <a:cs typeface="Arial"/>
            </a:rPr>
            <a:pPr algn="r"/>
            <a:t>405.00</a:t>
          </a:fld>
          <a:endParaRPr lang="ar-SA" sz="1100" b="1">
            <a:solidFill>
              <a:srgbClr val="11BF69"/>
            </a:solidFill>
          </a:endParaRPr>
        </a:p>
      </cdr:txBody>
    </cdr:sp>
  </cdr:relSizeAnchor>
  <cdr:relSizeAnchor xmlns:cdr="http://schemas.openxmlformats.org/drawingml/2006/chartDrawing">
    <cdr:from>
      <cdr:x>0.76024</cdr:x>
      <cdr:y>0.05863</cdr:y>
    </cdr:from>
    <cdr:to>
      <cdr:x>0.8638</cdr:x>
      <cdr:y>0.11889</cdr:y>
    </cdr:to>
    <cdr:sp macro="" textlink="الشركات!$CP$29">
      <cdr:nvSpPr>
        <cdr:cNvPr id="5" name="مربع نص 1">
          <a:extLst xmlns:a="http://schemas.openxmlformats.org/drawingml/2006/main">
            <a:ext uri="{FF2B5EF4-FFF2-40B4-BE49-F238E27FC236}">
              <a16:creationId xmlns:a16="http://schemas.microsoft.com/office/drawing/2014/main" id="{D1E94D0A-DDB1-867D-4830-F1875B46E042}"/>
            </a:ext>
          </a:extLst>
        </cdr:cNvPr>
        <cdr:cNvSpPr txBox="1"/>
      </cdr:nvSpPr>
      <cdr:spPr>
        <a:xfrm xmlns:a="http://schemas.openxmlformats.org/drawingml/2006/main">
          <a:off x="5593867" y="260925"/>
          <a:ext cx="762000" cy="268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27A825D1-9EAE-4695-B88C-CFF6C8065ED8}" type="TxLink">
            <a:rPr lang="en-US" sz="1100" b="1" i="0" u="none" strike="noStrike">
              <a:solidFill>
                <a:srgbClr val="FF0000"/>
              </a:solidFill>
              <a:latin typeface="Arial"/>
              <a:cs typeface="Arial"/>
            </a:rPr>
            <a:pPr algn="r"/>
            <a:t>405.00</a:t>
          </a:fld>
          <a:endParaRPr lang="ar-S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0.8597</cdr:x>
      <cdr:y>0.01158</cdr:y>
    </cdr:from>
    <cdr:to>
      <cdr:x>0.96296</cdr:x>
      <cdr:y>0.06996</cdr:y>
    </cdr:to>
    <cdr:sp macro="" textlink="">
      <cdr:nvSpPr>
        <cdr:cNvPr id="6" name="مربع نص 5">
          <a:extLst xmlns:a="http://schemas.openxmlformats.org/drawingml/2006/main">
            <a:ext uri="{FF2B5EF4-FFF2-40B4-BE49-F238E27FC236}">
              <a16:creationId xmlns:a16="http://schemas.microsoft.com/office/drawing/2014/main" id="{0B7D1EEF-72C7-ECBC-B348-6C97A0706507}"/>
            </a:ext>
          </a:extLst>
        </cdr:cNvPr>
        <cdr:cNvSpPr txBox="1"/>
      </cdr:nvSpPr>
      <cdr:spPr>
        <a:xfrm xmlns:a="http://schemas.openxmlformats.org/drawingml/2006/main">
          <a:off x="6344272" y="50940"/>
          <a:ext cx="762000" cy="2567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pPr algn="l" rtl="1"/>
          <a:r>
            <a:rPr lang="ar-SA" sz="1100" b="1" baseline="0">
              <a:solidFill>
                <a:srgbClr val="11BF69"/>
              </a:solidFill>
              <a:latin typeface="+mn-lt"/>
            </a:rPr>
            <a:t> </a:t>
          </a:r>
          <a:r>
            <a:rPr lang="ar-SA" sz="1100" b="1">
              <a:solidFill>
                <a:srgbClr val="11BF69"/>
              </a:solidFill>
              <a:latin typeface="+mn-lt"/>
            </a:rPr>
            <a:t>أعلى</a:t>
          </a:r>
          <a:r>
            <a:rPr lang="ar-SA" sz="1100" b="1" baseline="0">
              <a:solidFill>
                <a:srgbClr val="11BF69"/>
              </a:solidFill>
              <a:latin typeface="+mn-lt"/>
            </a:rPr>
            <a:t> جاما : </a:t>
          </a:r>
          <a:endParaRPr lang="ar-SA" sz="1100" b="1">
            <a:solidFill>
              <a:srgbClr val="11BF69"/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0.86121</cdr:x>
      <cdr:y>0.06051</cdr:y>
    </cdr:from>
    <cdr:to>
      <cdr:x>0.95675</cdr:x>
      <cdr:y>0.12077</cdr:y>
    </cdr:to>
    <cdr:sp macro="" textlink="">
      <cdr:nvSpPr>
        <cdr:cNvPr id="7" name="مربع نص 1">
          <a:extLst xmlns:a="http://schemas.openxmlformats.org/drawingml/2006/main">
            <a:ext uri="{FF2B5EF4-FFF2-40B4-BE49-F238E27FC236}">
              <a16:creationId xmlns:a16="http://schemas.microsoft.com/office/drawing/2014/main" id="{5FDD6917-ABA7-12FA-FD59-8D08E06456AA}"/>
            </a:ext>
          </a:extLst>
        </cdr:cNvPr>
        <cdr:cNvSpPr txBox="1"/>
      </cdr:nvSpPr>
      <cdr:spPr>
        <a:xfrm xmlns:a="http://schemas.openxmlformats.org/drawingml/2006/main">
          <a:off x="6336817" y="269305"/>
          <a:ext cx="703018" cy="268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1"/>
          <a:r>
            <a:rPr lang="ar-SA" sz="1100" b="1">
              <a:solidFill>
                <a:srgbClr val="FF0000"/>
              </a:solidFill>
            </a:rPr>
            <a:t>أدنى جاما :</a:t>
          </a:r>
        </a:p>
      </cdr:txBody>
    </cdr:sp>
  </cdr:relSizeAnchor>
  <cdr:relSizeAnchor xmlns:cdr="http://schemas.openxmlformats.org/drawingml/2006/chartDrawing">
    <cdr:from>
      <cdr:x>0.55704</cdr:x>
      <cdr:y>0.02853</cdr:y>
    </cdr:from>
    <cdr:to>
      <cdr:x>0.73886</cdr:x>
      <cdr:y>0.09471</cdr:y>
    </cdr:to>
    <cdr:sp macro="" textlink="الشركات!$L$8">
      <cdr:nvSpPr>
        <cdr:cNvPr id="8" name="مربع نص 1">
          <a:extLst xmlns:a="http://schemas.openxmlformats.org/drawingml/2006/main">
            <a:ext uri="{FF2B5EF4-FFF2-40B4-BE49-F238E27FC236}">
              <a16:creationId xmlns:a16="http://schemas.microsoft.com/office/drawing/2014/main" id="{41F1829C-FBF0-A881-B33C-E74C656C1FF3}"/>
            </a:ext>
          </a:extLst>
        </cdr:cNvPr>
        <cdr:cNvSpPr txBox="1"/>
      </cdr:nvSpPr>
      <cdr:spPr>
        <a:xfrm xmlns:a="http://schemas.openxmlformats.org/drawingml/2006/main">
          <a:off x="4095223" y="127570"/>
          <a:ext cx="1336700" cy="2959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7E19E9B3-2520-4E35-BC58-1CB1674D2BF3}" type="TxLink">
            <a:rPr lang="en-US" sz="1600" b="0" i="0" u="none" strike="noStrike">
              <a:solidFill>
                <a:schemeClr val="bg1">
                  <a:lumMod val="95000"/>
                </a:schemeClr>
              </a:solidFill>
              <a:latin typeface="+mn-lt"/>
              <a:ea typeface="Calibri"/>
              <a:cs typeface="Arial"/>
            </a:rPr>
            <a:pPr marL="0" indent="0"/>
            <a:t>04:50:01 م</a:t>
          </a:fld>
          <a:endParaRPr lang="ar-SA" sz="2400" b="0" i="0" u="none" strike="noStrike">
            <a:solidFill>
              <a:schemeClr val="bg1">
                <a:lumMod val="95000"/>
              </a:schemeClr>
            </a:solidFill>
            <a:latin typeface="+mn-lt"/>
            <a:ea typeface="Calibri"/>
            <a:cs typeface="Calibri"/>
          </a:endParaRPr>
        </a:p>
      </cdr:txBody>
    </cdr:sp>
  </cdr:relSizeAnchor>
  <cdr:relSizeAnchor xmlns:cdr="http://schemas.openxmlformats.org/drawingml/2006/chartDrawing">
    <cdr:from>
      <cdr:x>0.41328</cdr:x>
      <cdr:y>0.02853</cdr:y>
    </cdr:from>
    <cdr:to>
      <cdr:x>0.59969</cdr:x>
      <cdr:y>0.10254</cdr:y>
    </cdr:to>
    <cdr:sp macro="" textlink="الشركات!$I$5">
      <cdr:nvSpPr>
        <cdr:cNvPr id="9" name="مربع نص 1">
          <a:extLst xmlns:a="http://schemas.openxmlformats.org/drawingml/2006/main">
            <a:ext uri="{FF2B5EF4-FFF2-40B4-BE49-F238E27FC236}">
              <a16:creationId xmlns:a16="http://schemas.microsoft.com/office/drawing/2014/main" id="{F5606E57-A57C-3643-DD36-1A1FAC631594}"/>
            </a:ext>
          </a:extLst>
        </cdr:cNvPr>
        <cdr:cNvSpPr txBox="1"/>
      </cdr:nvSpPr>
      <cdr:spPr>
        <a:xfrm xmlns:a="http://schemas.openxmlformats.org/drawingml/2006/main">
          <a:off x="3038332" y="127570"/>
          <a:ext cx="1370445" cy="330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fld id="{BE0980FB-5EAA-4282-9BD2-4434D25D7403}" type="TxLink">
            <a:rPr lang="en-US" sz="1600" b="0" i="0" u="none" strike="noStrike">
              <a:solidFill>
                <a:schemeClr val="bg1">
                  <a:lumMod val="95000"/>
                </a:schemeClr>
              </a:solidFill>
              <a:latin typeface="Calibri"/>
              <a:ea typeface="Calibri"/>
              <a:cs typeface="Calibri"/>
            </a:rPr>
            <a:pPr algn="l"/>
            <a:t>04/08/2023</a:t>
          </a:fld>
          <a:endParaRPr lang="ar-SA" sz="1100" b="0">
            <a:solidFill>
              <a:schemeClr val="bg1">
                <a:lumMod val="95000"/>
              </a:schemeClr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0.19709</cdr:x>
      <cdr:y>0.02853</cdr:y>
    </cdr:from>
    <cdr:to>
      <cdr:x>0.31878</cdr:x>
      <cdr:y>0.09611</cdr:y>
    </cdr:to>
    <cdr:sp macro="" textlink="الشركات!$I$3">
      <cdr:nvSpPr>
        <cdr:cNvPr id="10" name="مربع نص 1">
          <a:extLst xmlns:a="http://schemas.openxmlformats.org/drawingml/2006/main">
            <a:ext uri="{FF2B5EF4-FFF2-40B4-BE49-F238E27FC236}">
              <a16:creationId xmlns:a16="http://schemas.microsoft.com/office/drawing/2014/main" id="{74D3256F-E202-2DDF-53FA-81E33749B534}"/>
            </a:ext>
          </a:extLst>
        </cdr:cNvPr>
        <cdr:cNvSpPr txBox="1"/>
      </cdr:nvSpPr>
      <cdr:spPr>
        <a:xfrm xmlns:a="http://schemas.openxmlformats.org/drawingml/2006/main">
          <a:off x="1448957" y="127570"/>
          <a:ext cx="894638" cy="3021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A18FFEF8-F64C-4EFE-9CC1-093BB68AA492}" type="TxLink">
            <a:rPr lang="en-US" sz="1600" b="1" i="0" u="none" strike="noStrike">
              <a:solidFill>
                <a:schemeClr val="bg1">
                  <a:lumMod val="95000"/>
                </a:schemeClr>
              </a:solidFill>
              <a:latin typeface="+mn-lt"/>
              <a:cs typeface="Arial"/>
            </a:rPr>
            <a:pPr algn="r"/>
            <a:t>nvda</a:t>
          </a:fld>
          <a:endParaRPr lang="ar-SA" sz="1200" b="1">
            <a:solidFill>
              <a:schemeClr val="bg1">
                <a:lumMod val="95000"/>
              </a:schemeClr>
            </a:solidFill>
            <a:latin typeface="+mn-lt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0.20216</cdr:x>
      <cdr:y>0.02743</cdr:y>
    </cdr:from>
    <cdr:to>
      <cdr:x>0.32375</cdr:x>
      <cdr:y>0.09412</cdr:y>
    </cdr:to>
    <cdr:sp macro="" textlink="الشركات!$I$3">
      <cdr:nvSpPr>
        <cdr:cNvPr id="3" name="مربع نص 1">
          <a:extLst xmlns:a="http://schemas.openxmlformats.org/drawingml/2006/main">
            <a:ext uri="{FF2B5EF4-FFF2-40B4-BE49-F238E27FC236}">
              <a16:creationId xmlns:a16="http://schemas.microsoft.com/office/drawing/2014/main" id="{3024F1DF-0E54-605B-88CD-90582B149B2D}"/>
            </a:ext>
          </a:extLst>
        </cdr:cNvPr>
        <cdr:cNvSpPr txBox="1"/>
      </cdr:nvSpPr>
      <cdr:spPr>
        <a:xfrm xmlns:a="http://schemas.openxmlformats.org/drawingml/2006/main">
          <a:off x="1486257" y="122650"/>
          <a:ext cx="893903" cy="298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4C82F5B0-D922-40C6-9E55-B38378C01503}" type="TxLink">
            <a:rPr lang="en-US" sz="1600" b="1" i="0" u="none" strike="noStrike">
              <a:solidFill>
                <a:schemeClr val="bg1">
                  <a:lumMod val="95000"/>
                </a:schemeClr>
              </a:solidFill>
              <a:latin typeface="+mn-lt"/>
              <a:cs typeface="Arial"/>
            </a:rPr>
            <a:pPr algn="r"/>
            <a:t>nvda</a:t>
          </a:fld>
          <a:endParaRPr lang="ar-SA" sz="1400" b="1">
            <a:solidFill>
              <a:schemeClr val="bg1">
                <a:lumMod val="95000"/>
              </a:schemeClr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0.40786</cdr:x>
      <cdr:y>0.03027</cdr:y>
    </cdr:from>
    <cdr:to>
      <cdr:x>0.59412</cdr:x>
      <cdr:y>0.10329</cdr:y>
    </cdr:to>
    <cdr:sp macro="" textlink="الشركات!$I$5">
      <cdr:nvSpPr>
        <cdr:cNvPr id="4" name="مربع نص 1">
          <a:extLst xmlns:a="http://schemas.openxmlformats.org/drawingml/2006/main">
            <a:ext uri="{FF2B5EF4-FFF2-40B4-BE49-F238E27FC236}">
              <a16:creationId xmlns:a16="http://schemas.microsoft.com/office/drawing/2014/main" id="{327840EE-27DD-069D-ECB0-756A60DFD9BE}"/>
            </a:ext>
          </a:extLst>
        </cdr:cNvPr>
        <cdr:cNvSpPr txBox="1"/>
      </cdr:nvSpPr>
      <cdr:spPr>
        <a:xfrm xmlns:a="http://schemas.openxmlformats.org/drawingml/2006/main">
          <a:off x="2998465" y="135350"/>
          <a:ext cx="1369342" cy="326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fld id="{ECA5743E-5E55-4F59-B245-8590E3A4D773}" type="TxLink">
            <a:rPr lang="en-US" sz="1600" b="0" i="0" u="none" strike="noStrike">
              <a:solidFill>
                <a:schemeClr val="bg1">
                  <a:lumMod val="95000"/>
                </a:schemeClr>
              </a:solidFill>
              <a:latin typeface="Calibri"/>
              <a:ea typeface="Calibri"/>
              <a:cs typeface="Calibri"/>
            </a:rPr>
            <a:pPr algn="l"/>
            <a:t>04/08/2023</a:t>
          </a:fld>
          <a:endParaRPr lang="ar-SA" sz="1100" b="0">
            <a:solidFill>
              <a:schemeClr val="bg1">
                <a:lumMod val="95000"/>
              </a:schemeClr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0.56828</cdr:x>
      <cdr:y>0.03027</cdr:y>
    </cdr:from>
    <cdr:to>
      <cdr:x>0.77434</cdr:x>
      <cdr:y>0.09557</cdr:y>
    </cdr:to>
    <cdr:sp macro="" textlink="الشركات!$L$8">
      <cdr:nvSpPr>
        <cdr:cNvPr id="5" name="مربع نص 1">
          <a:extLst xmlns:a="http://schemas.openxmlformats.org/drawingml/2006/main">
            <a:ext uri="{FF2B5EF4-FFF2-40B4-BE49-F238E27FC236}">
              <a16:creationId xmlns:a16="http://schemas.microsoft.com/office/drawing/2014/main" id="{CF5BE822-5443-597F-804D-1B79B3372B7B}"/>
            </a:ext>
          </a:extLst>
        </cdr:cNvPr>
        <cdr:cNvSpPr txBox="1"/>
      </cdr:nvSpPr>
      <cdr:spPr>
        <a:xfrm xmlns:a="http://schemas.openxmlformats.org/drawingml/2006/main">
          <a:off x="4177867" y="135350"/>
          <a:ext cx="1514908" cy="291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2FD4E8B0-9C21-4671-B70F-32CD68A2485C}" type="TxLink">
            <a:rPr lang="en-US" sz="1600" b="0" i="0" u="none" strike="noStrike">
              <a:solidFill>
                <a:schemeClr val="bg1">
                  <a:lumMod val="95000"/>
                </a:schemeClr>
              </a:solidFill>
              <a:latin typeface="+mn-lt"/>
              <a:ea typeface="Calibri"/>
              <a:cs typeface="Arial"/>
            </a:rPr>
            <a:pPr marL="0" indent="0"/>
            <a:t>04:50:01 م</a:t>
          </a:fld>
          <a:endParaRPr lang="ar-SA" sz="3600" b="0" i="0" u="none" strike="noStrike">
            <a:solidFill>
              <a:schemeClr val="bg1">
                <a:lumMod val="95000"/>
              </a:schemeClr>
            </a:solidFill>
            <a:latin typeface="+mn-lt"/>
            <a:ea typeface="Calibri"/>
            <a:cs typeface="Calibri"/>
          </a:endParaRPr>
        </a:p>
      </cdr:txBody>
    </cdr:sp>
  </cdr:relSizeAnchor>
  <cdr:relSizeAnchor xmlns:cdr="http://schemas.openxmlformats.org/drawingml/2006/chartDrawing">
    <cdr:from>
      <cdr:x>0.76748</cdr:x>
      <cdr:y>0.00915</cdr:y>
    </cdr:from>
    <cdr:to>
      <cdr:x>0.86838</cdr:x>
      <cdr:y>0.06861</cdr:y>
    </cdr:to>
    <cdr:sp macro="" textlink="الشركات!$CW$30">
      <cdr:nvSpPr>
        <cdr:cNvPr id="6" name="مربع نص 1">
          <a:extLst xmlns:a="http://schemas.openxmlformats.org/drawingml/2006/main">
            <a:ext uri="{FF2B5EF4-FFF2-40B4-BE49-F238E27FC236}">
              <a16:creationId xmlns:a16="http://schemas.microsoft.com/office/drawing/2014/main" id="{EAE55D57-B845-6B26-25D2-98DB62665796}"/>
            </a:ext>
          </a:extLst>
        </cdr:cNvPr>
        <cdr:cNvSpPr txBox="1"/>
      </cdr:nvSpPr>
      <cdr:spPr>
        <a:xfrm xmlns:a="http://schemas.openxmlformats.org/drawingml/2006/main">
          <a:off x="5651501" y="41276"/>
          <a:ext cx="742950" cy="268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EE60C03C-A0FB-4A13-8228-F235023FAFA8}" type="TxLink">
            <a:rPr lang="en-US" sz="1100" b="1" i="0" u="none" strike="noStrike">
              <a:solidFill>
                <a:srgbClr val="33CC33"/>
              </a:solidFill>
              <a:latin typeface="Arial"/>
              <a:cs typeface="Arial"/>
            </a:rPr>
            <a:pPr algn="r"/>
            <a:t>470.00</a:t>
          </a:fld>
          <a:endParaRPr lang="ar-SA" sz="1100" b="1">
            <a:solidFill>
              <a:srgbClr val="33CC33"/>
            </a:solidFill>
          </a:endParaRPr>
        </a:p>
      </cdr:txBody>
    </cdr:sp>
  </cdr:relSizeAnchor>
  <cdr:relSizeAnchor xmlns:cdr="http://schemas.openxmlformats.org/drawingml/2006/chartDrawing">
    <cdr:from>
      <cdr:x>0.7649</cdr:x>
      <cdr:y>0.05557</cdr:y>
    </cdr:from>
    <cdr:to>
      <cdr:x>0.86838</cdr:x>
      <cdr:y>0.11503</cdr:y>
    </cdr:to>
    <cdr:sp macro="" textlink="الشركات!$CW$31">
      <cdr:nvSpPr>
        <cdr:cNvPr id="7" name="مربع نص 1">
          <a:extLst xmlns:a="http://schemas.openxmlformats.org/drawingml/2006/main">
            <a:ext uri="{FF2B5EF4-FFF2-40B4-BE49-F238E27FC236}">
              <a16:creationId xmlns:a16="http://schemas.microsoft.com/office/drawing/2014/main" id="{50BD8643-1D97-D1A0-4A30-C163F8EED5B5}"/>
            </a:ext>
          </a:extLst>
        </cdr:cNvPr>
        <cdr:cNvSpPr txBox="1"/>
      </cdr:nvSpPr>
      <cdr:spPr>
        <a:xfrm xmlns:a="http://schemas.openxmlformats.org/drawingml/2006/main">
          <a:off x="5632450" y="250656"/>
          <a:ext cx="762000" cy="268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6271E832-5FD3-4D22-93AF-5225712242EC}" type="TxLink">
            <a:rPr lang="en-US" sz="1100" b="1" i="0" u="none" strike="noStrike">
              <a:solidFill>
                <a:srgbClr val="FF0000"/>
              </a:solidFill>
              <a:latin typeface="Arial"/>
              <a:cs typeface="Arial"/>
            </a:rPr>
            <a:pPr algn="r"/>
            <a:t>405.00</a:t>
          </a:fld>
          <a:endParaRPr lang="ar-S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0.86429</cdr:x>
      <cdr:y>0.00915</cdr:y>
    </cdr:from>
    <cdr:to>
      <cdr:x>0.96747</cdr:x>
      <cdr:y>0.06675</cdr:y>
    </cdr:to>
    <cdr:sp macro="" textlink="">
      <cdr:nvSpPr>
        <cdr:cNvPr id="8" name="مربع نص 3">
          <a:extLst xmlns:a="http://schemas.openxmlformats.org/drawingml/2006/main">
            <a:ext uri="{FF2B5EF4-FFF2-40B4-BE49-F238E27FC236}">
              <a16:creationId xmlns:a16="http://schemas.microsoft.com/office/drawing/2014/main" id="{FF581C0A-307C-7C97-8CA4-553FA3693662}"/>
            </a:ext>
          </a:extLst>
        </cdr:cNvPr>
        <cdr:cNvSpPr txBox="1"/>
      </cdr:nvSpPr>
      <cdr:spPr>
        <a:xfrm xmlns:a="http://schemas.openxmlformats.org/drawingml/2006/main">
          <a:off x="6364341" y="41275"/>
          <a:ext cx="759777" cy="2598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1"/>
          <a:r>
            <a:rPr lang="ar-SA" sz="1100" b="1" baseline="0">
              <a:solidFill>
                <a:srgbClr val="11BF69"/>
              </a:solidFill>
              <a:latin typeface="+mn-lt"/>
            </a:rPr>
            <a:t> </a:t>
          </a:r>
          <a:r>
            <a:rPr lang="ar-SA" sz="1100" b="1">
              <a:solidFill>
                <a:srgbClr val="11BF69"/>
              </a:solidFill>
              <a:latin typeface="+mn-lt"/>
            </a:rPr>
            <a:t>أعلى</a:t>
          </a:r>
          <a:r>
            <a:rPr lang="ar-SA" sz="1100" b="1" baseline="0">
              <a:solidFill>
                <a:srgbClr val="11BF69"/>
              </a:solidFill>
              <a:latin typeface="+mn-lt"/>
            </a:rPr>
            <a:t> فانا : </a:t>
          </a:r>
          <a:endParaRPr lang="ar-SA" sz="1100" b="1">
            <a:solidFill>
              <a:srgbClr val="11BF69"/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0.85803</cdr:x>
      <cdr:y>0.05743</cdr:y>
    </cdr:from>
    <cdr:to>
      <cdr:x>0.9535</cdr:x>
      <cdr:y>0.11689</cdr:y>
    </cdr:to>
    <cdr:sp macro="" textlink="">
      <cdr:nvSpPr>
        <cdr:cNvPr id="9" name="مربع نص 1">
          <a:extLst xmlns:a="http://schemas.openxmlformats.org/drawingml/2006/main">
            <a:ext uri="{FF2B5EF4-FFF2-40B4-BE49-F238E27FC236}">
              <a16:creationId xmlns:a16="http://schemas.microsoft.com/office/drawing/2014/main" id="{D9F2C5DD-73DA-1B01-014F-35C6BCF2C4E2}"/>
            </a:ext>
          </a:extLst>
        </cdr:cNvPr>
        <cdr:cNvSpPr txBox="1"/>
      </cdr:nvSpPr>
      <cdr:spPr>
        <a:xfrm xmlns:a="http://schemas.openxmlformats.org/drawingml/2006/main">
          <a:off x="6318250" y="259036"/>
          <a:ext cx="703018" cy="268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1"/>
          <a:r>
            <a:rPr lang="ar-SA" sz="1100" b="1">
              <a:solidFill>
                <a:srgbClr val="FF0000"/>
              </a:solidFill>
            </a:rPr>
            <a:t>أدنى فانا :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0.04977</cdr:x>
      <cdr:y>0.02837</cdr:y>
    </cdr:from>
    <cdr:to>
      <cdr:x>0.17217</cdr:x>
      <cdr:y>0.09556</cdr:y>
    </cdr:to>
    <cdr:sp macro="" textlink="الشركات!$I$3">
      <cdr:nvSpPr>
        <cdr:cNvPr id="8" name="مربع نص 1">
          <a:extLst xmlns:a="http://schemas.openxmlformats.org/drawingml/2006/main">
            <a:ext uri="{FF2B5EF4-FFF2-40B4-BE49-F238E27FC236}">
              <a16:creationId xmlns:a16="http://schemas.microsoft.com/office/drawing/2014/main" id="{8014D450-86C2-6EF5-5872-A0073EA139DF}"/>
            </a:ext>
          </a:extLst>
        </cdr:cNvPr>
        <cdr:cNvSpPr txBox="1"/>
      </cdr:nvSpPr>
      <cdr:spPr>
        <a:xfrm xmlns:a="http://schemas.openxmlformats.org/drawingml/2006/main">
          <a:off x="363481" y="126994"/>
          <a:ext cx="893824" cy="3007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C135B0D3-EA3B-40CA-8F83-CF7C5BB146A5}" type="TxLink">
            <a:rPr lang="en-US" sz="1600" b="1" i="0" u="none" strike="noStrike">
              <a:solidFill>
                <a:schemeClr val="bg2"/>
              </a:solidFill>
              <a:latin typeface="+mn-lt"/>
              <a:cs typeface="Arial"/>
            </a:rPr>
            <a:pPr algn="r"/>
            <a:t>nvda</a:t>
          </a:fld>
          <a:endParaRPr lang="ar-SA" sz="1600" b="1">
            <a:solidFill>
              <a:schemeClr val="bg2"/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0.43001</cdr:x>
      <cdr:y>0.02947</cdr:y>
    </cdr:from>
    <cdr:to>
      <cdr:x>0.60275</cdr:x>
      <cdr:y>0.09526</cdr:y>
    </cdr:to>
    <cdr:sp macro="" textlink="الشركات!$I$5">
      <cdr:nvSpPr>
        <cdr:cNvPr id="9" name="مربع نص 1">
          <a:extLst xmlns:a="http://schemas.openxmlformats.org/drawingml/2006/main">
            <a:ext uri="{FF2B5EF4-FFF2-40B4-BE49-F238E27FC236}">
              <a16:creationId xmlns:a16="http://schemas.microsoft.com/office/drawing/2014/main" id="{E5D8751C-A093-3512-054E-1FCF09FC76D0}"/>
            </a:ext>
          </a:extLst>
        </cdr:cNvPr>
        <cdr:cNvSpPr txBox="1"/>
      </cdr:nvSpPr>
      <cdr:spPr>
        <a:xfrm xmlns:a="http://schemas.openxmlformats.org/drawingml/2006/main">
          <a:off x="3161307" y="131774"/>
          <a:ext cx="1269968" cy="2941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7F39E6AA-728A-4CB4-8640-641A5A3E783E}" type="TxLink">
            <a:rPr lang="en-US" sz="1600" b="0" i="0" u="none" strike="noStrike">
              <a:solidFill>
                <a:schemeClr val="bg2"/>
              </a:solidFill>
              <a:latin typeface="Calibri"/>
              <a:ea typeface="Calibri"/>
              <a:cs typeface="Calibri"/>
            </a:rPr>
            <a:pPr/>
            <a:t>04/08/2023</a:t>
          </a:fld>
          <a:endParaRPr lang="ar-SA" sz="1100" b="0">
            <a:solidFill>
              <a:schemeClr val="bg2"/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0.57033</cdr:x>
      <cdr:y>0.02837</cdr:y>
    </cdr:from>
    <cdr:to>
      <cdr:x>0.76912</cdr:x>
      <cdr:y>0.09416</cdr:y>
    </cdr:to>
    <cdr:sp macro="" textlink="الشركات!$L$8">
      <cdr:nvSpPr>
        <cdr:cNvPr id="10" name="مربع نص 1">
          <a:extLst xmlns:a="http://schemas.openxmlformats.org/drawingml/2006/main">
            <a:ext uri="{FF2B5EF4-FFF2-40B4-BE49-F238E27FC236}">
              <a16:creationId xmlns:a16="http://schemas.microsoft.com/office/drawing/2014/main" id="{5E080566-4B1E-73AB-19EB-82E51E18D2B4}"/>
            </a:ext>
          </a:extLst>
        </cdr:cNvPr>
        <cdr:cNvSpPr txBox="1"/>
      </cdr:nvSpPr>
      <cdr:spPr>
        <a:xfrm xmlns:a="http://schemas.openxmlformats.org/drawingml/2006/main">
          <a:off x="4192970" y="126849"/>
          <a:ext cx="1461420" cy="2941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31CCBF89-89E5-4EDB-AB66-9F7F41B1649E}" type="TxLink">
            <a:rPr lang="en-US" sz="1600" b="0" i="0" u="none" strike="noStrike">
              <a:solidFill>
                <a:schemeClr val="bg2"/>
              </a:solidFill>
              <a:latin typeface="+mn-lt"/>
              <a:ea typeface="Calibri"/>
              <a:cs typeface="Arial"/>
            </a:rPr>
            <a:pPr marL="0" indent="0"/>
            <a:t>04:50:01 م</a:t>
          </a:fld>
          <a:endParaRPr lang="ar-SA" sz="2400" b="0" i="0" u="none" strike="noStrike">
            <a:solidFill>
              <a:schemeClr val="bg2"/>
            </a:solidFill>
            <a:latin typeface="+mn-lt"/>
            <a:ea typeface="Calibri"/>
            <a:cs typeface="Calibri"/>
          </a:endParaRPr>
        </a:p>
      </cdr:txBody>
    </cdr:sp>
  </cdr:relSizeAnchor>
  <cdr:relSizeAnchor xmlns:cdr="http://schemas.openxmlformats.org/drawingml/2006/chartDrawing">
    <cdr:from>
      <cdr:x>0.75593</cdr:x>
      <cdr:y>0.02136</cdr:y>
    </cdr:from>
    <cdr:to>
      <cdr:x>0.8577</cdr:x>
      <cdr:y>0.08145</cdr:y>
    </cdr:to>
    <cdr:sp macro="" textlink="الشركات!$DA$30">
      <cdr:nvSpPr>
        <cdr:cNvPr id="11" name="مربع نص 1">
          <a:extLst xmlns:a="http://schemas.openxmlformats.org/drawingml/2006/main">
            <a:ext uri="{FF2B5EF4-FFF2-40B4-BE49-F238E27FC236}">
              <a16:creationId xmlns:a16="http://schemas.microsoft.com/office/drawing/2014/main" id="{2BA8C9DD-7007-8BBB-7635-E4D565ED33D8}"/>
            </a:ext>
          </a:extLst>
        </cdr:cNvPr>
        <cdr:cNvSpPr txBox="1"/>
      </cdr:nvSpPr>
      <cdr:spPr>
        <a:xfrm xmlns:a="http://schemas.openxmlformats.org/drawingml/2006/main">
          <a:off x="5513138" y="95598"/>
          <a:ext cx="742285" cy="2690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317A86F5-EBC4-4FB9-A3C4-2310E8B214AA}" type="TxLink">
            <a:rPr lang="en-US" sz="1100" b="1" i="0" u="none" strike="noStrike">
              <a:solidFill>
                <a:srgbClr val="33CC33"/>
              </a:solidFill>
              <a:latin typeface="Arial"/>
              <a:cs typeface="Arial"/>
            </a:rPr>
            <a:pPr algn="r"/>
            <a:t>405.00</a:t>
          </a:fld>
          <a:endParaRPr lang="ar-SA" sz="1100" b="1">
            <a:solidFill>
              <a:srgbClr val="33CC33"/>
            </a:solidFill>
          </a:endParaRPr>
        </a:p>
      </cdr:txBody>
    </cdr:sp>
  </cdr:relSizeAnchor>
  <cdr:relSizeAnchor xmlns:cdr="http://schemas.openxmlformats.org/drawingml/2006/chartDrawing">
    <cdr:from>
      <cdr:x>0.7527</cdr:x>
      <cdr:y>0.06181</cdr:y>
    </cdr:from>
    <cdr:to>
      <cdr:x>0.85709</cdr:x>
      <cdr:y>0.12191</cdr:y>
    </cdr:to>
    <cdr:sp macro="" textlink="الشركات!$DA$31">
      <cdr:nvSpPr>
        <cdr:cNvPr id="12" name="مربع نص 1">
          <a:extLst xmlns:a="http://schemas.openxmlformats.org/drawingml/2006/main">
            <a:ext uri="{FF2B5EF4-FFF2-40B4-BE49-F238E27FC236}">
              <a16:creationId xmlns:a16="http://schemas.microsoft.com/office/drawing/2014/main" id="{41D1CF94-8E2A-F282-83C8-54E9D04CF5FD}"/>
            </a:ext>
          </a:extLst>
        </cdr:cNvPr>
        <cdr:cNvSpPr txBox="1"/>
      </cdr:nvSpPr>
      <cdr:spPr>
        <a:xfrm xmlns:a="http://schemas.openxmlformats.org/drawingml/2006/main">
          <a:off x="5521060" y="280512"/>
          <a:ext cx="765677" cy="2727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B87D61F1-5CC5-463B-A56B-9490D8804F8C}" type="TxLink">
            <a:rPr lang="en-US" sz="1100" b="1" i="0" u="none" strike="noStrike">
              <a:solidFill>
                <a:srgbClr val="FF0000"/>
              </a:solidFill>
              <a:latin typeface="Arial"/>
              <a:cs typeface="Arial"/>
            </a:rPr>
            <a:pPr algn="r"/>
            <a:t>405.00</a:t>
          </a:fld>
          <a:endParaRPr lang="ar-S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0.85266</cdr:x>
      <cdr:y>0.01813</cdr:y>
    </cdr:from>
    <cdr:to>
      <cdr:x>1</cdr:x>
      <cdr:y>0.07634</cdr:y>
    </cdr:to>
    <cdr:sp macro="" textlink="">
      <cdr:nvSpPr>
        <cdr:cNvPr id="13" name="مربع نص 3">
          <a:extLst xmlns:a="http://schemas.openxmlformats.org/drawingml/2006/main">
            <a:ext uri="{FF2B5EF4-FFF2-40B4-BE49-F238E27FC236}">
              <a16:creationId xmlns:a16="http://schemas.microsoft.com/office/drawing/2014/main" id="{5FC5557C-54E9-9E90-6B00-9DCAA418D217}"/>
            </a:ext>
          </a:extLst>
        </cdr:cNvPr>
        <cdr:cNvSpPr txBox="1"/>
      </cdr:nvSpPr>
      <cdr:spPr>
        <a:xfrm xmlns:a="http://schemas.openxmlformats.org/drawingml/2006/main">
          <a:off x="6254262" y="82257"/>
          <a:ext cx="1080721" cy="264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1"/>
          <a:r>
            <a:rPr lang="ar-SA" sz="1100" b="1" baseline="0">
              <a:solidFill>
                <a:srgbClr val="11BF69"/>
              </a:solidFill>
              <a:latin typeface="+mn-lt"/>
            </a:rPr>
            <a:t> </a:t>
          </a:r>
          <a:r>
            <a:rPr lang="ar-SA" sz="1100" b="1">
              <a:solidFill>
                <a:srgbClr val="11BF69"/>
              </a:solidFill>
              <a:latin typeface="+mn-lt"/>
            </a:rPr>
            <a:t>أعلى</a:t>
          </a:r>
          <a:r>
            <a:rPr lang="ar-SA" sz="1100" b="1" baseline="0">
              <a:solidFill>
                <a:srgbClr val="11BF69"/>
              </a:solidFill>
              <a:latin typeface="+mn-lt"/>
            </a:rPr>
            <a:t> شعاع جاما : </a:t>
          </a:r>
          <a:endParaRPr lang="ar-SA" sz="1100" b="1">
            <a:solidFill>
              <a:srgbClr val="11BF69"/>
            </a:solidFill>
            <a:latin typeface="+mn-lt"/>
          </a:endParaRPr>
        </a:p>
      </cdr:txBody>
    </cdr:sp>
  </cdr:relSizeAnchor>
  <cdr:relSizeAnchor xmlns:cdr="http://schemas.openxmlformats.org/drawingml/2006/chartDrawing">
    <cdr:from>
      <cdr:x>0.84967</cdr:x>
      <cdr:y>0.06692</cdr:y>
    </cdr:from>
    <cdr:to>
      <cdr:x>0.98591</cdr:x>
      <cdr:y>0.12701</cdr:y>
    </cdr:to>
    <cdr:sp macro="" textlink="">
      <cdr:nvSpPr>
        <cdr:cNvPr id="14" name="مربع نص 1">
          <a:extLst xmlns:a="http://schemas.openxmlformats.org/drawingml/2006/main">
            <a:ext uri="{FF2B5EF4-FFF2-40B4-BE49-F238E27FC236}">
              <a16:creationId xmlns:a16="http://schemas.microsoft.com/office/drawing/2014/main" id="{44E6E6EF-A379-8258-7BF8-01E179EE0688}"/>
            </a:ext>
          </a:extLst>
        </cdr:cNvPr>
        <cdr:cNvSpPr txBox="1"/>
      </cdr:nvSpPr>
      <cdr:spPr>
        <a:xfrm xmlns:a="http://schemas.openxmlformats.org/drawingml/2006/main">
          <a:off x="6232281" y="303686"/>
          <a:ext cx="999356" cy="272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1"/>
          <a:r>
            <a:rPr lang="ar-SA" sz="1100" b="1">
              <a:solidFill>
                <a:srgbClr val="FF0000"/>
              </a:solidFill>
            </a:rPr>
            <a:t>أدنى شعاع جاما :</a:t>
          </a:r>
        </a:p>
      </cdr:txBody>
    </cdr:sp>
  </cdr:relSizeAnchor>
</c:userShape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F20E-3A1F-488A-87C1-5DBBE2F98BD9}">
  <sheetPr codeName="ورقة2"/>
  <dimension ref="A1:DK100"/>
  <sheetViews>
    <sheetView rightToLeft="1" tabSelected="1" topLeftCell="P1" zoomScale="90" zoomScaleNormal="90" workbookViewId="0">
      <selection activeCell="E14" sqref="E14"/>
    </sheetView>
  </sheetViews>
  <sheetFormatPr defaultColWidth="8.94921875" defaultRowHeight="16.5" customHeight="1" x14ac:dyDescent="0.15"/>
  <cols>
    <col min="1" max="3" width="8.94921875" style="1"/>
    <col min="4" max="4" width="9.9296875" style="1" bestFit="1" customWidth="1"/>
    <col min="5" max="7" width="8.94921875" style="1"/>
    <col min="8" max="8" width="2.44921875" style="1" customWidth="1"/>
    <col min="9" max="10" width="9.0703125" style="1" bestFit="1" customWidth="1"/>
    <col min="11" max="11" width="8.82421875" style="1" bestFit="1" customWidth="1"/>
    <col min="12" max="12" width="10.41796875" style="1" customWidth="1"/>
    <col min="13" max="24" width="9.9296875" style="1" bestFit="1" customWidth="1"/>
    <col min="25" max="49" width="8.94921875" style="1"/>
    <col min="50" max="50" width="9.4375" style="1" bestFit="1" customWidth="1"/>
    <col min="51" max="51" width="10.171875" style="1" bestFit="1" customWidth="1"/>
    <col min="52" max="52" width="9.0703125" style="1" bestFit="1" customWidth="1"/>
    <col min="53" max="53" width="8.94921875" style="1"/>
    <col min="54" max="54" width="9.0703125" style="1" bestFit="1" customWidth="1"/>
    <col min="55" max="55" width="8.94921875" style="1"/>
    <col min="56" max="58" width="21.328125" style="1" bestFit="1" customWidth="1"/>
    <col min="59" max="70" width="8.94921875" style="1"/>
    <col min="71" max="72" width="14.46484375" style="1" bestFit="1" customWidth="1"/>
    <col min="73" max="73" width="9.0703125" style="1" bestFit="1" customWidth="1"/>
    <col min="74" max="75" width="8.94921875" style="1" customWidth="1"/>
    <col min="76" max="77" width="12.9921875" style="1" bestFit="1" customWidth="1"/>
    <col min="78" max="78" width="13.23828125" style="1" bestFit="1" customWidth="1"/>
    <col min="79" max="81" width="12.2578125" style="1" bestFit="1" customWidth="1"/>
    <col min="82" max="82" width="12.9921875" style="1" bestFit="1" customWidth="1"/>
    <col min="83" max="83" width="9.0703125" style="1" bestFit="1" customWidth="1"/>
    <col min="84" max="85" width="14.46484375" style="1" bestFit="1" customWidth="1"/>
    <col min="86" max="86" width="9.0703125" style="1" bestFit="1" customWidth="1"/>
    <col min="87" max="87" width="22.6796875" style="1" bestFit="1" customWidth="1"/>
    <col min="88" max="90" width="23.90234375" style="1" bestFit="1" customWidth="1"/>
    <col min="91" max="91" width="8.94921875" style="1"/>
    <col min="92" max="94" width="14.46484375" style="1" bestFit="1" customWidth="1"/>
    <col min="95" max="95" width="8.94921875" style="1"/>
    <col min="96" max="101" width="14.46484375" style="1" bestFit="1" customWidth="1"/>
    <col min="102" max="102" width="8.94921875" style="1"/>
    <col min="103" max="103" width="12.9921875" style="1" bestFit="1" customWidth="1"/>
    <col min="104" max="104" width="12.2578125" style="1" bestFit="1" customWidth="1"/>
    <col min="105" max="105" width="13.23828125" style="1" bestFit="1" customWidth="1"/>
    <col min="106" max="16384" width="8.94921875" style="1"/>
  </cols>
  <sheetData>
    <row r="1" spans="1:115" ht="18.75" customHeight="1" x14ac:dyDescent="0.15">
      <c r="A1" s="126" t="s">
        <v>12</v>
      </c>
      <c r="B1" s="126"/>
      <c r="C1" s="126"/>
      <c r="D1" s="127" t="s">
        <v>0</v>
      </c>
      <c r="E1" s="129" t="s">
        <v>7</v>
      </c>
      <c r="F1" s="129"/>
      <c r="G1" s="129"/>
      <c r="H1" s="27" t="s">
        <v>51</v>
      </c>
      <c r="I1" s="136" t="s">
        <v>16</v>
      </c>
      <c r="J1" s="136"/>
      <c r="K1" s="134" t="s">
        <v>17</v>
      </c>
      <c r="L1" s="135"/>
      <c r="M1" s="135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</row>
    <row r="2" spans="1:115" ht="16.5" customHeight="1" x14ac:dyDescent="0.15">
      <c r="A2" s="3" t="s">
        <v>1</v>
      </c>
      <c r="B2" s="3" t="s">
        <v>2</v>
      </c>
      <c r="C2" s="3" t="s">
        <v>3</v>
      </c>
      <c r="D2" s="128"/>
      <c r="E2" s="4" t="s">
        <v>3</v>
      </c>
      <c r="F2" s="4" t="s">
        <v>2</v>
      </c>
      <c r="G2" s="4" t="s">
        <v>1</v>
      </c>
      <c r="I2" s="136"/>
      <c r="J2" s="136"/>
      <c r="K2" s="134"/>
      <c r="L2" s="135"/>
      <c r="M2" s="135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 t="s">
        <v>33</v>
      </c>
      <c r="BT2" s="27" t="s">
        <v>32</v>
      </c>
      <c r="BU2" s="27" t="s">
        <v>30</v>
      </c>
      <c r="BV2" s="27" t="s">
        <v>29</v>
      </c>
      <c r="BW2" s="27" t="s">
        <v>28</v>
      </c>
      <c r="BX2" s="27" t="s">
        <v>27</v>
      </c>
      <c r="BY2" s="27" t="s">
        <v>26</v>
      </c>
      <c r="BZ2" s="27" t="s">
        <v>25</v>
      </c>
      <c r="CA2" s="27" t="s">
        <v>31</v>
      </c>
      <c r="CB2" s="27" t="s">
        <v>27</v>
      </c>
      <c r="CC2" s="27" t="s">
        <v>28</v>
      </c>
      <c r="CD2" s="27" t="s">
        <v>29</v>
      </c>
      <c r="CE2" s="27" t="s">
        <v>30</v>
      </c>
      <c r="CF2" s="27" t="s">
        <v>32</v>
      </c>
      <c r="CG2" s="27" t="s">
        <v>33</v>
      </c>
      <c r="CH2" s="27" t="s">
        <v>35</v>
      </c>
      <c r="CI2" s="27" t="s">
        <v>34</v>
      </c>
      <c r="CJ2" s="27" t="s">
        <v>36</v>
      </c>
      <c r="CK2" s="27" t="s">
        <v>37</v>
      </c>
      <c r="CL2" s="27" t="s">
        <v>38</v>
      </c>
      <c r="CM2" s="27"/>
      <c r="CN2" s="27" t="s">
        <v>39</v>
      </c>
      <c r="CO2" s="27" t="s">
        <v>40</v>
      </c>
      <c r="CP2" s="27" t="s">
        <v>41</v>
      </c>
      <c r="CQ2" s="27"/>
      <c r="CR2" s="27" t="s">
        <v>47</v>
      </c>
      <c r="CS2" s="27" t="s">
        <v>46</v>
      </c>
      <c r="CT2" s="27" t="s">
        <v>48</v>
      </c>
      <c r="CU2" s="27"/>
      <c r="CV2" s="27"/>
      <c r="CW2" s="27"/>
      <c r="CX2" s="27"/>
      <c r="CY2" s="125" t="s">
        <v>50</v>
      </c>
      <c r="CZ2" s="125"/>
      <c r="DA2" s="125"/>
      <c r="DB2" s="125"/>
      <c r="DC2" s="2"/>
      <c r="DD2" s="2"/>
      <c r="DE2" s="2"/>
      <c r="DF2" s="2"/>
      <c r="DG2" s="2"/>
      <c r="DH2" s="2"/>
      <c r="DI2" s="2"/>
      <c r="DJ2" s="2"/>
      <c r="DK2" s="2"/>
    </row>
    <row r="3" spans="1:115" ht="16.5" customHeight="1" x14ac:dyDescent="0.15">
      <c r="A3" s="6" t="e">
        <f ca="1">RTD("tws.twsrtdserverctrl",,"sym=" &amp;$I$3, "sec=" &amp;"OPT", "exp="&amp;M8, "strike=" &amp; D3, "right=" &amp;"P", "exch=" &amp;"SMART", "cur=" &amp; "USD","LOW")</f>
        <v>#NAME?</v>
      </c>
      <c r="B3" s="7" t="e">
        <f ca="1">RTD("tws.twsrtdserverctrl",,"sym=" &amp;$I$3, "sec=" &amp;"OPT", "exp="&amp;M8, "strike=" &amp; D3, "right=" &amp;"P", "exch=" &amp;"SMART", "cur=" &amp; "USD","HIGH")</f>
        <v>#NAME?</v>
      </c>
      <c r="C3" s="8" t="e">
        <f ca="1">RTD("tws.twsrtdserverctrl",,"sym=" &amp;$I$3, "sec=" &amp;"OPT", "exp="&amp;M8, "strike=" &amp; D3, "right=" &amp;"P", "exch=" &amp;"SMART", "cur=" &amp; "USD","LAST")</f>
        <v>#NAME?</v>
      </c>
      <c r="D3" s="22">
        <f ca="1">IF(B53&lt;=0,0,D4-$L$7)</f>
        <v>405</v>
      </c>
      <c r="E3" s="8" t="e">
        <f ca="1">RTD("tws.twsrtdserverctrl",,"sym=" &amp;$I$3, "sec=" &amp;"OPT", "exp="&amp;M8, "strike=" &amp; D3, "right=" &amp;"C", "exch=" &amp;"SMART", "cur=" &amp; "USD","LAST")</f>
        <v>#NAME?</v>
      </c>
      <c r="F3" s="7" t="e">
        <f ca="1">RTD("tws.twsrtdserverctrl",,"sym=" &amp;$I$3, "sec=" &amp;"OPT", "exp="&amp;M8, "strike=" &amp; D3, "right=" &amp;"C", "exch=" &amp;"SMART", "cur=" &amp; "USD","HIGH")</f>
        <v>#NAME?</v>
      </c>
      <c r="G3" s="6" t="e">
        <f ca="1">RTD("tws.twsrtdserverctrl",,"sym=" &amp;$I$3, "sec=" &amp;"OPT", "exp="&amp;M8, "strike=" &amp; D3, "right=" &amp;"C", "exch=" &amp;"SMART", "cur=" &amp; "USD","LOW")</f>
        <v>#NAME?</v>
      </c>
      <c r="I3" s="137" t="s">
        <v>78</v>
      </c>
      <c r="J3" s="138"/>
      <c r="K3" s="21">
        <f>(L3-L6)/L6</f>
        <v>2.0588235294117622E-2</v>
      </c>
      <c r="L3" s="70">
        <f>IF(I3&lt;&gt;"",RTD("tws.twsrtdserverctrl",,I3),"")</f>
        <v>468.45</v>
      </c>
      <c r="M3" s="19" t="s">
        <v>3</v>
      </c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96" t="e">
        <f ca="1">RTD("tws.twsrtdserverctrl",,"sym=" &amp;$I$3, "sec=" &amp;"OPT", "exp="&amp;$M$8, "strike=" &amp; D3, "right=" &amp;"P", "exch=" &amp;"SMART", "cur=" &amp; "USD","Volume")*1</f>
        <v>#NAME?</v>
      </c>
      <c r="BT3" s="76" t="e">
        <f ca="1">RTD("tws.twsrtdserverctrl",,"sym=" &amp;$I$3, "sec=" &amp;"OPT", "exp="&amp;$M$8, "strike=" &amp; D3, "right=" &amp;"P", "exch=" &amp;"SMART", "cur=" &amp; "USD","PutOptionOpenInterest")*1</f>
        <v>#NAME?</v>
      </c>
      <c r="BU3" s="76" t="e">
        <f ca="1">RTD("tws.twsrtdserverctrl",,"sym=" &amp;$I$3, "sec=" &amp;"OPT", "exp="&amp;$M$8, "strike=" &amp; D3, "right=" &amp;"P", "exch=" &amp;"SMART", "cur=" &amp; "USD","ModelImpliedVol")</f>
        <v>#NAME?</v>
      </c>
      <c r="BV3" s="76" t="e">
        <f ca="1">RTD("tws.twsrtdserverctrl",,"sym=" &amp;$I$3, "sec=" &amp;"OPT", "exp="&amp;$M$8, "strike=" &amp; D3, "right=" &amp;"P", "exch=" &amp;"SMART", "cur=" &amp; "USD","ModelTheta")</f>
        <v>#NAME?</v>
      </c>
      <c r="BW3" s="76" t="e">
        <f ca="1">RTD("tws.twsrtdserverctrl",,"sym=" &amp;$I$3, "sec=" &amp;"OPT", "exp="&amp;$M$8, "strike=" &amp; D3, "right=" &amp;"P", "exch=" &amp;"SMART", "cur=" &amp; "USD","ModelVega")</f>
        <v>#NAME?</v>
      </c>
      <c r="BX3" s="76" t="e">
        <f ca="1">RTD("tws.twsrtdserverctrl",,"sym=" &amp;$I$3, "sec=" &amp;"OPT", "exp="&amp;$M$8, "strike=" &amp; D3, "right=" &amp;"P", "exch=" &amp;"SMART", "cur=" &amp; "USD","ModelGamma")</f>
        <v>#NAME?</v>
      </c>
      <c r="BY3" s="76" t="e">
        <f ca="1">RTD("tws.twsrtdserverctrl",,"sym=" &amp;$I$3, "sec=" &amp;"OPT", "exp="&amp;$M$8, "strike=" &amp; D3, "right=" &amp;"P", "exch=" &amp;"SMART", "cur=" &amp; "USD","ModelDelta")</f>
        <v>#NAME?</v>
      </c>
      <c r="BZ3" s="97">
        <f ca="1">D3</f>
        <v>405</v>
      </c>
      <c r="CA3" s="76" t="e">
        <f ca="1">RTD("tws.twsrtdserverctrl",,"sym=" &amp;$I$3, "sec=" &amp;"OPT", "exp="&amp;$M$8, "strike=" &amp; D3, "right=" &amp;"C", "exch=" &amp;"SMART", "cur=" &amp; "USD","ModelDelta")</f>
        <v>#NAME?</v>
      </c>
      <c r="CB3" s="76" t="e">
        <f ca="1">RTD("tws.twsrtdserverctrl",,"sym=" &amp;$I$3, "sec=" &amp;"OPT", "exp="&amp;$M$8, "strike=" &amp; D3, "right=" &amp;"C", "exch=" &amp;"SMART", "cur=" &amp; "USD","ModelGamma")</f>
        <v>#NAME?</v>
      </c>
      <c r="CC3" s="76" t="e">
        <f ca="1">RTD("tws.twsrtdserverctrl",,"sym=" &amp;$I$3, "sec=" &amp;"OPT", "exp="&amp;$M$8, "strike=" &amp; D3, "right=" &amp;"C", "exch=" &amp;"SMART", "cur=" &amp; "USD","ModelVega")</f>
        <v>#NAME?</v>
      </c>
      <c r="CD3" s="76" t="e">
        <f ca="1">RTD("tws.twsrtdserverctrl",,"sym=" &amp;$I$3, "sec=" &amp;"OPT", "exp="&amp;$M$8, "strike=" &amp; D3, "right=" &amp;"C", "exch=" &amp;"SMART", "cur=" &amp; "USD","ModelTheta")</f>
        <v>#NAME?</v>
      </c>
      <c r="CE3" s="76" t="e">
        <f ca="1">RTD("tws.twsrtdserverctrl",,"sym=" &amp;$I$3, "sec=" &amp;"OPT", "exp="&amp;$M$8, "strike=" &amp; D3, "right=" &amp;"C", "exch=" &amp;"SMART", "cur=" &amp; "USD","ModelImpliedVol")</f>
        <v>#NAME?</v>
      </c>
      <c r="CF3" s="76" t="e">
        <f ca="1">RTD("tws.twsrtdserverctrl",,"sym=" &amp;$I$3, "sec=" &amp;"OPT", "exp="&amp;$M$8, "strike=" &amp; D3, "right=" &amp;"C", "exch=" &amp;"SMART", "cur=" &amp; "USD","CALLOptionOpenInterest")*1</f>
        <v>#NAME?</v>
      </c>
      <c r="CG3" s="98" t="e">
        <f ca="1">RTD("tws.twsrtdserverctrl",,"sym=" &amp;$I$3, "sec=" &amp;"OPT", "exp="&amp;$M$8, "strike=" &amp; D3, "right=" &amp;"C", "exch=" &amp;"SMART", "cur=" &amp; "USD","Volume")*1</f>
        <v>#NAME?</v>
      </c>
      <c r="CH3" s="27">
        <v>0</v>
      </c>
      <c r="CI3" s="76" t="e">
        <f ca="1">SUMPRODUCT((BY3 - CA3) * (BW3 - CC3))</f>
        <v>#NAME?</v>
      </c>
      <c r="CJ3" s="76" t="e">
        <f ca="1">BV3*BX3</f>
        <v>#NAME?</v>
      </c>
      <c r="CK3" s="76" t="e">
        <f ca="1">CD3*CB3</f>
        <v>#NAME?</v>
      </c>
      <c r="CL3" s="76" t="e">
        <f ca="1">(CK3+CJ3)</f>
        <v>#NAME?</v>
      </c>
      <c r="CM3" s="27"/>
      <c r="CN3" s="76" t="e">
        <f ca="1">BX3*BT3*-100</f>
        <v>#NAME?</v>
      </c>
      <c r="CO3" s="76" t="e">
        <f ca="1">CB3*CF3*100</f>
        <v>#NAME?</v>
      </c>
      <c r="CP3" s="76" t="e">
        <f ca="1">(CO3+CN3)/1000</f>
        <v>#NAME?</v>
      </c>
      <c r="CQ3" s="27"/>
      <c r="CR3" s="76" t="e">
        <f ca="1">BT3*100*BS3*100*CV3</f>
        <v>#NAME?</v>
      </c>
      <c r="CS3" s="76" t="e">
        <f ca="1">CF3*100*CG3*100*CU3</f>
        <v>#NAME?</v>
      </c>
      <c r="CT3" s="76" t="e">
        <f ca="1">BY3/BU3</f>
        <v>#NAME?</v>
      </c>
      <c r="CU3" s="76" t="e">
        <f ca="1">CA3/CG3</f>
        <v>#NAME?</v>
      </c>
      <c r="CV3" s="76" t="e">
        <f ca="1">BY3/BS3</f>
        <v>#NAME?</v>
      </c>
      <c r="CW3" s="76" t="e">
        <f ca="1">(CV3+CU3)/10000000</f>
        <v>#NAME?</v>
      </c>
      <c r="CX3" s="27"/>
      <c r="CY3" s="76" t="e">
        <f ca="1" xml:space="preserve"> SUMPRODUCT(BY3:BY27, BX3:BX27)</f>
        <v>#NAME?</v>
      </c>
      <c r="CZ3" s="76" t="e">
        <f ca="1" xml:space="preserve"> SUMPRODUCT(CA3:CA27, CB3:CB27)</f>
        <v>#NAME?</v>
      </c>
      <c r="DA3" s="76" t="e">
        <f ca="1">CZ3+CY3</f>
        <v>#NAME?</v>
      </c>
      <c r="DB3" s="27"/>
      <c r="DC3" s="2"/>
      <c r="DD3" s="2"/>
      <c r="DE3" s="2"/>
      <c r="DF3" s="2"/>
      <c r="DG3" s="2"/>
      <c r="DH3" s="2"/>
      <c r="DI3" s="2"/>
      <c r="DJ3" s="2"/>
      <c r="DK3" s="2"/>
    </row>
    <row r="4" spans="1:115" ht="16.5" customHeight="1" x14ac:dyDescent="0.15">
      <c r="A4" s="9" t="e">
        <f ca="1">RTD("tws.twsrtdserverctrl",,"sym=" &amp;$I$3, "sec=" &amp;"OPT", "exp="&amp;M8, "strike=" &amp; D4, "right=" &amp;"P", "exch=" &amp;"SMART", "cur=" &amp; "USD","LOW")</f>
        <v>#NAME?</v>
      </c>
      <c r="B4" s="10" t="e">
        <f ca="1">RTD("tws.twsrtdserverctrl",,"sym=" &amp;$I$3, "sec=" &amp;"OPT", "exp="&amp;M8, "strike=" &amp; D4, "right=" &amp;"P", "exch=" &amp;"SMART", "cur=" &amp; "USD","HIGH")</f>
        <v>#NAME?</v>
      </c>
      <c r="C4" s="11" t="e">
        <f ca="1">RTD("tws.twsrtdserverctrl",,"sym=" &amp;$I$3, "sec=" &amp;"OPT", "exp="&amp;M8, "strike=" &amp; D4, "right=" &amp;"P", "exch=" &amp;"SMART", "cur=" &amp; "USD","LAST")</f>
        <v>#NAME?</v>
      </c>
      <c r="D4" s="23">
        <f ca="1">IF(B53&lt;=0,0,D5-$L$7)</f>
        <v>410</v>
      </c>
      <c r="E4" s="11" t="e">
        <f ca="1">RTD("tws.twsrtdserverctrl",,"sym=" &amp;$I$3, "sec=" &amp;"OPT", "exp="&amp;M8, "strike=" &amp; D4, "right=" &amp;"C", "exch=" &amp;"SMART", "cur=" &amp; "USD","LAST")</f>
        <v>#NAME?</v>
      </c>
      <c r="F4" s="10" t="e">
        <f ca="1">RTD("tws.twsrtdserverctrl",,"sym=" &amp;$I$3, "sec=" &amp;"OPT", "exp="&amp;M8, "strike=" &amp; D4, "right=" &amp;"C", "exch=" &amp;"SMART", "cur=" &amp; "USD","HIGH")</f>
        <v>#NAME?</v>
      </c>
      <c r="G4" s="9" t="e">
        <f ca="1">RTD("tws.twsrtdserverctrl",,"sym=" &amp;$I$3, "sec=" &amp;"OPT", "exp="&amp;M8, "strike=" &amp; D4, "right=" &amp;"C", "exch=" &amp;"SMART", "cur=" &amp; "USD","LOW")</f>
        <v>#NAME?</v>
      </c>
      <c r="I4" s="131" t="s">
        <v>18</v>
      </c>
      <c r="J4" s="132"/>
      <c r="K4" s="133"/>
      <c r="L4" s="71">
        <f>IF(I3&lt;&gt;"",RTD("tws.twsrtdserverctrl",,I3,"HIGH"),"")</f>
        <v>470.27</v>
      </c>
      <c r="M4" s="20" t="s">
        <v>2</v>
      </c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96" t="e">
        <f ca="1">RTD("tws.twsrtdserverctrl",,"sym=" &amp;$I$3, "sec=" &amp;"OPT", "exp="&amp;$M$8, "strike=" &amp; D4, "right=" &amp;"P", "exch=" &amp;"SMART", "cur=" &amp; "USD","Volume")*1</f>
        <v>#NAME?</v>
      </c>
      <c r="BT4" s="76" t="e">
        <f ca="1">RTD("tws.twsrtdserverctrl",,"sym=" &amp;$I$3, "sec=" &amp;"OPT", "exp="&amp;$M$8, "strike=" &amp; D4, "right=" &amp;"P", "exch=" &amp;"SMART", "cur=" &amp; "USD","PutOptionOpenInterest")*1</f>
        <v>#NAME?</v>
      </c>
      <c r="BU4" s="76" t="e">
        <f ca="1">RTD("tws.twsrtdserverctrl",,"sym=" &amp;$I$3, "sec=" &amp;"OPT", "exp="&amp;$M$8, "strike=" &amp; D4, "right=" &amp;"P", "exch=" &amp;"SMART", "cur=" &amp; "USD","ModelImpliedVol")</f>
        <v>#NAME?</v>
      </c>
      <c r="BV4" s="76" t="e">
        <f ca="1">RTD("tws.twsrtdserverctrl",,"sym=" &amp;$I$3, "sec=" &amp;"OPT", "exp="&amp;$M$8, "strike=" &amp; D4, "right=" &amp;"P", "exch=" &amp;"SMART", "cur=" &amp; "USD","ModelTheta")</f>
        <v>#NAME?</v>
      </c>
      <c r="BW4" s="76" t="e">
        <f ca="1">RTD("tws.twsrtdserverctrl",,"sym=" &amp;$I$3, "sec=" &amp;"OPT", "exp="&amp;$M$8, "strike=" &amp; D4, "right=" &amp;"P", "exch=" &amp;"SMART", "cur=" &amp; "USD","ModelVega")</f>
        <v>#NAME?</v>
      </c>
      <c r="BX4" s="76" t="e">
        <f ca="1">RTD("tws.twsrtdserverctrl",,"sym=" &amp;$I$3, "sec=" &amp;"OPT", "exp="&amp;$M$8, "strike=" &amp; D4, "right=" &amp;"P", "exch=" &amp;"SMART", "cur=" &amp; "USD","ModelGamma")</f>
        <v>#NAME?</v>
      </c>
      <c r="BY4" s="76" t="e">
        <f ca="1">RTD("tws.twsrtdserverctrl",,"sym=" &amp;$I$3, "sec=" &amp;"OPT", "exp="&amp;$M$8, "strike=" &amp; D4, "right=" &amp;"P", "exch=" &amp;"SMART", "cur=" &amp; "USD","ModelDelta")</f>
        <v>#NAME?</v>
      </c>
      <c r="BZ4" s="97">
        <f t="shared" ref="BZ4:BZ28" ca="1" si="0">D4</f>
        <v>410</v>
      </c>
      <c r="CA4" s="76" t="e">
        <f ca="1">RTD("tws.twsrtdserverctrl",,"sym=" &amp;$I$3, "sec=" &amp;"OPT", "exp="&amp;$M$8, "strike=" &amp; D4, "right=" &amp;"C", "exch=" &amp;"SMART", "cur=" &amp; "USD","ModelDelta")</f>
        <v>#NAME?</v>
      </c>
      <c r="CB4" s="76" t="e">
        <f ca="1">RTD("tws.twsrtdserverctrl",,"sym=" &amp;$I$3, "sec=" &amp;"OPT", "exp="&amp;$M$8, "strike=" &amp; D4, "right=" &amp;"C", "exch=" &amp;"SMART", "cur=" &amp; "USD","ModelGamma")</f>
        <v>#NAME?</v>
      </c>
      <c r="CC4" s="76" t="e">
        <f ca="1">RTD("tws.twsrtdserverctrl",,"sym=" &amp;$I$3, "sec=" &amp;"OPT", "exp="&amp;$M$8, "strike=" &amp; D4, "right=" &amp;"C", "exch=" &amp;"SMART", "cur=" &amp; "USD","ModelVega")</f>
        <v>#NAME?</v>
      </c>
      <c r="CD4" s="76" t="e">
        <f ca="1">RTD("tws.twsrtdserverctrl",,"sym=" &amp;$I$3, "sec=" &amp;"OPT", "exp="&amp;$M$8, "strike=" &amp; D4, "right=" &amp;"C", "exch=" &amp;"SMART", "cur=" &amp; "USD","ModelTheta")</f>
        <v>#NAME?</v>
      </c>
      <c r="CE4" s="76" t="e">
        <f ca="1">RTD("tws.twsrtdserverctrl",,"sym=" &amp;$I$3, "sec=" &amp;"OPT", "exp="&amp;$M$8, "strike=" &amp; D4, "right=" &amp;"C", "exch=" &amp;"SMART", "cur=" &amp; "USD","ModelImpliedVol")</f>
        <v>#NAME?</v>
      </c>
      <c r="CF4" s="76" t="e">
        <f ca="1">RTD("tws.twsrtdserverctrl",,"sym=" &amp;$I$3, "sec=" &amp;"OPT", "exp="&amp;$M$8, "strike=" &amp; D4, "right=" &amp;"C", "exch=" &amp;"SMART", "cur=" &amp; "USD","CALLOptionOpenInterest")*1</f>
        <v>#NAME?</v>
      </c>
      <c r="CG4" s="98" t="e">
        <f ca="1">RTD("tws.twsrtdserverctrl",,"sym=" &amp;$I$3, "sec=" &amp;"OPT", "exp="&amp;$M$8, "strike=" &amp; D4, "right=" &amp;"C", "exch=" &amp;"SMART", "cur=" &amp; "USD","Volume")*1</f>
        <v>#NAME?</v>
      </c>
      <c r="CH4" s="27">
        <v>0</v>
      </c>
      <c r="CI4" s="76" t="e">
        <f t="shared" ref="CI4:CI28" ca="1" si="1">SUMPRODUCT((BY4 - CA4) * (BW4 - CC4))</f>
        <v>#NAME?</v>
      </c>
      <c r="CJ4" s="76" t="e">
        <f t="shared" ref="CJ4:CJ28" ca="1" si="2">BV4*BX4</f>
        <v>#NAME?</v>
      </c>
      <c r="CK4" s="76" t="e">
        <f t="shared" ref="CK4:CK28" ca="1" si="3">CD4*CB4</f>
        <v>#NAME?</v>
      </c>
      <c r="CL4" s="76" t="e">
        <f t="shared" ref="CL4:CL27" ca="1" si="4">(CK4+CJ4)</f>
        <v>#NAME?</v>
      </c>
      <c r="CM4" s="27"/>
      <c r="CN4" s="76" t="e">
        <f t="shared" ref="CN4:CN28" ca="1" si="5">BX4*BT4*-100</f>
        <v>#NAME?</v>
      </c>
      <c r="CO4" s="76" t="e">
        <f t="shared" ref="CO4:CO27" ca="1" si="6">CB4*CF4*100</f>
        <v>#NAME?</v>
      </c>
      <c r="CP4" s="76" t="e">
        <f t="shared" ref="CP4:CP27" ca="1" si="7">(CO4+CN4)/1000</f>
        <v>#NAME?</v>
      </c>
      <c r="CQ4" s="27"/>
      <c r="CR4" s="76" t="e">
        <f t="shared" ref="CR4:CR28" ca="1" si="8">BT4*100*BS4*100*CV4</f>
        <v>#NAME?</v>
      </c>
      <c r="CS4" s="76" t="e">
        <f t="shared" ref="CS4:CS28" ca="1" si="9">CF4*100*CG4*100*CU4</f>
        <v>#NAME?</v>
      </c>
      <c r="CT4" s="76" t="e">
        <f t="shared" ref="CT4:CT28" ca="1" si="10">BY4/BU4</f>
        <v>#NAME?</v>
      </c>
      <c r="CU4" s="76" t="e">
        <f t="shared" ref="CU4:CU28" ca="1" si="11">CA4/CG4</f>
        <v>#NAME?</v>
      </c>
      <c r="CV4" s="76" t="e">
        <f ca="1">BY4/BS4</f>
        <v>#NAME?</v>
      </c>
      <c r="CW4" s="76" t="e">
        <f ca="1">(CV4+CU4)/10000000000</f>
        <v>#NAME?</v>
      </c>
      <c r="CX4" s="27"/>
      <c r="CY4" s="76" t="e">
        <f t="shared" ref="CY4:CY27" ca="1" si="12" xml:space="preserve"> SUMPRODUCT(BY4:BY28, BX4:BX28)</f>
        <v>#NAME?</v>
      </c>
      <c r="CZ4" s="76" t="e">
        <f t="shared" ref="CZ4:CZ27" ca="1" si="13" xml:space="preserve"> SUMPRODUCT(CA4:CA28, CB4:CB28)</f>
        <v>#NAME?</v>
      </c>
      <c r="DA4" s="76" t="e">
        <f t="shared" ref="DA4:DA27" ca="1" si="14">CZ4+CY4</f>
        <v>#NAME?</v>
      </c>
      <c r="DB4" s="27"/>
      <c r="DC4" s="2"/>
      <c r="DD4" s="2"/>
      <c r="DE4" s="2"/>
      <c r="DF4" s="2"/>
      <c r="DG4" s="2"/>
      <c r="DH4" s="2"/>
      <c r="DI4" s="2"/>
      <c r="DJ4" s="2"/>
      <c r="DK4" s="2"/>
    </row>
    <row r="5" spans="1:115" ht="16.5" customHeight="1" x14ac:dyDescent="0.15">
      <c r="A5" s="6" t="e">
        <f ca="1">RTD("tws.twsrtdserverctrl",,"sym=" &amp;$I$3, "sec=" &amp;"OPT", "exp="&amp;M8, "strike=" &amp; D5, "right=" &amp;"P", "exch=" &amp;"SMART", "cur=" &amp; "USD","LOW")</f>
        <v>#NAME?</v>
      </c>
      <c r="B5" s="7" t="e">
        <f ca="1">RTD("tws.twsrtdserverctrl",,"sym=" &amp;$I$3, "sec=" &amp;"OPT", "exp="&amp;M8, "strike=" &amp; D5, "right=" &amp;"P", "exch=" &amp;"SMART", "cur=" &amp; "USD","HIGH")</f>
        <v>#NAME?</v>
      </c>
      <c r="C5" s="8" t="e">
        <f ca="1">RTD("tws.twsrtdserverctrl",,"sym=" &amp;$I$3, "sec=" &amp;"OPT", "exp="&amp;M8, "strike=" &amp; D5, "right=" &amp;"P", "exch=" &amp;"SMART", "cur=" &amp; "USD","LAST")</f>
        <v>#NAME?</v>
      </c>
      <c r="D5" s="22">
        <f ca="1">IF(B53&lt;=0,0,D6-$L$7)</f>
        <v>415</v>
      </c>
      <c r="E5" s="8" t="e">
        <f ca="1">RTD("tws.twsrtdserverctrl",,"sym=" &amp;$I$3, "sec=" &amp;"OPT", "exp="&amp;M8, "strike=" &amp; D5, "right=" &amp;"C", "exch=" &amp;"SMART", "cur=" &amp; "USD","LAST")</f>
        <v>#NAME?</v>
      </c>
      <c r="F5" s="7" t="e">
        <f ca="1">RTD("tws.twsrtdserverctrl",,"sym=" &amp;$I$3, "sec=" &amp;"OPT", "exp="&amp;M8, "strike=" &amp; D5, "right=" &amp;"C", "exch=" &amp;"SMART", "cur=" &amp; "USD","HIGH")</f>
        <v>#NAME?</v>
      </c>
      <c r="G5" s="6" t="e">
        <f ca="1">RTD("tws.twsrtdserverctrl",,"sym=" &amp;$I$3, "sec=" &amp;"OPT", "exp="&amp;M8, "strike=" &amp; D5, "right=" &amp;"C", "exch=" &amp;"SMART", "cur=" &amp; "USD","LOW")</f>
        <v>#NAME?</v>
      </c>
      <c r="I5" s="139">
        <v>45142</v>
      </c>
      <c r="J5" s="140"/>
      <c r="K5" s="141"/>
      <c r="L5" s="72">
        <f>IF(I3&lt;&gt;"",RTD("tws.twsrtdserverctrl",,I3,"LOW"),"")</f>
        <v>463.81</v>
      </c>
      <c r="M5" s="20" t="s">
        <v>1</v>
      </c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96" t="e">
        <f ca="1">RTD("tws.twsrtdserverctrl",,"sym=" &amp;$I$3, "sec=" &amp;"OPT", "exp="&amp;$M$8, "strike=" &amp; D5, "right=" &amp;"P", "exch=" &amp;"SMART", "cur=" &amp; "USD","Volume")*1</f>
        <v>#NAME?</v>
      </c>
      <c r="BT5" s="76" t="e">
        <f ca="1">RTD("tws.twsrtdserverctrl",,"sym=" &amp;$I$3, "sec=" &amp;"OPT", "exp="&amp;$M$8, "strike=" &amp; D5, "right=" &amp;"P", "exch=" &amp;"SMART", "cur=" &amp; "USD","PutOptionOpenInterest")*1</f>
        <v>#NAME?</v>
      </c>
      <c r="BU5" s="76" t="e">
        <f ca="1">RTD("tws.twsrtdserverctrl",,"sym=" &amp;$I$3, "sec=" &amp;"OPT", "exp="&amp;$M$8, "strike=" &amp; D5, "right=" &amp;"P", "exch=" &amp;"SMART", "cur=" &amp; "USD","ModelImpliedVol")</f>
        <v>#NAME?</v>
      </c>
      <c r="BV5" s="76" t="e">
        <f ca="1">RTD("tws.twsrtdserverctrl",,"sym=" &amp;$I$3, "sec=" &amp;"OPT", "exp="&amp;$M$8, "strike=" &amp; D5, "right=" &amp;"P", "exch=" &amp;"SMART", "cur=" &amp; "USD","ModelTheta")</f>
        <v>#NAME?</v>
      </c>
      <c r="BW5" s="76" t="e">
        <f ca="1">RTD("tws.twsrtdserverctrl",,"sym=" &amp;$I$3, "sec=" &amp;"OPT", "exp="&amp;$M$8, "strike=" &amp; D5, "right=" &amp;"P", "exch=" &amp;"SMART", "cur=" &amp; "USD","ModelVega")</f>
        <v>#NAME?</v>
      </c>
      <c r="BX5" s="76" t="e">
        <f ca="1">RTD("tws.twsrtdserverctrl",,"sym=" &amp;$I$3, "sec=" &amp;"OPT", "exp="&amp;$M$8, "strike=" &amp; D5, "right=" &amp;"P", "exch=" &amp;"SMART", "cur=" &amp; "USD","ModelGamma")</f>
        <v>#NAME?</v>
      </c>
      <c r="BY5" s="76" t="e">
        <f ca="1">RTD("tws.twsrtdserverctrl",,"sym=" &amp;$I$3, "sec=" &amp;"OPT", "exp="&amp;$M$8, "strike=" &amp; D5, "right=" &amp;"P", "exch=" &amp;"SMART", "cur=" &amp; "USD","ModelDelta")</f>
        <v>#NAME?</v>
      </c>
      <c r="BZ5" s="97">
        <f t="shared" ca="1" si="0"/>
        <v>415</v>
      </c>
      <c r="CA5" s="76" t="e">
        <f ca="1">RTD("tws.twsrtdserverctrl",,"sym=" &amp;$I$3, "sec=" &amp;"OPT", "exp="&amp;$M$8, "strike=" &amp; D5, "right=" &amp;"C", "exch=" &amp;"SMART", "cur=" &amp; "USD","ModelDelta")</f>
        <v>#NAME?</v>
      </c>
      <c r="CB5" s="76" t="e">
        <f ca="1">RTD("tws.twsrtdserverctrl",,"sym=" &amp;$I$3, "sec=" &amp;"OPT", "exp="&amp;$M$8, "strike=" &amp; D5, "right=" &amp;"C", "exch=" &amp;"SMART", "cur=" &amp; "USD","ModelGamma")</f>
        <v>#NAME?</v>
      </c>
      <c r="CC5" s="76" t="e">
        <f ca="1">RTD("tws.twsrtdserverctrl",,"sym=" &amp;$I$3, "sec=" &amp;"OPT", "exp="&amp;$M$8, "strike=" &amp; D5, "right=" &amp;"C", "exch=" &amp;"SMART", "cur=" &amp; "USD","ModelVega")</f>
        <v>#NAME?</v>
      </c>
      <c r="CD5" s="76" t="e">
        <f ca="1">RTD("tws.twsrtdserverctrl",,"sym=" &amp;$I$3, "sec=" &amp;"OPT", "exp="&amp;$M$8, "strike=" &amp; D5, "right=" &amp;"C", "exch=" &amp;"SMART", "cur=" &amp; "USD","ModelTheta")</f>
        <v>#NAME?</v>
      </c>
      <c r="CE5" s="76" t="e">
        <f ca="1">RTD("tws.twsrtdserverctrl",,"sym=" &amp;$I$3, "sec=" &amp;"OPT", "exp="&amp;$M$8, "strike=" &amp; D5, "right=" &amp;"C", "exch=" &amp;"SMART", "cur=" &amp; "USD","ModelImpliedVol")</f>
        <v>#NAME?</v>
      </c>
      <c r="CF5" s="76" t="e">
        <f ca="1">RTD("tws.twsrtdserverctrl",,"sym=" &amp;$I$3, "sec=" &amp;"OPT", "exp="&amp;$M$8, "strike=" &amp; D5, "right=" &amp;"C", "exch=" &amp;"SMART", "cur=" &amp; "USD","CALLOptionOpenInterest")*1</f>
        <v>#NAME?</v>
      </c>
      <c r="CG5" s="98" t="e">
        <f ca="1">RTD("tws.twsrtdserverctrl",,"sym=" &amp;$I$3, "sec=" &amp;"OPT", "exp="&amp;$M$8, "strike=" &amp; D5, "right=" &amp;"C", "exch=" &amp;"SMART", "cur=" &amp; "USD","Volume")*1</f>
        <v>#NAME?</v>
      </c>
      <c r="CH5" s="27">
        <v>0</v>
      </c>
      <c r="CI5" s="76" t="e">
        <f t="shared" ca="1" si="1"/>
        <v>#NAME?</v>
      </c>
      <c r="CJ5" s="76" t="e">
        <f t="shared" ca="1" si="2"/>
        <v>#NAME?</v>
      </c>
      <c r="CK5" s="76" t="e">
        <f t="shared" ca="1" si="3"/>
        <v>#NAME?</v>
      </c>
      <c r="CL5" s="76" t="e">
        <f t="shared" ca="1" si="4"/>
        <v>#NAME?</v>
      </c>
      <c r="CM5" s="27"/>
      <c r="CN5" s="76" t="e">
        <f t="shared" ca="1" si="5"/>
        <v>#NAME?</v>
      </c>
      <c r="CO5" s="76" t="e">
        <f t="shared" ca="1" si="6"/>
        <v>#NAME?</v>
      </c>
      <c r="CP5" s="76" t="e">
        <f t="shared" ca="1" si="7"/>
        <v>#NAME?</v>
      </c>
      <c r="CQ5" s="27"/>
      <c r="CR5" s="76" t="e">
        <f t="shared" ca="1" si="8"/>
        <v>#NAME?</v>
      </c>
      <c r="CS5" s="76" t="e">
        <f t="shared" ca="1" si="9"/>
        <v>#NAME?</v>
      </c>
      <c r="CT5" s="76" t="e">
        <f t="shared" ca="1" si="10"/>
        <v>#NAME?</v>
      </c>
      <c r="CU5" s="76" t="e">
        <f t="shared" ca="1" si="11"/>
        <v>#NAME?</v>
      </c>
      <c r="CV5" s="76" t="e">
        <f t="shared" ref="CV5:CV28" ca="1" si="15">BY5/BS5</f>
        <v>#NAME?</v>
      </c>
      <c r="CW5" s="76" t="e">
        <f t="shared" ref="CW5:CW27" ca="1" si="16">(CV5+CU5)/10000000</f>
        <v>#NAME?</v>
      </c>
      <c r="CX5" s="27"/>
      <c r="CY5" s="76" t="e">
        <f t="shared" ca="1" si="12"/>
        <v>#NAME?</v>
      </c>
      <c r="CZ5" s="76" t="e">
        <f t="shared" ca="1" si="13"/>
        <v>#NAME?</v>
      </c>
      <c r="DA5" s="76" t="e">
        <f t="shared" ca="1" si="14"/>
        <v>#NAME?</v>
      </c>
      <c r="DB5" s="27"/>
      <c r="DC5" s="2"/>
      <c r="DD5" s="2"/>
      <c r="DE5" s="2"/>
      <c r="DF5" s="2"/>
      <c r="DG5" s="2"/>
      <c r="DH5" s="2"/>
      <c r="DI5" s="2"/>
      <c r="DJ5" s="2"/>
      <c r="DK5" s="2"/>
    </row>
    <row r="6" spans="1:115" ht="16.5" customHeight="1" x14ac:dyDescent="0.15">
      <c r="A6" s="9" t="e">
        <f ca="1">RTD("tws.twsrtdserverctrl",,"sym=" &amp;$I$3, "sec=" &amp;"OPT", "exp="&amp;M8, "strike=" &amp; D6, "right=" &amp;"P", "exch=" &amp;"SMART", "cur=" &amp; "USD","LOW")</f>
        <v>#NAME?</v>
      </c>
      <c r="B6" s="10" t="e">
        <f ca="1">RTD("tws.twsrtdserverctrl",,"sym=" &amp;$I$3, "sec=" &amp;"OPT", "exp="&amp;M8, "strike=" &amp; D6, "right=" &amp;"P", "exch=" &amp;"SMART", "cur=" &amp; "USD","HIGH")</f>
        <v>#NAME?</v>
      </c>
      <c r="C6" s="11" t="e">
        <f ca="1">RTD("tws.twsrtdserverctrl",,"sym=" &amp;$I$3, "sec=" &amp;"OPT", "exp="&amp;M8, "strike=" &amp; D6, "right=" &amp;"P", "exch=" &amp;"SMART", "cur=" &amp; "USD","LAST")</f>
        <v>#NAME?</v>
      </c>
      <c r="D6" s="23">
        <f ca="1">IF(B53&lt;=0,0,D7-$L$7)</f>
        <v>420</v>
      </c>
      <c r="E6" s="11" t="e">
        <f ca="1">RTD("tws.twsrtdserverctrl",,"sym=" &amp;$I$3, "sec=" &amp;"OPT", "exp="&amp;M8, "strike=" &amp; D6, "right=" &amp;"C", "exch=" &amp;"SMART", "cur=" &amp; "USD","LAST")</f>
        <v>#NAME?</v>
      </c>
      <c r="F6" s="10" t="e">
        <f ca="1">RTD("tws.twsrtdserverctrl",,"sym=" &amp;$I$3, "sec=" &amp;"OPT", "exp="&amp;M8, "strike=" &amp; D6, "right=" &amp;"C", "exch=" &amp;"SMART", "cur=" &amp; "USD","HIGH")</f>
        <v>#NAME?</v>
      </c>
      <c r="G6" s="9" t="e">
        <f ca="1">RTD("tws.twsrtdserverctrl",,"sym=" &amp;$I$3, "sec=" &amp;"OPT", "exp="&amp;M8, "strike=" &amp; D6, "right=" &amp;"C", "exch=" &amp;"SMART", "cur=" &amp; "USD","LOW")</f>
        <v>#NAME?</v>
      </c>
      <c r="I6" s="131" t="s">
        <v>23</v>
      </c>
      <c r="J6" s="132"/>
      <c r="K6" s="73" t="e">
        <f ca="1">DATEDIF(TODAY(),I5,"D")</f>
        <v>#NUM!</v>
      </c>
      <c r="L6" s="74">
        <f>IF(I3&lt;&gt;"",RTD("tws.twsrtdserverctrl",,I3,"CLOSE"),"")</f>
        <v>459</v>
      </c>
      <c r="M6" s="20" t="s">
        <v>19</v>
      </c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96" t="e">
        <f ca="1">RTD("tws.twsrtdserverctrl",,"sym=" &amp;$I$3, "sec=" &amp;"OPT", "exp="&amp;$M$8, "strike=" &amp; D6, "right=" &amp;"P", "exch=" &amp;"SMART", "cur=" &amp; "USD","Volume")*1</f>
        <v>#NAME?</v>
      </c>
      <c r="BT6" s="76" t="e">
        <f ca="1">RTD("tws.twsrtdserverctrl",,"sym=" &amp;$I$3, "sec=" &amp;"OPT", "exp="&amp;$M$8, "strike=" &amp; D6, "right=" &amp;"P", "exch=" &amp;"SMART", "cur=" &amp; "USD","PutOptionOpenInterest")*1</f>
        <v>#NAME?</v>
      </c>
      <c r="BU6" s="76" t="e">
        <f ca="1">RTD("tws.twsrtdserverctrl",,"sym=" &amp;$I$3, "sec=" &amp;"OPT", "exp="&amp;$M$8, "strike=" &amp; D6, "right=" &amp;"P", "exch=" &amp;"SMART", "cur=" &amp; "USD","ModelImpliedVol")</f>
        <v>#NAME?</v>
      </c>
      <c r="BV6" s="76" t="e">
        <f ca="1">RTD("tws.twsrtdserverctrl",,"sym=" &amp;$I$3, "sec=" &amp;"OPT", "exp="&amp;$M$8, "strike=" &amp; D6, "right=" &amp;"P", "exch=" &amp;"SMART", "cur=" &amp; "USD","ModelTheta")</f>
        <v>#NAME?</v>
      </c>
      <c r="BW6" s="76" t="e">
        <f ca="1">RTD("tws.twsrtdserverctrl",,"sym=" &amp;$I$3, "sec=" &amp;"OPT", "exp="&amp;$M$8, "strike=" &amp; D6, "right=" &amp;"P", "exch=" &amp;"SMART", "cur=" &amp; "USD","ModelVega")</f>
        <v>#NAME?</v>
      </c>
      <c r="BX6" s="76" t="e">
        <f ca="1">RTD("tws.twsrtdserverctrl",,"sym=" &amp;$I$3, "sec=" &amp;"OPT", "exp="&amp;$M$8, "strike=" &amp; D6, "right=" &amp;"P", "exch=" &amp;"SMART", "cur=" &amp; "USD","ModelGamma")</f>
        <v>#NAME?</v>
      </c>
      <c r="BY6" s="76" t="e">
        <f ca="1">RTD("tws.twsrtdserverctrl",,"sym=" &amp;$I$3, "sec=" &amp;"OPT", "exp="&amp;$M$8, "strike=" &amp; D6, "right=" &amp;"P", "exch=" &amp;"SMART", "cur=" &amp; "USD","ModelDelta")</f>
        <v>#NAME?</v>
      </c>
      <c r="BZ6" s="97">
        <f t="shared" ca="1" si="0"/>
        <v>420</v>
      </c>
      <c r="CA6" s="76" t="e">
        <f ca="1">RTD("tws.twsrtdserverctrl",,"sym=" &amp;$I$3, "sec=" &amp;"OPT", "exp="&amp;$M$8, "strike=" &amp; D6, "right=" &amp;"C", "exch=" &amp;"SMART", "cur=" &amp; "USD","ModelDelta")</f>
        <v>#NAME?</v>
      </c>
      <c r="CB6" s="76" t="e">
        <f ca="1">RTD("tws.twsrtdserverctrl",,"sym=" &amp;$I$3, "sec=" &amp;"OPT", "exp="&amp;$M$8, "strike=" &amp; D6, "right=" &amp;"C", "exch=" &amp;"SMART", "cur=" &amp; "USD","ModelGamma")</f>
        <v>#NAME?</v>
      </c>
      <c r="CC6" s="76" t="e">
        <f ca="1">RTD("tws.twsrtdserverctrl",,"sym=" &amp;$I$3, "sec=" &amp;"OPT", "exp="&amp;$M$8, "strike=" &amp; D6, "right=" &amp;"C", "exch=" &amp;"SMART", "cur=" &amp; "USD","ModelVega")</f>
        <v>#NAME?</v>
      </c>
      <c r="CD6" s="76" t="e">
        <f ca="1">RTD("tws.twsrtdserverctrl",,"sym=" &amp;$I$3, "sec=" &amp;"OPT", "exp="&amp;$M$8, "strike=" &amp; D6, "right=" &amp;"C", "exch=" &amp;"SMART", "cur=" &amp; "USD","ModelTheta")</f>
        <v>#NAME?</v>
      </c>
      <c r="CE6" s="76" t="e">
        <f ca="1">RTD("tws.twsrtdserverctrl",,"sym=" &amp;$I$3, "sec=" &amp;"OPT", "exp="&amp;$M$8, "strike=" &amp; D6, "right=" &amp;"C", "exch=" &amp;"SMART", "cur=" &amp; "USD","ModelImpliedVol")</f>
        <v>#NAME?</v>
      </c>
      <c r="CF6" s="76" t="e">
        <f ca="1">RTD("tws.twsrtdserverctrl",,"sym=" &amp;$I$3, "sec=" &amp;"OPT", "exp="&amp;$M$8, "strike=" &amp; D6, "right=" &amp;"C", "exch=" &amp;"SMART", "cur=" &amp; "USD","CALLOptionOpenInterest")*1</f>
        <v>#NAME?</v>
      </c>
      <c r="CG6" s="98" t="e">
        <f ca="1">RTD("tws.twsrtdserverctrl",,"sym=" &amp;$I$3, "sec=" &amp;"OPT", "exp="&amp;$M$8, "strike=" &amp; D6, "right=" &amp;"C", "exch=" &amp;"SMART", "cur=" &amp; "USD","Volume")*1</f>
        <v>#NAME?</v>
      </c>
      <c r="CH6" s="27">
        <v>0</v>
      </c>
      <c r="CI6" s="76" t="e">
        <f t="shared" ca="1" si="1"/>
        <v>#NAME?</v>
      </c>
      <c r="CJ6" s="76" t="e">
        <f t="shared" ca="1" si="2"/>
        <v>#NAME?</v>
      </c>
      <c r="CK6" s="76" t="e">
        <f t="shared" ca="1" si="3"/>
        <v>#NAME?</v>
      </c>
      <c r="CL6" s="76" t="e">
        <f t="shared" ca="1" si="4"/>
        <v>#NAME?</v>
      </c>
      <c r="CM6" s="27"/>
      <c r="CN6" s="76" t="e">
        <f t="shared" ca="1" si="5"/>
        <v>#NAME?</v>
      </c>
      <c r="CO6" s="76" t="e">
        <f t="shared" ca="1" si="6"/>
        <v>#NAME?</v>
      </c>
      <c r="CP6" s="76" t="e">
        <f t="shared" ca="1" si="7"/>
        <v>#NAME?</v>
      </c>
      <c r="CQ6" s="27"/>
      <c r="CR6" s="76" t="e">
        <f t="shared" ca="1" si="8"/>
        <v>#NAME?</v>
      </c>
      <c r="CS6" s="76" t="e">
        <f t="shared" ca="1" si="9"/>
        <v>#NAME?</v>
      </c>
      <c r="CT6" s="76" t="e">
        <f t="shared" ca="1" si="10"/>
        <v>#NAME?</v>
      </c>
      <c r="CU6" s="76" t="e">
        <f t="shared" ca="1" si="11"/>
        <v>#NAME?</v>
      </c>
      <c r="CV6" s="76" t="e">
        <f t="shared" ca="1" si="15"/>
        <v>#NAME?</v>
      </c>
      <c r="CW6" s="76" t="e">
        <f t="shared" ca="1" si="16"/>
        <v>#NAME?</v>
      </c>
      <c r="CX6" s="27"/>
      <c r="CY6" s="76" t="e">
        <f t="shared" ca="1" si="12"/>
        <v>#NAME?</v>
      </c>
      <c r="CZ6" s="76" t="e">
        <f t="shared" ca="1" si="13"/>
        <v>#NAME?</v>
      </c>
      <c r="DA6" s="76" t="e">
        <f t="shared" ca="1" si="14"/>
        <v>#NAME?</v>
      </c>
      <c r="DB6" s="27"/>
      <c r="DC6" s="2"/>
      <c r="DD6" s="2"/>
      <c r="DE6" s="2"/>
      <c r="DF6" s="2"/>
      <c r="DG6" s="2"/>
      <c r="DH6" s="2"/>
      <c r="DI6" s="2"/>
      <c r="DJ6" s="2"/>
      <c r="DK6" s="2"/>
    </row>
    <row r="7" spans="1:115" ht="16.5" customHeight="1" x14ac:dyDescent="0.15">
      <c r="A7" s="6" t="e">
        <f ca="1">RTD("tws.twsrtdserverctrl",,"sym=" &amp;$I$3, "sec=" &amp;"OPT", "exp="&amp;M8, "strike=" &amp; D7, "right=" &amp;"P", "exch=" &amp;"SMART", "cur=" &amp; "USD","LOW")</f>
        <v>#NAME?</v>
      </c>
      <c r="B7" s="7" t="e">
        <f ca="1">RTD("tws.twsrtdserverctrl",,"sym=" &amp;$I$3, "sec=" &amp;"OPT", "exp="&amp;M8, "strike=" &amp; D7, "right=" &amp;"P", "exch=" &amp;"SMART", "cur=" &amp; "USD","HIGH")</f>
        <v>#NAME?</v>
      </c>
      <c r="C7" s="8" t="e">
        <f ca="1">RTD("tws.twsrtdserverctrl",,"sym=" &amp;$I$3, "sec=" &amp;"OPT", "exp="&amp;M8, "strike=" &amp; D7, "right=" &amp;"P", "exch=" &amp;"SMART", "cur=" &amp; "USD","LAST")</f>
        <v>#NAME?</v>
      </c>
      <c r="D7" s="22">
        <f ca="1">IF(B53&lt;=0,0,D8-$L$7)</f>
        <v>425</v>
      </c>
      <c r="E7" s="8" t="e">
        <f ca="1">RTD("tws.twsrtdserverctrl",,"sym=" &amp;$I$3, "sec=" &amp;"OPT", "exp="&amp;M8, "strike=" &amp; D7, "right=" &amp;"C", "exch=" &amp;"SMART", "cur=" &amp; "USD","LAST")</f>
        <v>#NAME?</v>
      </c>
      <c r="F7" s="7" t="e">
        <f ca="1">RTD("tws.twsrtdserverctrl",,"sym=" &amp;$I$3, "sec=" &amp;"OPT", "exp="&amp;M8, "strike=" &amp; D7, "right=" &amp;"C", "exch=" &amp;"SMART", "cur=" &amp; "USD","HIGH")</f>
        <v>#NAME?</v>
      </c>
      <c r="G7" s="6" t="e">
        <f ca="1">RTD("tws.twsrtdserverctrl",,"sym=" &amp;$I$3, "sec=" &amp;"OPT", "exp="&amp;M8, "strike=" &amp; D7, "right=" &amp;"C", "exch=" &amp;"SMART", "cur=" &amp; "USD","LOW")</f>
        <v>#NAME?</v>
      </c>
      <c r="I7" s="116" t="s">
        <v>20</v>
      </c>
      <c r="J7" s="117"/>
      <c r="K7" s="117"/>
      <c r="L7" s="130">
        <v>5</v>
      </c>
      <c r="M7" s="130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96" t="e">
        <f ca="1">RTD("tws.twsrtdserverctrl",,"sym=" &amp;$I$3, "sec=" &amp;"OPT", "exp="&amp;$M$8, "strike=" &amp; D7, "right=" &amp;"P", "exch=" &amp;"SMART", "cur=" &amp; "USD","Volume")*1</f>
        <v>#NAME?</v>
      </c>
      <c r="BT7" s="76" t="e">
        <f ca="1">RTD("tws.twsrtdserverctrl",,"sym=" &amp;$I$3, "sec=" &amp;"OPT", "exp="&amp;$M$8, "strike=" &amp; D7, "right=" &amp;"P", "exch=" &amp;"SMART", "cur=" &amp; "USD","PutOptionOpenInterest")*1</f>
        <v>#NAME?</v>
      </c>
      <c r="BU7" s="76" t="e">
        <f ca="1">RTD("tws.twsrtdserverctrl",,"sym=" &amp;$I$3, "sec=" &amp;"OPT", "exp="&amp;$M$8, "strike=" &amp; D7, "right=" &amp;"P", "exch=" &amp;"SMART", "cur=" &amp; "USD","ModelImpliedVol")</f>
        <v>#NAME?</v>
      </c>
      <c r="BV7" s="76" t="e">
        <f ca="1">RTD("tws.twsrtdserverctrl",,"sym=" &amp;$I$3, "sec=" &amp;"OPT", "exp="&amp;$M$8, "strike=" &amp; D7, "right=" &amp;"P", "exch=" &amp;"SMART", "cur=" &amp; "USD","ModelTheta")</f>
        <v>#NAME?</v>
      </c>
      <c r="BW7" s="76" t="e">
        <f ca="1">RTD("tws.twsrtdserverctrl",,"sym=" &amp;$I$3, "sec=" &amp;"OPT", "exp="&amp;$M$8, "strike=" &amp; D7, "right=" &amp;"P", "exch=" &amp;"SMART", "cur=" &amp; "USD","ModelVega")</f>
        <v>#NAME?</v>
      </c>
      <c r="BX7" s="76" t="e">
        <f ca="1">RTD("tws.twsrtdserverctrl",,"sym=" &amp;$I$3, "sec=" &amp;"OPT", "exp="&amp;$M$8, "strike=" &amp; D7, "right=" &amp;"P", "exch=" &amp;"SMART", "cur=" &amp; "USD","ModelGamma")</f>
        <v>#NAME?</v>
      </c>
      <c r="BY7" s="76" t="e">
        <f ca="1">RTD("tws.twsrtdserverctrl",,"sym=" &amp;$I$3, "sec=" &amp;"OPT", "exp="&amp;$M$8, "strike=" &amp; D7, "right=" &amp;"P", "exch=" &amp;"SMART", "cur=" &amp; "USD","ModelDelta")</f>
        <v>#NAME?</v>
      </c>
      <c r="BZ7" s="97">
        <f t="shared" ca="1" si="0"/>
        <v>425</v>
      </c>
      <c r="CA7" s="76" t="e">
        <f ca="1">RTD("tws.twsrtdserverctrl",,"sym=" &amp;$I$3, "sec=" &amp;"OPT", "exp="&amp;$M$8, "strike=" &amp; D7, "right=" &amp;"C", "exch=" &amp;"SMART", "cur=" &amp; "USD","ModelDelta")</f>
        <v>#NAME?</v>
      </c>
      <c r="CB7" s="76" t="e">
        <f ca="1">RTD("tws.twsrtdserverctrl",,"sym=" &amp;$I$3, "sec=" &amp;"OPT", "exp="&amp;$M$8, "strike=" &amp; D7, "right=" &amp;"C", "exch=" &amp;"SMART", "cur=" &amp; "USD","ModelGamma")</f>
        <v>#NAME?</v>
      </c>
      <c r="CC7" s="76" t="e">
        <f ca="1">RTD("tws.twsrtdserverctrl",,"sym=" &amp;$I$3, "sec=" &amp;"OPT", "exp="&amp;$M$8, "strike=" &amp; D7, "right=" &amp;"C", "exch=" &amp;"SMART", "cur=" &amp; "USD","ModelVega")</f>
        <v>#NAME?</v>
      </c>
      <c r="CD7" s="76" t="e">
        <f ca="1">RTD("tws.twsrtdserverctrl",,"sym=" &amp;$I$3, "sec=" &amp;"OPT", "exp="&amp;$M$8, "strike=" &amp; D7, "right=" &amp;"C", "exch=" &amp;"SMART", "cur=" &amp; "USD","ModelTheta")</f>
        <v>#NAME?</v>
      </c>
      <c r="CE7" s="76" t="e">
        <f ca="1">RTD("tws.twsrtdserverctrl",,"sym=" &amp;$I$3, "sec=" &amp;"OPT", "exp="&amp;$M$8, "strike=" &amp; D7, "right=" &amp;"C", "exch=" &amp;"SMART", "cur=" &amp; "USD","ModelImpliedVol")</f>
        <v>#NAME?</v>
      </c>
      <c r="CF7" s="76" t="e">
        <f ca="1">RTD("tws.twsrtdserverctrl",,"sym=" &amp;$I$3, "sec=" &amp;"OPT", "exp="&amp;$M$8, "strike=" &amp; D7, "right=" &amp;"C", "exch=" &amp;"SMART", "cur=" &amp; "USD","CALLOptionOpenInterest")*1</f>
        <v>#NAME?</v>
      </c>
      <c r="CG7" s="98" t="e">
        <f ca="1">RTD("tws.twsrtdserverctrl",,"sym=" &amp;$I$3, "sec=" &amp;"OPT", "exp="&amp;$M$8, "strike=" &amp; D7, "right=" &amp;"C", "exch=" &amp;"SMART", "cur=" &amp; "USD","Volume")*1</f>
        <v>#NAME?</v>
      </c>
      <c r="CH7" s="27">
        <v>0</v>
      </c>
      <c r="CI7" s="76" t="e">
        <f t="shared" ca="1" si="1"/>
        <v>#NAME?</v>
      </c>
      <c r="CJ7" s="76" t="e">
        <f t="shared" ca="1" si="2"/>
        <v>#NAME?</v>
      </c>
      <c r="CK7" s="76" t="e">
        <f t="shared" ca="1" si="3"/>
        <v>#NAME?</v>
      </c>
      <c r="CL7" s="76" t="e">
        <f t="shared" ca="1" si="4"/>
        <v>#NAME?</v>
      </c>
      <c r="CM7" s="27"/>
      <c r="CN7" s="76" t="e">
        <f t="shared" ca="1" si="5"/>
        <v>#NAME?</v>
      </c>
      <c r="CO7" s="76" t="e">
        <f t="shared" ca="1" si="6"/>
        <v>#NAME?</v>
      </c>
      <c r="CP7" s="76" t="e">
        <f t="shared" ca="1" si="7"/>
        <v>#NAME?</v>
      </c>
      <c r="CQ7" s="27"/>
      <c r="CR7" s="76" t="e">
        <f t="shared" ca="1" si="8"/>
        <v>#NAME?</v>
      </c>
      <c r="CS7" s="76" t="e">
        <f t="shared" ca="1" si="9"/>
        <v>#NAME?</v>
      </c>
      <c r="CT7" s="76" t="e">
        <f t="shared" ca="1" si="10"/>
        <v>#NAME?</v>
      </c>
      <c r="CU7" s="76" t="e">
        <f t="shared" ca="1" si="11"/>
        <v>#NAME?</v>
      </c>
      <c r="CV7" s="76" t="e">
        <f t="shared" ca="1" si="15"/>
        <v>#NAME?</v>
      </c>
      <c r="CW7" s="76" t="e">
        <f t="shared" ca="1" si="16"/>
        <v>#NAME?</v>
      </c>
      <c r="CX7" s="27"/>
      <c r="CY7" s="76" t="e">
        <f t="shared" ca="1" si="12"/>
        <v>#NAME?</v>
      </c>
      <c r="CZ7" s="76" t="e">
        <f t="shared" ca="1" si="13"/>
        <v>#NAME?</v>
      </c>
      <c r="DA7" s="76" t="e">
        <f t="shared" ca="1" si="14"/>
        <v>#NAME?</v>
      </c>
      <c r="DB7" s="27"/>
      <c r="DC7" s="2"/>
      <c r="DD7" s="2"/>
      <c r="DE7" s="2"/>
      <c r="DF7" s="2"/>
      <c r="DG7" s="2"/>
      <c r="DH7" s="2"/>
      <c r="DI7" s="2"/>
      <c r="DJ7" s="2"/>
      <c r="DK7" s="2"/>
    </row>
    <row r="8" spans="1:115" ht="16.5" customHeight="1" x14ac:dyDescent="0.15">
      <c r="A8" s="9" t="e">
        <f ca="1">RTD("tws.twsrtdserverctrl",,"sym=" &amp;$I$3, "sec=" &amp;"OPT", "exp="&amp;M8, "strike=" &amp; D8, "right=" &amp;"P", "exch=" &amp;"SMART", "cur=" &amp; "USD","LOW")</f>
        <v>#NAME?</v>
      </c>
      <c r="B8" s="10" t="e">
        <f ca="1">RTD("tws.twsrtdserverctrl",,"sym=" &amp;$I$3, "sec=" &amp;"OPT", "exp="&amp;M8, "strike=" &amp; D8, "right=" &amp;"P", "exch=" &amp;"SMART", "cur=" &amp; "USD","HIGH")</f>
        <v>#NAME?</v>
      </c>
      <c r="C8" s="11" t="e">
        <f ca="1">RTD("tws.twsrtdserverctrl",,"sym=" &amp;$I$3, "sec=" &amp;"OPT", "exp="&amp;M8, "strike=" &amp; D8, "right=" &amp;"P", "exch=" &amp;"SMART", "cur=" &amp; "USD","LAST")</f>
        <v>#NAME?</v>
      </c>
      <c r="D8" s="23">
        <f ca="1">IF(B53&lt;=0,0,D9-$L$7)</f>
        <v>430</v>
      </c>
      <c r="E8" s="11" t="e">
        <f ca="1">RTD("tws.twsrtdserverctrl",,"sym=" &amp;$I$3, "sec=" &amp;"OPT", "exp="&amp;M8, "strike=" &amp; D8, "right=" &amp;"C", "exch=" &amp;"SMART", "cur=" &amp; "USD","LAST")</f>
        <v>#NAME?</v>
      </c>
      <c r="F8" s="10" t="e">
        <f ca="1">RTD("tws.twsrtdserverctrl",,"sym=" &amp;$I$3, "sec=" &amp;"OPT", "exp="&amp;M8, "strike=" &amp; D8, "right=" &amp;"C", "exch=" &amp;"SMART", "cur=" &amp; "USD","HIGH")</f>
        <v>#NAME?</v>
      </c>
      <c r="G8" s="9" t="e">
        <f ca="1">RTD("tws.twsrtdserverctrl",,"sym=" &amp;$I$3, "sec=" &amp;"OPT", "exp="&amp;M8, "strike=" &amp; D8, "right=" &amp;"C", "exch=" &amp;"SMART", "cur=" &amp; "USD","LOW")</f>
        <v>#NAME?</v>
      </c>
      <c r="I8" s="18" t="str">
        <f>TEXT(I5,"dd")</f>
        <v>04</v>
      </c>
      <c r="J8" s="18" t="str">
        <f>TEXT(I5,"mm")</f>
        <v>08</v>
      </c>
      <c r="K8" s="18" t="str">
        <f>TEXT(I5,"yyyy")</f>
        <v>2023</v>
      </c>
      <c r="L8" s="75">
        <f ca="1">NOW()</f>
        <v>45149.701400694445</v>
      </c>
      <c r="M8" s="76" t="str">
        <f>K8&amp;J8&amp;I8</f>
        <v>20230804</v>
      </c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96" t="e">
        <f ca="1">RTD("tws.twsrtdserverctrl",,"sym=" &amp;$I$3, "sec=" &amp;"OPT", "exp="&amp;$M$8, "strike=" &amp; D8, "right=" &amp;"P", "exch=" &amp;"SMART", "cur=" &amp; "USD","Volume")*1</f>
        <v>#NAME?</v>
      </c>
      <c r="BT8" s="76" t="e">
        <f ca="1">RTD("tws.twsrtdserverctrl",,"sym=" &amp;$I$3, "sec=" &amp;"OPT", "exp="&amp;$M$8, "strike=" &amp; D8, "right=" &amp;"P", "exch=" &amp;"SMART", "cur=" &amp; "USD","PutOptionOpenInterest")*1</f>
        <v>#NAME?</v>
      </c>
      <c r="BU8" s="76" t="e">
        <f ca="1">RTD("tws.twsrtdserverctrl",,"sym=" &amp;$I$3, "sec=" &amp;"OPT", "exp="&amp;$M$8, "strike=" &amp; D8, "right=" &amp;"P", "exch=" &amp;"SMART", "cur=" &amp; "USD","ModelImpliedVol")</f>
        <v>#NAME?</v>
      </c>
      <c r="BV8" s="76" t="e">
        <f ca="1">RTD("tws.twsrtdserverctrl",,"sym=" &amp;$I$3, "sec=" &amp;"OPT", "exp="&amp;$M$8, "strike=" &amp; D8, "right=" &amp;"P", "exch=" &amp;"SMART", "cur=" &amp; "USD","ModelTheta")</f>
        <v>#NAME?</v>
      </c>
      <c r="BW8" s="76" t="e">
        <f ca="1">RTD("tws.twsrtdserverctrl",,"sym=" &amp;$I$3, "sec=" &amp;"OPT", "exp="&amp;$M$8, "strike=" &amp; D8, "right=" &amp;"P", "exch=" &amp;"SMART", "cur=" &amp; "USD","ModelVega")</f>
        <v>#NAME?</v>
      </c>
      <c r="BX8" s="76" t="e">
        <f ca="1">RTD("tws.twsrtdserverctrl",,"sym=" &amp;$I$3, "sec=" &amp;"OPT", "exp="&amp;$M$8, "strike=" &amp; D8, "right=" &amp;"P", "exch=" &amp;"SMART", "cur=" &amp; "USD","ModelGamma")</f>
        <v>#NAME?</v>
      </c>
      <c r="BY8" s="76" t="e">
        <f ca="1">RTD("tws.twsrtdserverctrl",,"sym=" &amp;$I$3, "sec=" &amp;"OPT", "exp="&amp;$M$8, "strike=" &amp; D8, "right=" &amp;"P", "exch=" &amp;"SMART", "cur=" &amp; "USD","ModelDelta")</f>
        <v>#NAME?</v>
      </c>
      <c r="BZ8" s="97">
        <f t="shared" ca="1" si="0"/>
        <v>430</v>
      </c>
      <c r="CA8" s="76" t="e">
        <f ca="1">RTD("tws.twsrtdserverctrl",,"sym=" &amp;$I$3, "sec=" &amp;"OPT", "exp="&amp;$M$8, "strike=" &amp; D8, "right=" &amp;"C", "exch=" &amp;"SMART", "cur=" &amp; "USD","ModelDelta")</f>
        <v>#NAME?</v>
      </c>
      <c r="CB8" s="76" t="e">
        <f ca="1">RTD("tws.twsrtdserverctrl",,"sym=" &amp;$I$3, "sec=" &amp;"OPT", "exp="&amp;$M$8, "strike=" &amp; D8, "right=" &amp;"C", "exch=" &amp;"SMART", "cur=" &amp; "USD","ModelGamma")</f>
        <v>#NAME?</v>
      </c>
      <c r="CC8" s="76" t="e">
        <f ca="1">RTD("tws.twsrtdserverctrl",,"sym=" &amp;$I$3, "sec=" &amp;"OPT", "exp="&amp;$M$8, "strike=" &amp; D8, "right=" &amp;"C", "exch=" &amp;"SMART", "cur=" &amp; "USD","ModelVega")</f>
        <v>#NAME?</v>
      </c>
      <c r="CD8" s="76" t="e">
        <f ca="1">RTD("tws.twsrtdserverctrl",,"sym=" &amp;$I$3, "sec=" &amp;"OPT", "exp="&amp;$M$8, "strike=" &amp; D8, "right=" &amp;"C", "exch=" &amp;"SMART", "cur=" &amp; "USD","ModelTheta")</f>
        <v>#NAME?</v>
      </c>
      <c r="CE8" s="76" t="e">
        <f ca="1">RTD("tws.twsrtdserverctrl",,"sym=" &amp;$I$3, "sec=" &amp;"OPT", "exp="&amp;$M$8, "strike=" &amp; D8, "right=" &amp;"C", "exch=" &amp;"SMART", "cur=" &amp; "USD","ModelImpliedVol")</f>
        <v>#NAME?</v>
      </c>
      <c r="CF8" s="76" t="e">
        <f ca="1">RTD("tws.twsrtdserverctrl",,"sym=" &amp;$I$3, "sec=" &amp;"OPT", "exp="&amp;$M$8, "strike=" &amp; D8, "right=" &amp;"C", "exch=" &amp;"SMART", "cur=" &amp; "USD","CALLOptionOpenInterest")*1</f>
        <v>#NAME?</v>
      </c>
      <c r="CG8" s="98" t="e">
        <f ca="1">RTD("tws.twsrtdserverctrl",,"sym=" &amp;$I$3, "sec=" &amp;"OPT", "exp="&amp;$M$8, "strike=" &amp; D8, "right=" &amp;"C", "exch=" &amp;"SMART", "cur=" &amp; "USD","Volume")*1</f>
        <v>#NAME?</v>
      </c>
      <c r="CH8" s="27">
        <v>0</v>
      </c>
      <c r="CI8" s="76" t="e">
        <f t="shared" ca="1" si="1"/>
        <v>#NAME?</v>
      </c>
      <c r="CJ8" s="76" t="e">
        <f t="shared" ca="1" si="2"/>
        <v>#NAME?</v>
      </c>
      <c r="CK8" s="76" t="e">
        <f t="shared" ca="1" si="3"/>
        <v>#NAME?</v>
      </c>
      <c r="CL8" s="76" t="e">
        <f t="shared" ca="1" si="4"/>
        <v>#NAME?</v>
      </c>
      <c r="CM8" s="27"/>
      <c r="CN8" s="76" t="e">
        <f t="shared" ca="1" si="5"/>
        <v>#NAME?</v>
      </c>
      <c r="CO8" s="76" t="e">
        <f t="shared" ca="1" si="6"/>
        <v>#NAME?</v>
      </c>
      <c r="CP8" s="76" t="e">
        <f t="shared" ca="1" si="7"/>
        <v>#NAME?</v>
      </c>
      <c r="CQ8" s="27"/>
      <c r="CR8" s="76" t="e">
        <f t="shared" ca="1" si="8"/>
        <v>#NAME?</v>
      </c>
      <c r="CS8" s="76" t="e">
        <f t="shared" ca="1" si="9"/>
        <v>#NAME?</v>
      </c>
      <c r="CT8" s="76" t="e">
        <f t="shared" ca="1" si="10"/>
        <v>#NAME?</v>
      </c>
      <c r="CU8" s="76" t="e">
        <f t="shared" ca="1" si="11"/>
        <v>#NAME?</v>
      </c>
      <c r="CV8" s="76" t="e">
        <f t="shared" ca="1" si="15"/>
        <v>#NAME?</v>
      </c>
      <c r="CW8" s="76" t="e">
        <f t="shared" ca="1" si="16"/>
        <v>#NAME?</v>
      </c>
      <c r="CX8" s="27"/>
      <c r="CY8" s="76" t="e">
        <f t="shared" ca="1" si="12"/>
        <v>#NAME?</v>
      </c>
      <c r="CZ8" s="76" t="e">
        <f t="shared" ca="1" si="13"/>
        <v>#NAME?</v>
      </c>
      <c r="DA8" s="76" t="e">
        <f t="shared" ca="1" si="14"/>
        <v>#NAME?</v>
      </c>
      <c r="DB8" s="27"/>
      <c r="DC8" s="2"/>
      <c r="DD8" s="2"/>
      <c r="DE8" s="2"/>
      <c r="DF8" s="2"/>
      <c r="DG8" s="2"/>
      <c r="DH8" s="2"/>
      <c r="DI8" s="2"/>
      <c r="DJ8" s="2"/>
      <c r="DK8" s="2"/>
    </row>
    <row r="9" spans="1:115" ht="16.5" customHeight="1" x14ac:dyDescent="0.15">
      <c r="A9" s="6" t="e">
        <f ca="1">RTD("tws.twsrtdserverctrl",,"sym=" &amp;$I$3, "sec=" &amp;"OPT", "exp="&amp;M8, "strike=" &amp; D9, "right=" &amp;"P", "exch=" &amp;"SMART", "cur=" &amp; "USD","LOW")</f>
        <v>#NAME?</v>
      </c>
      <c r="B9" s="7" t="e">
        <f ca="1">RTD("tws.twsrtdserverctrl",,"sym=" &amp;$I$3, "sec=" &amp;"OPT", "exp="&amp;M8, "strike=" &amp; D9, "right=" &amp;"P", "exch=" &amp;"SMART", "cur=" &amp; "USD","HIGH")</f>
        <v>#NAME?</v>
      </c>
      <c r="C9" s="8" t="e">
        <f ca="1">RTD("tws.twsrtdserverctrl",,"sym=" &amp;$I$3, "sec=" &amp;"OPT", "exp="&amp;M8, "strike=" &amp; D9, "right=" &amp;"P", "exch=" &amp;"SMART", "cur=" &amp; "USD","LAST")</f>
        <v>#NAME?</v>
      </c>
      <c r="D9" s="22">
        <f ca="1">IF(B53&lt;=0,0,D10-$L$7)</f>
        <v>435</v>
      </c>
      <c r="E9" s="8" t="e">
        <f ca="1">RTD("tws.twsrtdserverctrl",,"sym=" &amp;$I$3, "sec=" &amp;"OPT", "exp="&amp;M8, "strike=" &amp; D9, "right=" &amp;"C", "exch=" &amp;"SMART", "cur=" &amp; "USD","LAST")</f>
        <v>#NAME?</v>
      </c>
      <c r="F9" s="7" t="e">
        <f ca="1">RTD("tws.twsrtdserverctrl",,"sym=" &amp;$I$3, "sec=" &amp;"OPT", "exp="&amp;M8, "strike=" &amp; D9, "right=" &amp;"C", "exch=" &amp;"SMART", "cur=" &amp; "USD","HIGH")</f>
        <v>#NAME?</v>
      </c>
      <c r="G9" s="6" t="e">
        <f ca="1">RTD("tws.twsrtdserverctrl",,"sym=" &amp;$I$3, "sec=" &amp;"OPT", "exp="&amp;M8, "strike=" &amp; D9, "right=" &amp;"C", "exch=" &amp;"SMART", "cur=" &amp; "USD","LOW")</f>
        <v>#NAME?</v>
      </c>
      <c r="I9" s="116" t="s">
        <v>73</v>
      </c>
      <c r="J9" s="117"/>
      <c r="K9" s="117"/>
      <c r="L9" s="117"/>
      <c r="M9" s="11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96" t="e">
        <f ca="1">RTD("tws.twsrtdserverctrl",,"sym=" &amp;$I$3, "sec=" &amp;"OPT", "exp="&amp;$M$8, "strike=" &amp; D9, "right=" &amp;"P", "exch=" &amp;"SMART", "cur=" &amp; "USD","Volume")*1</f>
        <v>#NAME?</v>
      </c>
      <c r="BT9" s="76" t="e">
        <f ca="1">RTD("tws.twsrtdserverctrl",,"sym=" &amp;$I$3, "sec=" &amp;"OPT", "exp="&amp;$M$8, "strike=" &amp; D9, "right=" &amp;"P", "exch=" &amp;"SMART", "cur=" &amp; "USD","PutOptionOpenInterest")*1</f>
        <v>#NAME?</v>
      </c>
      <c r="BU9" s="76" t="e">
        <f ca="1">RTD("tws.twsrtdserverctrl",,"sym=" &amp;$I$3, "sec=" &amp;"OPT", "exp="&amp;$M$8, "strike=" &amp; D9, "right=" &amp;"P", "exch=" &amp;"SMART", "cur=" &amp; "USD","ModelImpliedVol")</f>
        <v>#NAME?</v>
      </c>
      <c r="BV9" s="76" t="e">
        <f ca="1">RTD("tws.twsrtdserverctrl",,"sym=" &amp;$I$3, "sec=" &amp;"OPT", "exp="&amp;$M$8, "strike=" &amp; D9, "right=" &amp;"P", "exch=" &amp;"SMART", "cur=" &amp; "USD","ModelTheta")</f>
        <v>#NAME?</v>
      </c>
      <c r="BW9" s="76" t="e">
        <f ca="1">RTD("tws.twsrtdserverctrl",,"sym=" &amp;$I$3, "sec=" &amp;"OPT", "exp="&amp;$M$8, "strike=" &amp; D9, "right=" &amp;"P", "exch=" &amp;"SMART", "cur=" &amp; "USD","ModelVega")</f>
        <v>#NAME?</v>
      </c>
      <c r="BX9" s="76" t="e">
        <f ca="1">RTD("tws.twsrtdserverctrl",,"sym=" &amp;$I$3, "sec=" &amp;"OPT", "exp="&amp;$M$8, "strike=" &amp; D9, "right=" &amp;"P", "exch=" &amp;"SMART", "cur=" &amp; "USD","ModelGamma")</f>
        <v>#NAME?</v>
      </c>
      <c r="BY9" s="76" t="e">
        <f ca="1">RTD("tws.twsrtdserverctrl",,"sym=" &amp;$I$3, "sec=" &amp;"OPT", "exp="&amp;$M$8, "strike=" &amp; D9, "right=" &amp;"P", "exch=" &amp;"SMART", "cur=" &amp; "USD","ModelDelta")</f>
        <v>#NAME?</v>
      </c>
      <c r="BZ9" s="97">
        <f t="shared" ca="1" si="0"/>
        <v>435</v>
      </c>
      <c r="CA9" s="76" t="e">
        <f ca="1">RTD("tws.twsrtdserverctrl",,"sym=" &amp;$I$3, "sec=" &amp;"OPT", "exp="&amp;$M$8, "strike=" &amp; D9, "right=" &amp;"C", "exch=" &amp;"SMART", "cur=" &amp; "USD","ModelDelta")</f>
        <v>#NAME?</v>
      </c>
      <c r="CB9" s="76" t="e">
        <f ca="1">RTD("tws.twsrtdserverctrl",,"sym=" &amp;$I$3, "sec=" &amp;"OPT", "exp="&amp;$M$8, "strike=" &amp; D9, "right=" &amp;"C", "exch=" &amp;"SMART", "cur=" &amp; "USD","ModelGamma")</f>
        <v>#NAME?</v>
      </c>
      <c r="CC9" s="76" t="e">
        <f ca="1">RTD("tws.twsrtdserverctrl",,"sym=" &amp;$I$3, "sec=" &amp;"OPT", "exp="&amp;$M$8, "strike=" &amp; D9, "right=" &amp;"C", "exch=" &amp;"SMART", "cur=" &amp; "USD","ModelVega")</f>
        <v>#NAME?</v>
      </c>
      <c r="CD9" s="76" t="e">
        <f ca="1">RTD("tws.twsrtdserverctrl",,"sym=" &amp;$I$3, "sec=" &amp;"OPT", "exp="&amp;$M$8, "strike=" &amp; D9, "right=" &amp;"C", "exch=" &amp;"SMART", "cur=" &amp; "USD","ModelTheta")</f>
        <v>#NAME?</v>
      </c>
      <c r="CE9" s="76" t="e">
        <f ca="1">RTD("tws.twsrtdserverctrl",,"sym=" &amp;$I$3, "sec=" &amp;"OPT", "exp="&amp;$M$8, "strike=" &amp; D9, "right=" &amp;"C", "exch=" &amp;"SMART", "cur=" &amp; "USD","ModelImpliedVol")</f>
        <v>#NAME?</v>
      </c>
      <c r="CF9" s="76" t="e">
        <f ca="1">RTD("tws.twsrtdserverctrl",,"sym=" &amp;$I$3, "sec=" &amp;"OPT", "exp="&amp;$M$8, "strike=" &amp; D9, "right=" &amp;"C", "exch=" &amp;"SMART", "cur=" &amp; "USD","CALLOptionOpenInterest")*1</f>
        <v>#NAME?</v>
      </c>
      <c r="CG9" s="98" t="e">
        <f ca="1">RTD("tws.twsrtdserverctrl",,"sym=" &amp;$I$3, "sec=" &amp;"OPT", "exp="&amp;$M$8, "strike=" &amp; D9, "right=" &amp;"C", "exch=" &amp;"SMART", "cur=" &amp; "USD","Volume")*1</f>
        <v>#NAME?</v>
      </c>
      <c r="CH9" s="27">
        <v>0</v>
      </c>
      <c r="CI9" s="76" t="e">
        <f t="shared" ca="1" si="1"/>
        <v>#NAME?</v>
      </c>
      <c r="CJ9" s="76" t="e">
        <f t="shared" ca="1" si="2"/>
        <v>#NAME?</v>
      </c>
      <c r="CK9" s="76" t="e">
        <f t="shared" ca="1" si="3"/>
        <v>#NAME?</v>
      </c>
      <c r="CL9" s="76" t="e">
        <f t="shared" ca="1" si="4"/>
        <v>#NAME?</v>
      </c>
      <c r="CM9" s="27"/>
      <c r="CN9" s="76" t="e">
        <f t="shared" ca="1" si="5"/>
        <v>#NAME?</v>
      </c>
      <c r="CO9" s="76" t="e">
        <f t="shared" ca="1" si="6"/>
        <v>#NAME?</v>
      </c>
      <c r="CP9" s="76" t="e">
        <f t="shared" ca="1" si="7"/>
        <v>#NAME?</v>
      </c>
      <c r="CQ9" s="27"/>
      <c r="CR9" s="76" t="e">
        <f t="shared" ca="1" si="8"/>
        <v>#NAME?</v>
      </c>
      <c r="CS9" s="76" t="e">
        <f t="shared" ca="1" si="9"/>
        <v>#NAME?</v>
      </c>
      <c r="CT9" s="76" t="e">
        <f t="shared" ca="1" si="10"/>
        <v>#NAME?</v>
      </c>
      <c r="CU9" s="76" t="e">
        <f t="shared" ca="1" si="11"/>
        <v>#NAME?</v>
      </c>
      <c r="CV9" s="76" t="e">
        <f t="shared" ca="1" si="15"/>
        <v>#NAME?</v>
      </c>
      <c r="CW9" s="76" t="e">
        <f t="shared" ca="1" si="16"/>
        <v>#NAME?</v>
      </c>
      <c r="CX9" s="27"/>
      <c r="CY9" s="76" t="e">
        <f t="shared" ca="1" si="12"/>
        <v>#NAME?</v>
      </c>
      <c r="CZ9" s="76" t="e">
        <f t="shared" ca="1" si="13"/>
        <v>#NAME?</v>
      </c>
      <c r="DA9" s="76" t="e">
        <f t="shared" ca="1" si="14"/>
        <v>#NAME?</v>
      </c>
      <c r="DB9" s="27"/>
      <c r="DC9" s="2"/>
      <c r="DD9" s="2"/>
      <c r="DE9" s="2"/>
      <c r="DF9" s="2"/>
      <c r="DG9" s="2"/>
      <c r="DH9" s="2"/>
      <c r="DI9" s="2"/>
      <c r="DJ9" s="2"/>
      <c r="DK9" s="2"/>
    </row>
    <row r="10" spans="1:115" ht="16.5" customHeight="1" x14ac:dyDescent="0.15">
      <c r="A10" s="9" t="e">
        <f ca="1">RTD("tws.twsrtdserverctrl",,"sym=" &amp;$I$3, "sec=" &amp;"OPT", "exp="&amp;M8, "strike=" &amp; D10, "right=" &amp;"P", "exch=" &amp;"SMART", "cur=" &amp; "USD","LOW")</f>
        <v>#NAME?</v>
      </c>
      <c r="B10" s="10" t="e">
        <f ca="1">RTD("tws.twsrtdserverctrl",,"sym=" &amp;$I$3, "sec=" &amp;"OPT", "exp="&amp;M8, "strike=" &amp; D10, "right=" &amp;"P", "exch=" &amp;"SMART", "cur=" &amp; "USD","HIGH")</f>
        <v>#NAME?</v>
      </c>
      <c r="C10" s="11" t="e">
        <f ca="1">RTD("tws.twsrtdserverctrl",,"sym=" &amp;$I$3, "sec=" &amp;"OPT", "exp="&amp;M8, "strike=" &amp; D10, "right=" &amp;"P", "exch=" &amp;"SMART", "cur=" &amp; "USD","LAST")</f>
        <v>#NAME?</v>
      </c>
      <c r="D10" s="23">
        <f ca="1">IF(B53&lt;=0,0,D11-$L$7)</f>
        <v>440</v>
      </c>
      <c r="E10" s="11" t="e">
        <f ca="1">RTD("tws.twsrtdserverctrl",,"sym=" &amp;$I$3, "sec=" &amp;"OPT", "exp="&amp;M8, "strike=" &amp; D10, "right=" &amp;"C", "exch=" &amp;"SMART", "cur=" &amp; "USD","LAST")</f>
        <v>#NAME?</v>
      </c>
      <c r="F10" s="10" t="e">
        <f ca="1">RTD("tws.twsrtdserverctrl",,"sym=" &amp;$I$3, "sec=" &amp;"OPT", "exp="&amp;M8, "strike=" &amp; D10, "right=" &amp;"C", "exch=" &amp;"SMART", "cur=" &amp; "USD","HIGH")</f>
        <v>#NAME?</v>
      </c>
      <c r="G10" s="9" t="e">
        <f ca="1">RTD("tws.twsrtdserverctrl",,"sym=" &amp;$I$3, "sec=" &amp;"OPT", "exp="&amp;M8, "strike=" &amp; D10, "right=" &amp;"C", "exch=" &amp;"SMART", "cur=" &amp; "USD","LOW")</f>
        <v>#NAME?</v>
      </c>
      <c r="I10" s="28" t="s">
        <v>4</v>
      </c>
      <c r="J10" s="19" t="s">
        <v>27</v>
      </c>
      <c r="K10" s="19" t="s">
        <v>34</v>
      </c>
      <c r="L10" s="19" t="s">
        <v>52</v>
      </c>
      <c r="M10" s="19" t="s">
        <v>50</v>
      </c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96" t="e">
        <f ca="1">RTD("tws.twsrtdserverctrl",,"sym=" &amp;$I$3, "sec=" &amp;"OPT", "exp="&amp;$M$8, "strike=" &amp; D10, "right=" &amp;"P", "exch=" &amp;"SMART", "cur=" &amp; "USD","Volume")*1</f>
        <v>#NAME?</v>
      </c>
      <c r="BT10" s="76" t="e">
        <f ca="1">RTD("tws.twsrtdserverctrl",,"sym=" &amp;$I$3, "sec=" &amp;"OPT", "exp="&amp;$M$8, "strike=" &amp; D10, "right=" &amp;"P", "exch=" &amp;"SMART", "cur=" &amp; "USD","PutOptionOpenInterest")*1</f>
        <v>#NAME?</v>
      </c>
      <c r="BU10" s="76" t="e">
        <f ca="1">RTD("tws.twsrtdserverctrl",,"sym=" &amp;$I$3, "sec=" &amp;"OPT", "exp="&amp;$M$8, "strike=" &amp; D10, "right=" &amp;"P", "exch=" &amp;"SMART", "cur=" &amp; "USD","ModelImpliedVol")</f>
        <v>#NAME?</v>
      </c>
      <c r="BV10" s="76" t="e">
        <f ca="1">RTD("tws.twsrtdserverctrl",,"sym=" &amp;$I$3, "sec=" &amp;"OPT", "exp="&amp;$M$8, "strike=" &amp; D10, "right=" &amp;"P", "exch=" &amp;"SMART", "cur=" &amp; "USD","ModelTheta")</f>
        <v>#NAME?</v>
      </c>
      <c r="BW10" s="76" t="e">
        <f ca="1">RTD("tws.twsrtdserverctrl",,"sym=" &amp;$I$3, "sec=" &amp;"OPT", "exp="&amp;$M$8, "strike=" &amp; D10, "right=" &amp;"P", "exch=" &amp;"SMART", "cur=" &amp; "USD","ModelVega")</f>
        <v>#NAME?</v>
      </c>
      <c r="BX10" s="76" t="e">
        <f ca="1">RTD("tws.twsrtdserverctrl",,"sym=" &amp;$I$3, "sec=" &amp;"OPT", "exp="&amp;$M$8, "strike=" &amp; D10, "right=" &amp;"P", "exch=" &amp;"SMART", "cur=" &amp; "USD","ModelGamma")</f>
        <v>#NAME?</v>
      </c>
      <c r="BY10" s="76" t="e">
        <f ca="1">RTD("tws.twsrtdserverctrl",,"sym=" &amp;$I$3, "sec=" &amp;"OPT", "exp="&amp;$M$8, "strike=" &amp; D10, "right=" &amp;"P", "exch=" &amp;"SMART", "cur=" &amp; "USD","ModelDelta")</f>
        <v>#NAME?</v>
      </c>
      <c r="BZ10" s="97">
        <f t="shared" ca="1" si="0"/>
        <v>440</v>
      </c>
      <c r="CA10" s="76" t="e">
        <f ca="1">RTD("tws.twsrtdserverctrl",,"sym=" &amp;$I$3, "sec=" &amp;"OPT", "exp="&amp;$M$8, "strike=" &amp; D10, "right=" &amp;"C", "exch=" &amp;"SMART", "cur=" &amp; "USD","ModelDelta")</f>
        <v>#NAME?</v>
      </c>
      <c r="CB10" s="76" t="e">
        <f ca="1">RTD("tws.twsrtdserverctrl",,"sym=" &amp;$I$3, "sec=" &amp;"OPT", "exp="&amp;$M$8, "strike=" &amp; D10, "right=" &amp;"C", "exch=" &amp;"SMART", "cur=" &amp; "USD","ModelGamma")</f>
        <v>#NAME?</v>
      </c>
      <c r="CC10" s="76" t="e">
        <f ca="1">RTD("tws.twsrtdserverctrl",,"sym=" &amp;$I$3, "sec=" &amp;"OPT", "exp="&amp;$M$8, "strike=" &amp; D10, "right=" &amp;"C", "exch=" &amp;"SMART", "cur=" &amp; "USD","ModelVega")</f>
        <v>#NAME?</v>
      </c>
      <c r="CD10" s="76" t="e">
        <f ca="1">RTD("tws.twsrtdserverctrl",,"sym=" &amp;$I$3, "sec=" &amp;"OPT", "exp="&amp;$M$8, "strike=" &amp; D10, "right=" &amp;"C", "exch=" &amp;"SMART", "cur=" &amp; "USD","ModelTheta")</f>
        <v>#NAME?</v>
      </c>
      <c r="CE10" s="76" t="e">
        <f ca="1">RTD("tws.twsrtdserverctrl",,"sym=" &amp;$I$3, "sec=" &amp;"OPT", "exp="&amp;$M$8, "strike=" &amp; D10, "right=" &amp;"C", "exch=" &amp;"SMART", "cur=" &amp; "USD","ModelImpliedVol")</f>
        <v>#NAME?</v>
      </c>
      <c r="CF10" s="76" t="e">
        <f ca="1">RTD("tws.twsrtdserverctrl",,"sym=" &amp;$I$3, "sec=" &amp;"OPT", "exp="&amp;$M$8, "strike=" &amp; D10, "right=" &amp;"C", "exch=" &amp;"SMART", "cur=" &amp; "USD","CALLOptionOpenInterest")*1</f>
        <v>#NAME?</v>
      </c>
      <c r="CG10" s="98" t="e">
        <f ca="1">RTD("tws.twsrtdserverctrl",,"sym=" &amp;$I$3, "sec=" &amp;"OPT", "exp="&amp;$M$8, "strike=" &amp; D10, "right=" &amp;"C", "exch=" &amp;"SMART", "cur=" &amp; "USD","Volume")*1</f>
        <v>#NAME?</v>
      </c>
      <c r="CH10" s="27">
        <v>0</v>
      </c>
      <c r="CI10" s="76" t="e">
        <f t="shared" ca="1" si="1"/>
        <v>#NAME?</v>
      </c>
      <c r="CJ10" s="76" t="e">
        <f t="shared" ca="1" si="2"/>
        <v>#NAME?</v>
      </c>
      <c r="CK10" s="76" t="e">
        <f t="shared" ca="1" si="3"/>
        <v>#NAME?</v>
      </c>
      <c r="CL10" s="76" t="e">
        <f t="shared" ca="1" si="4"/>
        <v>#NAME?</v>
      </c>
      <c r="CM10" s="27"/>
      <c r="CN10" s="76" t="e">
        <f t="shared" ca="1" si="5"/>
        <v>#NAME?</v>
      </c>
      <c r="CO10" s="76" t="e">
        <f t="shared" ca="1" si="6"/>
        <v>#NAME?</v>
      </c>
      <c r="CP10" s="76" t="e">
        <f t="shared" ca="1" si="7"/>
        <v>#NAME?</v>
      </c>
      <c r="CQ10" s="27"/>
      <c r="CR10" s="76" t="e">
        <f t="shared" ca="1" si="8"/>
        <v>#NAME?</v>
      </c>
      <c r="CS10" s="76" t="e">
        <f t="shared" ca="1" si="9"/>
        <v>#NAME?</v>
      </c>
      <c r="CT10" s="76" t="e">
        <f t="shared" ca="1" si="10"/>
        <v>#NAME?</v>
      </c>
      <c r="CU10" s="76" t="e">
        <f t="shared" ca="1" si="11"/>
        <v>#NAME?</v>
      </c>
      <c r="CV10" s="76" t="e">
        <f t="shared" ca="1" si="15"/>
        <v>#NAME?</v>
      </c>
      <c r="CW10" s="76" t="e">
        <f t="shared" ca="1" si="16"/>
        <v>#NAME?</v>
      </c>
      <c r="CX10" s="27"/>
      <c r="CY10" s="76" t="e">
        <f t="shared" ca="1" si="12"/>
        <v>#NAME?</v>
      </c>
      <c r="CZ10" s="76" t="e">
        <f t="shared" ca="1" si="13"/>
        <v>#NAME?</v>
      </c>
      <c r="DA10" s="76" t="e">
        <f t="shared" ca="1" si="14"/>
        <v>#NAME?</v>
      </c>
      <c r="DB10" s="27"/>
      <c r="DC10" s="2"/>
      <c r="DD10" s="2"/>
      <c r="DE10" s="2"/>
      <c r="DF10" s="2"/>
      <c r="DG10" s="2"/>
      <c r="DH10" s="2"/>
      <c r="DI10" s="2"/>
      <c r="DJ10" s="2"/>
      <c r="DK10" s="2"/>
    </row>
    <row r="11" spans="1:115" ht="16.5" customHeight="1" x14ac:dyDescent="0.15">
      <c r="A11" s="6" t="e">
        <f ca="1">RTD("tws.twsrtdserverctrl",,"sym=" &amp;$I$3, "sec=" &amp;"OPT", "exp="&amp;M8, "strike=" &amp; D11, "right=" &amp;"P", "exch=" &amp;"SMART", "cur=" &amp; "USD","LOW")</f>
        <v>#NAME?</v>
      </c>
      <c r="B11" s="7" t="e">
        <f ca="1">RTD("tws.twsrtdserverctrl",,"sym=" &amp;$I$3, "sec=" &amp;"OPT", "exp="&amp;M8, "strike=" &amp; D11, "right=" &amp;"P", "exch=" &amp;"SMART", "cur=" &amp; "USD","HIGH")</f>
        <v>#NAME?</v>
      </c>
      <c r="C11" s="8" t="e">
        <f ca="1">RTD("tws.twsrtdserverctrl",,"sym=" &amp;$I$3, "sec=" &amp;"OPT", "exp="&amp;M8, "strike=" &amp; D11, "right=" &amp;"P", "exch=" &amp;"SMART", "cur=" &amp; "USD","LAST")</f>
        <v>#NAME?</v>
      </c>
      <c r="D11" s="22">
        <f ca="1">IF(B53&lt;=0,0,D12-$L$7)</f>
        <v>445</v>
      </c>
      <c r="E11" s="8" t="e">
        <f ca="1">RTD("tws.twsrtdserverctrl",,"sym=" &amp;$I$3, "sec=" &amp;"OPT", "exp="&amp;M8, "strike=" &amp; D11, "right=" &amp;"C", "exch=" &amp;"SMART", "cur=" &amp; "USD","LAST")</f>
        <v>#NAME?</v>
      </c>
      <c r="F11" s="7" t="e">
        <f ca="1">RTD("tws.twsrtdserverctrl",,"sym=" &amp;$I$3, "sec=" &amp;"OPT", "exp="&amp;M8, "strike=" &amp; D11, "right=" &amp;"C", "exch=" &amp;"SMART", "cur=" &amp; "USD","HIGH")</f>
        <v>#NAME?</v>
      </c>
      <c r="G11" s="6" t="e">
        <f ca="1">RTD("tws.twsrtdserverctrl",,"sym=" &amp;$I$3, "sec=" &amp;"OPT", "exp="&amp;M8, "strike=" &amp; D11, "right=" &amp;"C", "exch=" &amp;"SMART", "cur=" &amp; "USD","LOW")</f>
        <v>#NAME?</v>
      </c>
      <c r="I11" s="26" t="s">
        <v>10</v>
      </c>
      <c r="J11" s="71">
        <f ca="1">CP30</f>
        <v>405</v>
      </c>
      <c r="K11" s="71">
        <f ca="1">CW30</f>
        <v>470</v>
      </c>
      <c r="L11" s="71">
        <f ca="1">CL30</f>
        <v>470</v>
      </c>
      <c r="M11" s="71">
        <f ca="1">DA30</f>
        <v>405</v>
      </c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96" t="e">
        <f ca="1">RTD("tws.twsrtdserverctrl",,"sym=" &amp;$I$3, "sec=" &amp;"OPT", "exp="&amp;$M$8, "strike=" &amp; D11, "right=" &amp;"P", "exch=" &amp;"SMART", "cur=" &amp; "USD","Volume")*1</f>
        <v>#NAME?</v>
      </c>
      <c r="BT11" s="76" t="e">
        <f ca="1">RTD("tws.twsrtdserverctrl",,"sym=" &amp;$I$3, "sec=" &amp;"OPT", "exp="&amp;$M$8, "strike=" &amp; D11, "right=" &amp;"P", "exch=" &amp;"SMART", "cur=" &amp; "USD","PutOptionOpenInterest")*1</f>
        <v>#NAME?</v>
      </c>
      <c r="BU11" s="76" t="e">
        <f ca="1">RTD("tws.twsrtdserverctrl",,"sym=" &amp;$I$3, "sec=" &amp;"OPT", "exp="&amp;$M$8, "strike=" &amp; D11, "right=" &amp;"P", "exch=" &amp;"SMART", "cur=" &amp; "USD","ModelImpliedVol")</f>
        <v>#NAME?</v>
      </c>
      <c r="BV11" s="76" t="e">
        <f ca="1">RTD("tws.twsrtdserverctrl",,"sym=" &amp;$I$3, "sec=" &amp;"OPT", "exp="&amp;$M$8, "strike=" &amp; D11, "right=" &amp;"P", "exch=" &amp;"SMART", "cur=" &amp; "USD","ModelTheta")</f>
        <v>#NAME?</v>
      </c>
      <c r="BW11" s="76" t="e">
        <f ca="1">RTD("tws.twsrtdserverctrl",,"sym=" &amp;$I$3, "sec=" &amp;"OPT", "exp="&amp;$M$8, "strike=" &amp; D11, "right=" &amp;"P", "exch=" &amp;"SMART", "cur=" &amp; "USD","ModelVega")</f>
        <v>#NAME?</v>
      </c>
      <c r="BX11" s="76" t="e">
        <f ca="1">RTD("tws.twsrtdserverctrl",,"sym=" &amp;$I$3, "sec=" &amp;"OPT", "exp="&amp;$M$8, "strike=" &amp; D11, "right=" &amp;"P", "exch=" &amp;"SMART", "cur=" &amp; "USD","ModelGamma")</f>
        <v>#NAME?</v>
      </c>
      <c r="BY11" s="76" t="e">
        <f ca="1">RTD("tws.twsrtdserverctrl",,"sym=" &amp;$I$3, "sec=" &amp;"OPT", "exp="&amp;$M$8, "strike=" &amp; D11, "right=" &amp;"P", "exch=" &amp;"SMART", "cur=" &amp; "USD","ModelDelta")</f>
        <v>#NAME?</v>
      </c>
      <c r="BZ11" s="97">
        <f t="shared" ca="1" si="0"/>
        <v>445</v>
      </c>
      <c r="CA11" s="76" t="e">
        <f ca="1">RTD("tws.twsrtdserverctrl",,"sym=" &amp;$I$3, "sec=" &amp;"OPT", "exp="&amp;$M$8, "strike=" &amp; D11, "right=" &amp;"C", "exch=" &amp;"SMART", "cur=" &amp; "USD","ModelDelta")</f>
        <v>#NAME?</v>
      </c>
      <c r="CB11" s="76" t="e">
        <f ca="1">RTD("tws.twsrtdserverctrl",,"sym=" &amp;$I$3, "sec=" &amp;"OPT", "exp="&amp;$M$8, "strike=" &amp; D11, "right=" &amp;"C", "exch=" &amp;"SMART", "cur=" &amp; "USD","ModelGamma")</f>
        <v>#NAME?</v>
      </c>
      <c r="CC11" s="76" t="e">
        <f ca="1">RTD("tws.twsrtdserverctrl",,"sym=" &amp;$I$3, "sec=" &amp;"OPT", "exp="&amp;$M$8, "strike=" &amp; D11, "right=" &amp;"C", "exch=" &amp;"SMART", "cur=" &amp; "USD","ModelVega")</f>
        <v>#NAME?</v>
      </c>
      <c r="CD11" s="76" t="e">
        <f ca="1">RTD("tws.twsrtdserverctrl",,"sym=" &amp;$I$3, "sec=" &amp;"OPT", "exp="&amp;$M$8, "strike=" &amp; D11, "right=" &amp;"C", "exch=" &amp;"SMART", "cur=" &amp; "USD","ModelTheta")</f>
        <v>#NAME?</v>
      </c>
      <c r="CE11" s="76" t="e">
        <f ca="1">RTD("tws.twsrtdserverctrl",,"sym=" &amp;$I$3, "sec=" &amp;"OPT", "exp="&amp;$M$8, "strike=" &amp; D11, "right=" &amp;"C", "exch=" &amp;"SMART", "cur=" &amp; "USD","ModelImpliedVol")</f>
        <v>#NAME?</v>
      </c>
      <c r="CF11" s="76" t="e">
        <f ca="1">RTD("tws.twsrtdserverctrl",,"sym=" &amp;$I$3, "sec=" &amp;"OPT", "exp="&amp;$M$8, "strike=" &amp; D11, "right=" &amp;"C", "exch=" &amp;"SMART", "cur=" &amp; "USD","CALLOptionOpenInterest")*1</f>
        <v>#NAME?</v>
      </c>
      <c r="CG11" s="98" t="e">
        <f ca="1">RTD("tws.twsrtdserverctrl",,"sym=" &amp;$I$3, "sec=" &amp;"OPT", "exp="&amp;$M$8, "strike=" &amp; D11, "right=" &amp;"C", "exch=" &amp;"SMART", "cur=" &amp; "USD","Volume")*1</f>
        <v>#NAME?</v>
      </c>
      <c r="CH11" s="27">
        <v>0</v>
      </c>
      <c r="CI11" s="76" t="e">
        <f t="shared" ca="1" si="1"/>
        <v>#NAME?</v>
      </c>
      <c r="CJ11" s="76" t="e">
        <f t="shared" ca="1" si="2"/>
        <v>#NAME?</v>
      </c>
      <c r="CK11" s="76" t="e">
        <f t="shared" ca="1" si="3"/>
        <v>#NAME?</v>
      </c>
      <c r="CL11" s="76" t="e">
        <f t="shared" ca="1" si="4"/>
        <v>#NAME?</v>
      </c>
      <c r="CM11" s="27"/>
      <c r="CN11" s="76" t="e">
        <f t="shared" ca="1" si="5"/>
        <v>#NAME?</v>
      </c>
      <c r="CO11" s="76" t="e">
        <f t="shared" ca="1" si="6"/>
        <v>#NAME?</v>
      </c>
      <c r="CP11" s="76" t="e">
        <f t="shared" ca="1" si="7"/>
        <v>#NAME?</v>
      </c>
      <c r="CQ11" s="27"/>
      <c r="CR11" s="76" t="e">
        <f t="shared" ca="1" si="8"/>
        <v>#NAME?</v>
      </c>
      <c r="CS11" s="76" t="e">
        <f t="shared" ca="1" si="9"/>
        <v>#NAME?</v>
      </c>
      <c r="CT11" s="76" t="e">
        <f t="shared" ca="1" si="10"/>
        <v>#NAME?</v>
      </c>
      <c r="CU11" s="76" t="e">
        <f t="shared" ca="1" si="11"/>
        <v>#NAME?</v>
      </c>
      <c r="CV11" s="76" t="e">
        <f t="shared" ca="1" si="15"/>
        <v>#NAME?</v>
      </c>
      <c r="CW11" s="76" t="e">
        <f t="shared" ca="1" si="16"/>
        <v>#NAME?</v>
      </c>
      <c r="CX11" s="27"/>
      <c r="CY11" s="76" t="e">
        <f t="shared" ca="1" si="12"/>
        <v>#NAME?</v>
      </c>
      <c r="CZ11" s="76" t="e">
        <f t="shared" ca="1" si="13"/>
        <v>#NAME?</v>
      </c>
      <c r="DA11" s="76" t="e">
        <f t="shared" ca="1" si="14"/>
        <v>#NAME?</v>
      </c>
      <c r="DB11" s="27"/>
      <c r="DC11" s="2"/>
      <c r="DD11" s="2"/>
      <c r="DE11" s="2"/>
      <c r="DF11" s="2"/>
      <c r="DG11" s="2"/>
      <c r="DH11" s="2"/>
      <c r="DI11" s="2"/>
      <c r="DJ11" s="2"/>
      <c r="DK11" s="2"/>
    </row>
    <row r="12" spans="1:115" ht="16.5" customHeight="1" x14ac:dyDescent="0.15">
      <c r="A12" s="9" t="e">
        <f ca="1">RTD("tws.twsrtdserverctrl",,"sym=" &amp;$I$3, "sec=" &amp;"OPT", "exp="&amp;M8, "strike=" &amp; D12, "right=" &amp;"P", "exch=" &amp;"SMART", "cur=" &amp; "USD","LOW")</f>
        <v>#NAME?</v>
      </c>
      <c r="B12" s="10" t="e">
        <f ca="1">RTD("tws.twsrtdserverctrl",,"sym=" &amp;$I$3, "sec=" &amp;"OPT", "exp="&amp;M8, "strike=" &amp; D12, "right=" &amp;"P", "exch=" &amp;"SMART", "cur=" &amp; "USD","HIGH")</f>
        <v>#NAME?</v>
      </c>
      <c r="C12" s="11" t="e">
        <f ca="1">RTD("tws.twsrtdserverctrl",,"sym=" &amp;$I$3, "sec=" &amp;"OPT", "exp="&amp;M8, "strike=" &amp; D12, "right=" &amp;"P", "exch=" &amp;"SMART", "cur=" &amp; "USD","LAST")</f>
        <v>#NAME?</v>
      </c>
      <c r="D12" s="23">
        <f ca="1">IF(B53&lt;=0,0,D13-$L$7)</f>
        <v>450</v>
      </c>
      <c r="E12" s="11" t="e">
        <f ca="1">RTD("tws.twsrtdserverctrl",,"sym=" &amp;$I$3, "sec=" &amp;"OPT", "exp="&amp;M8, "strike=" &amp; D12, "right=" &amp;"C", "exch=" &amp;"SMART", "cur=" &amp; "USD","LAST")</f>
        <v>#NAME?</v>
      </c>
      <c r="F12" s="10" t="e">
        <f ca="1">RTD("tws.twsrtdserverctrl",,"sym=" &amp;$I$3, "sec=" &amp;"OPT", "exp="&amp;M8, "strike=" &amp; D12, "right=" &amp;"C", "exch=" &amp;"SMART", "cur=" &amp; "USD","HIGH")</f>
        <v>#NAME?</v>
      </c>
      <c r="G12" s="9" t="e">
        <f ca="1">RTD("tws.twsrtdserverctrl",,"sym=" &amp;$I$3, "sec=" &amp;"OPT", "exp="&amp;M8, "strike=" &amp; D12, "right=" &amp;"C", "exch=" &amp;"SMART", "cur=" &amp; "USD","LOW")</f>
        <v>#NAME?</v>
      </c>
      <c r="I12" s="26" t="s">
        <v>11</v>
      </c>
      <c r="J12" s="72">
        <f ca="1">CP31</f>
        <v>405</v>
      </c>
      <c r="K12" s="72">
        <f ca="1">CW31</f>
        <v>405</v>
      </c>
      <c r="L12" s="72">
        <f ca="1">CL31</f>
        <v>405</v>
      </c>
      <c r="M12" s="72">
        <f ca="1">DA31</f>
        <v>405</v>
      </c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96" t="e">
        <f ca="1">RTD("tws.twsrtdserverctrl",,"sym=" &amp;$I$3, "sec=" &amp;"OPT", "exp="&amp;$M$8, "strike=" &amp; D12, "right=" &amp;"P", "exch=" &amp;"SMART", "cur=" &amp; "USD","Volume")*1</f>
        <v>#NAME?</v>
      </c>
      <c r="BT12" s="76" t="e">
        <f ca="1">RTD("tws.twsrtdserverctrl",,"sym=" &amp;$I$3, "sec=" &amp;"OPT", "exp="&amp;$M$8, "strike=" &amp; D12, "right=" &amp;"P", "exch=" &amp;"SMART", "cur=" &amp; "USD","PutOptionOpenInterest")*1</f>
        <v>#NAME?</v>
      </c>
      <c r="BU12" s="76" t="e">
        <f ca="1">RTD("tws.twsrtdserverctrl",,"sym=" &amp;$I$3, "sec=" &amp;"OPT", "exp="&amp;$M$8, "strike=" &amp; D12, "right=" &amp;"P", "exch=" &amp;"SMART", "cur=" &amp; "USD","ModelImpliedVol")</f>
        <v>#NAME?</v>
      </c>
      <c r="BV12" s="76" t="e">
        <f ca="1">RTD("tws.twsrtdserverctrl",,"sym=" &amp;$I$3, "sec=" &amp;"OPT", "exp="&amp;$M$8, "strike=" &amp; D12, "right=" &amp;"P", "exch=" &amp;"SMART", "cur=" &amp; "USD","ModelTheta")</f>
        <v>#NAME?</v>
      </c>
      <c r="BW12" s="76" t="e">
        <f ca="1">RTD("tws.twsrtdserverctrl",,"sym=" &amp;$I$3, "sec=" &amp;"OPT", "exp="&amp;$M$8, "strike=" &amp; D12, "right=" &amp;"P", "exch=" &amp;"SMART", "cur=" &amp; "USD","ModelVega")</f>
        <v>#NAME?</v>
      </c>
      <c r="BX12" s="76" t="e">
        <f ca="1">RTD("tws.twsrtdserverctrl",,"sym=" &amp;$I$3, "sec=" &amp;"OPT", "exp="&amp;$M$8, "strike=" &amp; D12, "right=" &amp;"P", "exch=" &amp;"SMART", "cur=" &amp; "USD","ModelGamma")</f>
        <v>#NAME?</v>
      </c>
      <c r="BY12" s="76" t="e">
        <f ca="1">RTD("tws.twsrtdserverctrl",,"sym=" &amp;$I$3, "sec=" &amp;"OPT", "exp="&amp;$M$8, "strike=" &amp; D12, "right=" &amp;"P", "exch=" &amp;"SMART", "cur=" &amp; "USD","ModelDelta")</f>
        <v>#NAME?</v>
      </c>
      <c r="BZ12" s="97">
        <f t="shared" ca="1" si="0"/>
        <v>450</v>
      </c>
      <c r="CA12" s="76" t="e">
        <f ca="1">RTD("tws.twsrtdserverctrl",,"sym=" &amp;$I$3, "sec=" &amp;"OPT", "exp="&amp;$M$8, "strike=" &amp; D12, "right=" &amp;"C", "exch=" &amp;"SMART", "cur=" &amp; "USD","ModelDelta")</f>
        <v>#NAME?</v>
      </c>
      <c r="CB12" s="76" t="e">
        <f ca="1">RTD("tws.twsrtdserverctrl",,"sym=" &amp;$I$3, "sec=" &amp;"OPT", "exp="&amp;$M$8, "strike=" &amp; D12, "right=" &amp;"C", "exch=" &amp;"SMART", "cur=" &amp; "USD","ModelGamma")</f>
        <v>#NAME?</v>
      </c>
      <c r="CC12" s="76" t="e">
        <f ca="1">RTD("tws.twsrtdserverctrl",,"sym=" &amp;$I$3, "sec=" &amp;"OPT", "exp="&amp;$M$8, "strike=" &amp; D12, "right=" &amp;"C", "exch=" &amp;"SMART", "cur=" &amp; "USD","ModelVega")</f>
        <v>#NAME?</v>
      </c>
      <c r="CD12" s="76" t="e">
        <f ca="1">RTD("tws.twsrtdserverctrl",,"sym=" &amp;$I$3, "sec=" &amp;"OPT", "exp="&amp;$M$8, "strike=" &amp; D12, "right=" &amp;"C", "exch=" &amp;"SMART", "cur=" &amp; "USD","ModelTheta")</f>
        <v>#NAME?</v>
      </c>
      <c r="CE12" s="76" t="e">
        <f ca="1">RTD("tws.twsrtdserverctrl",,"sym=" &amp;$I$3, "sec=" &amp;"OPT", "exp="&amp;$M$8, "strike=" &amp; D12, "right=" &amp;"C", "exch=" &amp;"SMART", "cur=" &amp; "USD","ModelImpliedVol")</f>
        <v>#NAME?</v>
      </c>
      <c r="CF12" s="76" t="e">
        <f ca="1">RTD("tws.twsrtdserverctrl",,"sym=" &amp;$I$3, "sec=" &amp;"OPT", "exp="&amp;$M$8, "strike=" &amp; D12, "right=" &amp;"C", "exch=" &amp;"SMART", "cur=" &amp; "USD","CALLOptionOpenInterest")*1</f>
        <v>#NAME?</v>
      </c>
      <c r="CG12" s="98" t="e">
        <f ca="1">RTD("tws.twsrtdserverctrl",,"sym=" &amp;$I$3, "sec=" &amp;"OPT", "exp="&amp;$M$8, "strike=" &amp; D12, "right=" &amp;"C", "exch=" &amp;"SMART", "cur=" &amp; "USD","Volume")*1</f>
        <v>#NAME?</v>
      </c>
      <c r="CH12" s="27">
        <v>0</v>
      </c>
      <c r="CI12" s="76" t="e">
        <f t="shared" ca="1" si="1"/>
        <v>#NAME?</v>
      </c>
      <c r="CJ12" s="76" t="e">
        <f t="shared" ca="1" si="2"/>
        <v>#NAME?</v>
      </c>
      <c r="CK12" s="76" t="e">
        <f t="shared" ca="1" si="3"/>
        <v>#NAME?</v>
      </c>
      <c r="CL12" s="76" t="e">
        <f t="shared" ca="1" si="4"/>
        <v>#NAME?</v>
      </c>
      <c r="CM12" s="27"/>
      <c r="CN12" s="76" t="e">
        <f t="shared" ca="1" si="5"/>
        <v>#NAME?</v>
      </c>
      <c r="CO12" s="76" t="e">
        <f t="shared" ca="1" si="6"/>
        <v>#NAME?</v>
      </c>
      <c r="CP12" s="76" t="e">
        <f t="shared" ca="1" si="7"/>
        <v>#NAME?</v>
      </c>
      <c r="CQ12" s="27"/>
      <c r="CR12" s="76" t="e">
        <f t="shared" ca="1" si="8"/>
        <v>#NAME?</v>
      </c>
      <c r="CS12" s="76" t="e">
        <f t="shared" ca="1" si="9"/>
        <v>#NAME?</v>
      </c>
      <c r="CT12" s="76" t="e">
        <f t="shared" ca="1" si="10"/>
        <v>#NAME?</v>
      </c>
      <c r="CU12" s="76" t="e">
        <f t="shared" ca="1" si="11"/>
        <v>#NAME?</v>
      </c>
      <c r="CV12" s="76" t="e">
        <f t="shared" ca="1" si="15"/>
        <v>#NAME?</v>
      </c>
      <c r="CW12" s="76" t="e">
        <f t="shared" ca="1" si="16"/>
        <v>#NAME?</v>
      </c>
      <c r="CX12" s="27"/>
      <c r="CY12" s="76" t="e">
        <f t="shared" ca="1" si="12"/>
        <v>#NAME?</v>
      </c>
      <c r="CZ12" s="76" t="e">
        <f t="shared" ca="1" si="13"/>
        <v>#NAME?</v>
      </c>
      <c r="DA12" s="76" t="e">
        <f t="shared" ca="1" si="14"/>
        <v>#NAME?</v>
      </c>
      <c r="DB12" s="27"/>
      <c r="DC12" s="2"/>
      <c r="DD12" s="2"/>
      <c r="DE12" s="2"/>
      <c r="DF12" s="2"/>
      <c r="DG12" s="2"/>
      <c r="DH12" s="2"/>
      <c r="DI12" s="2"/>
      <c r="DJ12" s="2"/>
      <c r="DK12" s="2"/>
    </row>
    <row r="13" spans="1:115" ht="16.5" customHeight="1" x14ac:dyDescent="0.15">
      <c r="A13" s="6" t="e">
        <f ca="1">RTD("tws.twsrtdserverctrl",,"sym=" &amp;$I$3, "sec=" &amp;"OPT", "exp="&amp;M8, "strike=" &amp; D13, "right=" &amp;"P", "exch=" &amp;"SMART", "cur=" &amp; "USD","LOW")</f>
        <v>#NAME?</v>
      </c>
      <c r="B13" s="7" t="e">
        <f ca="1">RTD("tws.twsrtdserverctrl",,"sym=" &amp;$I$3, "sec=" &amp;"OPT", "exp="&amp;M8, "strike=" &amp; D13, "right=" &amp;"P", "exch=" &amp;"SMART", "cur=" &amp; "USD","HIGH")</f>
        <v>#NAME?</v>
      </c>
      <c r="C13" s="8" t="e">
        <f ca="1">RTD("tws.twsrtdserverctrl",,"sym=" &amp;$I$3, "sec=" &amp;"OPT", "exp="&amp;M8, "strike=" &amp; D13, "right=" &amp;"P", "exch=" &amp;"SMART", "cur=" &amp; "USD","LAST")</f>
        <v>#NAME?</v>
      </c>
      <c r="D13" s="22">
        <f ca="1">IF(B53&lt;=0,0,D14-$L$7)</f>
        <v>455</v>
      </c>
      <c r="E13" s="8" t="e">
        <f ca="1">RTD("tws.twsrtdserverctrl",,"sym=" &amp;$I$3, "sec=" &amp;"OPT", "exp="&amp;M8, "strike=" &amp; D13, "right=" &amp;"C", "exch=" &amp;"SMART", "cur=" &amp; "USD","LAST")</f>
        <v>#NAME?</v>
      </c>
      <c r="F13" s="7" t="e">
        <f ca="1">RTD("tws.twsrtdserverctrl",,"sym=" &amp;$I$3, "sec=" &amp;"OPT", "exp="&amp;M8, "strike=" &amp; D13, "right=" &amp;"C", "exch=" &amp;"SMART", "cur=" &amp; "USD","HIGH")</f>
        <v>#NAME?</v>
      </c>
      <c r="G13" s="6" t="e">
        <f ca="1">RTD("tws.twsrtdserverctrl",,"sym=" &amp;$I$3, "sec=" &amp;"OPT", "exp="&amp;M8, "strike=" &amp; D13, "right=" &amp;"C", "exch=" &amp;"SMART", "cur=" &amp; "USD","LOW")</f>
        <v>#NAME?</v>
      </c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96" t="e">
        <f ca="1">RTD("tws.twsrtdserverctrl",,"sym=" &amp;$I$3, "sec=" &amp;"OPT", "exp="&amp;$M$8, "strike=" &amp; D13, "right=" &amp;"P", "exch=" &amp;"SMART", "cur=" &amp; "USD","Volume")*1</f>
        <v>#NAME?</v>
      </c>
      <c r="BT13" s="76" t="e">
        <f ca="1">RTD("tws.twsrtdserverctrl",,"sym=" &amp;$I$3, "sec=" &amp;"OPT", "exp="&amp;$M$8, "strike=" &amp; D13, "right=" &amp;"P", "exch=" &amp;"SMART", "cur=" &amp; "USD","PutOptionOpenInterest")*1</f>
        <v>#NAME?</v>
      </c>
      <c r="BU13" s="76" t="e">
        <f ca="1">RTD("tws.twsrtdserverctrl",,"sym=" &amp;$I$3, "sec=" &amp;"OPT", "exp="&amp;$M$8, "strike=" &amp; D13, "right=" &amp;"P", "exch=" &amp;"SMART", "cur=" &amp; "USD","ModelImpliedVol")</f>
        <v>#NAME?</v>
      </c>
      <c r="BV13" s="76" t="e">
        <f ca="1">RTD("tws.twsrtdserverctrl",,"sym=" &amp;$I$3, "sec=" &amp;"OPT", "exp="&amp;$M$8, "strike=" &amp; D13, "right=" &amp;"P", "exch=" &amp;"SMART", "cur=" &amp; "USD","ModelTheta")</f>
        <v>#NAME?</v>
      </c>
      <c r="BW13" s="76" t="e">
        <f ca="1">RTD("tws.twsrtdserverctrl",,"sym=" &amp;$I$3, "sec=" &amp;"OPT", "exp="&amp;$M$8, "strike=" &amp; D13, "right=" &amp;"P", "exch=" &amp;"SMART", "cur=" &amp; "USD","ModelVega")</f>
        <v>#NAME?</v>
      </c>
      <c r="BX13" s="76" t="e">
        <f ca="1">RTD("tws.twsrtdserverctrl",,"sym=" &amp;$I$3, "sec=" &amp;"OPT", "exp="&amp;$M$8, "strike=" &amp; D13, "right=" &amp;"P", "exch=" &amp;"SMART", "cur=" &amp; "USD","ModelGamma")</f>
        <v>#NAME?</v>
      </c>
      <c r="BY13" s="76" t="e">
        <f ca="1">RTD("tws.twsrtdserverctrl",,"sym=" &amp;$I$3, "sec=" &amp;"OPT", "exp="&amp;$M$8, "strike=" &amp; D13, "right=" &amp;"P", "exch=" &amp;"SMART", "cur=" &amp; "USD","ModelDelta")</f>
        <v>#NAME?</v>
      </c>
      <c r="BZ13" s="97">
        <f t="shared" ca="1" si="0"/>
        <v>455</v>
      </c>
      <c r="CA13" s="76" t="e">
        <f ca="1">RTD("tws.twsrtdserverctrl",,"sym=" &amp;$I$3, "sec=" &amp;"OPT", "exp="&amp;$M$8, "strike=" &amp; D13, "right=" &amp;"C", "exch=" &amp;"SMART", "cur=" &amp; "USD","ModelDelta")</f>
        <v>#NAME?</v>
      </c>
      <c r="CB13" s="76" t="e">
        <f ca="1">RTD("tws.twsrtdserverctrl",,"sym=" &amp;$I$3, "sec=" &amp;"OPT", "exp="&amp;$M$8, "strike=" &amp; D13, "right=" &amp;"C", "exch=" &amp;"SMART", "cur=" &amp; "USD","ModelGamma")</f>
        <v>#NAME?</v>
      </c>
      <c r="CC13" s="76" t="e">
        <f ca="1">RTD("tws.twsrtdserverctrl",,"sym=" &amp;$I$3, "sec=" &amp;"OPT", "exp="&amp;$M$8, "strike=" &amp; D13, "right=" &amp;"C", "exch=" &amp;"SMART", "cur=" &amp; "USD","ModelVega")</f>
        <v>#NAME?</v>
      </c>
      <c r="CD13" s="76" t="e">
        <f ca="1">RTD("tws.twsrtdserverctrl",,"sym=" &amp;$I$3, "sec=" &amp;"OPT", "exp="&amp;$M$8, "strike=" &amp; D13, "right=" &amp;"C", "exch=" &amp;"SMART", "cur=" &amp; "USD","ModelTheta")</f>
        <v>#NAME?</v>
      </c>
      <c r="CE13" s="76" t="e">
        <f ca="1">RTD("tws.twsrtdserverctrl",,"sym=" &amp;$I$3, "sec=" &amp;"OPT", "exp="&amp;$M$8, "strike=" &amp; D13, "right=" &amp;"C", "exch=" &amp;"SMART", "cur=" &amp; "USD","ModelImpliedVol")</f>
        <v>#NAME?</v>
      </c>
      <c r="CF13" s="76" t="e">
        <f ca="1">RTD("tws.twsrtdserverctrl",,"sym=" &amp;$I$3, "sec=" &amp;"OPT", "exp="&amp;$M$8, "strike=" &amp; D13, "right=" &amp;"C", "exch=" &amp;"SMART", "cur=" &amp; "USD","CALLOptionOpenInterest")*1</f>
        <v>#NAME?</v>
      </c>
      <c r="CG13" s="98" t="e">
        <f ca="1">RTD("tws.twsrtdserverctrl",,"sym=" &amp;$I$3, "sec=" &amp;"OPT", "exp="&amp;$M$8, "strike=" &amp; D13, "right=" &amp;"C", "exch=" &amp;"SMART", "cur=" &amp; "USD","Volume")*1</f>
        <v>#NAME?</v>
      </c>
      <c r="CH13" s="27">
        <v>0</v>
      </c>
      <c r="CI13" s="76" t="e">
        <f t="shared" ca="1" si="1"/>
        <v>#NAME?</v>
      </c>
      <c r="CJ13" s="76" t="e">
        <f t="shared" ca="1" si="2"/>
        <v>#NAME?</v>
      </c>
      <c r="CK13" s="76" t="e">
        <f t="shared" ca="1" si="3"/>
        <v>#NAME?</v>
      </c>
      <c r="CL13" s="76" t="e">
        <f t="shared" ca="1" si="4"/>
        <v>#NAME?</v>
      </c>
      <c r="CM13" s="27"/>
      <c r="CN13" s="76" t="e">
        <f t="shared" ca="1" si="5"/>
        <v>#NAME?</v>
      </c>
      <c r="CO13" s="76" t="e">
        <f t="shared" ca="1" si="6"/>
        <v>#NAME?</v>
      </c>
      <c r="CP13" s="76" t="e">
        <f t="shared" ca="1" si="7"/>
        <v>#NAME?</v>
      </c>
      <c r="CQ13" s="27"/>
      <c r="CR13" s="76" t="e">
        <f t="shared" ca="1" si="8"/>
        <v>#NAME?</v>
      </c>
      <c r="CS13" s="76" t="e">
        <f t="shared" ca="1" si="9"/>
        <v>#NAME?</v>
      </c>
      <c r="CT13" s="76" t="e">
        <f t="shared" ca="1" si="10"/>
        <v>#NAME?</v>
      </c>
      <c r="CU13" s="76" t="e">
        <f t="shared" ca="1" si="11"/>
        <v>#NAME?</v>
      </c>
      <c r="CV13" s="76" t="e">
        <f t="shared" ca="1" si="15"/>
        <v>#NAME?</v>
      </c>
      <c r="CW13" s="76" t="e">
        <f t="shared" ca="1" si="16"/>
        <v>#NAME?</v>
      </c>
      <c r="CX13" s="27"/>
      <c r="CY13" s="76" t="e">
        <f t="shared" ca="1" si="12"/>
        <v>#NAME?</v>
      </c>
      <c r="CZ13" s="76" t="e">
        <f t="shared" ca="1" si="13"/>
        <v>#NAME?</v>
      </c>
      <c r="DA13" s="76" t="e">
        <f t="shared" ca="1" si="14"/>
        <v>#NAME?</v>
      </c>
      <c r="DB13" s="27"/>
      <c r="DC13" s="2"/>
      <c r="DD13" s="2"/>
      <c r="DE13" s="2"/>
      <c r="DF13" s="2"/>
      <c r="DG13" s="2"/>
      <c r="DH13" s="2"/>
      <c r="DI13" s="2"/>
      <c r="DJ13" s="2"/>
      <c r="DK13" s="2"/>
    </row>
    <row r="14" spans="1:115" ht="16.5" customHeight="1" x14ac:dyDescent="0.15">
      <c r="A14" s="9" t="e">
        <f ca="1">RTD("tws.twsrtdserverctrl",,"sym=" &amp;$I$3, "sec=" &amp;"OPT", "exp="&amp;M8, "strike=" &amp; D14, "right=" &amp;"P", "exch=" &amp;"SMART", "cur=" &amp; "USD","LOW")</f>
        <v>#NAME?</v>
      </c>
      <c r="B14" s="10" t="e">
        <f ca="1">RTD("tws.twsrtdserverctrl",,"sym=" &amp;$I$3, "sec=" &amp;"OPT", "exp="&amp;M8, "strike=" &amp; D14, "right=" &amp;"P", "exch=" &amp;"SMART", "cur=" &amp; "USD","HIGH")</f>
        <v>#NAME?</v>
      </c>
      <c r="C14" s="11" t="e">
        <f ca="1">RTD("tws.twsrtdserverctrl",,"sym=" &amp;$I$3, "sec=" &amp;"OPT", "exp="&amp;M8, "strike=" &amp; D14, "right=" &amp;"P", "exch=" &amp;"SMART", "cur=" &amp; "USD","LAST")</f>
        <v>#NAME?</v>
      </c>
      <c r="D14" s="23">
        <f ca="1">IF(B53&lt;=0,0,D15-$L$7)</f>
        <v>460</v>
      </c>
      <c r="E14" s="11" t="e">
        <f ca="1">RTD("tws.twsrtdserverctrl",,"sym=" &amp;$I$3, "sec=" &amp;"OPT", "exp="&amp;M8, "strike=" &amp; D14, "right=" &amp;"C", "exch=" &amp;"SMART", "cur=" &amp; "USD","LAST")</f>
        <v>#NAME?</v>
      </c>
      <c r="F14" s="10" t="e">
        <f ca="1">RTD("tws.twsrtdserverctrl",,"sym=" &amp;$I$3, "sec=" &amp;"OPT", "exp="&amp;M8, "strike=" &amp; D14, "right=" &amp;"C", "exch=" &amp;"SMART", "cur=" &amp; "USD","HIGH")</f>
        <v>#NAME?</v>
      </c>
      <c r="G14" s="9" t="e">
        <f ca="1">RTD("tws.twsrtdserverctrl",,"sym=" &amp;$I$3, "sec=" &amp;"OPT", "exp="&amp;M8, "strike=" &amp; D14, "right=" &amp;"C", "exch=" &amp;"SMART", "cur=" &amp; "USD","LOW")</f>
        <v>#NAME?</v>
      </c>
      <c r="I14" s="112" t="s">
        <v>55</v>
      </c>
      <c r="J14" s="113"/>
      <c r="K14" s="113"/>
      <c r="L14" s="77" t="str">
        <f>I3</f>
        <v>nvda</v>
      </c>
      <c r="M14" s="30"/>
      <c r="AU14" s="27"/>
      <c r="AV14" s="27"/>
      <c r="AW14" s="27"/>
      <c r="AX14" s="27"/>
      <c r="AY14" s="27"/>
      <c r="AZ14" s="27"/>
      <c r="BA14" s="27"/>
      <c r="BB14" s="27"/>
      <c r="BC14" s="27"/>
      <c r="BD14" s="93" t="s">
        <v>24</v>
      </c>
      <c r="BE14" s="93" t="s">
        <v>22</v>
      </c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96" t="e">
        <f ca="1">RTD("tws.twsrtdserverctrl",,"sym=" &amp;$I$3, "sec=" &amp;"OPT", "exp="&amp;$M$8, "strike=" &amp; D14, "right=" &amp;"P", "exch=" &amp;"SMART", "cur=" &amp; "USD","Volume")*1</f>
        <v>#NAME?</v>
      </c>
      <c r="BT14" s="76" t="e">
        <f ca="1">RTD("tws.twsrtdserverctrl",,"sym=" &amp;$I$3, "sec=" &amp;"OPT", "exp="&amp;$M$8, "strike=" &amp; D14, "right=" &amp;"P", "exch=" &amp;"SMART", "cur=" &amp; "USD","PutOptionOpenInterest")*1</f>
        <v>#NAME?</v>
      </c>
      <c r="BU14" s="76" t="e">
        <f ca="1">RTD("tws.twsrtdserverctrl",,"sym=" &amp;$I$3, "sec=" &amp;"OPT", "exp="&amp;$M$8, "strike=" &amp; D14, "right=" &amp;"P", "exch=" &amp;"SMART", "cur=" &amp; "USD","ModelImpliedVol")</f>
        <v>#NAME?</v>
      </c>
      <c r="BV14" s="76" t="e">
        <f ca="1">RTD("tws.twsrtdserverctrl",,"sym=" &amp;$I$3, "sec=" &amp;"OPT", "exp="&amp;$M$8, "strike=" &amp; D14, "right=" &amp;"P", "exch=" &amp;"SMART", "cur=" &amp; "USD","ModelTheta")</f>
        <v>#NAME?</v>
      </c>
      <c r="BW14" s="76" t="e">
        <f ca="1">RTD("tws.twsrtdserverctrl",,"sym=" &amp;$I$3, "sec=" &amp;"OPT", "exp="&amp;$M$8, "strike=" &amp; D14, "right=" &amp;"P", "exch=" &amp;"SMART", "cur=" &amp; "USD","ModelVega")</f>
        <v>#NAME?</v>
      </c>
      <c r="BX14" s="76" t="e">
        <f ca="1">RTD("tws.twsrtdserverctrl",,"sym=" &amp;$I$3, "sec=" &amp;"OPT", "exp="&amp;$M$8, "strike=" &amp; D14, "right=" &amp;"P", "exch=" &amp;"SMART", "cur=" &amp; "USD","ModelGamma")</f>
        <v>#NAME?</v>
      </c>
      <c r="BY14" s="76" t="e">
        <f ca="1">RTD("tws.twsrtdserverctrl",,"sym=" &amp;$I$3, "sec=" &amp;"OPT", "exp="&amp;$M$8, "strike=" &amp; D14, "right=" &amp;"P", "exch=" &amp;"SMART", "cur=" &amp; "USD","ModelDelta")</f>
        <v>#NAME?</v>
      </c>
      <c r="BZ14" s="97">
        <f t="shared" ca="1" si="0"/>
        <v>460</v>
      </c>
      <c r="CA14" s="76" t="e">
        <f ca="1">RTD("tws.twsrtdserverctrl",,"sym=" &amp;$I$3, "sec=" &amp;"OPT", "exp="&amp;$M$8, "strike=" &amp; D14, "right=" &amp;"C", "exch=" &amp;"SMART", "cur=" &amp; "USD","ModelDelta")</f>
        <v>#NAME?</v>
      </c>
      <c r="CB14" s="76" t="e">
        <f ca="1">RTD("tws.twsrtdserverctrl",,"sym=" &amp;$I$3, "sec=" &amp;"OPT", "exp="&amp;$M$8, "strike=" &amp; D14, "right=" &amp;"C", "exch=" &amp;"SMART", "cur=" &amp; "USD","ModelGamma")</f>
        <v>#NAME?</v>
      </c>
      <c r="CC14" s="76" t="e">
        <f ca="1">RTD("tws.twsrtdserverctrl",,"sym=" &amp;$I$3, "sec=" &amp;"OPT", "exp="&amp;$M$8, "strike=" &amp; D14, "right=" &amp;"C", "exch=" &amp;"SMART", "cur=" &amp; "USD","ModelVega")</f>
        <v>#NAME?</v>
      </c>
      <c r="CD14" s="76" t="e">
        <f ca="1">RTD("tws.twsrtdserverctrl",,"sym=" &amp;$I$3, "sec=" &amp;"OPT", "exp="&amp;$M$8, "strike=" &amp; D14, "right=" &amp;"C", "exch=" &amp;"SMART", "cur=" &amp; "USD","ModelTheta")</f>
        <v>#NAME?</v>
      </c>
      <c r="CE14" s="76" t="e">
        <f ca="1">RTD("tws.twsrtdserverctrl",,"sym=" &amp;$I$3, "sec=" &amp;"OPT", "exp="&amp;$M$8, "strike=" &amp; D14, "right=" &amp;"C", "exch=" &amp;"SMART", "cur=" &amp; "USD","ModelImpliedVol")</f>
        <v>#NAME?</v>
      </c>
      <c r="CF14" s="76" t="e">
        <f ca="1">RTD("tws.twsrtdserverctrl",,"sym=" &amp;$I$3, "sec=" &amp;"OPT", "exp="&amp;$M$8, "strike=" &amp; D14, "right=" &amp;"C", "exch=" &amp;"SMART", "cur=" &amp; "USD","CALLOptionOpenInterest")*1</f>
        <v>#NAME?</v>
      </c>
      <c r="CG14" s="98" t="e">
        <f ca="1">RTD("tws.twsrtdserverctrl",,"sym=" &amp;$I$3, "sec=" &amp;"OPT", "exp="&amp;$M$8, "strike=" &amp; D14, "right=" &amp;"C", "exch=" &amp;"SMART", "cur=" &amp; "USD","Volume")*1</f>
        <v>#NAME?</v>
      </c>
      <c r="CH14" s="27">
        <v>0</v>
      </c>
      <c r="CI14" s="76" t="e">
        <f t="shared" ca="1" si="1"/>
        <v>#NAME?</v>
      </c>
      <c r="CJ14" s="76" t="e">
        <f t="shared" ca="1" si="2"/>
        <v>#NAME?</v>
      </c>
      <c r="CK14" s="76" t="e">
        <f t="shared" ca="1" si="3"/>
        <v>#NAME?</v>
      </c>
      <c r="CL14" s="76" t="e">
        <f t="shared" ca="1" si="4"/>
        <v>#NAME?</v>
      </c>
      <c r="CM14" s="27"/>
      <c r="CN14" s="76" t="e">
        <f t="shared" ca="1" si="5"/>
        <v>#NAME?</v>
      </c>
      <c r="CO14" s="76" t="e">
        <f t="shared" ca="1" si="6"/>
        <v>#NAME?</v>
      </c>
      <c r="CP14" s="76" t="e">
        <f t="shared" ca="1" si="7"/>
        <v>#NAME?</v>
      </c>
      <c r="CQ14" s="27"/>
      <c r="CR14" s="76" t="e">
        <f t="shared" ca="1" si="8"/>
        <v>#NAME?</v>
      </c>
      <c r="CS14" s="76" t="e">
        <f t="shared" ca="1" si="9"/>
        <v>#NAME?</v>
      </c>
      <c r="CT14" s="76" t="e">
        <f t="shared" ca="1" si="10"/>
        <v>#NAME?</v>
      </c>
      <c r="CU14" s="76" t="e">
        <f t="shared" ca="1" si="11"/>
        <v>#NAME?</v>
      </c>
      <c r="CV14" s="76" t="e">
        <f t="shared" ca="1" si="15"/>
        <v>#NAME?</v>
      </c>
      <c r="CW14" s="76" t="e">
        <f t="shared" ca="1" si="16"/>
        <v>#NAME?</v>
      </c>
      <c r="CX14" s="27"/>
      <c r="CY14" s="76" t="e">
        <f t="shared" ca="1" si="12"/>
        <v>#NAME?</v>
      </c>
      <c r="CZ14" s="76" t="e">
        <f t="shared" ca="1" si="13"/>
        <v>#NAME?</v>
      </c>
      <c r="DA14" s="76" t="e">
        <f t="shared" ca="1" si="14"/>
        <v>#NAME?</v>
      </c>
      <c r="DB14" s="27"/>
      <c r="DC14" s="2"/>
      <c r="DD14" s="2"/>
      <c r="DE14" s="2"/>
      <c r="DF14" s="2"/>
      <c r="DG14" s="2"/>
      <c r="DH14" s="2"/>
      <c r="DI14" s="2"/>
      <c r="DJ14" s="2"/>
      <c r="DK14" s="2"/>
    </row>
    <row r="15" spans="1:115" ht="16.5" customHeight="1" thickBot="1" x14ac:dyDescent="0.2">
      <c r="A15" s="12" t="e">
        <f ca="1">RTD("tws.twsrtdserverctrl",,"sym=" &amp;$I$3, "sec=" &amp;"OPT", "exp="&amp;M8, "strike=" &amp; D15, "right=" &amp;"P", "exch=" &amp;"SMART", "cur=" &amp; "USD","LOW")</f>
        <v>#NAME?</v>
      </c>
      <c r="B15" s="13" t="e">
        <f ca="1">RTD("tws.twsrtdserverctrl",,"sym=" &amp;$I$3, "sec=" &amp;"OPT", "exp="&amp;M8, "strike=" &amp; D15, "right=" &amp;"P", "exch=" &amp;"SMART", "cur=" &amp; "USD","HIGH")</f>
        <v>#NAME?</v>
      </c>
      <c r="C15" s="14" t="e">
        <f ca="1">RTD("tws.twsrtdserverctrl",,"sym=" &amp;$I$3, "sec=" &amp;"OPT", "exp="&amp;M8, "strike=" &amp; D15, "right=" &amp;"P", "exch=" &amp;"SMART", "cur=" &amp; "USD","LAST")</f>
        <v>#NAME?</v>
      </c>
      <c r="D15" s="24">
        <f ca="1">IF(B53&lt;=0,0,D16-$L$7)</f>
        <v>465</v>
      </c>
      <c r="E15" s="14" t="e">
        <f ca="1">RTD("tws.twsrtdserverctrl",,"sym=" &amp;$I$3, "sec=" &amp;"OPT", "exp="&amp;M8, "strike=" &amp; D15, "right=" &amp;"C", "exch=" &amp;"SMART", "cur=" &amp; "USD","LAST")</f>
        <v>#NAME?</v>
      </c>
      <c r="F15" s="13" t="e">
        <f ca="1">RTD("tws.twsrtdserverctrl",,"sym=" &amp;$I$3, "sec=" &amp;"OPT", "exp="&amp;M8, "strike=" &amp; D15, "right=" &amp;"C", "exch=" &amp;"SMART", "cur=" &amp; "USD","HIGH")</f>
        <v>#NAME?</v>
      </c>
      <c r="G15" s="12" t="e">
        <f ca="1">RTD("tws.twsrtdserverctrl",,"sym=" &amp;$I$3, "sec=" &amp;"OPT", "exp="&amp;M8, "strike=" &amp; D15, "right=" &amp;"C", "exch=" &amp;"SMART", "cur=" &amp; "USD","LOW")</f>
        <v>#NAME?</v>
      </c>
      <c r="I15" s="29" t="s">
        <v>53</v>
      </c>
      <c r="J15" s="124">
        <f>IF(I3&lt;&gt;"",RTD("tws.twsrtdserverctrl",,I3,"CallOptionVolume")*1,"")</f>
        <v>0</v>
      </c>
      <c r="K15" s="124"/>
      <c r="L15" s="29" t="s">
        <v>56</v>
      </c>
      <c r="M15" s="71">
        <f ca="1">CG28</f>
        <v>470</v>
      </c>
      <c r="AU15" s="27"/>
      <c r="AV15" s="27"/>
      <c r="AW15" s="27"/>
      <c r="AX15" s="27"/>
      <c r="AY15" s="27"/>
      <c r="AZ15" s="27"/>
      <c r="BA15" s="27"/>
      <c r="BB15" s="27"/>
      <c r="BC15" s="27"/>
      <c r="BD15" s="94">
        <f ca="1">TODAY() + (6 - WEEKDAY(TODAY()) + IF(WEEKDAY(TODAY()) &gt;= 6, 7, 0))</f>
        <v>45156</v>
      </c>
      <c r="BE15" s="94">
        <f ca="1">TODAY()</f>
        <v>45149</v>
      </c>
      <c r="BF15" s="94" cm="1">
        <f t="array" aca="1" ref="BF15:BF38" ca="1">IF(OR(I3="SPY",I3="QQQ"),BE15:BE38, BD15:BD38)</f>
        <v>45156</v>
      </c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96" t="e">
        <f ca="1">RTD("tws.twsrtdserverctrl",,"sym=" &amp;$I$3, "sec=" &amp;"OPT", "exp="&amp;$M$8, "strike=" &amp; D15, "right=" &amp;"P", "exch=" &amp;"SMART", "cur=" &amp; "USD","Volume")*1</f>
        <v>#NAME?</v>
      </c>
      <c r="BT15" s="76" t="e">
        <f ca="1">RTD("tws.twsrtdserverctrl",,"sym=" &amp;$I$3, "sec=" &amp;"OPT", "exp="&amp;$M$8, "strike=" &amp; D15, "right=" &amp;"P", "exch=" &amp;"SMART", "cur=" &amp; "USD","PutOptionOpenInterest")*1</f>
        <v>#NAME?</v>
      </c>
      <c r="BU15" s="76" t="e">
        <f ca="1">RTD("tws.twsrtdserverctrl",,"sym=" &amp;$I$3, "sec=" &amp;"OPT", "exp="&amp;$M$8, "strike=" &amp; D15, "right=" &amp;"P", "exch=" &amp;"SMART", "cur=" &amp; "USD","ModelImpliedVol")</f>
        <v>#NAME?</v>
      </c>
      <c r="BV15" s="76" t="e">
        <f ca="1">RTD("tws.twsrtdserverctrl",,"sym=" &amp;$I$3, "sec=" &amp;"OPT", "exp="&amp;$M$8, "strike=" &amp; D15, "right=" &amp;"P", "exch=" &amp;"SMART", "cur=" &amp; "USD","ModelTheta")</f>
        <v>#NAME?</v>
      </c>
      <c r="BW15" s="76" t="e">
        <f ca="1">RTD("tws.twsrtdserverctrl",,"sym=" &amp;$I$3, "sec=" &amp;"OPT", "exp="&amp;$M$8, "strike=" &amp; D15, "right=" &amp;"P", "exch=" &amp;"SMART", "cur=" &amp; "USD","ModelVega")</f>
        <v>#NAME?</v>
      </c>
      <c r="BX15" s="76" t="e">
        <f ca="1">RTD("tws.twsrtdserverctrl",,"sym=" &amp;$I$3, "sec=" &amp;"OPT", "exp="&amp;$M$8, "strike=" &amp; D15, "right=" &amp;"P", "exch=" &amp;"SMART", "cur=" &amp; "USD","ModelGamma")</f>
        <v>#NAME?</v>
      </c>
      <c r="BY15" s="76" t="e">
        <f ca="1">RTD("tws.twsrtdserverctrl",,"sym=" &amp;$I$3, "sec=" &amp;"OPT", "exp="&amp;$M$8, "strike=" &amp; D15, "right=" &amp;"P", "exch=" &amp;"SMART", "cur=" &amp; "USD","ModelDelta")</f>
        <v>#NAME?</v>
      </c>
      <c r="BZ15" s="97">
        <f t="shared" ca="1" si="0"/>
        <v>465</v>
      </c>
      <c r="CA15" s="76" t="e">
        <f ca="1">RTD("tws.twsrtdserverctrl",,"sym=" &amp;$I$3, "sec=" &amp;"OPT", "exp="&amp;$M$8, "strike=" &amp; D15, "right=" &amp;"C", "exch=" &amp;"SMART", "cur=" &amp; "USD","ModelDelta")</f>
        <v>#NAME?</v>
      </c>
      <c r="CB15" s="76" t="e">
        <f ca="1">RTD("tws.twsrtdserverctrl",,"sym=" &amp;$I$3, "sec=" &amp;"OPT", "exp="&amp;$M$8, "strike=" &amp; D15, "right=" &amp;"C", "exch=" &amp;"SMART", "cur=" &amp; "USD","ModelGamma")</f>
        <v>#NAME?</v>
      </c>
      <c r="CC15" s="76" t="e">
        <f ca="1">RTD("tws.twsrtdserverctrl",,"sym=" &amp;$I$3, "sec=" &amp;"OPT", "exp="&amp;$M$8, "strike=" &amp; D15, "right=" &amp;"C", "exch=" &amp;"SMART", "cur=" &amp; "USD","ModelVega")</f>
        <v>#NAME?</v>
      </c>
      <c r="CD15" s="76" t="e">
        <f ca="1">RTD("tws.twsrtdserverctrl",,"sym=" &amp;$I$3, "sec=" &amp;"OPT", "exp="&amp;$M$8, "strike=" &amp; D15, "right=" &amp;"C", "exch=" &amp;"SMART", "cur=" &amp; "USD","ModelTheta")</f>
        <v>#NAME?</v>
      </c>
      <c r="CE15" s="76" t="e">
        <f ca="1">RTD("tws.twsrtdserverctrl",,"sym=" &amp;$I$3, "sec=" &amp;"OPT", "exp="&amp;$M$8, "strike=" &amp; D15, "right=" &amp;"C", "exch=" &amp;"SMART", "cur=" &amp; "USD","ModelImpliedVol")</f>
        <v>#NAME?</v>
      </c>
      <c r="CF15" s="76" t="e">
        <f ca="1">RTD("tws.twsrtdserverctrl",,"sym=" &amp;$I$3, "sec=" &amp;"OPT", "exp="&amp;$M$8, "strike=" &amp; D15, "right=" &amp;"C", "exch=" &amp;"SMART", "cur=" &amp; "USD","CALLOptionOpenInterest")*1</f>
        <v>#NAME?</v>
      </c>
      <c r="CG15" s="98" t="e">
        <f ca="1">RTD("tws.twsrtdserverctrl",,"sym=" &amp;$I$3, "sec=" &amp;"OPT", "exp="&amp;$M$8, "strike=" &amp; D15, "right=" &amp;"C", "exch=" &amp;"SMART", "cur=" &amp; "USD","Volume")*1</f>
        <v>#NAME?</v>
      </c>
      <c r="CH15" s="27">
        <v>0</v>
      </c>
      <c r="CI15" s="76" t="e">
        <f t="shared" ca="1" si="1"/>
        <v>#NAME?</v>
      </c>
      <c r="CJ15" s="76" t="e">
        <f t="shared" ca="1" si="2"/>
        <v>#NAME?</v>
      </c>
      <c r="CK15" s="76" t="e">
        <f t="shared" ca="1" si="3"/>
        <v>#NAME?</v>
      </c>
      <c r="CL15" s="76" t="e">
        <f t="shared" ca="1" si="4"/>
        <v>#NAME?</v>
      </c>
      <c r="CM15" s="27"/>
      <c r="CN15" s="76" t="e">
        <f t="shared" ca="1" si="5"/>
        <v>#NAME?</v>
      </c>
      <c r="CO15" s="76" t="e">
        <f t="shared" ca="1" si="6"/>
        <v>#NAME?</v>
      </c>
      <c r="CP15" s="76" t="e">
        <f t="shared" ca="1" si="7"/>
        <v>#NAME?</v>
      </c>
      <c r="CQ15" s="27"/>
      <c r="CR15" s="76" t="e">
        <f t="shared" ca="1" si="8"/>
        <v>#NAME?</v>
      </c>
      <c r="CS15" s="76" t="e">
        <f t="shared" ca="1" si="9"/>
        <v>#NAME?</v>
      </c>
      <c r="CT15" s="76" t="e">
        <f t="shared" ca="1" si="10"/>
        <v>#NAME?</v>
      </c>
      <c r="CU15" s="76" t="e">
        <f t="shared" ca="1" si="11"/>
        <v>#NAME?</v>
      </c>
      <c r="CV15" s="76" t="e">
        <f t="shared" ca="1" si="15"/>
        <v>#NAME?</v>
      </c>
      <c r="CW15" s="76" t="e">
        <f t="shared" ca="1" si="16"/>
        <v>#NAME?</v>
      </c>
      <c r="CX15" s="27"/>
      <c r="CY15" s="76" t="e">
        <f t="shared" ca="1" si="12"/>
        <v>#NAME?</v>
      </c>
      <c r="CZ15" s="76" t="e">
        <f t="shared" ca="1" si="13"/>
        <v>#NAME?</v>
      </c>
      <c r="DA15" s="76" t="e">
        <f t="shared" ca="1" si="14"/>
        <v>#NAME?</v>
      </c>
      <c r="DB15" s="27"/>
      <c r="DC15" s="2"/>
      <c r="DD15" s="2"/>
      <c r="DE15" s="2"/>
      <c r="DF15" s="2"/>
      <c r="DG15" s="2"/>
      <c r="DH15" s="2"/>
      <c r="DI15" s="2"/>
      <c r="DJ15" s="2"/>
      <c r="DK15" s="2"/>
    </row>
    <row r="16" spans="1:115" ht="16.5" customHeight="1" thickTop="1" x14ac:dyDescent="0.15">
      <c r="A16" s="15">
        <f>RTD("tws.twsrtdserverctrl",,"sym=" &amp;$I$3, "sec=" &amp;"OPT", "exp="&amp;M8, "strike=" &amp; D16, "right=" &amp;"P", "exch=" &amp;"SMART", "cur=" &amp; "USD","LOW")</f>
        <v>10.55</v>
      </c>
      <c r="B16" s="16">
        <f>RTD("tws.twsrtdserverctrl",,"sym=" &amp;$I$3, "sec=" &amp;"OPT", "exp="&amp;M8, "strike=" &amp; D16, "right=" &amp;"P", "exch=" &amp;"SMART", "cur=" &amp; "USD","HIGH")</f>
        <v>14.34</v>
      </c>
      <c r="C16" s="17">
        <f>RTD("tws.twsrtdserverctrl",,"sym=" &amp;$I$3, "sec=" &amp;"OPT", "exp="&amp;M8, "strike=" &amp; D16, "right=" &amp;"P", "exch=" &amp;"SMART", "cur=" &amp; "USD","LAST")</f>
        <v>11.3</v>
      </c>
      <c r="D16" s="25">
        <f>IF(I3&lt;&gt;"",MROUND(L3,L7),"")</f>
        <v>470</v>
      </c>
      <c r="E16" s="17">
        <f>RTD("tws.twsrtdserverctrl",,"sym="&amp;$I$3, "sec="&amp;"OPT", "exp="&amp;M8, "strike="&amp;D16, "right="&amp;"C", "exch="&amp;"SMART", "cur="&amp;"USD", "LAST")</f>
        <v>9.06</v>
      </c>
      <c r="F16" s="16">
        <f>RTD("tws.twsrtdserverctrl",,"sym=" &amp;$I$3, "sec=" &amp;"OPT", "exp="&amp;M8, "strike=" &amp; D16, "right=" &amp;"C", "exch=" &amp;"SMART", "cur=" &amp; "USD","HIGH")</f>
        <v>11.16</v>
      </c>
      <c r="G16" s="15">
        <f>RTD("tws.twsrtdserverctrl",,"sym=" &amp;$I$3, "sec=" &amp;"OPT", "exp="&amp;M8, "strike=" &amp; D16, "right=" &amp;"C", "exch=" &amp;"SMART", "cur=" &amp; "USD","LOW")</f>
        <v>8.15</v>
      </c>
      <c r="I16" s="29" t="s">
        <v>54</v>
      </c>
      <c r="J16" s="111">
        <f>IF(I3&lt;&gt;"",RTD("tws.twsrtdserverctrl",,I3,"PUTOptionVolume")*1,"")</f>
        <v>0</v>
      </c>
      <c r="K16" s="111"/>
      <c r="L16" s="29" t="s">
        <v>57</v>
      </c>
      <c r="M16" s="72">
        <f ca="1">BS28</f>
        <v>470</v>
      </c>
      <c r="AU16" s="27"/>
      <c r="AV16" s="27"/>
      <c r="AW16" s="27"/>
      <c r="AX16" s="27"/>
      <c r="AY16" s="27"/>
      <c r="AZ16" s="27"/>
      <c r="BA16" s="27"/>
      <c r="BB16" s="27"/>
      <c r="BC16" s="27"/>
      <c r="BD16" s="94">
        <f ca="1">IF(WEEKDAY(BD15)=6, BD15+7, BD15+7-WEEKDAY(BD15))</f>
        <v>45163</v>
      </c>
      <c r="BE16" s="94">
        <f ca="1">BE15+1</f>
        <v>45150</v>
      </c>
      <c r="BF16" s="95">
        <f ca="1"/>
        <v>45163</v>
      </c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96">
        <f>RTD("tws.twsrtdserverctrl",,"sym=" &amp;$I$3, "sec=" &amp;"OPT", "exp="&amp;$M$8, "strike=" &amp; D16, "right=" &amp;"P", "exch=" &amp;"SMART", "cur=" &amp; "USD","Volume")*1</f>
        <v>4186</v>
      </c>
      <c r="BT16" s="76">
        <f>RTD("tws.twsrtdserverctrl",,"sym=" &amp;$I$3, "sec=" &amp;"OPT", "exp="&amp;$M$8, "strike=" &amp; D16, "right=" &amp;"P", "exch=" &amp;"SMART", "cur=" &amp; "USD","PutOptionOpenInterest")*1</f>
        <v>0</v>
      </c>
      <c r="BU16" s="76">
        <f>RTD("tws.twsrtdserverctrl",,"sym=" &amp;$I$3, "sec=" &amp;"OPT", "exp="&amp;$M$8, "strike=" &amp; D16, "right=" &amp;"P", "exch=" &amp;"SMART", "cur=" &amp; "USD","ModelImpliedVol")</f>
        <v>0.38929441880325039</v>
      </c>
      <c r="BV16" s="76">
        <f>RTD("tws.twsrtdserverctrl",,"sym=" &amp;$I$3, "sec=" &amp;"OPT", "exp="&amp;$M$8, "strike=" &amp; D16, "right=" &amp;"P", "exch=" &amp;"SMART", "cur=" &amp; "USD","ModelTheta")</f>
        <v>-0.8149882316561925</v>
      </c>
      <c r="BW16" s="76">
        <f>RTD("tws.twsrtdserverctrl",,"sym=" &amp;$I$3, "sec=" &amp;"OPT", "exp="&amp;$M$8, "strike=" &amp; D16, "right=" &amp;"P", "exch=" &amp;"SMART", "cur=" &amp; "USD","ModelVega")</f>
        <v>0.21833017200825111</v>
      </c>
      <c r="BX16" s="76">
        <f>RTD("tws.twsrtdserverctrl",,"sym=" &amp;$I$3, "sec=" &amp;"OPT", "exp="&amp;$M$8, "strike=" &amp; D16, "right=" &amp;"P", "exch=" &amp;"SMART", "cur=" &amp; "USD","ModelGamma")</f>
        <v>1.8827320043227239E-2</v>
      </c>
      <c r="BY16" s="76">
        <f>RTD("tws.twsrtdserverctrl",,"sym=" &amp;$I$3, "sec=" &amp;"OPT", "exp="&amp;$M$8, "strike=" &amp; D16, "right=" &amp;"P", "exch=" &amp;"SMART", "cur=" &amp; "USD","ModelDelta")</f>
        <v>-0.53484133283831103</v>
      </c>
      <c r="BZ16" s="97">
        <f t="shared" si="0"/>
        <v>470</v>
      </c>
      <c r="CA16" s="76">
        <f>RTD("tws.twsrtdserverctrl",,"sym=" &amp;$I$3, "sec=" &amp;"OPT", "exp="&amp;$M$8, "strike=" &amp; D16, "right=" &amp;"C", "exch=" &amp;"SMART", "cur=" &amp; "USD","ModelDelta")</f>
        <v>0.46687846662982957</v>
      </c>
      <c r="CB16" s="76">
        <f>RTD("tws.twsrtdserverctrl",,"sym=" &amp;$I$3, "sec=" &amp;"OPT", "exp="&amp;$M$8, "strike=" &amp; D16, "right=" &amp;"C", "exch=" &amp;"SMART", "cur=" &amp; "USD","ModelGamma")</f>
        <v>1.8723946531608537E-2</v>
      </c>
      <c r="CC16" s="76">
        <f>RTD("tws.twsrtdserverctrl",,"sym=" &amp;$I$3, "sec=" &amp;"OPT", "exp="&amp;$M$8, "strike=" &amp; D16, "right=" &amp;"C", "exch=" &amp;"SMART", "cur=" &amp; "USD","ModelVega")</f>
        <v>0.21850440497549073</v>
      </c>
      <c r="CD16" s="76">
        <f>RTD("tws.twsrtdserverctrl",,"sym=" &amp;$I$3, "sec=" &amp;"OPT", "exp="&amp;$M$8, "strike=" &amp; D16, "right=" &amp;"C", "exch=" &amp;"SMART", "cur=" &amp; "USD","ModelTheta")</f>
        <v>-0.88071108742509596</v>
      </c>
      <c r="CE16" s="76">
        <f>RTD("tws.twsrtdserverctrl",,"sym=" &amp;$I$3, "sec=" &amp;"OPT", "exp="&amp;$M$8, "strike=" &amp; D16, "right=" &amp;"C", "exch=" &amp;"SMART", "cur=" &amp; "USD","ModelImpliedVol")</f>
        <v>0.38929441880325039</v>
      </c>
      <c r="CF16" s="76">
        <f>RTD("tws.twsrtdserverctrl",,"sym=" &amp;$I$3, "sec=" &amp;"OPT", "exp="&amp;$M$8, "strike=" &amp; D16, "right=" &amp;"C", "exch=" &amp;"SMART", "cur=" &amp; "USD","CALLOptionOpenInterest")*1</f>
        <v>0</v>
      </c>
      <c r="CG16" s="98">
        <f>RTD("tws.twsrtdserverctrl",,"sym=" &amp;$I$3, "sec=" &amp;"OPT", "exp="&amp;$M$8, "strike=" &amp; D16, "right=" &amp;"C", "exch=" &amp;"SMART", "cur=" &amp; "USD","Volume")*1</f>
        <v>20331</v>
      </c>
      <c r="CH16" s="27">
        <v>0</v>
      </c>
      <c r="CI16" s="76">
        <f t="shared" si="1"/>
        <v>1.7453261300400937E-4</v>
      </c>
      <c r="CJ16" s="76">
        <f t="shared" si="2"/>
        <v>-1.5344044268854957E-2</v>
      </c>
      <c r="CK16" s="76">
        <f t="shared" si="3"/>
        <v>-1.6490387310742309E-2</v>
      </c>
      <c r="CL16" s="76">
        <f t="shared" si="4"/>
        <v>-3.1834431579597269E-2</v>
      </c>
      <c r="CM16" s="27"/>
      <c r="CN16" s="76">
        <f t="shared" si="5"/>
        <v>0</v>
      </c>
      <c r="CO16" s="76">
        <f t="shared" si="6"/>
        <v>0</v>
      </c>
      <c r="CP16" s="76">
        <f t="shared" si="7"/>
        <v>0</v>
      </c>
      <c r="CQ16" s="27"/>
      <c r="CR16" s="76">
        <f t="shared" si="8"/>
        <v>0</v>
      </c>
      <c r="CS16" s="76">
        <f t="shared" si="9"/>
        <v>0</v>
      </c>
      <c r="CT16" s="76">
        <f t="shared" si="10"/>
        <v>-1.3738736211078848</v>
      </c>
      <c r="CU16" s="76">
        <f t="shared" si="11"/>
        <v>2.2963871262103662E-5</v>
      </c>
      <c r="CV16" s="76">
        <f t="shared" si="15"/>
        <v>-1.277690713899453E-4</v>
      </c>
      <c r="CW16" s="76">
        <f t="shared" si="16"/>
        <v>-1.0480520012784164E-11</v>
      </c>
      <c r="CX16" s="27"/>
      <c r="CY16" s="76" t="e">
        <f t="shared" ca="1" si="12"/>
        <v>#NAME?</v>
      </c>
      <c r="CZ16" s="76" t="e">
        <f t="shared" ca="1" si="13"/>
        <v>#NAME?</v>
      </c>
      <c r="DA16" s="76" t="e">
        <f t="shared" ca="1" si="14"/>
        <v>#NAME?</v>
      </c>
      <c r="DB16" s="27"/>
      <c r="DC16" s="2"/>
      <c r="DD16" s="2"/>
      <c r="DE16" s="2"/>
      <c r="DF16" s="2"/>
      <c r="DG16" s="2"/>
      <c r="DH16" s="2"/>
      <c r="DI16" s="2"/>
      <c r="DJ16" s="2"/>
      <c r="DK16" s="2"/>
    </row>
    <row r="17" spans="1:115" ht="16.5" customHeight="1" x14ac:dyDescent="0.15">
      <c r="A17" s="6" t="e">
        <f ca="1">RTD("tws.twsrtdserverctrl",,"sym=" &amp;$I$3, "sec=" &amp;"OPT", "exp="&amp;M8, "strike=" &amp; D17, "right=" &amp;"P", "exch=" &amp;"SMART", "cur=" &amp; "USD","LOW")</f>
        <v>#NAME?</v>
      </c>
      <c r="B17" s="7" t="e">
        <f ca="1">RTD("tws.twsrtdserverctrl",,"sym=" &amp;$I$3, "sec=" &amp;"OPT", "exp="&amp;M8, "strike=" &amp; D17, "right=" &amp;"P", "exch=" &amp;"SMART", "cur=" &amp; "USD","HIGH")</f>
        <v>#NAME?</v>
      </c>
      <c r="C17" s="8" t="e">
        <f ca="1">RTD("tws.twsrtdserverctrl",,"sym=" &amp;$I$3, "sec=" &amp;"OPT", "exp="&amp;M8, "strike=" &amp; D17, "right=" &amp;"P", "exch=" &amp;"SMART", "cur=" &amp; "USD","LAST")</f>
        <v>#NAME?</v>
      </c>
      <c r="D17" s="22">
        <f ca="1">IF(B53&lt;=0,0,D16+$L$7)</f>
        <v>475</v>
      </c>
      <c r="E17" s="8" t="e">
        <f ca="1">RTD("tws.twsrtdserverctrl",,"sym=" &amp;$I$3, "sec=" &amp;"OPT", "exp="&amp;M8, "strike=" &amp; D17, "right=" &amp;"C", "exch=" &amp;"SMART", "cur=" &amp; "USD","LAST")</f>
        <v>#NAME?</v>
      </c>
      <c r="F17" s="7" t="e">
        <f ca="1">RTD("tws.twsrtdserverctrl",,"sym=" &amp;$I$3, "sec=" &amp;"OPT", "exp="&amp;M8, "strike=" &amp; D17, "right=" &amp;"C", "exch=" &amp;"SMART", "cur=" &amp; "USD","HIGH")</f>
        <v>#NAME?</v>
      </c>
      <c r="G17" s="6" t="e">
        <f ca="1">RTD("tws.twsrtdserverctrl",,"sym=" &amp;$I$3, "sec=" &amp;"OPT", "exp="&amp;M8, "strike=" &amp; D17, "right=" &amp;"C", "exch=" &amp;"SMART", "cur=" &amp; "USD","LOW")</f>
        <v>#NAME?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94">
        <f t="shared" ref="BD17:BD38" ca="1" si="17">IF(WEEKDAY(BD16)=6, BD16+7, BD16+7-WEEKDAY(BD16))</f>
        <v>45170</v>
      </c>
      <c r="BE17" s="94">
        <f t="shared" ref="BE17:BE38" ca="1" si="18">BE16+1</f>
        <v>45151</v>
      </c>
      <c r="BF17" s="95">
        <f ca="1"/>
        <v>45170</v>
      </c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96" t="e">
        <f ca="1">RTD("tws.twsrtdserverctrl",,"sym=" &amp;$I$3, "sec=" &amp;"OPT", "exp="&amp;$M$8, "strike=" &amp; D17, "right=" &amp;"P", "exch=" &amp;"SMART", "cur=" &amp; "USD","Volume")*1</f>
        <v>#NAME?</v>
      </c>
      <c r="BT17" s="76" t="e">
        <f ca="1">RTD("tws.twsrtdserverctrl",,"sym=" &amp;$I$3, "sec=" &amp;"OPT", "exp="&amp;$M$8, "strike=" &amp; D17, "right=" &amp;"P", "exch=" &amp;"SMART", "cur=" &amp; "USD","PutOptionOpenInterest")*1</f>
        <v>#NAME?</v>
      </c>
      <c r="BU17" s="76" t="e">
        <f ca="1">RTD("tws.twsrtdserverctrl",,"sym=" &amp;$I$3, "sec=" &amp;"OPT", "exp="&amp;$M$8, "strike=" &amp; D17, "right=" &amp;"P", "exch=" &amp;"SMART", "cur=" &amp; "USD","ModelImpliedVol")</f>
        <v>#NAME?</v>
      </c>
      <c r="BV17" s="76" t="e">
        <f ca="1">RTD("tws.twsrtdserverctrl",,"sym=" &amp;$I$3, "sec=" &amp;"OPT", "exp="&amp;$M$8, "strike=" &amp; D17, "right=" &amp;"P", "exch=" &amp;"SMART", "cur=" &amp; "USD","ModelTheta")</f>
        <v>#NAME?</v>
      </c>
      <c r="BW17" s="76" t="e">
        <f ca="1">RTD("tws.twsrtdserverctrl",,"sym=" &amp;$I$3, "sec=" &amp;"OPT", "exp="&amp;$M$8, "strike=" &amp; D17, "right=" &amp;"P", "exch=" &amp;"SMART", "cur=" &amp; "USD","ModelVega")</f>
        <v>#NAME?</v>
      </c>
      <c r="BX17" s="76" t="e">
        <f ca="1">RTD("tws.twsrtdserverctrl",,"sym=" &amp;$I$3, "sec=" &amp;"OPT", "exp="&amp;$M$8, "strike=" &amp; D17, "right=" &amp;"P", "exch=" &amp;"SMART", "cur=" &amp; "USD","ModelGamma")</f>
        <v>#NAME?</v>
      </c>
      <c r="BY17" s="76" t="e">
        <f ca="1">RTD("tws.twsrtdserverctrl",,"sym=" &amp;$I$3, "sec=" &amp;"OPT", "exp="&amp;$M$8, "strike=" &amp; D17, "right=" &amp;"P", "exch=" &amp;"SMART", "cur=" &amp; "USD","ModelDelta")</f>
        <v>#NAME?</v>
      </c>
      <c r="BZ17" s="97">
        <f t="shared" ca="1" si="0"/>
        <v>475</v>
      </c>
      <c r="CA17" s="76" t="e">
        <f ca="1">RTD("tws.twsrtdserverctrl",,"sym=" &amp;$I$3, "sec=" &amp;"OPT", "exp="&amp;$M$8, "strike=" &amp; D17, "right=" &amp;"C", "exch=" &amp;"SMART", "cur=" &amp; "USD","ModelDelta")</f>
        <v>#NAME?</v>
      </c>
      <c r="CB17" s="76" t="e">
        <f ca="1">RTD("tws.twsrtdserverctrl",,"sym=" &amp;$I$3, "sec=" &amp;"OPT", "exp="&amp;$M$8, "strike=" &amp; D17, "right=" &amp;"C", "exch=" &amp;"SMART", "cur=" &amp; "USD","ModelGamma")</f>
        <v>#NAME?</v>
      </c>
      <c r="CC17" s="76" t="e">
        <f ca="1">RTD("tws.twsrtdserverctrl",,"sym=" &amp;$I$3, "sec=" &amp;"OPT", "exp="&amp;$M$8, "strike=" &amp; D17, "right=" &amp;"C", "exch=" &amp;"SMART", "cur=" &amp; "USD","ModelVega")</f>
        <v>#NAME?</v>
      </c>
      <c r="CD17" s="76" t="e">
        <f ca="1">RTD("tws.twsrtdserverctrl",,"sym=" &amp;$I$3, "sec=" &amp;"OPT", "exp="&amp;$M$8, "strike=" &amp; D17, "right=" &amp;"C", "exch=" &amp;"SMART", "cur=" &amp; "USD","ModelTheta")</f>
        <v>#NAME?</v>
      </c>
      <c r="CE17" s="76" t="e">
        <f ca="1">RTD("tws.twsrtdserverctrl",,"sym=" &amp;$I$3, "sec=" &amp;"OPT", "exp="&amp;$M$8, "strike=" &amp; D17, "right=" &amp;"C", "exch=" &amp;"SMART", "cur=" &amp; "USD","ModelImpliedVol")</f>
        <v>#NAME?</v>
      </c>
      <c r="CF17" s="76" t="e">
        <f ca="1">RTD("tws.twsrtdserverctrl",,"sym=" &amp;$I$3, "sec=" &amp;"OPT", "exp="&amp;$M$8, "strike=" &amp; D17, "right=" &amp;"C", "exch=" &amp;"SMART", "cur=" &amp; "USD","CALLOptionOpenInterest")*1</f>
        <v>#NAME?</v>
      </c>
      <c r="CG17" s="98" t="e">
        <f ca="1">RTD("tws.twsrtdserverctrl",,"sym=" &amp;$I$3, "sec=" &amp;"OPT", "exp="&amp;$M$8, "strike=" &amp; D17, "right=" &amp;"C", "exch=" &amp;"SMART", "cur=" &amp; "USD","Volume")*1</f>
        <v>#NAME?</v>
      </c>
      <c r="CH17" s="27">
        <v>0</v>
      </c>
      <c r="CI17" s="76" t="e">
        <f t="shared" ca="1" si="1"/>
        <v>#NAME?</v>
      </c>
      <c r="CJ17" s="76" t="e">
        <f t="shared" ca="1" si="2"/>
        <v>#NAME?</v>
      </c>
      <c r="CK17" s="76" t="e">
        <f t="shared" ca="1" si="3"/>
        <v>#NAME?</v>
      </c>
      <c r="CL17" s="76" t="e">
        <f t="shared" ca="1" si="4"/>
        <v>#NAME?</v>
      </c>
      <c r="CM17" s="27"/>
      <c r="CN17" s="76" t="e">
        <f t="shared" ca="1" si="5"/>
        <v>#NAME?</v>
      </c>
      <c r="CO17" s="76" t="e">
        <f t="shared" ca="1" si="6"/>
        <v>#NAME?</v>
      </c>
      <c r="CP17" s="76" t="e">
        <f t="shared" ca="1" si="7"/>
        <v>#NAME?</v>
      </c>
      <c r="CQ17" s="27"/>
      <c r="CR17" s="76" t="e">
        <f t="shared" ca="1" si="8"/>
        <v>#NAME?</v>
      </c>
      <c r="CS17" s="76" t="e">
        <f t="shared" ca="1" si="9"/>
        <v>#NAME?</v>
      </c>
      <c r="CT17" s="76" t="e">
        <f t="shared" ca="1" si="10"/>
        <v>#NAME?</v>
      </c>
      <c r="CU17" s="76" t="e">
        <f t="shared" ca="1" si="11"/>
        <v>#NAME?</v>
      </c>
      <c r="CV17" s="76" t="e">
        <f t="shared" ca="1" si="15"/>
        <v>#NAME?</v>
      </c>
      <c r="CW17" s="76" t="e">
        <f t="shared" ca="1" si="16"/>
        <v>#NAME?</v>
      </c>
      <c r="CX17" s="27"/>
      <c r="CY17" s="76" t="e">
        <f t="shared" ca="1" si="12"/>
        <v>#NAME?</v>
      </c>
      <c r="CZ17" s="76" t="e">
        <f t="shared" ca="1" si="13"/>
        <v>#NAME?</v>
      </c>
      <c r="DA17" s="76" t="e">
        <f t="shared" ca="1" si="14"/>
        <v>#NAME?</v>
      </c>
      <c r="DB17" s="27"/>
      <c r="DC17" s="2"/>
      <c r="DD17" s="2"/>
      <c r="DE17" s="2"/>
      <c r="DF17" s="2"/>
      <c r="DG17" s="2"/>
      <c r="DH17" s="2"/>
      <c r="DI17" s="2"/>
      <c r="DJ17" s="2"/>
      <c r="DK17" s="2"/>
    </row>
    <row r="18" spans="1:115" ht="16.5" customHeight="1" x14ac:dyDescent="0.15">
      <c r="A18" s="9" t="e">
        <f ca="1">RTD("tws.twsrtdserverctrl",,"sym=" &amp;$I$3, "sec=" &amp;"OPT", "exp="&amp;M8, "strike=" &amp; D18, "right=" &amp;"P", "exch=" &amp;"SMART", "cur=" &amp; "USD","LOW")</f>
        <v>#NAME?</v>
      </c>
      <c r="B18" s="10" t="e">
        <f ca="1">RTD("tws.twsrtdserverctrl",,"sym=" &amp;$I$3, "sec=" &amp;"OPT", "exp="&amp;M8, "strike=" &amp; D18, "right=" &amp;"P", "exch=" &amp;"SMART", "cur=" &amp; "USD","HIGH")</f>
        <v>#NAME?</v>
      </c>
      <c r="C18" s="11" t="e">
        <f ca="1">RTD("tws.twsrtdserverctrl",,"sym=" &amp;$I$3, "sec=" &amp;"OPT", "exp="&amp;M8, "strike=" &amp; D18, "right=" &amp;"P", "exch=" &amp;"SMART", "cur=" &amp; "USD","LAST")</f>
        <v>#NAME?</v>
      </c>
      <c r="D18" s="23">
        <f ca="1">IF(B53&lt;=0,0,D17+$L$7)</f>
        <v>480</v>
      </c>
      <c r="E18" s="11" t="e">
        <f ca="1">RTD("tws.twsrtdserverctrl",,"sym=" &amp;$I$3, "sec=" &amp;"OPT", "exp="&amp;M8, "strike=" &amp; D18, "right=" &amp;"C", "exch=" &amp;"SMART", "cur=" &amp; "USD","LAST")</f>
        <v>#NAME?</v>
      </c>
      <c r="F18" s="10" t="e">
        <f ca="1">RTD("tws.twsrtdserverctrl",,"sym=" &amp;$I$3, "sec=" &amp;"OPT", "exp="&amp;M8, "strike=" &amp; D18, "right=" &amp;"C", "exch=" &amp;"SMART", "cur=" &amp; "USD","HIGH")</f>
        <v>#NAME?</v>
      </c>
      <c r="G18" s="9" t="e">
        <f ca="1">RTD("tws.twsrtdserverctrl",,"sym=" &amp;$I$3, "sec=" &amp;"OPT", "exp="&amp;M8, "strike=" &amp; D18, "right=" &amp;"C", "exch=" &amp;"SMART", "cur=" &amp; "USD","LOW")</f>
        <v>#NAME?</v>
      </c>
      <c r="I18" s="112" t="s">
        <v>59</v>
      </c>
      <c r="J18" s="113"/>
      <c r="K18" s="113"/>
      <c r="L18" s="77" t="str">
        <f>L14</f>
        <v>nvda</v>
      </c>
      <c r="M18" s="30"/>
      <c r="AU18" s="27"/>
      <c r="AV18" s="27"/>
      <c r="AW18" s="27"/>
      <c r="AX18" s="27"/>
      <c r="AY18" s="27"/>
      <c r="AZ18" s="27"/>
      <c r="BA18" s="27"/>
      <c r="BB18" s="27"/>
      <c r="BC18" s="27"/>
      <c r="BD18" s="94">
        <f t="shared" ca="1" si="17"/>
        <v>45177</v>
      </c>
      <c r="BE18" s="94">
        <f t="shared" ca="1" si="18"/>
        <v>45152</v>
      </c>
      <c r="BF18" s="95">
        <f ca="1"/>
        <v>45177</v>
      </c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96" t="e">
        <f ca="1">RTD("tws.twsrtdserverctrl",,"sym=" &amp;$I$3, "sec=" &amp;"OPT", "exp="&amp;$M$8, "strike=" &amp; D18, "right=" &amp;"P", "exch=" &amp;"SMART", "cur=" &amp; "USD","Volume")*1</f>
        <v>#NAME?</v>
      </c>
      <c r="BT18" s="76" t="e">
        <f ca="1">RTD("tws.twsrtdserverctrl",,"sym=" &amp;$I$3, "sec=" &amp;"OPT", "exp="&amp;$M$8, "strike=" &amp; D18, "right=" &amp;"P", "exch=" &amp;"SMART", "cur=" &amp; "USD","PutOptionOpenInterest")*1</f>
        <v>#NAME?</v>
      </c>
      <c r="BU18" s="76" t="e">
        <f ca="1">RTD("tws.twsrtdserverctrl",,"sym=" &amp;$I$3, "sec=" &amp;"OPT", "exp="&amp;$M$8, "strike=" &amp; D18, "right=" &amp;"P", "exch=" &amp;"SMART", "cur=" &amp; "USD","ModelImpliedVol")</f>
        <v>#NAME?</v>
      </c>
      <c r="BV18" s="76" t="e">
        <f ca="1">RTD("tws.twsrtdserverctrl",,"sym=" &amp;$I$3, "sec=" &amp;"OPT", "exp="&amp;$M$8, "strike=" &amp; D18, "right=" &amp;"P", "exch=" &amp;"SMART", "cur=" &amp; "USD","ModelTheta")</f>
        <v>#NAME?</v>
      </c>
      <c r="BW18" s="76" t="e">
        <f ca="1">RTD("tws.twsrtdserverctrl",,"sym=" &amp;$I$3, "sec=" &amp;"OPT", "exp="&amp;$M$8, "strike=" &amp; D18, "right=" &amp;"P", "exch=" &amp;"SMART", "cur=" &amp; "USD","ModelVega")</f>
        <v>#NAME?</v>
      </c>
      <c r="BX18" s="76" t="e">
        <f ca="1">RTD("tws.twsrtdserverctrl",,"sym=" &amp;$I$3, "sec=" &amp;"OPT", "exp="&amp;$M$8, "strike=" &amp; D18, "right=" &amp;"P", "exch=" &amp;"SMART", "cur=" &amp; "USD","ModelGamma")</f>
        <v>#NAME?</v>
      </c>
      <c r="BY18" s="76" t="e">
        <f ca="1">RTD("tws.twsrtdserverctrl",,"sym=" &amp;$I$3, "sec=" &amp;"OPT", "exp="&amp;$M$8, "strike=" &amp; D18, "right=" &amp;"P", "exch=" &amp;"SMART", "cur=" &amp; "USD","ModelDelta")</f>
        <v>#NAME?</v>
      </c>
      <c r="BZ18" s="97">
        <f t="shared" ca="1" si="0"/>
        <v>480</v>
      </c>
      <c r="CA18" s="76" t="e">
        <f ca="1">RTD("tws.twsrtdserverctrl",,"sym=" &amp;$I$3, "sec=" &amp;"OPT", "exp="&amp;$M$8, "strike=" &amp; D18, "right=" &amp;"C", "exch=" &amp;"SMART", "cur=" &amp; "USD","ModelDelta")</f>
        <v>#NAME?</v>
      </c>
      <c r="CB18" s="76" t="e">
        <f ca="1">RTD("tws.twsrtdserverctrl",,"sym=" &amp;$I$3, "sec=" &amp;"OPT", "exp="&amp;$M$8, "strike=" &amp; D18, "right=" &amp;"C", "exch=" &amp;"SMART", "cur=" &amp; "USD","ModelGamma")</f>
        <v>#NAME?</v>
      </c>
      <c r="CC18" s="76" t="e">
        <f ca="1">RTD("tws.twsrtdserverctrl",,"sym=" &amp;$I$3, "sec=" &amp;"OPT", "exp="&amp;$M$8, "strike=" &amp; D18, "right=" &amp;"C", "exch=" &amp;"SMART", "cur=" &amp; "USD","ModelVega")</f>
        <v>#NAME?</v>
      </c>
      <c r="CD18" s="76" t="e">
        <f ca="1">RTD("tws.twsrtdserverctrl",,"sym=" &amp;$I$3, "sec=" &amp;"OPT", "exp="&amp;$M$8, "strike=" &amp; D18, "right=" &amp;"C", "exch=" &amp;"SMART", "cur=" &amp; "USD","ModelTheta")</f>
        <v>#NAME?</v>
      </c>
      <c r="CE18" s="76" t="e">
        <f ca="1">RTD("tws.twsrtdserverctrl",,"sym=" &amp;$I$3, "sec=" &amp;"OPT", "exp="&amp;$M$8, "strike=" &amp; D18, "right=" &amp;"C", "exch=" &amp;"SMART", "cur=" &amp; "USD","ModelImpliedVol")</f>
        <v>#NAME?</v>
      </c>
      <c r="CF18" s="76" t="e">
        <f ca="1">RTD("tws.twsrtdserverctrl",,"sym=" &amp;$I$3, "sec=" &amp;"OPT", "exp="&amp;$M$8, "strike=" &amp; D18, "right=" &amp;"C", "exch=" &amp;"SMART", "cur=" &amp; "USD","CALLOptionOpenInterest")*1</f>
        <v>#NAME?</v>
      </c>
      <c r="CG18" s="98" t="e">
        <f ca="1">RTD("tws.twsrtdserverctrl",,"sym=" &amp;$I$3, "sec=" &amp;"OPT", "exp="&amp;$M$8, "strike=" &amp; D18, "right=" &amp;"C", "exch=" &amp;"SMART", "cur=" &amp; "USD","Volume")*1</f>
        <v>#NAME?</v>
      </c>
      <c r="CH18" s="27">
        <v>0</v>
      </c>
      <c r="CI18" s="76" t="e">
        <f t="shared" ca="1" si="1"/>
        <v>#NAME?</v>
      </c>
      <c r="CJ18" s="76" t="e">
        <f t="shared" ca="1" si="2"/>
        <v>#NAME?</v>
      </c>
      <c r="CK18" s="76" t="e">
        <f t="shared" ca="1" si="3"/>
        <v>#NAME?</v>
      </c>
      <c r="CL18" s="76" t="e">
        <f t="shared" ca="1" si="4"/>
        <v>#NAME?</v>
      </c>
      <c r="CM18" s="27"/>
      <c r="CN18" s="76" t="e">
        <f t="shared" ca="1" si="5"/>
        <v>#NAME?</v>
      </c>
      <c r="CO18" s="76" t="e">
        <f t="shared" ca="1" si="6"/>
        <v>#NAME?</v>
      </c>
      <c r="CP18" s="76" t="e">
        <f t="shared" ca="1" si="7"/>
        <v>#NAME?</v>
      </c>
      <c r="CQ18" s="27"/>
      <c r="CR18" s="76" t="e">
        <f t="shared" ca="1" si="8"/>
        <v>#NAME?</v>
      </c>
      <c r="CS18" s="76" t="e">
        <f t="shared" ca="1" si="9"/>
        <v>#NAME?</v>
      </c>
      <c r="CT18" s="76" t="e">
        <f t="shared" ca="1" si="10"/>
        <v>#NAME?</v>
      </c>
      <c r="CU18" s="76" t="e">
        <f t="shared" ca="1" si="11"/>
        <v>#NAME?</v>
      </c>
      <c r="CV18" s="76" t="e">
        <f t="shared" ca="1" si="15"/>
        <v>#NAME?</v>
      </c>
      <c r="CW18" s="76" t="e">
        <f t="shared" ca="1" si="16"/>
        <v>#NAME?</v>
      </c>
      <c r="CX18" s="27"/>
      <c r="CY18" s="76" t="e">
        <f t="shared" ca="1" si="12"/>
        <v>#NAME?</v>
      </c>
      <c r="CZ18" s="76" t="e">
        <f t="shared" ca="1" si="13"/>
        <v>#NAME?</v>
      </c>
      <c r="DA18" s="76" t="e">
        <f t="shared" ca="1" si="14"/>
        <v>#NAME?</v>
      </c>
      <c r="DB18" s="27"/>
      <c r="DC18" s="2"/>
      <c r="DD18" s="2"/>
      <c r="DE18" s="2"/>
      <c r="DF18" s="2"/>
      <c r="DG18" s="2"/>
      <c r="DH18" s="2"/>
      <c r="DI18" s="2"/>
      <c r="DJ18" s="2"/>
      <c r="DK18" s="2"/>
    </row>
    <row r="19" spans="1:115" ht="16.5" customHeight="1" x14ac:dyDescent="0.15">
      <c r="A19" s="6" t="e">
        <f ca="1">RTD("tws.twsrtdserverctrl",,"sym=" &amp;$I$3, "sec=" &amp;"OPT", "exp="&amp;M8, "strike=" &amp; D19, "right=" &amp;"P", "exch=" &amp;"SMART", "cur=" &amp; "USD","LOW")</f>
        <v>#NAME?</v>
      </c>
      <c r="B19" s="7" t="e">
        <f ca="1">RTD("tws.twsrtdserverctrl",,"sym=" &amp;$I$3, "sec=" &amp;"OPT", "exp="&amp;M8, "strike=" &amp; D19, "right=" &amp;"P", "exch=" &amp;"SMART", "cur=" &amp; "USD","HIGH")</f>
        <v>#NAME?</v>
      </c>
      <c r="C19" s="8" t="e">
        <f ca="1">RTD("tws.twsrtdserverctrl",,"sym=" &amp;$I$3, "sec=" &amp;"OPT", "exp="&amp;M8, "strike=" &amp; D19, "right=" &amp;"P", "exch=" &amp;"SMART", "cur=" &amp; "USD","LAST")</f>
        <v>#NAME?</v>
      </c>
      <c r="D19" s="22">
        <f ca="1">IF(B53&lt;=0,0,D18+$L$7)</f>
        <v>485</v>
      </c>
      <c r="E19" s="8" t="e">
        <f ca="1">RTD("tws.twsrtdserverctrl",,"sym=" &amp;$I$3, "sec=" &amp;"OPT", "exp="&amp;M8, "strike=" &amp; D19, "right=" &amp;"C", "exch=" &amp;"SMART", "cur=" &amp; "USD","LAST")</f>
        <v>#NAME?</v>
      </c>
      <c r="F19" s="7" t="e">
        <f ca="1">RTD("tws.twsrtdserverctrl",,"sym=" &amp;$I$3, "sec=" &amp;"OPT", "exp="&amp;M8, "strike=" &amp; D19, "right=" &amp;"C", "exch=" &amp;"SMART", "cur=" &amp; "USD","HIGH")</f>
        <v>#NAME?</v>
      </c>
      <c r="G19" s="6" t="e">
        <f ca="1">RTD("tws.twsrtdserverctrl",,"sym=" &amp;$I$3, "sec=" &amp;"OPT", "exp="&amp;M8, "strike=" &amp; D19, "right=" &amp;"C", "exch=" &amp;"SMART", "cur=" &amp; "USD","LOW")</f>
        <v>#NAME?</v>
      </c>
      <c r="I19" s="29" t="s">
        <v>61</v>
      </c>
      <c r="J19" s="124">
        <f>IF(I3&lt;&gt;"",RTD("tws.twsrtdserverctrl",,I3,"CallOptionOpenInterest")*1,"")</f>
        <v>0</v>
      </c>
      <c r="K19" s="124"/>
      <c r="L19" s="29" t="s">
        <v>56</v>
      </c>
      <c r="M19" s="71">
        <f ca="1">BT28</f>
        <v>405</v>
      </c>
      <c r="AU19" s="27"/>
      <c r="AV19" s="27"/>
      <c r="AW19" s="27"/>
      <c r="AX19" s="27"/>
      <c r="AY19" s="27"/>
      <c r="AZ19" s="27"/>
      <c r="BA19" s="27"/>
      <c r="BB19" s="27"/>
      <c r="BC19" s="27"/>
      <c r="BD19" s="94">
        <f t="shared" ca="1" si="17"/>
        <v>45184</v>
      </c>
      <c r="BE19" s="94">
        <f t="shared" ca="1" si="18"/>
        <v>45153</v>
      </c>
      <c r="BF19" s="95">
        <f ca="1"/>
        <v>45184</v>
      </c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96" t="e">
        <f ca="1">RTD("tws.twsrtdserverctrl",,"sym=" &amp;$I$3, "sec=" &amp;"OPT", "exp="&amp;$M$8, "strike=" &amp; D19, "right=" &amp;"P", "exch=" &amp;"SMART", "cur=" &amp; "USD","Volume")*1</f>
        <v>#NAME?</v>
      </c>
      <c r="BT19" s="76" t="e">
        <f ca="1">RTD("tws.twsrtdserverctrl",,"sym=" &amp;$I$3, "sec=" &amp;"OPT", "exp="&amp;$M$8, "strike=" &amp; D19, "right=" &amp;"P", "exch=" &amp;"SMART", "cur=" &amp; "USD","PutOptionOpenInterest")*1</f>
        <v>#NAME?</v>
      </c>
      <c r="BU19" s="76" t="e">
        <f ca="1">RTD("tws.twsrtdserverctrl",,"sym=" &amp;$I$3, "sec=" &amp;"OPT", "exp="&amp;$M$8, "strike=" &amp; D19, "right=" &amp;"P", "exch=" &amp;"SMART", "cur=" &amp; "USD","ModelImpliedVol")</f>
        <v>#NAME?</v>
      </c>
      <c r="BV19" s="76" t="e">
        <f ca="1">RTD("tws.twsrtdserverctrl",,"sym=" &amp;$I$3, "sec=" &amp;"OPT", "exp="&amp;$M$8, "strike=" &amp; D19, "right=" &amp;"P", "exch=" &amp;"SMART", "cur=" &amp; "USD","ModelTheta")</f>
        <v>#NAME?</v>
      </c>
      <c r="BW19" s="76" t="e">
        <f ca="1">RTD("tws.twsrtdserverctrl",,"sym=" &amp;$I$3, "sec=" &amp;"OPT", "exp="&amp;$M$8, "strike=" &amp; D19, "right=" &amp;"P", "exch=" &amp;"SMART", "cur=" &amp; "USD","ModelVega")</f>
        <v>#NAME?</v>
      </c>
      <c r="BX19" s="76" t="e">
        <f ca="1">RTD("tws.twsrtdserverctrl",,"sym=" &amp;$I$3, "sec=" &amp;"OPT", "exp="&amp;$M$8, "strike=" &amp; D19, "right=" &amp;"P", "exch=" &amp;"SMART", "cur=" &amp; "USD","ModelGamma")</f>
        <v>#NAME?</v>
      </c>
      <c r="BY19" s="76" t="e">
        <f ca="1">RTD("tws.twsrtdserverctrl",,"sym=" &amp;$I$3, "sec=" &amp;"OPT", "exp="&amp;$M$8, "strike=" &amp; D19, "right=" &amp;"P", "exch=" &amp;"SMART", "cur=" &amp; "USD","ModelDelta")</f>
        <v>#NAME?</v>
      </c>
      <c r="BZ19" s="97">
        <f t="shared" ca="1" si="0"/>
        <v>485</v>
      </c>
      <c r="CA19" s="76" t="e">
        <f ca="1">RTD("tws.twsrtdserverctrl",,"sym=" &amp;$I$3, "sec=" &amp;"OPT", "exp="&amp;$M$8, "strike=" &amp; D19, "right=" &amp;"C", "exch=" &amp;"SMART", "cur=" &amp; "USD","ModelDelta")</f>
        <v>#NAME?</v>
      </c>
      <c r="CB19" s="76" t="e">
        <f ca="1">RTD("tws.twsrtdserverctrl",,"sym=" &amp;$I$3, "sec=" &amp;"OPT", "exp="&amp;$M$8, "strike=" &amp; D19, "right=" &amp;"C", "exch=" &amp;"SMART", "cur=" &amp; "USD","ModelGamma")</f>
        <v>#NAME?</v>
      </c>
      <c r="CC19" s="76" t="e">
        <f ca="1">RTD("tws.twsrtdserverctrl",,"sym=" &amp;$I$3, "sec=" &amp;"OPT", "exp="&amp;$M$8, "strike=" &amp; D19, "right=" &amp;"C", "exch=" &amp;"SMART", "cur=" &amp; "USD","ModelVega")</f>
        <v>#NAME?</v>
      </c>
      <c r="CD19" s="76" t="e">
        <f ca="1">RTD("tws.twsrtdserverctrl",,"sym=" &amp;$I$3, "sec=" &amp;"OPT", "exp="&amp;$M$8, "strike=" &amp; D19, "right=" &amp;"C", "exch=" &amp;"SMART", "cur=" &amp; "USD","ModelTheta")</f>
        <v>#NAME?</v>
      </c>
      <c r="CE19" s="76" t="e">
        <f ca="1">RTD("tws.twsrtdserverctrl",,"sym=" &amp;$I$3, "sec=" &amp;"OPT", "exp="&amp;$M$8, "strike=" &amp; D19, "right=" &amp;"C", "exch=" &amp;"SMART", "cur=" &amp; "USD","ModelImpliedVol")</f>
        <v>#NAME?</v>
      </c>
      <c r="CF19" s="76" t="e">
        <f ca="1">RTD("tws.twsrtdserverctrl",,"sym=" &amp;$I$3, "sec=" &amp;"OPT", "exp="&amp;$M$8, "strike=" &amp; D19, "right=" &amp;"C", "exch=" &amp;"SMART", "cur=" &amp; "USD","CALLOptionOpenInterest")*1</f>
        <v>#NAME?</v>
      </c>
      <c r="CG19" s="98" t="e">
        <f ca="1">RTD("tws.twsrtdserverctrl",,"sym=" &amp;$I$3, "sec=" &amp;"OPT", "exp="&amp;$M$8, "strike=" &amp; D19, "right=" &amp;"C", "exch=" &amp;"SMART", "cur=" &amp; "USD","Volume")*1</f>
        <v>#NAME?</v>
      </c>
      <c r="CH19" s="27">
        <v>0</v>
      </c>
      <c r="CI19" s="76" t="e">
        <f t="shared" ca="1" si="1"/>
        <v>#NAME?</v>
      </c>
      <c r="CJ19" s="76" t="e">
        <f t="shared" ca="1" si="2"/>
        <v>#NAME?</v>
      </c>
      <c r="CK19" s="76" t="e">
        <f t="shared" ca="1" si="3"/>
        <v>#NAME?</v>
      </c>
      <c r="CL19" s="76" t="e">
        <f t="shared" ca="1" si="4"/>
        <v>#NAME?</v>
      </c>
      <c r="CM19" s="27"/>
      <c r="CN19" s="76" t="e">
        <f t="shared" ca="1" si="5"/>
        <v>#NAME?</v>
      </c>
      <c r="CO19" s="76" t="e">
        <f t="shared" ca="1" si="6"/>
        <v>#NAME?</v>
      </c>
      <c r="CP19" s="76" t="e">
        <f t="shared" ca="1" si="7"/>
        <v>#NAME?</v>
      </c>
      <c r="CQ19" s="27"/>
      <c r="CR19" s="76" t="e">
        <f t="shared" ca="1" si="8"/>
        <v>#NAME?</v>
      </c>
      <c r="CS19" s="76" t="e">
        <f t="shared" ca="1" si="9"/>
        <v>#NAME?</v>
      </c>
      <c r="CT19" s="76" t="e">
        <f t="shared" ca="1" si="10"/>
        <v>#NAME?</v>
      </c>
      <c r="CU19" s="76" t="e">
        <f t="shared" ca="1" si="11"/>
        <v>#NAME?</v>
      </c>
      <c r="CV19" s="76" t="e">
        <f t="shared" ca="1" si="15"/>
        <v>#NAME?</v>
      </c>
      <c r="CW19" s="76" t="e">
        <f t="shared" ca="1" si="16"/>
        <v>#NAME?</v>
      </c>
      <c r="CX19" s="27"/>
      <c r="CY19" s="76" t="e">
        <f t="shared" ca="1" si="12"/>
        <v>#NAME?</v>
      </c>
      <c r="CZ19" s="76" t="e">
        <f t="shared" ca="1" si="13"/>
        <v>#NAME?</v>
      </c>
      <c r="DA19" s="76" t="e">
        <f t="shared" ca="1" si="14"/>
        <v>#NAME?</v>
      </c>
      <c r="DB19" s="27"/>
      <c r="DC19" s="2"/>
      <c r="DD19" s="2"/>
      <c r="DE19" s="2"/>
      <c r="DF19" s="2"/>
      <c r="DG19" s="2"/>
      <c r="DH19" s="2"/>
      <c r="DI19" s="2"/>
      <c r="DJ19" s="2"/>
      <c r="DK19" s="2"/>
    </row>
    <row r="20" spans="1:115" ht="16.5" customHeight="1" x14ac:dyDescent="0.15">
      <c r="A20" s="9" t="e">
        <f ca="1">RTD("tws.twsrtdserverctrl",,"sym=" &amp;$I$3, "sec=" &amp;"OPT", "exp="&amp;M8, "strike=" &amp; D20, "right=" &amp;"P", "exch=" &amp;"SMART", "cur=" &amp; "USD","LOW")</f>
        <v>#NAME?</v>
      </c>
      <c r="B20" s="10" t="e">
        <f ca="1">RTD("tws.twsrtdserverctrl",,"sym=" &amp;$I$3, "sec=" &amp;"OPT", "exp="&amp;M8, "strike=" &amp; D20, "right=" &amp;"P", "exch=" &amp;"SMART", "cur=" &amp; "USD","HIGH")</f>
        <v>#NAME?</v>
      </c>
      <c r="C20" s="11" t="e">
        <f ca="1">RTD("tws.twsrtdserverctrl",,"sym=" &amp;$I$3, "sec=" &amp;"OPT", "exp="&amp;M8, "strike=" &amp; D20, "right=" &amp;"P", "exch=" &amp;"SMART", "cur=" &amp; "USD","LAST")</f>
        <v>#NAME?</v>
      </c>
      <c r="D20" s="23">
        <f ca="1">IF(B53&lt;=0,0,D19+$L$7)</f>
        <v>490</v>
      </c>
      <c r="E20" s="11" t="e">
        <f ca="1">RTD("tws.twsrtdserverctrl",,"sym=" &amp;$I$3, "sec=" &amp;"OPT", "exp="&amp;M8, "strike=" &amp; D20, "right=" &amp;"C", "exch=" &amp;"SMART", "cur=" &amp; "USD","LAST")</f>
        <v>#NAME?</v>
      </c>
      <c r="F20" s="10" t="e">
        <f ca="1">RTD("tws.twsrtdserverctrl",,"sym=" &amp;$I$3, "sec=" &amp;"OPT", "exp="&amp;M8, "strike=" &amp; D20, "right=" &amp;"C", "exch=" &amp;"SMART", "cur=" &amp; "USD","HIGH")</f>
        <v>#NAME?</v>
      </c>
      <c r="G20" s="9" t="e">
        <f ca="1">RTD("tws.twsrtdserverctrl",,"sym=" &amp;$I$3, "sec=" &amp;"OPT", "exp="&amp;M8, "strike=" &amp; D20, "right=" &amp;"C", "exch=" &amp;"SMART", "cur=" &amp; "USD","LOW")</f>
        <v>#NAME?</v>
      </c>
      <c r="I20" s="29" t="s">
        <v>60</v>
      </c>
      <c r="J20" s="111">
        <f>IF(I3&lt;&gt;"",RTD("tws.twsrtdserverctrl",,I3,"PUTOptionOpenInterest")*1,"")</f>
        <v>0</v>
      </c>
      <c r="K20" s="111"/>
      <c r="L20" s="29" t="s">
        <v>57</v>
      </c>
      <c r="M20" s="72">
        <f ca="1">CF28</f>
        <v>405</v>
      </c>
      <c r="AU20" s="27"/>
      <c r="AV20" s="27"/>
      <c r="AW20" s="27"/>
      <c r="AX20" s="27"/>
      <c r="AY20" s="27"/>
      <c r="AZ20" s="27"/>
      <c r="BA20" s="27"/>
      <c r="BB20" s="27"/>
      <c r="BC20" s="27"/>
      <c r="BD20" s="94">
        <f t="shared" ca="1" si="17"/>
        <v>45191</v>
      </c>
      <c r="BE20" s="94">
        <f t="shared" ca="1" si="18"/>
        <v>45154</v>
      </c>
      <c r="BF20" s="95">
        <f ca="1"/>
        <v>45191</v>
      </c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96" t="e">
        <f ca="1">RTD("tws.twsrtdserverctrl",,"sym=" &amp;$I$3, "sec=" &amp;"OPT", "exp="&amp;$M$8, "strike=" &amp; D20, "right=" &amp;"P", "exch=" &amp;"SMART", "cur=" &amp; "USD","Volume")*1</f>
        <v>#NAME?</v>
      </c>
      <c r="BT20" s="76" t="e">
        <f ca="1">RTD("tws.twsrtdserverctrl",,"sym=" &amp;$I$3, "sec=" &amp;"OPT", "exp="&amp;$M$8, "strike=" &amp; D20, "right=" &amp;"P", "exch=" &amp;"SMART", "cur=" &amp; "USD","PutOptionOpenInterest")*1</f>
        <v>#NAME?</v>
      </c>
      <c r="BU20" s="76" t="e">
        <f ca="1">RTD("tws.twsrtdserverctrl",,"sym=" &amp;$I$3, "sec=" &amp;"OPT", "exp="&amp;$M$8, "strike=" &amp; D20, "right=" &amp;"P", "exch=" &amp;"SMART", "cur=" &amp; "USD","ModelImpliedVol")</f>
        <v>#NAME?</v>
      </c>
      <c r="BV20" s="76" t="e">
        <f ca="1">RTD("tws.twsrtdserverctrl",,"sym=" &amp;$I$3, "sec=" &amp;"OPT", "exp="&amp;$M$8, "strike=" &amp; D20, "right=" &amp;"P", "exch=" &amp;"SMART", "cur=" &amp; "USD","ModelTheta")</f>
        <v>#NAME?</v>
      </c>
      <c r="BW20" s="76" t="e">
        <f ca="1">RTD("tws.twsrtdserverctrl",,"sym=" &amp;$I$3, "sec=" &amp;"OPT", "exp="&amp;$M$8, "strike=" &amp; D20, "right=" &amp;"P", "exch=" &amp;"SMART", "cur=" &amp; "USD","ModelVega")</f>
        <v>#NAME?</v>
      </c>
      <c r="BX20" s="76" t="e">
        <f ca="1">RTD("tws.twsrtdserverctrl",,"sym=" &amp;$I$3, "sec=" &amp;"OPT", "exp="&amp;$M$8, "strike=" &amp; D20, "right=" &amp;"P", "exch=" &amp;"SMART", "cur=" &amp; "USD","ModelGamma")</f>
        <v>#NAME?</v>
      </c>
      <c r="BY20" s="76" t="e">
        <f ca="1">RTD("tws.twsrtdserverctrl",,"sym=" &amp;$I$3, "sec=" &amp;"OPT", "exp="&amp;$M$8, "strike=" &amp; D20, "right=" &amp;"P", "exch=" &amp;"SMART", "cur=" &amp; "USD","ModelDelta")</f>
        <v>#NAME?</v>
      </c>
      <c r="BZ20" s="97">
        <f t="shared" ca="1" si="0"/>
        <v>490</v>
      </c>
      <c r="CA20" s="76" t="e">
        <f ca="1">RTD("tws.twsrtdserverctrl",,"sym=" &amp;$I$3, "sec=" &amp;"OPT", "exp="&amp;$M$8, "strike=" &amp; D20, "right=" &amp;"C", "exch=" &amp;"SMART", "cur=" &amp; "USD","ModelDelta")</f>
        <v>#NAME?</v>
      </c>
      <c r="CB20" s="76" t="e">
        <f ca="1">RTD("tws.twsrtdserverctrl",,"sym=" &amp;$I$3, "sec=" &amp;"OPT", "exp="&amp;$M$8, "strike=" &amp; D20, "right=" &amp;"C", "exch=" &amp;"SMART", "cur=" &amp; "USD","ModelGamma")</f>
        <v>#NAME?</v>
      </c>
      <c r="CC20" s="76" t="e">
        <f ca="1">RTD("tws.twsrtdserverctrl",,"sym=" &amp;$I$3, "sec=" &amp;"OPT", "exp="&amp;$M$8, "strike=" &amp; D20, "right=" &amp;"C", "exch=" &amp;"SMART", "cur=" &amp; "USD","ModelVega")</f>
        <v>#NAME?</v>
      </c>
      <c r="CD20" s="76" t="e">
        <f ca="1">RTD("tws.twsrtdserverctrl",,"sym=" &amp;$I$3, "sec=" &amp;"OPT", "exp="&amp;$M$8, "strike=" &amp; D20, "right=" &amp;"C", "exch=" &amp;"SMART", "cur=" &amp; "USD","ModelTheta")</f>
        <v>#NAME?</v>
      </c>
      <c r="CE20" s="76" t="e">
        <f ca="1">RTD("tws.twsrtdserverctrl",,"sym=" &amp;$I$3, "sec=" &amp;"OPT", "exp="&amp;$M$8, "strike=" &amp; D20, "right=" &amp;"C", "exch=" &amp;"SMART", "cur=" &amp; "USD","ModelImpliedVol")</f>
        <v>#NAME?</v>
      </c>
      <c r="CF20" s="76" t="e">
        <f ca="1">RTD("tws.twsrtdserverctrl",,"sym=" &amp;$I$3, "sec=" &amp;"OPT", "exp="&amp;$M$8, "strike=" &amp; D20, "right=" &amp;"C", "exch=" &amp;"SMART", "cur=" &amp; "USD","CALLOptionOpenInterest")*1</f>
        <v>#NAME?</v>
      </c>
      <c r="CG20" s="98" t="e">
        <f ca="1">RTD("tws.twsrtdserverctrl",,"sym=" &amp;$I$3, "sec=" &amp;"OPT", "exp="&amp;$M$8, "strike=" &amp; D20, "right=" &amp;"C", "exch=" &amp;"SMART", "cur=" &amp; "USD","Volume")*1</f>
        <v>#NAME?</v>
      </c>
      <c r="CH20" s="27">
        <v>0</v>
      </c>
      <c r="CI20" s="76" t="e">
        <f t="shared" ca="1" si="1"/>
        <v>#NAME?</v>
      </c>
      <c r="CJ20" s="76" t="e">
        <f t="shared" ca="1" si="2"/>
        <v>#NAME?</v>
      </c>
      <c r="CK20" s="76" t="e">
        <f t="shared" ca="1" si="3"/>
        <v>#NAME?</v>
      </c>
      <c r="CL20" s="76" t="e">
        <f t="shared" ca="1" si="4"/>
        <v>#NAME?</v>
      </c>
      <c r="CM20" s="27"/>
      <c r="CN20" s="76" t="e">
        <f t="shared" ca="1" si="5"/>
        <v>#NAME?</v>
      </c>
      <c r="CO20" s="76" t="e">
        <f t="shared" ca="1" si="6"/>
        <v>#NAME?</v>
      </c>
      <c r="CP20" s="76" t="e">
        <f t="shared" ca="1" si="7"/>
        <v>#NAME?</v>
      </c>
      <c r="CQ20" s="27"/>
      <c r="CR20" s="76" t="e">
        <f t="shared" ca="1" si="8"/>
        <v>#NAME?</v>
      </c>
      <c r="CS20" s="76" t="e">
        <f t="shared" ca="1" si="9"/>
        <v>#NAME?</v>
      </c>
      <c r="CT20" s="76" t="e">
        <f t="shared" ca="1" si="10"/>
        <v>#NAME?</v>
      </c>
      <c r="CU20" s="76" t="e">
        <f t="shared" ca="1" si="11"/>
        <v>#NAME?</v>
      </c>
      <c r="CV20" s="76" t="e">
        <f t="shared" ca="1" si="15"/>
        <v>#NAME?</v>
      </c>
      <c r="CW20" s="76" t="e">
        <f t="shared" ca="1" si="16"/>
        <v>#NAME?</v>
      </c>
      <c r="CX20" s="27"/>
      <c r="CY20" s="76" t="e">
        <f t="shared" ca="1" si="12"/>
        <v>#NAME?</v>
      </c>
      <c r="CZ20" s="76" t="e">
        <f t="shared" ca="1" si="13"/>
        <v>#NAME?</v>
      </c>
      <c r="DA20" s="76" t="e">
        <f t="shared" ca="1" si="14"/>
        <v>#NAME?</v>
      </c>
      <c r="DB20" s="27"/>
      <c r="DC20" s="2"/>
      <c r="DD20" s="2"/>
      <c r="DE20" s="2"/>
      <c r="DF20" s="2"/>
      <c r="DG20" s="2"/>
      <c r="DH20" s="2"/>
      <c r="DI20" s="2"/>
      <c r="DJ20" s="2"/>
      <c r="DK20" s="2"/>
    </row>
    <row r="21" spans="1:115" ht="16.5" customHeight="1" x14ac:dyDescent="0.15">
      <c r="A21" s="6" t="e">
        <f ca="1">RTD("tws.twsrtdserverctrl",,"sym=" &amp;$I$3, "sec=" &amp;"OPT", "exp="&amp;M8, "strike=" &amp; D21, "right=" &amp;"P", "exch=" &amp;"SMART", "cur=" &amp; "USD","LOW")</f>
        <v>#NAME?</v>
      </c>
      <c r="B21" s="7" t="e">
        <f ca="1">RTD("tws.twsrtdserverctrl",,"sym=" &amp;$I$3, "sec=" &amp;"OPT", "exp="&amp;M8, "strike=" &amp; D21, "right=" &amp;"P", "exch=" &amp;"SMART", "cur=" &amp; "USD","HIGH")</f>
        <v>#NAME?</v>
      </c>
      <c r="C21" s="8" t="e">
        <f ca="1">RTD("tws.twsrtdserverctrl",,"sym=" &amp;$I$3, "sec=" &amp;"OPT", "exp="&amp;M8, "strike=" &amp; D21, "right=" &amp;"P", "exch=" &amp;"SMART", "cur=" &amp; "USD","LAST")</f>
        <v>#NAME?</v>
      </c>
      <c r="D21" s="22">
        <f ca="1">IF(B53&lt;=0,0,D20+$L$7)</f>
        <v>495</v>
      </c>
      <c r="E21" s="8" t="e">
        <f ca="1">RTD("tws.twsrtdserverctrl",,"sym=" &amp;$I$3, "sec=" &amp;"OPT", "exp="&amp;M8, "strike=" &amp; D21, "right=" &amp;"C", "exch=" &amp;"SMART", "cur=" &amp; "USD","LAST")</f>
        <v>#NAME?</v>
      </c>
      <c r="F21" s="7" t="e">
        <f ca="1">RTD("tws.twsrtdserverctrl",,"sym=" &amp;$I$3, "sec=" &amp;"OPT", "exp="&amp;M8, "strike=" &amp; D21, "right=" &amp;"C", "exch=" &amp;"SMART", "cur=" &amp; "USD","HIGH")</f>
        <v>#NAME?</v>
      </c>
      <c r="G21" s="6" t="e">
        <f ca="1">RTD("tws.twsrtdserverctrl",,"sym=" &amp;$I$3, "sec=" &amp;"OPT", "exp="&amp;M8, "strike=" &amp; D21, "right=" &amp;"C", "exch=" &amp;"SMART", "cur=" &amp; "USD","LOW")</f>
        <v>#NAME?</v>
      </c>
      <c r="I21" s="69" t="str">
        <f>TEXT(J24,"dd")</f>
        <v>11</v>
      </c>
      <c r="J21" s="69" t="str">
        <f>TEXT(J24,"mm")</f>
        <v>08</v>
      </c>
      <c r="K21" s="69" t="str">
        <f>TEXT(J24,"yyyy")</f>
        <v>2023</v>
      </c>
      <c r="M21" s="76" t="str">
        <f>K21&amp;J21&amp;I21</f>
        <v>20230811</v>
      </c>
      <c r="AU21" s="27"/>
      <c r="AV21" s="27"/>
      <c r="AW21" s="27"/>
      <c r="AX21" s="27"/>
      <c r="AY21" s="27"/>
      <c r="AZ21" s="27"/>
      <c r="BA21" s="27"/>
      <c r="BB21" s="27"/>
      <c r="BC21" s="27"/>
      <c r="BD21" s="94">
        <f t="shared" ca="1" si="17"/>
        <v>45198</v>
      </c>
      <c r="BE21" s="94">
        <f t="shared" ca="1" si="18"/>
        <v>45155</v>
      </c>
      <c r="BF21" s="95">
        <f ca="1"/>
        <v>45198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96" t="e">
        <f ca="1">RTD("tws.twsrtdserverctrl",,"sym=" &amp;$I$3, "sec=" &amp;"OPT", "exp="&amp;$M$8, "strike=" &amp; D21, "right=" &amp;"P", "exch=" &amp;"SMART", "cur=" &amp; "USD","Volume")*1</f>
        <v>#NAME?</v>
      </c>
      <c r="BT21" s="76" t="e">
        <f ca="1">RTD("tws.twsrtdserverctrl",,"sym=" &amp;$I$3, "sec=" &amp;"OPT", "exp="&amp;$M$8, "strike=" &amp; D21, "right=" &amp;"P", "exch=" &amp;"SMART", "cur=" &amp; "USD","PutOptionOpenInterest")*1</f>
        <v>#NAME?</v>
      </c>
      <c r="BU21" s="76" t="e">
        <f ca="1">RTD("tws.twsrtdserverctrl",,"sym=" &amp;$I$3, "sec=" &amp;"OPT", "exp="&amp;$M$8, "strike=" &amp; D21, "right=" &amp;"P", "exch=" &amp;"SMART", "cur=" &amp; "USD","ModelImpliedVol")</f>
        <v>#NAME?</v>
      </c>
      <c r="BV21" s="76" t="e">
        <f ca="1">RTD("tws.twsrtdserverctrl",,"sym=" &amp;$I$3, "sec=" &amp;"OPT", "exp="&amp;$M$8, "strike=" &amp; D21, "right=" &amp;"P", "exch=" &amp;"SMART", "cur=" &amp; "USD","ModelTheta")</f>
        <v>#NAME?</v>
      </c>
      <c r="BW21" s="76" t="e">
        <f ca="1">RTD("tws.twsrtdserverctrl",,"sym=" &amp;$I$3, "sec=" &amp;"OPT", "exp="&amp;$M$8, "strike=" &amp; D21, "right=" &amp;"P", "exch=" &amp;"SMART", "cur=" &amp; "USD","ModelVega")</f>
        <v>#NAME?</v>
      </c>
      <c r="BX21" s="76" t="e">
        <f ca="1">RTD("tws.twsrtdserverctrl",,"sym=" &amp;$I$3, "sec=" &amp;"OPT", "exp="&amp;$M$8, "strike=" &amp; D21, "right=" &amp;"P", "exch=" &amp;"SMART", "cur=" &amp; "USD","ModelGamma")</f>
        <v>#NAME?</v>
      </c>
      <c r="BY21" s="76" t="e">
        <f ca="1">RTD("tws.twsrtdserverctrl",,"sym=" &amp;$I$3, "sec=" &amp;"OPT", "exp="&amp;$M$8, "strike=" &amp; D21, "right=" &amp;"P", "exch=" &amp;"SMART", "cur=" &amp; "USD","ModelDelta")</f>
        <v>#NAME?</v>
      </c>
      <c r="BZ21" s="97">
        <f t="shared" ca="1" si="0"/>
        <v>495</v>
      </c>
      <c r="CA21" s="76" t="e">
        <f ca="1">RTD("tws.twsrtdserverctrl",,"sym=" &amp;$I$3, "sec=" &amp;"OPT", "exp="&amp;$M$8, "strike=" &amp; D21, "right=" &amp;"C", "exch=" &amp;"SMART", "cur=" &amp; "USD","ModelDelta")</f>
        <v>#NAME?</v>
      </c>
      <c r="CB21" s="76" t="e">
        <f ca="1">RTD("tws.twsrtdserverctrl",,"sym=" &amp;$I$3, "sec=" &amp;"OPT", "exp="&amp;$M$8, "strike=" &amp; D21, "right=" &amp;"C", "exch=" &amp;"SMART", "cur=" &amp; "USD","ModelGamma")</f>
        <v>#NAME?</v>
      </c>
      <c r="CC21" s="76" t="e">
        <f ca="1">RTD("tws.twsrtdserverctrl",,"sym=" &amp;$I$3, "sec=" &amp;"OPT", "exp="&amp;$M$8, "strike=" &amp; D21, "right=" &amp;"C", "exch=" &amp;"SMART", "cur=" &amp; "USD","ModelVega")</f>
        <v>#NAME?</v>
      </c>
      <c r="CD21" s="76" t="e">
        <f ca="1">RTD("tws.twsrtdserverctrl",,"sym=" &amp;$I$3, "sec=" &amp;"OPT", "exp="&amp;$M$8, "strike=" &amp; D21, "right=" &amp;"C", "exch=" &amp;"SMART", "cur=" &amp; "USD","ModelTheta")</f>
        <v>#NAME?</v>
      </c>
      <c r="CE21" s="76" t="e">
        <f ca="1">RTD("tws.twsrtdserverctrl",,"sym=" &amp;$I$3, "sec=" &amp;"OPT", "exp="&amp;$M$8, "strike=" &amp; D21, "right=" &amp;"C", "exch=" &amp;"SMART", "cur=" &amp; "USD","ModelImpliedVol")</f>
        <v>#NAME?</v>
      </c>
      <c r="CF21" s="76" t="e">
        <f ca="1">RTD("tws.twsrtdserverctrl",,"sym=" &amp;$I$3, "sec=" &amp;"OPT", "exp="&amp;$M$8, "strike=" &amp; D21, "right=" &amp;"C", "exch=" &amp;"SMART", "cur=" &amp; "USD","CALLOptionOpenInterest")*1</f>
        <v>#NAME?</v>
      </c>
      <c r="CG21" s="98" t="e">
        <f ca="1">RTD("tws.twsrtdserverctrl",,"sym=" &amp;$I$3, "sec=" &amp;"OPT", "exp="&amp;$M$8, "strike=" &amp; D21, "right=" &amp;"C", "exch=" &amp;"SMART", "cur=" &amp; "USD","Volume")*1</f>
        <v>#NAME?</v>
      </c>
      <c r="CH21" s="27">
        <v>0</v>
      </c>
      <c r="CI21" s="76" t="e">
        <f t="shared" ca="1" si="1"/>
        <v>#NAME?</v>
      </c>
      <c r="CJ21" s="76" t="e">
        <f t="shared" ca="1" si="2"/>
        <v>#NAME?</v>
      </c>
      <c r="CK21" s="76" t="e">
        <f t="shared" ca="1" si="3"/>
        <v>#NAME?</v>
      </c>
      <c r="CL21" s="76" t="e">
        <f t="shared" ca="1" si="4"/>
        <v>#NAME?</v>
      </c>
      <c r="CM21" s="27"/>
      <c r="CN21" s="76" t="e">
        <f t="shared" ca="1" si="5"/>
        <v>#NAME?</v>
      </c>
      <c r="CO21" s="76" t="e">
        <f t="shared" ca="1" si="6"/>
        <v>#NAME?</v>
      </c>
      <c r="CP21" s="76" t="e">
        <f t="shared" ca="1" si="7"/>
        <v>#NAME?</v>
      </c>
      <c r="CQ21" s="27"/>
      <c r="CR21" s="76" t="e">
        <f t="shared" ca="1" si="8"/>
        <v>#NAME?</v>
      </c>
      <c r="CS21" s="76" t="e">
        <f t="shared" ca="1" si="9"/>
        <v>#NAME?</v>
      </c>
      <c r="CT21" s="76" t="e">
        <f t="shared" ca="1" si="10"/>
        <v>#NAME?</v>
      </c>
      <c r="CU21" s="76" t="e">
        <f t="shared" ca="1" si="11"/>
        <v>#NAME?</v>
      </c>
      <c r="CV21" s="76" t="e">
        <f t="shared" ca="1" si="15"/>
        <v>#NAME?</v>
      </c>
      <c r="CW21" s="76" t="e">
        <f t="shared" ca="1" si="16"/>
        <v>#NAME?</v>
      </c>
      <c r="CX21" s="27"/>
      <c r="CY21" s="76" t="e">
        <f t="shared" ca="1" si="12"/>
        <v>#NAME?</v>
      </c>
      <c r="CZ21" s="76" t="e">
        <f t="shared" ca="1" si="13"/>
        <v>#NAME?</v>
      </c>
      <c r="DA21" s="76" t="e">
        <f t="shared" ca="1" si="14"/>
        <v>#NAME?</v>
      </c>
      <c r="DB21" s="27"/>
      <c r="DC21" s="2"/>
      <c r="DD21" s="2"/>
      <c r="DE21" s="2"/>
      <c r="DF21" s="2"/>
      <c r="DG21" s="2"/>
      <c r="DH21" s="2"/>
      <c r="DI21" s="2"/>
      <c r="DJ21" s="2"/>
      <c r="DK21" s="2"/>
    </row>
    <row r="22" spans="1:115" ht="16.5" customHeight="1" x14ac:dyDescent="0.15">
      <c r="A22" s="9" t="e">
        <f ca="1">RTD("tws.twsrtdserverctrl",,"sym=" &amp;$I$3, "sec=" &amp;"OPT", "exp="&amp;M8, "strike=" &amp; D22, "right=" &amp;"P", "exch=" &amp;"SMART", "cur=" &amp; "USD","LOW")</f>
        <v>#NAME?</v>
      </c>
      <c r="B22" s="10" t="e">
        <f ca="1">RTD("tws.twsrtdserverctrl",,"sym=" &amp;$I$3, "sec=" &amp;"OPT", "exp="&amp;M8, "strike=" &amp; D22, "right=" &amp;"P", "exch=" &amp;"SMART", "cur=" &amp; "USD","HIGH")</f>
        <v>#NAME?</v>
      </c>
      <c r="C22" s="11" t="e">
        <f ca="1">RTD("tws.twsrtdserverctrl",,"sym=" &amp;$I$3, "sec=" &amp;"OPT", "exp="&amp;M8, "strike=" &amp; D22, "right=" &amp;"P", "exch=" &amp;"SMART", "cur=" &amp; "USD","LAST")</f>
        <v>#NAME?</v>
      </c>
      <c r="D22" s="23">
        <f ca="1">IF(B53&lt;=0,0,D21+$L$7)</f>
        <v>500</v>
      </c>
      <c r="E22" s="11" t="e">
        <f ca="1">RTD("tws.twsrtdserverctrl",,"sym=" &amp;$I$3, "sec=" &amp;"OPT", "exp="&amp;M8, "strike=" &amp; D22, "right=" &amp;"C", "exch=" &amp;"SMART", "cur=" &amp; "USD","LAST")</f>
        <v>#NAME?</v>
      </c>
      <c r="F22" s="10" t="e">
        <f ca="1">RTD("tws.twsrtdserverctrl",,"sym=" &amp;$I$3, "sec=" &amp;"OPT", "exp="&amp;M8, "strike=" &amp; D22, "right=" &amp;"C", "exch=" &amp;"SMART", "cur=" &amp; "USD","HIGH")</f>
        <v>#NAME?</v>
      </c>
      <c r="G22" s="9" t="e">
        <f ca="1">RTD("tws.twsrtdserverctrl",,"sym=" &amp;$I$3, "sec=" &amp;"OPT", "exp="&amp;M8, "strike=" &amp; D22, "right=" &amp;"C", "exch=" &amp;"SMART", "cur=" &amp; "USD","LOW")</f>
        <v>#NAME?</v>
      </c>
      <c r="I22" s="116" t="s">
        <v>62</v>
      </c>
      <c r="J22" s="117"/>
      <c r="K22" s="117"/>
      <c r="L22" s="117"/>
      <c r="M22" s="117"/>
      <c r="AU22" s="27"/>
      <c r="AV22" s="27"/>
      <c r="AW22" s="27"/>
      <c r="AX22" s="27"/>
      <c r="AY22" s="27"/>
      <c r="AZ22" s="27"/>
      <c r="BA22" s="27"/>
      <c r="BB22" s="27"/>
      <c r="BC22" s="27"/>
      <c r="BD22" s="94">
        <f t="shared" ca="1" si="17"/>
        <v>45205</v>
      </c>
      <c r="BE22" s="94">
        <f t="shared" ca="1" si="18"/>
        <v>45156</v>
      </c>
      <c r="BF22" s="95">
        <f ca="1"/>
        <v>45205</v>
      </c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96" t="e">
        <f ca="1">RTD("tws.twsrtdserverctrl",,"sym=" &amp;$I$3, "sec=" &amp;"OPT", "exp="&amp;$M$8, "strike=" &amp; D22, "right=" &amp;"P", "exch=" &amp;"SMART", "cur=" &amp; "USD","Volume")*1</f>
        <v>#NAME?</v>
      </c>
      <c r="BT22" s="76" t="e">
        <f ca="1">RTD("tws.twsrtdserverctrl",,"sym=" &amp;$I$3, "sec=" &amp;"OPT", "exp="&amp;$M$8, "strike=" &amp; D22, "right=" &amp;"P", "exch=" &amp;"SMART", "cur=" &amp; "USD","PutOptionOpenInterest")*1</f>
        <v>#NAME?</v>
      </c>
      <c r="BU22" s="76" t="e">
        <f ca="1">RTD("tws.twsrtdserverctrl",,"sym=" &amp;$I$3, "sec=" &amp;"OPT", "exp="&amp;$M$8, "strike=" &amp; D22, "right=" &amp;"P", "exch=" &amp;"SMART", "cur=" &amp; "USD","ModelImpliedVol")</f>
        <v>#NAME?</v>
      </c>
      <c r="BV22" s="76" t="e">
        <f ca="1">RTD("tws.twsrtdserverctrl",,"sym=" &amp;$I$3, "sec=" &amp;"OPT", "exp="&amp;$M$8, "strike=" &amp; D22, "right=" &amp;"P", "exch=" &amp;"SMART", "cur=" &amp; "USD","ModelTheta")</f>
        <v>#NAME?</v>
      </c>
      <c r="BW22" s="76" t="e">
        <f ca="1">RTD("tws.twsrtdserverctrl",,"sym=" &amp;$I$3, "sec=" &amp;"OPT", "exp="&amp;$M$8, "strike=" &amp; D22, "right=" &amp;"P", "exch=" &amp;"SMART", "cur=" &amp; "USD","ModelVega")</f>
        <v>#NAME?</v>
      </c>
      <c r="BX22" s="76" t="e">
        <f ca="1">RTD("tws.twsrtdserverctrl",,"sym=" &amp;$I$3, "sec=" &amp;"OPT", "exp="&amp;$M$8, "strike=" &amp; D22, "right=" &amp;"P", "exch=" &amp;"SMART", "cur=" &amp; "USD","ModelGamma")</f>
        <v>#NAME?</v>
      </c>
      <c r="BY22" s="76" t="e">
        <f ca="1">RTD("tws.twsrtdserverctrl",,"sym=" &amp;$I$3, "sec=" &amp;"OPT", "exp="&amp;$M$8, "strike=" &amp; D22, "right=" &amp;"P", "exch=" &amp;"SMART", "cur=" &amp; "USD","ModelDelta")</f>
        <v>#NAME?</v>
      </c>
      <c r="BZ22" s="97">
        <f t="shared" ca="1" si="0"/>
        <v>500</v>
      </c>
      <c r="CA22" s="76" t="e">
        <f ca="1">RTD("tws.twsrtdserverctrl",,"sym=" &amp;$I$3, "sec=" &amp;"OPT", "exp="&amp;$M$8, "strike=" &amp; D22, "right=" &amp;"C", "exch=" &amp;"SMART", "cur=" &amp; "USD","ModelDelta")</f>
        <v>#NAME?</v>
      </c>
      <c r="CB22" s="76" t="e">
        <f ca="1">RTD("tws.twsrtdserverctrl",,"sym=" &amp;$I$3, "sec=" &amp;"OPT", "exp="&amp;$M$8, "strike=" &amp; D22, "right=" &amp;"C", "exch=" &amp;"SMART", "cur=" &amp; "USD","ModelGamma")</f>
        <v>#NAME?</v>
      </c>
      <c r="CC22" s="76" t="e">
        <f ca="1">RTD("tws.twsrtdserverctrl",,"sym=" &amp;$I$3, "sec=" &amp;"OPT", "exp="&amp;$M$8, "strike=" &amp; D22, "right=" &amp;"C", "exch=" &amp;"SMART", "cur=" &amp; "USD","ModelVega")</f>
        <v>#NAME?</v>
      </c>
      <c r="CD22" s="76" t="e">
        <f ca="1">RTD("tws.twsrtdserverctrl",,"sym=" &amp;$I$3, "sec=" &amp;"OPT", "exp="&amp;$M$8, "strike=" &amp; D22, "right=" &amp;"C", "exch=" &amp;"SMART", "cur=" &amp; "USD","ModelTheta")</f>
        <v>#NAME?</v>
      </c>
      <c r="CE22" s="76" t="e">
        <f ca="1">RTD("tws.twsrtdserverctrl",,"sym=" &amp;$I$3, "sec=" &amp;"OPT", "exp="&amp;$M$8, "strike=" &amp; D22, "right=" &amp;"C", "exch=" &amp;"SMART", "cur=" &amp; "USD","ModelImpliedVol")</f>
        <v>#NAME?</v>
      </c>
      <c r="CF22" s="76" t="e">
        <f ca="1">RTD("tws.twsrtdserverctrl",,"sym=" &amp;$I$3, "sec=" &amp;"OPT", "exp="&amp;$M$8, "strike=" &amp; D22, "right=" &amp;"C", "exch=" &amp;"SMART", "cur=" &amp; "USD","CALLOptionOpenInterest")*1</f>
        <v>#NAME?</v>
      </c>
      <c r="CG22" s="98" t="e">
        <f ca="1">RTD("tws.twsrtdserverctrl",,"sym=" &amp;$I$3, "sec=" &amp;"OPT", "exp="&amp;$M$8, "strike=" &amp; D22, "right=" &amp;"C", "exch=" &amp;"SMART", "cur=" &amp; "USD","Volume")*1</f>
        <v>#NAME?</v>
      </c>
      <c r="CH22" s="27">
        <v>0</v>
      </c>
      <c r="CI22" s="76" t="e">
        <f t="shared" ca="1" si="1"/>
        <v>#NAME?</v>
      </c>
      <c r="CJ22" s="76" t="e">
        <f t="shared" ca="1" si="2"/>
        <v>#NAME?</v>
      </c>
      <c r="CK22" s="76" t="e">
        <f t="shared" ca="1" si="3"/>
        <v>#NAME?</v>
      </c>
      <c r="CL22" s="76" t="e">
        <f t="shared" ca="1" si="4"/>
        <v>#NAME?</v>
      </c>
      <c r="CM22" s="27"/>
      <c r="CN22" s="76" t="e">
        <f t="shared" ca="1" si="5"/>
        <v>#NAME?</v>
      </c>
      <c r="CO22" s="76" t="e">
        <f t="shared" ca="1" si="6"/>
        <v>#NAME?</v>
      </c>
      <c r="CP22" s="76" t="e">
        <f t="shared" ca="1" si="7"/>
        <v>#NAME?</v>
      </c>
      <c r="CQ22" s="27"/>
      <c r="CR22" s="76" t="e">
        <f t="shared" ca="1" si="8"/>
        <v>#NAME?</v>
      </c>
      <c r="CS22" s="76" t="e">
        <f t="shared" ca="1" si="9"/>
        <v>#NAME?</v>
      </c>
      <c r="CT22" s="76" t="e">
        <f t="shared" ca="1" si="10"/>
        <v>#NAME?</v>
      </c>
      <c r="CU22" s="76" t="e">
        <f t="shared" ca="1" si="11"/>
        <v>#NAME?</v>
      </c>
      <c r="CV22" s="76" t="e">
        <f t="shared" ca="1" si="15"/>
        <v>#NAME?</v>
      </c>
      <c r="CW22" s="76" t="e">
        <f t="shared" ca="1" si="16"/>
        <v>#NAME?</v>
      </c>
      <c r="CX22" s="27"/>
      <c r="CY22" s="76" t="e">
        <f t="shared" ca="1" si="12"/>
        <v>#NAME?</v>
      </c>
      <c r="CZ22" s="76" t="e">
        <f t="shared" ca="1" si="13"/>
        <v>#NAME?</v>
      </c>
      <c r="DA22" s="76" t="e">
        <f t="shared" ca="1" si="14"/>
        <v>#NAME?</v>
      </c>
      <c r="DB22" s="27"/>
      <c r="DC22" s="2"/>
      <c r="DD22" s="2"/>
      <c r="DE22" s="2"/>
      <c r="DF22" s="2"/>
      <c r="DG22" s="2"/>
      <c r="DH22" s="2"/>
      <c r="DI22" s="2"/>
      <c r="DJ22" s="2"/>
      <c r="DK22" s="2"/>
    </row>
    <row r="23" spans="1:115" ht="16.5" customHeight="1" x14ac:dyDescent="0.15">
      <c r="A23" s="6" t="e">
        <f ca="1">RTD("tws.twsrtdserverctrl",,"sym=" &amp;$I$3, "sec=" &amp;"OPT", "exp="&amp;M8, "strike=" &amp; D23, "right=" &amp;"P", "exch=" &amp;"SMART", "cur=" &amp; "USD","LOW")</f>
        <v>#NAME?</v>
      </c>
      <c r="B23" s="7" t="e">
        <f ca="1">RTD("tws.twsrtdserverctrl",,"sym=" &amp;$I$3, "sec=" &amp;"OPT", "exp="&amp;M8, "strike=" &amp; D23, "right=" &amp;"P", "exch=" &amp;"SMART", "cur=" &amp; "USD","HIGH")</f>
        <v>#NAME?</v>
      </c>
      <c r="C23" s="8" t="e">
        <f ca="1">RTD("tws.twsrtdserverctrl",,"sym=" &amp;$I$3, "sec=" &amp;"OPT", "exp="&amp;M8, "strike=" &amp; D23, "right=" &amp;"P", "exch=" &amp;"SMART", "cur=" &amp; "USD","LAST")</f>
        <v>#NAME?</v>
      </c>
      <c r="D23" s="22">
        <f ca="1">IF(B53&lt;=0,0,D22+$L$7)</f>
        <v>505</v>
      </c>
      <c r="E23" s="8" t="e">
        <f ca="1">RTD("tws.twsrtdserverctrl",,"sym=" &amp;$I$3, "sec=" &amp;"OPT", "exp="&amp;M8, "strike=" &amp; D23, "right=" &amp;"C", "exch=" &amp;"SMART", "cur=" &amp; "USD","LAST")</f>
        <v>#NAME?</v>
      </c>
      <c r="F23" s="7" t="e">
        <f ca="1">RTD("tws.twsrtdserverctrl",,"sym=" &amp;$I$3, "sec=" &amp;"OPT", "exp="&amp;M8, "strike=" &amp; D23, "right=" &amp;"C", "exch=" &amp;"SMART", "cur=" &amp; "USD","HIGH")</f>
        <v>#NAME?</v>
      </c>
      <c r="G23" s="6" t="e">
        <f ca="1">RTD("tws.twsrtdserverctrl",,"sym=" &amp;$I$3, "sec=" &amp;"OPT", "exp="&amp;M8, "strike=" &amp; D23, "right=" &amp;"C", "exch=" &amp;"SMART", "cur=" &amp; "USD","LOW")</f>
        <v>#NAME?</v>
      </c>
      <c r="I23" s="31" t="s">
        <v>13</v>
      </c>
      <c r="J23" s="118" t="s">
        <v>6</v>
      </c>
      <c r="K23" s="119"/>
      <c r="L23" s="32" t="s">
        <v>63</v>
      </c>
      <c r="M23" s="32" t="s">
        <v>66</v>
      </c>
      <c r="AU23" s="27"/>
      <c r="AV23" s="27"/>
      <c r="AW23" s="27"/>
      <c r="AX23" s="27"/>
      <c r="AY23" s="27"/>
      <c r="AZ23" s="27"/>
      <c r="BA23" s="27"/>
      <c r="BB23" s="27"/>
      <c r="BC23" s="27"/>
      <c r="BD23" s="94">
        <f t="shared" ca="1" si="17"/>
        <v>45212</v>
      </c>
      <c r="BE23" s="94">
        <f t="shared" ca="1" si="18"/>
        <v>45157</v>
      </c>
      <c r="BF23" s="95">
        <f ca="1"/>
        <v>45212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96" t="e">
        <f ca="1">RTD("tws.twsrtdserverctrl",,"sym=" &amp;$I$3, "sec=" &amp;"OPT", "exp="&amp;$M$8, "strike=" &amp; D23, "right=" &amp;"P", "exch=" &amp;"SMART", "cur=" &amp; "USD","Volume")*1</f>
        <v>#NAME?</v>
      </c>
      <c r="BT23" s="76" t="e">
        <f ca="1">RTD("tws.twsrtdserverctrl",,"sym=" &amp;$I$3, "sec=" &amp;"OPT", "exp="&amp;$M$8, "strike=" &amp; D23, "right=" &amp;"P", "exch=" &amp;"SMART", "cur=" &amp; "USD","PutOptionOpenInterest")*1</f>
        <v>#NAME?</v>
      </c>
      <c r="BU23" s="76" t="e">
        <f ca="1">RTD("tws.twsrtdserverctrl",,"sym=" &amp;$I$3, "sec=" &amp;"OPT", "exp="&amp;$M$8, "strike=" &amp; D23, "right=" &amp;"P", "exch=" &amp;"SMART", "cur=" &amp; "USD","ModelImpliedVol")</f>
        <v>#NAME?</v>
      </c>
      <c r="BV23" s="76" t="e">
        <f ca="1">RTD("tws.twsrtdserverctrl",,"sym=" &amp;$I$3, "sec=" &amp;"OPT", "exp="&amp;$M$8, "strike=" &amp; D23, "right=" &amp;"P", "exch=" &amp;"SMART", "cur=" &amp; "USD","ModelTheta")</f>
        <v>#NAME?</v>
      </c>
      <c r="BW23" s="76" t="e">
        <f ca="1">RTD("tws.twsrtdserverctrl",,"sym=" &amp;$I$3, "sec=" &amp;"OPT", "exp="&amp;$M$8, "strike=" &amp; D23, "right=" &amp;"P", "exch=" &amp;"SMART", "cur=" &amp; "USD","ModelVega")</f>
        <v>#NAME?</v>
      </c>
      <c r="BX23" s="76" t="e">
        <f ca="1">RTD("tws.twsrtdserverctrl",,"sym=" &amp;$I$3, "sec=" &amp;"OPT", "exp="&amp;$M$8, "strike=" &amp; D23, "right=" &amp;"P", "exch=" &amp;"SMART", "cur=" &amp; "USD","ModelGamma")</f>
        <v>#NAME?</v>
      </c>
      <c r="BY23" s="76" t="e">
        <f ca="1">RTD("tws.twsrtdserverctrl",,"sym=" &amp;$I$3, "sec=" &amp;"OPT", "exp="&amp;$M$8, "strike=" &amp; D23, "right=" &amp;"P", "exch=" &amp;"SMART", "cur=" &amp; "USD","ModelDelta")</f>
        <v>#NAME?</v>
      </c>
      <c r="BZ23" s="97">
        <f t="shared" ca="1" si="0"/>
        <v>505</v>
      </c>
      <c r="CA23" s="76" t="e">
        <f ca="1">RTD("tws.twsrtdserverctrl",,"sym=" &amp;$I$3, "sec=" &amp;"OPT", "exp="&amp;$M$8, "strike=" &amp; D23, "right=" &amp;"C", "exch=" &amp;"SMART", "cur=" &amp; "USD","ModelDelta")</f>
        <v>#NAME?</v>
      </c>
      <c r="CB23" s="76" t="e">
        <f ca="1">RTD("tws.twsrtdserverctrl",,"sym=" &amp;$I$3, "sec=" &amp;"OPT", "exp="&amp;$M$8, "strike=" &amp; D23, "right=" &amp;"C", "exch=" &amp;"SMART", "cur=" &amp; "USD","ModelGamma")</f>
        <v>#NAME?</v>
      </c>
      <c r="CC23" s="76" t="e">
        <f ca="1">RTD("tws.twsrtdserverctrl",,"sym=" &amp;$I$3, "sec=" &amp;"OPT", "exp="&amp;$M$8, "strike=" &amp; D23, "right=" &amp;"C", "exch=" &amp;"SMART", "cur=" &amp; "USD","ModelVega")</f>
        <v>#NAME?</v>
      </c>
      <c r="CD23" s="76" t="e">
        <f ca="1">RTD("tws.twsrtdserverctrl",,"sym=" &amp;$I$3, "sec=" &amp;"OPT", "exp="&amp;$M$8, "strike=" &amp; D23, "right=" &amp;"C", "exch=" &amp;"SMART", "cur=" &amp; "USD","ModelTheta")</f>
        <v>#NAME?</v>
      </c>
      <c r="CE23" s="76" t="e">
        <f ca="1">RTD("tws.twsrtdserverctrl",,"sym=" &amp;$I$3, "sec=" &amp;"OPT", "exp="&amp;$M$8, "strike=" &amp; D23, "right=" &amp;"C", "exch=" &amp;"SMART", "cur=" &amp; "USD","ModelImpliedVol")</f>
        <v>#NAME?</v>
      </c>
      <c r="CF23" s="76" t="e">
        <f ca="1">RTD("tws.twsrtdserverctrl",,"sym=" &amp;$I$3, "sec=" &amp;"OPT", "exp="&amp;$M$8, "strike=" &amp; D23, "right=" &amp;"C", "exch=" &amp;"SMART", "cur=" &amp; "USD","CALLOptionOpenInterest")*1</f>
        <v>#NAME?</v>
      </c>
      <c r="CG23" s="98" t="e">
        <f ca="1">RTD("tws.twsrtdserverctrl",,"sym=" &amp;$I$3, "sec=" &amp;"OPT", "exp="&amp;$M$8, "strike=" &amp; D23, "right=" &amp;"C", "exch=" &amp;"SMART", "cur=" &amp; "USD","Volume")*1</f>
        <v>#NAME?</v>
      </c>
      <c r="CH23" s="27">
        <v>0</v>
      </c>
      <c r="CI23" s="76" t="e">
        <f t="shared" ca="1" si="1"/>
        <v>#NAME?</v>
      </c>
      <c r="CJ23" s="76" t="e">
        <f t="shared" ca="1" si="2"/>
        <v>#NAME?</v>
      </c>
      <c r="CK23" s="76" t="e">
        <f t="shared" ca="1" si="3"/>
        <v>#NAME?</v>
      </c>
      <c r="CL23" s="76" t="e">
        <f t="shared" ca="1" si="4"/>
        <v>#NAME?</v>
      </c>
      <c r="CM23" s="27"/>
      <c r="CN23" s="76" t="e">
        <f t="shared" ca="1" si="5"/>
        <v>#NAME?</v>
      </c>
      <c r="CO23" s="76" t="e">
        <f t="shared" ca="1" si="6"/>
        <v>#NAME?</v>
      </c>
      <c r="CP23" s="76" t="e">
        <f t="shared" ca="1" si="7"/>
        <v>#NAME?</v>
      </c>
      <c r="CQ23" s="27"/>
      <c r="CR23" s="76" t="e">
        <f t="shared" ca="1" si="8"/>
        <v>#NAME?</v>
      </c>
      <c r="CS23" s="76" t="e">
        <f t="shared" ca="1" si="9"/>
        <v>#NAME?</v>
      </c>
      <c r="CT23" s="76" t="e">
        <f t="shared" ca="1" si="10"/>
        <v>#NAME?</v>
      </c>
      <c r="CU23" s="76" t="e">
        <f t="shared" ca="1" si="11"/>
        <v>#NAME?</v>
      </c>
      <c r="CV23" s="76" t="e">
        <f t="shared" ca="1" si="15"/>
        <v>#NAME?</v>
      </c>
      <c r="CW23" s="76" t="e">
        <f t="shared" ca="1" si="16"/>
        <v>#NAME?</v>
      </c>
      <c r="CX23" s="27"/>
      <c r="CY23" s="76" t="e">
        <f t="shared" ca="1" si="12"/>
        <v>#NAME?</v>
      </c>
      <c r="CZ23" s="76" t="e">
        <f t="shared" ca="1" si="13"/>
        <v>#NAME?</v>
      </c>
      <c r="DA23" s="76" t="e">
        <f t="shared" ca="1" si="14"/>
        <v>#NAME?</v>
      </c>
      <c r="DB23" s="27"/>
      <c r="DC23" s="2"/>
      <c r="DD23" s="2"/>
      <c r="DE23" s="2"/>
      <c r="DF23" s="2"/>
      <c r="DG23" s="2"/>
      <c r="DH23" s="2"/>
      <c r="DI23" s="2"/>
      <c r="DJ23" s="2"/>
      <c r="DK23" s="2"/>
    </row>
    <row r="24" spans="1:115" ht="16.5" customHeight="1" x14ac:dyDescent="0.15">
      <c r="A24" s="9" t="e">
        <f ca="1">RTD("tws.twsrtdserverctrl",,"sym=" &amp;$I$3, "sec=" &amp;"OPT", "exp="&amp;M8, "strike=" &amp; D24, "right=" &amp;"P", "exch=" &amp;"SMART", "cur=" &amp; "USD","LOW")</f>
        <v>#NAME?</v>
      </c>
      <c r="B24" s="10" t="e">
        <f ca="1">RTD("tws.twsrtdserverctrl",,"sym=" &amp;$I$3, "sec=" &amp;"OPT", "exp="&amp;M8, "strike=" &amp; D24, "right=" &amp;"P", "exch=" &amp;"SMART", "cur=" &amp; "USD","HIGH")</f>
        <v>#NAME?</v>
      </c>
      <c r="C24" s="11" t="e">
        <f ca="1">RTD("tws.twsrtdserverctrl",,"sym=" &amp;$I$3, "sec=" &amp;"OPT", "exp="&amp;M8, "strike=" &amp; D24, "right=" &amp;"P", "exch=" &amp;"SMART", "cur=" &amp; "USD","LAST")</f>
        <v>#NAME?</v>
      </c>
      <c r="D24" s="23">
        <f ca="1">IF(B53&lt;=0,0,D23+$L$7)</f>
        <v>510</v>
      </c>
      <c r="E24" s="11" t="e">
        <f ca="1">RTD("tws.twsrtdserverctrl",,"sym=" &amp;$I$3, "sec=" &amp;"OPT", "exp="&amp;M8, "strike=" &amp; D24, "right=" &amp;"C", "exch=" &amp;"SMART", "cur=" &amp; "USD","LAST")</f>
        <v>#NAME?</v>
      </c>
      <c r="F24" s="10" t="e">
        <f ca="1">RTD("tws.twsrtdserverctrl",,"sym=" &amp;$I$3, "sec=" &amp;"OPT", "exp="&amp;M8, "strike=" &amp; D24, "right=" &amp;"C", "exch=" &amp;"SMART", "cur=" &amp; "USD","HIGH")</f>
        <v>#NAME?</v>
      </c>
      <c r="G24" s="9" t="e">
        <f ca="1">RTD("tws.twsrtdserverctrl",,"sym=" &amp;$I$3, "sec=" &amp;"OPT", "exp="&amp;M8, "strike=" &amp; D24, "right=" &amp;"C", "exch=" &amp;"SMART", "cur=" &amp; "USD","LOW")</f>
        <v>#NAME?</v>
      </c>
      <c r="I24" s="33">
        <v>445</v>
      </c>
      <c r="J24" s="120">
        <v>45149</v>
      </c>
      <c r="K24" s="121"/>
      <c r="L24" s="34" t="s">
        <v>65</v>
      </c>
      <c r="M24" s="78" t="str">
        <f>I3</f>
        <v>nvda</v>
      </c>
      <c r="AU24" s="27"/>
      <c r="AV24" s="27"/>
      <c r="AW24" s="27"/>
      <c r="AX24" s="27"/>
      <c r="AY24" s="27"/>
      <c r="AZ24" s="27"/>
      <c r="BA24" s="27"/>
      <c r="BB24" s="27"/>
      <c r="BC24" s="27"/>
      <c r="BD24" s="94">
        <f t="shared" ca="1" si="17"/>
        <v>45219</v>
      </c>
      <c r="BE24" s="94">
        <f t="shared" ca="1" si="18"/>
        <v>45158</v>
      </c>
      <c r="BF24" s="95">
        <f ca="1"/>
        <v>45219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96" t="e">
        <f ca="1">RTD("tws.twsrtdserverctrl",,"sym=" &amp;$I$3, "sec=" &amp;"OPT", "exp="&amp;$M$8, "strike=" &amp; D24, "right=" &amp;"P", "exch=" &amp;"SMART", "cur=" &amp; "USD","Volume")*1</f>
        <v>#NAME?</v>
      </c>
      <c r="BT24" s="76" t="e">
        <f ca="1">RTD("tws.twsrtdserverctrl",,"sym=" &amp;$I$3, "sec=" &amp;"OPT", "exp="&amp;$M$8, "strike=" &amp; D24, "right=" &amp;"P", "exch=" &amp;"SMART", "cur=" &amp; "USD","PutOptionOpenInterest")*1</f>
        <v>#NAME?</v>
      </c>
      <c r="BU24" s="76" t="e">
        <f ca="1">RTD("tws.twsrtdserverctrl",,"sym=" &amp;$I$3, "sec=" &amp;"OPT", "exp="&amp;$M$8, "strike=" &amp; D24, "right=" &amp;"P", "exch=" &amp;"SMART", "cur=" &amp; "USD","ModelImpliedVol")</f>
        <v>#NAME?</v>
      </c>
      <c r="BV24" s="76" t="e">
        <f ca="1">RTD("tws.twsrtdserverctrl",,"sym=" &amp;$I$3, "sec=" &amp;"OPT", "exp="&amp;$M$8, "strike=" &amp; D24, "right=" &amp;"P", "exch=" &amp;"SMART", "cur=" &amp; "USD","ModelTheta")</f>
        <v>#NAME?</v>
      </c>
      <c r="BW24" s="76" t="e">
        <f ca="1">RTD("tws.twsrtdserverctrl",,"sym=" &amp;$I$3, "sec=" &amp;"OPT", "exp="&amp;$M$8, "strike=" &amp; D24, "right=" &amp;"P", "exch=" &amp;"SMART", "cur=" &amp; "USD","ModelVega")</f>
        <v>#NAME?</v>
      </c>
      <c r="BX24" s="76" t="e">
        <f ca="1">RTD("tws.twsrtdserverctrl",,"sym=" &amp;$I$3, "sec=" &amp;"OPT", "exp="&amp;$M$8, "strike=" &amp; D24, "right=" &amp;"P", "exch=" &amp;"SMART", "cur=" &amp; "USD","ModelGamma")</f>
        <v>#NAME?</v>
      </c>
      <c r="BY24" s="76" t="e">
        <f ca="1">RTD("tws.twsrtdserverctrl",,"sym=" &amp;$I$3, "sec=" &amp;"OPT", "exp="&amp;$M$8, "strike=" &amp; D24, "right=" &amp;"P", "exch=" &amp;"SMART", "cur=" &amp; "USD","ModelDelta")</f>
        <v>#NAME?</v>
      </c>
      <c r="BZ24" s="97">
        <f t="shared" ca="1" si="0"/>
        <v>510</v>
      </c>
      <c r="CA24" s="76" t="e">
        <f ca="1">RTD("tws.twsrtdserverctrl",,"sym=" &amp;$I$3, "sec=" &amp;"OPT", "exp="&amp;$M$8, "strike=" &amp; D24, "right=" &amp;"C", "exch=" &amp;"SMART", "cur=" &amp; "USD","ModelDelta")</f>
        <v>#NAME?</v>
      </c>
      <c r="CB24" s="76" t="e">
        <f ca="1">RTD("tws.twsrtdserverctrl",,"sym=" &amp;$I$3, "sec=" &amp;"OPT", "exp="&amp;$M$8, "strike=" &amp; D24, "right=" &amp;"C", "exch=" &amp;"SMART", "cur=" &amp; "USD","ModelGamma")</f>
        <v>#NAME?</v>
      </c>
      <c r="CC24" s="76" t="e">
        <f ca="1">RTD("tws.twsrtdserverctrl",,"sym=" &amp;$I$3, "sec=" &amp;"OPT", "exp="&amp;$M$8, "strike=" &amp; D24, "right=" &amp;"C", "exch=" &amp;"SMART", "cur=" &amp; "USD","ModelVega")</f>
        <v>#NAME?</v>
      </c>
      <c r="CD24" s="76" t="e">
        <f ca="1">RTD("tws.twsrtdserverctrl",,"sym=" &amp;$I$3, "sec=" &amp;"OPT", "exp="&amp;$M$8, "strike=" &amp; D24, "right=" &amp;"C", "exch=" &amp;"SMART", "cur=" &amp; "USD","ModelTheta")</f>
        <v>#NAME?</v>
      </c>
      <c r="CE24" s="76" t="e">
        <f ca="1">RTD("tws.twsrtdserverctrl",,"sym=" &amp;$I$3, "sec=" &amp;"OPT", "exp="&amp;$M$8, "strike=" &amp; D24, "right=" &amp;"C", "exch=" &amp;"SMART", "cur=" &amp; "USD","ModelImpliedVol")</f>
        <v>#NAME?</v>
      </c>
      <c r="CF24" s="76" t="e">
        <f ca="1">RTD("tws.twsrtdserverctrl",,"sym=" &amp;$I$3, "sec=" &amp;"OPT", "exp="&amp;$M$8, "strike=" &amp; D24, "right=" &amp;"C", "exch=" &amp;"SMART", "cur=" &amp; "USD","CALLOptionOpenInterest")*1</f>
        <v>#NAME?</v>
      </c>
      <c r="CG24" s="98" t="e">
        <f ca="1">RTD("tws.twsrtdserverctrl",,"sym=" &amp;$I$3, "sec=" &amp;"OPT", "exp="&amp;$M$8, "strike=" &amp; D24, "right=" &amp;"C", "exch=" &amp;"SMART", "cur=" &amp; "USD","Volume")*1</f>
        <v>#NAME?</v>
      </c>
      <c r="CH24" s="27">
        <v>0</v>
      </c>
      <c r="CI24" s="76" t="e">
        <f t="shared" ca="1" si="1"/>
        <v>#NAME?</v>
      </c>
      <c r="CJ24" s="76" t="e">
        <f t="shared" ca="1" si="2"/>
        <v>#NAME?</v>
      </c>
      <c r="CK24" s="76" t="e">
        <f t="shared" ca="1" si="3"/>
        <v>#NAME?</v>
      </c>
      <c r="CL24" s="76" t="e">
        <f t="shared" ca="1" si="4"/>
        <v>#NAME?</v>
      </c>
      <c r="CM24" s="27"/>
      <c r="CN24" s="76" t="e">
        <f t="shared" ca="1" si="5"/>
        <v>#NAME?</v>
      </c>
      <c r="CO24" s="76" t="e">
        <f t="shared" ca="1" si="6"/>
        <v>#NAME?</v>
      </c>
      <c r="CP24" s="76" t="e">
        <f t="shared" ca="1" si="7"/>
        <v>#NAME?</v>
      </c>
      <c r="CQ24" s="27"/>
      <c r="CR24" s="76" t="e">
        <f t="shared" ca="1" si="8"/>
        <v>#NAME?</v>
      </c>
      <c r="CS24" s="76" t="e">
        <f t="shared" ca="1" si="9"/>
        <v>#NAME?</v>
      </c>
      <c r="CT24" s="76" t="e">
        <f t="shared" ca="1" si="10"/>
        <v>#NAME?</v>
      </c>
      <c r="CU24" s="76" t="e">
        <f t="shared" ca="1" si="11"/>
        <v>#NAME?</v>
      </c>
      <c r="CV24" s="76" t="e">
        <f t="shared" ca="1" si="15"/>
        <v>#NAME?</v>
      </c>
      <c r="CW24" s="76" t="e">
        <f t="shared" ca="1" si="16"/>
        <v>#NAME?</v>
      </c>
      <c r="CX24" s="27"/>
      <c r="CY24" s="76" t="e">
        <f t="shared" ca="1" si="12"/>
        <v>#NAME?</v>
      </c>
      <c r="CZ24" s="76" t="e">
        <f t="shared" ca="1" si="13"/>
        <v>#NAME?</v>
      </c>
      <c r="DA24" s="76" t="e">
        <f t="shared" ca="1" si="14"/>
        <v>#NAME?</v>
      </c>
      <c r="DB24" s="27"/>
      <c r="DC24" s="2"/>
      <c r="DD24" s="2"/>
      <c r="DE24" s="2"/>
      <c r="DF24" s="2"/>
      <c r="DG24" s="2"/>
      <c r="DH24" s="2"/>
      <c r="DI24" s="2"/>
      <c r="DJ24" s="2"/>
      <c r="DK24" s="2"/>
    </row>
    <row r="25" spans="1:115" ht="16.5" customHeight="1" x14ac:dyDescent="0.15">
      <c r="A25" s="6" t="e">
        <f ca="1">RTD("tws.twsrtdserverctrl",,"sym=" &amp;$I$3, "sec=" &amp;"OPT", "exp="&amp;M8, "strike=" &amp; D25, "right=" &amp;"P", "exch=" &amp;"SMART", "cur=" &amp; "USD","LOW")</f>
        <v>#NAME?</v>
      </c>
      <c r="B25" s="7" t="e">
        <f ca="1">RTD("tws.twsrtdserverctrl",,"sym=" &amp;$I$3, "sec=" &amp;"OPT", "exp="&amp;M8, "strike=" &amp; D25, "right=" &amp;"P", "exch=" &amp;"SMART", "cur=" &amp; "USD","HIGH")</f>
        <v>#NAME?</v>
      </c>
      <c r="C25" s="8" t="e">
        <f ca="1">RTD("tws.twsrtdserverctrl",,"sym=" &amp;$I$3, "sec=" &amp;"OPT", "exp="&amp;M8, "strike=" &amp; D25, "right=" &amp;"P", "exch=" &amp;"SMART", "cur=" &amp; "USD","LAST")</f>
        <v>#NAME?</v>
      </c>
      <c r="D25" s="22">
        <f ca="1">IF(B53&lt;=0,0,D24+$L$7)</f>
        <v>515</v>
      </c>
      <c r="E25" s="8" t="e">
        <f ca="1">RTD("tws.twsrtdserverctrl",,"sym=" &amp;$I$3, "sec=" &amp;"OPT", "exp="&amp;M8, "strike=" &amp; D25, "right=" &amp;"C", "exch=" &amp;"SMART", "cur=" &amp; "USD","LAST")</f>
        <v>#NAME?</v>
      </c>
      <c r="F25" s="7" t="e">
        <f ca="1">RTD("tws.twsrtdserverctrl",,"sym=" &amp;$I$3, "sec=" &amp;"OPT", "exp="&amp;M8, "strike=" &amp; D25, "right=" &amp;"C", "exch=" &amp;"SMART", "cur=" &amp; "USD","HIGH")</f>
        <v>#NAME?</v>
      </c>
      <c r="G25" s="6" t="e">
        <f ca="1">RTD("tws.twsrtdserverctrl",,"sym=" &amp;$I$3, "sec=" &amp;"OPT", "exp="&amp;M8, "strike=" &amp; D25, "right=" &amp;"C", "exch=" &amp;"SMART", "cur=" &amp; "USD","LOW")</f>
        <v>#NAME?</v>
      </c>
      <c r="I25" s="32" t="s">
        <v>15</v>
      </c>
      <c r="J25" s="32" t="s">
        <v>9</v>
      </c>
      <c r="K25" s="32" t="s">
        <v>8</v>
      </c>
      <c r="L25" s="32" t="s">
        <v>49</v>
      </c>
      <c r="M25" s="32" t="s">
        <v>1</v>
      </c>
      <c r="AU25" s="27"/>
      <c r="AV25" s="27"/>
      <c r="AW25" s="27"/>
      <c r="AX25" s="27"/>
      <c r="AY25" s="27"/>
      <c r="AZ25" s="27"/>
      <c r="BA25" s="27"/>
      <c r="BB25" s="27"/>
      <c r="BC25" s="27"/>
      <c r="BD25" s="94">
        <f t="shared" ca="1" si="17"/>
        <v>45226</v>
      </c>
      <c r="BE25" s="94">
        <f t="shared" ca="1" si="18"/>
        <v>45159</v>
      </c>
      <c r="BF25" s="95">
        <f ca="1"/>
        <v>45226</v>
      </c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96" t="e">
        <f ca="1">RTD("tws.twsrtdserverctrl",,"sym=" &amp;$I$3, "sec=" &amp;"OPT", "exp="&amp;$M$8, "strike=" &amp; D25, "right=" &amp;"P", "exch=" &amp;"SMART", "cur=" &amp; "USD","Volume")*1</f>
        <v>#NAME?</v>
      </c>
      <c r="BT25" s="76" t="e">
        <f ca="1">RTD("tws.twsrtdserverctrl",,"sym=" &amp;$I$3, "sec=" &amp;"OPT", "exp="&amp;$M$8, "strike=" &amp; D25, "right=" &amp;"P", "exch=" &amp;"SMART", "cur=" &amp; "USD","PutOptionOpenInterest")*1</f>
        <v>#NAME?</v>
      </c>
      <c r="BU25" s="76" t="e">
        <f ca="1">RTD("tws.twsrtdserverctrl",,"sym=" &amp;$I$3, "sec=" &amp;"OPT", "exp="&amp;$M$8, "strike=" &amp; D25, "right=" &amp;"P", "exch=" &amp;"SMART", "cur=" &amp; "USD","ModelImpliedVol")</f>
        <v>#NAME?</v>
      </c>
      <c r="BV25" s="76" t="e">
        <f ca="1">RTD("tws.twsrtdserverctrl",,"sym=" &amp;$I$3, "sec=" &amp;"OPT", "exp="&amp;$M$8, "strike=" &amp; D25, "right=" &amp;"P", "exch=" &amp;"SMART", "cur=" &amp; "USD","ModelTheta")</f>
        <v>#NAME?</v>
      </c>
      <c r="BW25" s="76" t="e">
        <f ca="1">RTD("tws.twsrtdserverctrl",,"sym=" &amp;$I$3, "sec=" &amp;"OPT", "exp="&amp;$M$8, "strike=" &amp; D25, "right=" &amp;"P", "exch=" &amp;"SMART", "cur=" &amp; "USD","ModelVega")</f>
        <v>#NAME?</v>
      </c>
      <c r="BX25" s="76" t="e">
        <f ca="1">RTD("tws.twsrtdserverctrl",,"sym=" &amp;$I$3, "sec=" &amp;"OPT", "exp="&amp;$M$8, "strike=" &amp; D25, "right=" &amp;"P", "exch=" &amp;"SMART", "cur=" &amp; "USD","ModelGamma")</f>
        <v>#NAME?</v>
      </c>
      <c r="BY25" s="76" t="e">
        <f ca="1">RTD("tws.twsrtdserverctrl",,"sym=" &amp;$I$3, "sec=" &amp;"OPT", "exp="&amp;$M$8, "strike=" &amp; D25, "right=" &amp;"P", "exch=" &amp;"SMART", "cur=" &amp; "USD","ModelDelta")</f>
        <v>#NAME?</v>
      </c>
      <c r="BZ25" s="97">
        <f t="shared" ca="1" si="0"/>
        <v>515</v>
      </c>
      <c r="CA25" s="76" t="e">
        <f ca="1">RTD("tws.twsrtdserverctrl",,"sym=" &amp;$I$3, "sec=" &amp;"OPT", "exp="&amp;$M$8, "strike=" &amp; D25, "right=" &amp;"C", "exch=" &amp;"SMART", "cur=" &amp; "USD","ModelDelta")</f>
        <v>#NAME?</v>
      </c>
      <c r="CB25" s="76" t="e">
        <f ca="1">RTD("tws.twsrtdserverctrl",,"sym=" &amp;$I$3, "sec=" &amp;"OPT", "exp="&amp;$M$8, "strike=" &amp; D25, "right=" &amp;"C", "exch=" &amp;"SMART", "cur=" &amp; "USD","ModelGamma")</f>
        <v>#NAME?</v>
      </c>
      <c r="CC25" s="76" t="e">
        <f ca="1">RTD("tws.twsrtdserverctrl",,"sym=" &amp;$I$3, "sec=" &amp;"OPT", "exp="&amp;$M$8, "strike=" &amp; D25, "right=" &amp;"C", "exch=" &amp;"SMART", "cur=" &amp; "USD","ModelVega")</f>
        <v>#NAME?</v>
      </c>
      <c r="CD25" s="76" t="e">
        <f ca="1">RTD("tws.twsrtdserverctrl",,"sym=" &amp;$I$3, "sec=" &amp;"OPT", "exp="&amp;$M$8, "strike=" &amp; D25, "right=" &amp;"C", "exch=" &amp;"SMART", "cur=" &amp; "USD","ModelTheta")</f>
        <v>#NAME?</v>
      </c>
      <c r="CE25" s="76" t="e">
        <f ca="1">RTD("tws.twsrtdserverctrl",,"sym=" &amp;$I$3, "sec=" &amp;"OPT", "exp="&amp;$M$8, "strike=" &amp; D25, "right=" &amp;"C", "exch=" &amp;"SMART", "cur=" &amp; "USD","ModelImpliedVol")</f>
        <v>#NAME?</v>
      </c>
      <c r="CF25" s="76" t="e">
        <f ca="1">RTD("tws.twsrtdserverctrl",,"sym=" &amp;$I$3, "sec=" &amp;"OPT", "exp="&amp;$M$8, "strike=" &amp; D25, "right=" &amp;"C", "exch=" &amp;"SMART", "cur=" &amp; "USD","CALLOptionOpenInterest")*1</f>
        <v>#NAME?</v>
      </c>
      <c r="CG25" s="98" t="e">
        <f ca="1">RTD("tws.twsrtdserverctrl",,"sym=" &amp;$I$3, "sec=" &amp;"OPT", "exp="&amp;$M$8, "strike=" &amp; D25, "right=" &amp;"C", "exch=" &amp;"SMART", "cur=" &amp; "USD","Volume")*1</f>
        <v>#NAME?</v>
      </c>
      <c r="CH25" s="27">
        <v>0</v>
      </c>
      <c r="CI25" s="76" t="e">
        <f t="shared" ca="1" si="1"/>
        <v>#NAME?</v>
      </c>
      <c r="CJ25" s="76" t="e">
        <f t="shared" ca="1" si="2"/>
        <v>#NAME?</v>
      </c>
      <c r="CK25" s="76" t="e">
        <f t="shared" ca="1" si="3"/>
        <v>#NAME?</v>
      </c>
      <c r="CL25" s="76" t="e">
        <f t="shared" ca="1" si="4"/>
        <v>#NAME?</v>
      </c>
      <c r="CM25" s="27"/>
      <c r="CN25" s="76" t="e">
        <f t="shared" ca="1" si="5"/>
        <v>#NAME?</v>
      </c>
      <c r="CO25" s="76" t="e">
        <f t="shared" ca="1" si="6"/>
        <v>#NAME?</v>
      </c>
      <c r="CP25" s="76" t="e">
        <f t="shared" ca="1" si="7"/>
        <v>#NAME?</v>
      </c>
      <c r="CQ25" s="27"/>
      <c r="CR25" s="76" t="e">
        <f t="shared" ca="1" si="8"/>
        <v>#NAME?</v>
      </c>
      <c r="CS25" s="76" t="e">
        <f t="shared" ca="1" si="9"/>
        <v>#NAME?</v>
      </c>
      <c r="CT25" s="76" t="e">
        <f t="shared" ca="1" si="10"/>
        <v>#NAME?</v>
      </c>
      <c r="CU25" s="76" t="e">
        <f t="shared" ca="1" si="11"/>
        <v>#NAME?</v>
      </c>
      <c r="CV25" s="76" t="e">
        <f t="shared" ca="1" si="15"/>
        <v>#NAME?</v>
      </c>
      <c r="CW25" s="76" t="e">
        <f t="shared" ca="1" si="16"/>
        <v>#NAME?</v>
      </c>
      <c r="CX25" s="27"/>
      <c r="CY25" s="76" t="e">
        <f t="shared" ca="1" si="12"/>
        <v>#NAME?</v>
      </c>
      <c r="CZ25" s="76" t="e">
        <f t="shared" ca="1" si="13"/>
        <v>#NAME?</v>
      </c>
      <c r="DA25" s="76" t="e">
        <f t="shared" ca="1" si="14"/>
        <v>#NAME?</v>
      </c>
      <c r="DB25" s="27"/>
      <c r="DC25" s="2"/>
      <c r="DD25" s="2"/>
      <c r="DE25" s="2"/>
      <c r="DF25" s="2"/>
      <c r="DG25" s="2"/>
      <c r="DH25" s="2"/>
      <c r="DI25" s="2"/>
      <c r="DJ25" s="2"/>
      <c r="DK25" s="2"/>
    </row>
    <row r="26" spans="1:115" ht="16.5" customHeight="1" x14ac:dyDescent="0.15">
      <c r="A26" s="9" t="e">
        <f ca="1">RTD("tws.twsrtdserverctrl",,"sym=" &amp;$I$3, "sec=" &amp;"OPT", "exp="&amp;M8, "strike=" &amp; D26, "right=" &amp;"P", "exch=" &amp;"SMART", "cur=" &amp; "USD","LOW")</f>
        <v>#NAME?</v>
      </c>
      <c r="B26" s="10" t="e">
        <f ca="1">RTD("tws.twsrtdserverctrl",,"sym=" &amp;$I$3, "sec=" &amp;"OPT", "exp="&amp;M8, "strike=" &amp; D26, "right=" &amp;"P", "exch=" &amp;"SMART", "cur=" &amp; "USD","HIGH")</f>
        <v>#NAME?</v>
      </c>
      <c r="C26" s="11" t="e">
        <f ca="1">RTD("tws.twsrtdserverctrl",,"sym=" &amp;$I$3, "sec=" &amp;"OPT", "exp="&amp;M8, "strike=" &amp; D26, "right=" &amp;"P", "exch=" &amp;"SMART", "cur=" &amp; "USD","LAST")</f>
        <v>#NAME?</v>
      </c>
      <c r="D26" s="23">
        <f ca="1">IF(B53&lt;=0,0,D25+$L$7)</f>
        <v>520</v>
      </c>
      <c r="E26" s="11" t="e">
        <f ca="1">RTD("tws.twsrtdserverctrl",,"sym=" &amp;$I$3, "sec=" &amp;"OPT", "exp="&amp;M8, "strike=" &amp; D26, "right=" &amp;"C", "exch=" &amp;"SMART", "cur=" &amp; "USD","LAST")</f>
        <v>#NAME?</v>
      </c>
      <c r="F26" s="10" t="e">
        <f ca="1">RTD("tws.twsrtdserverctrl",,"sym=" &amp;$I$3, "sec=" &amp;"OPT", "exp="&amp;M8, "strike=" &amp; D26, "right=" &amp;"C", "exch=" &amp;"SMART", "cur=" &amp; "USD","HIGH")</f>
        <v>#NAME?</v>
      </c>
      <c r="G26" s="9" t="e">
        <f ca="1">RTD("tws.twsrtdserverctrl",,"sym=" &amp;$I$3, "sec=" &amp;"OPT", "exp="&amp;M8, "strike=" &amp; D26, "right=" &amp;"C", "exch=" &amp;"SMART", "cur=" &amp; "USD","LOW")</f>
        <v>#NAME?</v>
      </c>
      <c r="I26" s="74">
        <f>IFERROR(RTD("tws.twsrtdserverctrl",,"sym=" &amp;$I$3, "sec=" &amp;"OPT", "exp="&amp;M21, "strike=" &amp; I24, "right=" &amp;L24, "exch=" &amp;"SMART", "cur=" &amp; "USD","LAST"), "")</f>
        <v>5.45</v>
      </c>
      <c r="J26" s="79">
        <f>RTD("tws.twsrtdserverctrl",,"sym=" &amp;$I$3, "sec=" &amp;"OPT", "exp="&amp;M21, "strike=" &amp; I24, "right=" &amp;L24, "exch=" &amp;"SMART", "cur=" &amp; "USD","BID")</f>
        <v>5.3</v>
      </c>
      <c r="K26" s="79">
        <f>RTD("tws.twsrtdserverctrl",,"sym=" &amp;$I$3, "sec=" &amp;"OPT", "exp="&amp;M21, "strike=" &amp; I24, "right=" &amp;L24, "exch=" &amp;"SMART", "cur=" &amp; "USD","ASK")</f>
        <v>5.5</v>
      </c>
      <c r="L26" s="80">
        <f>RTD("tws.twsrtdserverctrl",,"sym=" &amp;$I$3, "sec=" &amp;"OPT", "exp="&amp;M21, "strike=" &amp; I24, "right=" &amp;L24, "exch=" &amp;"SMART", "cur=" &amp; "USD","HIGH")</f>
        <v>7.22</v>
      </c>
      <c r="M26" s="72">
        <f>RTD("tws.twsrtdserverctrl",,"sym=" &amp;$I$3, "sec=" &amp;"OPT", "exp="&amp;M21, "strike=" &amp; I24, "right=" &amp;L24, "exch=" &amp;"SMART", "cur=" &amp; "USD","LOW")</f>
        <v>5.25</v>
      </c>
      <c r="AU26" s="27"/>
      <c r="AV26" s="27"/>
      <c r="AW26" s="27"/>
      <c r="AX26" s="27"/>
      <c r="AY26" s="27"/>
      <c r="AZ26" s="27"/>
      <c r="BA26" s="27"/>
      <c r="BB26" s="27"/>
      <c r="BC26" s="27"/>
      <c r="BD26" s="94">
        <f t="shared" ca="1" si="17"/>
        <v>45233</v>
      </c>
      <c r="BE26" s="94">
        <f t="shared" ca="1" si="18"/>
        <v>45160</v>
      </c>
      <c r="BF26" s="95">
        <f ca="1"/>
        <v>45233</v>
      </c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96" t="e">
        <f ca="1">RTD("tws.twsrtdserverctrl",,"sym=" &amp;$I$3, "sec=" &amp;"OPT", "exp="&amp;$M$8, "strike=" &amp; D26, "right=" &amp;"P", "exch=" &amp;"SMART", "cur=" &amp; "USD","Volume")*1</f>
        <v>#NAME?</v>
      </c>
      <c r="BT26" s="76" t="e">
        <f ca="1">RTD("tws.twsrtdserverctrl",,"sym=" &amp;$I$3, "sec=" &amp;"OPT", "exp="&amp;$M$8, "strike=" &amp; D26, "right=" &amp;"P", "exch=" &amp;"SMART", "cur=" &amp; "USD","PutOptionOpenInterest")*1</f>
        <v>#NAME?</v>
      </c>
      <c r="BU26" s="76" t="e">
        <f ca="1">RTD("tws.twsrtdserverctrl",,"sym=" &amp;$I$3, "sec=" &amp;"OPT", "exp="&amp;$M$8, "strike=" &amp; D26, "right=" &amp;"P", "exch=" &amp;"SMART", "cur=" &amp; "USD","ModelImpliedVol")</f>
        <v>#NAME?</v>
      </c>
      <c r="BV26" s="76" t="e">
        <f ca="1">RTD("tws.twsrtdserverctrl",,"sym=" &amp;$I$3, "sec=" &amp;"OPT", "exp="&amp;$M$8, "strike=" &amp; D26, "right=" &amp;"P", "exch=" &amp;"SMART", "cur=" &amp; "USD","ModelTheta")</f>
        <v>#NAME?</v>
      </c>
      <c r="BW26" s="76" t="e">
        <f ca="1">RTD("tws.twsrtdserverctrl",,"sym=" &amp;$I$3, "sec=" &amp;"OPT", "exp="&amp;$M$8, "strike=" &amp; D26, "right=" &amp;"P", "exch=" &amp;"SMART", "cur=" &amp; "USD","ModelVega")</f>
        <v>#NAME?</v>
      </c>
      <c r="BX26" s="76" t="e">
        <f ca="1">RTD("tws.twsrtdserverctrl",,"sym=" &amp;$I$3, "sec=" &amp;"OPT", "exp="&amp;$M$8, "strike=" &amp; D26, "right=" &amp;"P", "exch=" &amp;"SMART", "cur=" &amp; "USD","ModelGamma")</f>
        <v>#NAME?</v>
      </c>
      <c r="BY26" s="76" t="e">
        <f ca="1">RTD("tws.twsrtdserverctrl",,"sym=" &amp;$I$3, "sec=" &amp;"OPT", "exp="&amp;$M$8, "strike=" &amp; D26, "right=" &amp;"P", "exch=" &amp;"SMART", "cur=" &amp; "USD","ModelDelta")</f>
        <v>#NAME?</v>
      </c>
      <c r="BZ26" s="97">
        <f t="shared" ca="1" si="0"/>
        <v>520</v>
      </c>
      <c r="CA26" s="76" t="e">
        <f ca="1">RTD("tws.twsrtdserverctrl",,"sym=" &amp;$I$3, "sec=" &amp;"OPT", "exp="&amp;$M$8, "strike=" &amp; D26, "right=" &amp;"C", "exch=" &amp;"SMART", "cur=" &amp; "USD","ModelDelta")</f>
        <v>#NAME?</v>
      </c>
      <c r="CB26" s="76" t="e">
        <f ca="1">RTD("tws.twsrtdserverctrl",,"sym=" &amp;$I$3, "sec=" &amp;"OPT", "exp="&amp;$M$8, "strike=" &amp; D26, "right=" &amp;"C", "exch=" &amp;"SMART", "cur=" &amp; "USD","ModelGamma")</f>
        <v>#NAME?</v>
      </c>
      <c r="CC26" s="76" t="e">
        <f ca="1">RTD("tws.twsrtdserverctrl",,"sym=" &amp;$I$3, "sec=" &amp;"OPT", "exp="&amp;$M$8, "strike=" &amp; D26, "right=" &amp;"C", "exch=" &amp;"SMART", "cur=" &amp; "USD","ModelVega")</f>
        <v>#NAME?</v>
      </c>
      <c r="CD26" s="76" t="e">
        <f ca="1">RTD("tws.twsrtdserverctrl",,"sym=" &amp;$I$3, "sec=" &amp;"OPT", "exp="&amp;$M$8, "strike=" &amp; D26, "right=" &amp;"C", "exch=" &amp;"SMART", "cur=" &amp; "USD","ModelTheta")</f>
        <v>#NAME?</v>
      </c>
      <c r="CE26" s="76" t="e">
        <f ca="1">RTD("tws.twsrtdserverctrl",,"sym=" &amp;$I$3, "sec=" &amp;"OPT", "exp="&amp;$M$8, "strike=" &amp; D26, "right=" &amp;"C", "exch=" &amp;"SMART", "cur=" &amp; "USD","ModelImpliedVol")</f>
        <v>#NAME?</v>
      </c>
      <c r="CF26" s="76" t="e">
        <f ca="1">RTD("tws.twsrtdserverctrl",,"sym=" &amp;$I$3, "sec=" &amp;"OPT", "exp="&amp;$M$8, "strike=" &amp; D26, "right=" &amp;"C", "exch=" &amp;"SMART", "cur=" &amp; "USD","CALLOptionOpenInterest")*1</f>
        <v>#NAME?</v>
      </c>
      <c r="CG26" s="98" t="e">
        <f ca="1">RTD("tws.twsrtdserverctrl",,"sym=" &amp;$I$3, "sec=" &amp;"OPT", "exp="&amp;$M$8, "strike=" &amp; D26, "right=" &amp;"C", "exch=" &amp;"SMART", "cur=" &amp; "USD","Volume")*1</f>
        <v>#NAME?</v>
      </c>
      <c r="CH26" s="27">
        <v>0</v>
      </c>
      <c r="CI26" s="76" t="e">
        <f t="shared" ca="1" si="1"/>
        <v>#NAME?</v>
      </c>
      <c r="CJ26" s="76" t="e">
        <f t="shared" ca="1" si="2"/>
        <v>#NAME?</v>
      </c>
      <c r="CK26" s="76" t="e">
        <f t="shared" ca="1" si="3"/>
        <v>#NAME?</v>
      </c>
      <c r="CL26" s="76" t="e">
        <f t="shared" ca="1" si="4"/>
        <v>#NAME?</v>
      </c>
      <c r="CM26" s="27"/>
      <c r="CN26" s="76" t="e">
        <f t="shared" ca="1" si="5"/>
        <v>#NAME?</v>
      </c>
      <c r="CO26" s="76" t="e">
        <f t="shared" ca="1" si="6"/>
        <v>#NAME?</v>
      </c>
      <c r="CP26" s="76" t="e">
        <f t="shared" ca="1" si="7"/>
        <v>#NAME?</v>
      </c>
      <c r="CQ26" s="27"/>
      <c r="CR26" s="76" t="e">
        <f t="shared" ca="1" si="8"/>
        <v>#NAME?</v>
      </c>
      <c r="CS26" s="76" t="e">
        <f t="shared" ca="1" si="9"/>
        <v>#NAME?</v>
      </c>
      <c r="CT26" s="76" t="e">
        <f t="shared" ca="1" si="10"/>
        <v>#NAME?</v>
      </c>
      <c r="CU26" s="76" t="e">
        <f t="shared" ca="1" si="11"/>
        <v>#NAME?</v>
      </c>
      <c r="CV26" s="76" t="e">
        <f t="shared" ca="1" si="15"/>
        <v>#NAME?</v>
      </c>
      <c r="CW26" s="76" t="e">
        <f t="shared" ca="1" si="16"/>
        <v>#NAME?</v>
      </c>
      <c r="CX26" s="27"/>
      <c r="CY26" s="76" t="e">
        <f t="shared" ca="1" si="12"/>
        <v>#NAME?</v>
      </c>
      <c r="CZ26" s="76" t="e">
        <f t="shared" ca="1" si="13"/>
        <v>#NAME?</v>
      </c>
      <c r="DA26" s="76" t="e">
        <f t="shared" ca="1" si="14"/>
        <v>#NAME?</v>
      </c>
      <c r="DB26" s="27"/>
      <c r="DC26" s="2"/>
      <c r="DD26" s="2"/>
      <c r="DE26" s="2"/>
      <c r="DF26" s="2"/>
      <c r="DG26" s="2"/>
      <c r="DH26" s="2"/>
      <c r="DI26" s="2"/>
      <c r="DJ26" s="2"/>
      <c r="DK26" s="2"/>
    </row>
    <row r="27" spans="1:115" ht="16.5" customHeight="1" thickBot="1" x14ac:dyDescent="0.2">
      <c r="A27" s="6" t="e">
        <f ca="1">RTD("tws.twsrtdserverctrl",,"sym=" &amp;$I$3, "sec=" &amp;"OPT", "exp="&amp;M8, "strike=" &amp; D27, "right=" &amp;"P", "exch=" &amp;"SMART", "cur=" &amp; "USD","LOW")</f>
        <v>#NAME?</v>
      </c>
      <c r="B27" s="7" t="e">
        <f ca="1">RTD("tws.twsrtdserverctrl",,"sym=" &amp;$I$3, "sec=" &amp;"OPT", "exp="&amp;M8, "strike=" &amp; D27, "right=" &amp;"P", "exch=" &amp;"SMART", "cur=" &amp; "USD","HIGH")</f>
        <v>#NAME?</v>
      </c>
      <c r="C27" s="8" t="e">
        <f ca="1">RTD("tws.twsrtdserverctrl",,"sym=" &amp;$I$3, "sec=" &amp;"OPT", "exp="&amp;M8, "strike=" &amp; D27, "right=" &amp;"P", "exch=" &amp;"SMART", "cur=" &amp; "USD","LAST")</f>
        <v>#NAME?</v>
      </c>
      <c r="D27" s="22">
        <f ca="1">IF(B53&lt;=0,0,D26+$L$7)</f>
        <v>525</v>
      </c>
      <c r="E27" s="8" t="e">
        <f ca="1">RTD("tws.twsrtdserverctrl",,"sym=" &amp;$I$3, "sec=" &amp;"OPT", "exp="&amp;M8, "strike=" &amp; D27, "right=" &amp;"C", "exch=" &amp;"SMART", "cur=" &amp; "USD","LAST")</f>
        <v>#NAME?</v>
      </c>
      <c r="F27" s="7" t="e">
        <f ca="1">RTD("tws.twsrtdserverctrl",,"sym=" &amp;$I$3, "sec=" &amp;"OPT", "exp="&amp;M8, "strike=" &amp; D27, "right=" &amp;"C", "exch=" &amp;"SMART", "cur=" &amp; "USD","HIGH")</f>
        <v>#NAME?</v>
      </c>
      <c r="G27" s="6" t="e">
        <f ca="1">RTD("tws.twsrtdserverctrl",,"sym=" &amp;$I$3, "sec=" &amp;"OPT", "exp="&amp;M8, "strike=" &amp; D27, "right=" &amp;"C", "exch=" &amp;"SMART", "cur=" &amp; "USD","LOW")</f>
        <v>#NAME?</v>
      </c>
      <c r="I27" s="122"/>
      <c r="J27" s="122"/>
      <c r="K27" s="122"/>
      <c r="L27" s="122"/>
      <c r="M27" s="123"/>
      <c r="N27" s="37"/>
      <c r="AU27" s="27"/>
      <c r="AV27" s="27"/>
      <c r="AW27" s="27"/>
      <c r="AX27" s="27"/>
      <c r="AY27" s="27"/>
      <c r="AZ27" s="27"/>
      <c r="BA27" s="27"/>
      <c r="BB27" s="27"/>
      <c r="BC27" s="27"/>
      <c r="BD27" s="94">
        <f t="shared" ca="1" si="17"/>
        <v>45240</v>
      </c>
      <c r="BE27" s="94">
        <f t="shared" ca="1" si="18"/>
        <v>45161</v>
      </c>
      <c r="BF27" s="95">
        <f ca="1"/>
        <v>45240</v>
      </c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96" t="e">
        <f ca="1">RTD("tws.twsrtdserverctrl",,"sym=" &amp;$I$3, "sec=" &amp;"OPT", "exp="&amp;$M$8, "strike=" &amp; D27, "right=" &amp;"P", "exch=" &amp;"SMART", "cur=" &amp; "USD","Volume")*1</f>
        <v>#NAME?</v>
      </c>
      <c r="BT27" s="76" t="e">
        <f ca="1">RTD("tws.twsrtdserverctrl",,"sym=" &amp;$I$3, "sec=" &amp;"OPT", "exp="&amp;$M$8, "strike=" &amp; D27, "right=" &amp;"P", "exch=" &amp;"SMART", "cur=" &amp; "USD","PutOptionOpenInterest")*1</f>
        <v>#NAME?</v>
      </c>
      <c r="BU27" s="76" t="e">
        <f ca="1">RTD("tws.twsrtdserverctrl",,"sym=" &amp;$I$3, "sec=" &amp;"OPT", "exp="&amp;$M$8, "strike=" &amp; D27, "right=" &amp;"P", "exch=" &amp;"SMART", "cur=" &amp; "USD","ModelImpliedVol")</f>
        <v>#NAME?</v>
      </c>
      <c r="BV27" s="76" t="e">
        <f ca="1">RTD("tws.twsrtdserverctrl",,"sym=" &amp;$I$3, "sec=" &amp;"OPT", "exp="&amp;$M$8, "strike=" &amp; D27, "right=" &amp;"P", "exch=" &amp;"SMART", "cur=" &amp; "USD","ModelTheta")</f>
        <v>#NAME?</v>
      </c>
      <c r="BW27" s="76" t="e">
        <f ca="1">RTD("tws.twsrtdserverctrl",,"sym=" &amp;$I$3, "sec=" &amp;"OPT", "exp="&amp;$M$8, "strike=" &amp; D27, "right=" &amp;"P", "exch=" &amp;"SMART", "cur=" &amp; "USD","ModelVega")</f>
        <v>#NAME?</v>
      </c>
      <c r="BX27" s="76" t="e">
        <f ca="1">RTD("tws.twsrtdserverctrl",,"sym=" &amp;$I$3, "sec=" &amp;"OPT", "exp="&amp;$M$8, "strike=" &amp; D27, "right=" &amp;"P", "exch=" &amp;"SMART", "cur=" &amp; "USD","ModelGamma")</f>
        <v>#NAME?</v>
      </c>
      <c r="BY27" s="76" t="e">
        <f ca="1">RTD("tws.twsrtdserverctrl",,"sym=" &amp;$I$3, "sec=" &amp;"OPT", "exp="&amp;$M$8, "strike=" &amp; D27, "right=" &amp;"P", "exch=" &amp;"SMART", "cur=" &amp; "USD","ModelDelta")</f>
        <v>#NAME?</v>
      </c>
      <c r="BZ27" s="97">
        <f t="shared" ca="1" si="0"/>
        <v>525</v>
      </c>
      <c r="CA27" s="76" t="e">
        <f ca="1">RTD("tws.twsrtdserverctrl",,"sym=" &amp;$I$3, "sec=" &amp;"OPT", "exp="&amp;$M$8, "strike=" &amp; D27, "right=" &amp;"C", "exch=" &amp;"SMART", "cur=" &amp; "USD","ModelDelta")</f>
        <v>#NAME?</v>
      </c>
      <c r="CB27" s="76" t="e">
        <f ca="1">RTD("tws.twsrtdserverctrl",,"sym=" &amp;$I$3, "sec=" &amp;"OPT", "exp="&amp;$M$8, "strike=" &amp; D27, "right=" &amp;"C", "exch=" &amp;"SMART", "cur=" &amp; "USD","ModelGamma")</f>
        <v>#NAME?</v>
      </c>
      <c r="CC27" s="76" t="e">
        <f ca="1">RTD("tws.twsrtdserverctrl",,"sym=" &amp;$I$3, "sec=" &amp;"OPT", "exp="&amp;$M$8, "strike=" &amp; D27, "right=" &amp;"C", "exch=" &amp;"SMART", "cur=" &amp; "USD","ModelVega")</f>
        <v>#NAME?</v>
      </c>
      <c r="CD27" s="76" t="e">
        <f ca="1">RTD("tws.twsrtdserverctrl",,"sym=" &amp;$I$3, "sec=" &amp;"OPT", "exp="&amp;$M$8, "strike=" &amp; D27, "right=" &amp;"C", "exch=" &amp;"SMART", "cur=" &amp; "USD","ModelTheta")</f>
        <v>#NAME?</v>
      </c>
      <c r="CE27" s="76" t="e">
        <f ca="1">RTD("tws.twsrtdserverctrl",,"sym=" &amp;$I$3, "sec=" &amp;"OPT", "exp="&amp;$M$8, "strike=" &amp; D27, "right=" &amp;"C", "exch=" &amp;"SMART", "cur=" &amp; "USD","ModelImpliedVol")</f>
        <v>#NAME?</v>
      </c>
      <c r="CF27" s="76" t="e">
        <f ca="1">RTD("tws.twsrtdserverctrl",,"sym=" &amp;$I$3, "sec=" &amp;"OPT", "exp="&amp;$M$8, "strike=" &amp; D27, "right=" &amp;"C", "exch=" &amp;"SMART", "cur=" &amp; "USD","CALLOptionOpenInterest")*1</f>
        <v>#NAME?</v>
      </c>
      <c r="CG27" s="98" t="e">
        <f ca="1">RTD("tws.twsrtdserverctrl",,"sym=" &amp;$I$3, "sec=" &amp;"OPT", "exp="&amp;$M$8, "strike=" &amp; D27, "right=" &amp;"C", "exch=" &amp;"SMART", "cur=" &amp; "USD","Volume")*1</f>
        <v>#NAME?</v>
      </c>
      <c r="CH27" s="27">
        <v>0</v>
      </c>
      <c r="CI27" s="76" t="e">
        <f t="shared" ca="1" si="1"/>
        <v>#NAME?</v>
      </c>
      <c r="CJ27" s="76" t="e">
        <f t="shared" ca="1" si="2"/>
        <v>#NAME?</v>
      </c>
      <c r="CK27" s="76" t="e">
        <f t="shared" ca="1" si="3"/>
        <v>#NAME?</v>
      </c>
      <c r="CL27" s="76" t="e">
        <f t="shared" ca="1" si="4"/>
        <v>#NAME?</v>
      </c>
      <c r="CM27" s="27"/>
      <c r="CN27" s="76" t="e">
        <f t="shared" ca="1" si="5"/>
        <v>#NAME?</v>
      </c>
      <c r="CO27" s="76" t="e">
        <f t="shared" ca="1" si="6"/>
        <v>#NAME?</v>
      </c>
      <c r="CP27" s="76" t="e">
        <f t="shared" ca="1" si="7"/>
        <v>#NAME?</v>
      </c>
      <c r="CQ27" s="27"/>
      <c r="CR27" s="76" t="e">
        <f t="shared" ca="1" si="8"/>
        <v>#NAME?</v>
      </c>
      <c r="CS27" s="76" t="e">
        <f t="shared" ca="1" si="9"/>
        <v>#NAME?</v>
      </c>
      <c r="CT27" s="76" t="e">
        <f t="shared" ca="1" si="10"/>
        <v>#NAME?</v>
      </c>
      <c r="CU27" s="76" t="e">
        <f t="shared" ca="1" si="11"/>
        <v>#NAME?</v>
      </c>
      <c r="CV27" s="76" t="e">
        <f t="shared" ca="1" si="15"/>
        <v>#NAME?</v>
      </c>
      <c r="CW27" s="76" t="e">
        <f t="shared" ca="1" si="16"/>
        <v>#NAME?</v>
      </c>
      <c r="CX27" s="27"/>
      <c r="CY27" s="76" t="e">
        <f t="shared" ca="1" si="12"/>
        <v>#NAME?</v>
      </c>
      <c r="CZ27" s="76" t="e">
        <f t="shared" ca="1" si="13"/>
        <v>#NAME?</v>
      </c>
      <c r="DA27" s="76" t="e">
        <f t="shared" ca="1" si="14"/>
        <v>#NAME?</v>
      </c>
      <c r="DB27" s="27"/>
      <c r="DC27" s="2"/>
      <c r="DD27" s="2"/>
      <c r="DE27" s="2"/>
      <c r="DF27" s="2"/>
      <c r="DG27" s="2"/>
      <c r="DH27" s="2"/>
      <c r="DI27" s="2"/>
      <c r="DJ27" s="2"/>
      <c r="DK27" s="2"/>
    </row>
    <row r="28" spans="1:115" ht="16.5" customHeight="1" thickTop="1" thickBot="1" x14ac:dyDescent="0.25">
      <c r="D28" s="76" t="str">
        <f>TEXT(D31,"dd")</f>
        <v>01</v>
      </c>
      <c r="E28" s="76" t="str">
        <f>TEXT(D31,"mm")</f>
        <v>09</v>
      </c>
      <c r="F28" s="76" t="str">
        <f>TEXT(D31,"yyyy")</f>
        <v>2023</v>
      </c>
      <c r="G28" s="76" t="str">
        <f>F28&amp;E28&amp;D28</f>
        <v>20230901</v>
      </c>
      <c r="H28" s="38"/>
      <c r="I28" s="114" t="s">
        <v>68</v>
      </c>
      <c r="J28" s="114"/>
      <c r="K28" s="114"/>
      <c r="L28" s="115"/>
      <c r="M28" s="40" t="s">
        <v>67</v>
      </c>
      <c r="N28" s="36"/>
      <c r="AU28" s="27"/>
      <c r="AV28" s="27"/>
      <c r="AW28" s="27"/>
      <c r="AX28" s="27"/>
      <c r="AY28" s="27"/>
      <c r="AZ28" s="27"/>
      <c r="BA28" s="27"/>
      <c r="BB28" s="27"/>
      <c r="BC28" s="27"/>
      <c r="BD28" s="94">
        <f t="shared" ca="1" si="17"/>
        <v>45247</v>
      </c>
      <c r="BE28" s="94">
        <f t="shared" ca="1" si="18"/>
        <v>45162</v>
      </c>
      <c r="BF28" s="95">
        <f ca="1"/>
        <v>45247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 t="s">
        <v>49</v>
      </c>
      <c r="BS28" s="76" cm="1">
        <f t="array" aca="1" ref="BS28" ca="1">IFERROR(INDEX(BZ3:BZ27, MATCH(MAX(IFERROR(BS3:BS27,0)), IFERROR(BS3:BS27,0), 0)), "")</f>
        <v>470</v>
      </c>
      <c r="BT28" s="76" cm="1">
        <f t="array" aca="1" ref="BT28" ca="1">IFERROR(INDEX(BZ3:BZ27, MATCH(MAX(IFERROR(BT3:BT27,0)), IFERROR(BT3:BT27,0), 0)), "")</f>
        <v>405</v>
      </c>
      <c r="BU28" s="76" t="str">
        <f>RTD("tws.twsrtdserverctrl",,"sym=" &amp;$I$3, "sec=" &amp;"OPT", "exp="&amp;$M$8, "strike=" &amp; D28, "right=" &amp;"P", "exch=" &amp;"SMART", "cur=" &amp; "USD","ModelImpliedVol")</f>
        <v>TwsRtdServer error: No security definition has been found for the request</v>
      </c>
      <c r="BV28" s="76" t="str">
        <f>RTD("tws.twsrtdserverctrl",,"sym=" &amp;$I$3, "sec=" &amp;"OPT", "exp="&amp;$M$8, "strike=" &amp; D28, "right=" &amp;"P", "exch=" &amp;"SMART", "cur=" &amp; "USD","ModelTheta")</f>
        <v>TwsRtdServer error: No security definition has been found for the request</v>
      </c>
      <c r="BW28" s="76" t="str">
        <f>RTD("tws.twsrtdserverctrl",,"sym=" &amp;$I$3, "sec=" &amp;"OPT", "exp="&amp;$M$8, "strike=" &amp; D28, "right=" &amp;"P", "exch=" &amp;"SMART", "cur=" &amp; "USD","ModelVega")</f>
        <v>TwsRtdServer error: No security definition has been found for the request</v>
      </c>
      <c r="BX28" s="76" t="str">
        <f>RTD("tws.twsrtdserverctrl",,"sym=" &amp;$I$3, "sec=" &amp;"OPT", "exp="&amp;$M$8, "strike=" &amp; D28, "right=" &amp;"P", "exch=" &amp;"SMART", "cur=" &amp; "USD","ModelGamma")</f>
        <v>TwsRtdServer error: No security definition has been found for the request</v>
      </c>
      <c r="BY28" s="76" t="str">
        <f>RTD("tws.twsrtdserverctrl",,"sym=" &amp;$I$3, "sec=" &amp;"OPT", "exp="&amp;$M$8, "strike=" &amp; D28, "right=" &amp;"P", "exch=" &amp;"SMART", "cur=" &amp; "USD","ModelDelta")</f>
        <v>TwsRtdServer error: No security definition has been found for the request</v>
      </c>
      <c r="BZ28" s="76" t="str">
        <f t="shared" si="0"/>
        <v>01</v>
      </c>
      <c r="CA28" s="76" t="str">
        <f>RTD("tws.twsrtdserverctrl",,"sym=" &amp;$I$3, "sec=" &amp;"OPT", "exp="&amp;$M$8, "strike=" &amp; D28, "right=" &amp;"C", "exch=" &amp;"SMART", "cur=" &amp; "USD","ModelDelta")</f>
        <v>TwsRtdServer error: No security definition has been found for the request</v>
      </c>
      <c r="CB28" s="76" t="str">
        <f>RTD("tws.twsrtdserverctrl",,"sym=" &amp;$I$3, "sec=" &amp;"OPT", "exp="&amp;$M$8, "strike=" &amp; D28, "right=" &amp;"C", "exch=" &amp;"SMART", "cur=" &amp; "USD","ModelGamma")</f>
        <v>TwsRtdServer error: No security definition has been found for the request</v>
      </c>
      <c r="CC28" s="76" t="str">
        <f>RTD("tws.twsrtdserverctrl",,"sym=" &amp;$I$3, "sec=" &amp;"OPT", "exp="&amp;$M$8, "strike=" &amp; D28, "right=" &amp;"C", "exch=" &amp;"SMART", "cur=" &amp; "USD","ModelVega")</f>
        <v>TwsRtdServer error: No security definition has been found for the request</v>
      </c>
      <c r="CD28" s="76" t="str">
        <f>RTD("tws.twsrtdserverctrl",,"sym=" &amp;$I$3, "sec=" &amp;"OPT", "exp="&amp;$M$8, "strike=" &amp; D28, "right=" &amp;"C", "exch=" &amp;"SMART", "cur=" &amp; "USD","ModelTheta")</f>
        <v>TwsRtdServer error: No security definition has been found for the request</v>
      </c>
      <c r="CE28" s="76" t="str">
        <f>RTD("tws.twsrtdserverctrl",,"sym=" &amp;$I$3, "sec=" &amp;"OPT", "exp="&amp;$M$8, "strike=" &amp; D28, "right=" &amp;"C", "exch=" &amp;"SMART", "cur=" &amp; "USD","ModelImpliedVol")</f>
        <v>TwsRtdServer error: No security definition has been found for the request</v>
      </c>
      <c r="CF28" s="76" cm="1">
        <f t="array" aca="1" ref="CF28" ca="1">IFERROR(INDEX(BZ3:BZ27, MATCH(MAX(IFERROR(CF3:CF27,0)), IFERROR(CF3:CF27,0), 0)), "")</f>
        <v>405</v>
      </c>
      <c r="CG28" s="76" cm="1">
        <f t="array" aca="1" ref="CG28" ca="1">IFERROR(INDEX(BZ3:BZ27, MATCH(MAX(IFERROR(CG3:CG27,0)), IFERROR(CG3:CG27,0), 0)), "")</f>
        <v>470</v>
      </c>
      <c r="CH28" s="27">
        <v>0</v>
      </c>
      <c r="CI28" s="76" t="e">
        <f t="shared" si="1"/>
        <v>#VALUE!</v>
      </c>
      <c r="CJ28" s="76" t="e">
        <f t="shared" si="2"/>
        <v>#VALUE!</v>
      </c>
      <c r="CK28" s="76" t="e">
        <f t="shared" si="3"/>
        <v>#VALUE!</v>
      </c>
      <c r="CL28" s="99" cm="1">
        <f t="array" aca="1" ref="CL28" ca="1">IFERROR(INDEX(BZ3:BZ27, MATCH(MAX(IFERROR(CL3:CL27,0)), IFERROR(CL3:CL27,0), 0)), "")</f>
        <v>405</v>
      </c>
      <c r="CM28" s="27"/>
      <c r="CN28" s="76" t="e">
        <f t="shared" ca="1" si="5"/>
        <v>#VALUE!</v>
      </c>
      <c r="CO28" s="27" t="s">
        <v>42</v>
      </c>
      <c r="CP28" s="99" cm="1">
        <f t="array" aca="1" ref="CP28" ca="1">IFERROR(INDEX(BZ3:BZ27, MATCH(MAX(IFERROR(CP3:CP27,0)), IFERROR(CP3:CP27,0), 0)), "")</f>
        <v>405</v>
      </c>
      <c r="CQ28" s="27"/>
      <c r="CR28" s="76" t="e">
        <f t="shared" ca="1" si="8"/>
        <v>#VALUE!</v>
      </c>
      <c r="CS28" s="76" t="e">
        <f t="shared" ca="1" si="9"/>
        <v>#VALUE!</v>
      </c>
      <c r="CT28" s="76" t="e">
        <f t="shared" si="10"/>
        <v>#VALUE!</v>
      </c>
      <c r="CU28" s="76" t="e">
        <f t="shared" ca="1" si="11"/>
        <v>#VALUE!</v>
      </c>
      <c r="CV28" s="76" t="e">
        <f t="shared" ca="1" si="15"/>
        <v>#VALUE!</v>
      </c>
      <c r="CW28" s="99" cm="1">
        <f t="array" aca="1" ref="CW28" ca="1">IFERROR(INDEX(BZ3:BZ27, MATCH(MAX(IFERROR(CW3:CW27,0)), IFERROR(CW3:CW27,0), 0)), "")</f>
        <v>405</v>
      </c>
      <c r="CX28" s="27"/>
      <c r="CY28" s="27"/>
      <c r="CZ28" s="27"/>
      <c r="DA28" s="76" cm="1">
        <f t="array" aca="1" ref="DA28" ca="1">IFERROR(INDEX(BZ3:BZ27, MATCH(MAX(IFERROR(DA3:DA27,0)), IFERROR(DA3:DA27,0), 0)), "")</f>
        <v>405</v>
      </c>
      <c r="DB28" s="27"/>
      <c r="DC28" s="2"/>
      <c r="DD28" s="2"/>
      <c r="DE28" s="2"/>
      <c r="DF28" s="2"/>
      <c r="DG28" s="2"/>
      <c r="DH28" s="2"/>
      <c r="DI28" s="2"/>
      <c r="DJ28" s="2"/>
      <c r="DK28" s="2"/>
    </row>
    <row r="29" spans="1:115" ht="16.5" customHeight="1" thickTop="1" x14ac:dyDescent="0.2">
      <c r="A29" s="114" t="s">
        <v>70</v>
      </c>
      <c r="B29" s="114"/>
      <c r="C29" s="114"/>
      <c r="D29" s="114"/>
      <c r="E29" s="114"/>
      <c r="F29" s="114"/>
      <c r="G29" s="114"/>
      <c r="I29" s="41">
        <v>2.6179999999999999</v>
      </c>
      <c r="J29" s="105">
        <f t="shared" ref="J29:J31" si="19">L52</f>
        <v>10.40746</v>
      </c>
      <c r="K29" s="106"/>
      <c r="L29" s="107"/>
      <c r="M29" s="81" t="str">
        <f t="shared" ref="M29:M37" si="20">IF(AND($I$26&gt;J29,$I$26&lt;J28),$I$26,"")</f>
        <v/>
      </c>
      <c r="N29" s="35"/>
      <c r="AU29" s="27"/>
      <c r="AV29" s="27"/>
      <c r="AW29" s="27"/>
      <c r="AX29" s="27"/>
      <c r="AY29" s="27"/>
      <c r="AZ29" s="27"/>
      <c r="BA29" s="27"/>
      <c r="BB29" s="27"/>
      <c r="BC29" s="27"/>
      <c r="BD29" s="94">
        <f t="shared" ca="1" si="17"/>
        <v>45254</v>
      </c>
      <c r="BE29" s="94">
        <f t="shared" ca="1" si="18"/>
        <v>45163</v>
      </c>
      <c r="BF29" s="95">
        <f ca="1"/>
        <v>45254</v>
      </c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 t="s">
        <v>58</v>
      </c>
      <c r="BS29" s="76" cm="1">
        <f t="array" aca="1" ref="BS29" ca="1">IFERROR(INDEX(BZ3:BZ27, MATCH(MIN(IFERROR(BS3:BS27,0)), IFERROR(BS3:BS27,0), 0)), "")</f>
        <v>405</v>
      </c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99" cm="1">
        <f t="array" aca="1" ref="CL29" ca="1">IFERROR(INDEX(BZ3:BZ27, MATCH(MIN(IFERROR(CL3:CL27,0)), IFERROR(CL3:CL27,0), 0)), "")</f>
        <v>470</v>
      </c>
      <c r="CM29" s="27"/>
      <c r="CN29" s="27"/>
      <c r="CO29" s="27" t="s">
        <v>43</v>
      </c>
      <c r="CP29" s="99" cm="1">
        <f t="array" aca="1" ref="CP29" ca="1">IFERROR(INDEX(BZ3:BZ27, MATCH(MIN(IFERROR(CP3:CP27,0)), IFERROR(CP3:CP27,0), 0)), "")</f>
        <v>405</v>
      </c>
      <c r="CQ29" s="27"/>
      <c r="CR29" s="27"/>
      <c r="CS29" s="27"/>
      <c r="CT29" s="27"/>
      <c r="CU29" s="27"/>
      <c r="CV29" s="27"/>
      <c r="CW29" s="99" cm="1">
        <f t="array" aca="1" ref="CW29" ca="1">IFERROR(INDEX(BZ3:BZ27, MATCH(MIN(IFERROR(CW3:CW27,0)), IFERROR(CW3:CW27,0), 0)), "")</f>
        <v>470</v>
      </c>
      <c r="CX29" s="27"/>
      <c r="CY29" s="27"/>
      <c r="CZ29" s="27"/>
      <c r="DA29" s="76" cm="1">
        <f t="array" aca="1" ref="DA29" ca="1">IFERROR(INDEX(BZ3:BZ27, MATCH(MIN(IFERROR(DA3:DA27,0)), IFERROR(DA3:DA27,0), 0)), "")</f>
        <v>405</v>
      </c>
      <c r="DB29" s="27"/>
      <c r="DC29" s="2"/>
      <c r="DD29" s="2"/>
      <c r="DE29" s="2"/>
      <c r="DF29" s="2"/>
      <c r="DG29" s="2"/>
      <c r="DH29" s="2"/>
      <c r="DI29" s="2"/>
      <c r="DJ29" s="2"/>
      <c r="DK29" s="2"/>
    </row>
    <row r="30" spans="1:115" ht="16.5" customHeight="1" x14ac:dyDescent="0.15">
      <c r="A30" s="46" t="s">
        <v>71</v>
      </c>
      <c r="B30" s="46" t="s">
        <v>13</v>
      </c>
      <c r="C30" s="46" t="s">
        <v>5</v>
      </c>
      <c r="D30" s="46" t="s">
        <v>14</v>
      </c>
      <c r="E30" s="46" t="s">
        <v>72</v>
      </c>
      <c r="F30" s="46" t="s">
        <v>10</v>
      </c>
      <c r="G30" s="46" t="s">
        <v>11</v>
      </c>
      <c r="I30" s="41">
        <v>2</v>
      </c>
      <c r="J30" s="105">
        <f t="shared" si="19"/>
        <v>9.19</v>
      </c>
      <c r="K30" s="106"/>
      <c r="L30" s="107"/>
      <c r="M30" s="81" t="str">
        <f t="shared" si="20"/>
        <v/>
      </c>
      <c r="N30" s="35"/>
      <c r="AU30" s="27"/>
      <c r="AV30" s="27"/>
      <c r="AW30" s="27"/>
      <c r="AX30" s="27"/>
      <c r="AY30" s="27"/>
      <c r="AZ30" s="27"/>
      <c r="BA30" s="27"/>
      <c r="BB30" s="27"/>
      <c r="BC30" s="27"/>
      <c r="BD30" s="94">
        <f t="shared" ca="1" si="17"/>
        <v>45261</v>
      </c>
      <c r="BE30" s="94">
        <f t="shared" ca="1" si="18"/>
        <v>45164</v>
      </c>
      <c r="BF30" s="95">
        <f ca="1"/>
        <v>45261</v>
      </c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 t="s">
        <v>45</v>
      </c>
      <c r="CL30" s="99">
        <f ca="1">IF(CL28&gt;CL29,CL28,CL29)</f>
        <v>470</v>
      </c>
      <c r="CM30" s="27"/>
      <c r="CN30" s="27"/>
      <c r="CO30" s="27"/>
      <c r="CP30" s="99">
        <f ca="1">IF(CP28&gt;CP29,CP28,CP29)</f>
        <v>405</v>
      </c>
      <c r="CQ30" s="27"/>
      <c r="CR30" s="27"/>
      <c r="CS30" s="27"/>
      <c r="CT30" s="27"/>
      <c r="CU30" s="27"/>
      <c r="CV30" s="27" t="s">
        <v>49</v>
      </c>
      <c r="CW30" s="99">
        <f ca="1">IF(CW28&gt;CW29,CW28,CW29)</f>
        <v>470</v>
      </c>
      <c r="CX30" s="27"/>
      <c r="CY30" s="27"/>
      <c r="CZ30" s="27"/>
      <c r="DA30" s="99">
        <f ca="1">IF(DA28&gt;DA29,DA28,DA29)</f>
        <v>405</v>
      </c>
      <c r="DB30" s="27"/>
      <c r="DC30" s="2"/>
      <c r="DD30" s="2"/>
      <c r="DE30" s="2"/>
      <c r="DF30" s="2"/>
      <c r="DG30" s="2"/>
      <c r="DH30" s="2"/>
      <c r="DI30" s="2"/>
      <c r="DJ30" s="2"/>
      <c r="DK30" s="2"/>
    </row>
    <row r="31" spans="1:115" ht="16.5" customHeight="1" x14ac:dyDescent="0.15">
      <c r="A31" s="52" t="s">
        <v>77</v>
      </c>
      <c r="B31" s="53">
        <v>250</v>
      </c>
      <c r="C31" s="68" t="s">
        <v>65</v>
      </c>
      <c r="D31" s="54">
        <v>45170</v>
      </c>
      <c r="E31" s="84">
        <f>IF(AND(A31&lt;&gt;"",B31&lt;&gt;"",C31&lt;&gt;"",D31&lt;&gt;""),RTD("tws.twsrtdserverctrl",,"sym=" &amp;A31, "sec=" &amp;"OPT", "exp="&amp;G28, "strike=" &amp; B31, "right=" &amp;C31, "exch=" &amp;"SMART", "cur=" &amp; "USD","LAST"),"")</f>
        <v>6.7</v>
      </c>
      <c r="F31" s="85">
        <f>IF(AND(A31&lt;&gt;"",B31&lt;&gt;"",C31&lt;&gt;"",D31&lt;&gt;""),RTD("tws.twsrtdserverctrl",,"sym=" &amp;A31, "sec=" &amp;"OPT", "exp="&amp;G28, "strike=" &amp; B31, "right=" &amp;C31, "exch=" &amp;"SMART", "cur=" &amp; "USD","HIGH"),"")</f>
        <v>9.66</v>
      </c>
      <c r="G31" s="86">
        <f>IF(AND(A31&lt;&gt;"",B31&lt;&gt;"",C31&lt;&gt;"",D31&lt;&gt;""),RTD("tws.twsrtdserverctrl",,"sym=" &amp;A31, "sec=" &amp;"OPT", "exp="&amp;G28, "strike=" &amp; B31, "right=" &amp;C31, "exch=" &amp;"SMART", "cur=" &amp; "USD","LOW"),"")</f>
        <v>6.6</v>
      </c>
      <c r="I31" s="42">
        <v>1.6180000000000001</v>
      </c>
      <c r="J31" s="105">
        <f t="shared" si="19"/>
        <v>8.4374599999999997</v>
      </c>
      <c r="K31" s="106"/>
      <c r="L31" s="107"/>
      <c r="M31" s="81" t="str">
        <f t="shared" si="20"/>
        <v/>
      </c>
      <c r="N31" s="35"/>
      <c r="AU31" s="27"/>
      <c r="AV31" s="27"/>
      <c r="AW31" s="27"/>
      <c r="AX31" s="27"/>
      <c r="AY31" s="27"/>
      <c r="AZ31" s="27"/>
      <c r="BA31" s="27"/>
      <c r="BB31" s="27"/>
      <c r="BC31" s="27"/>
      <c r="BD31" s="94">
        <f t="shared" ca="1" si="17"/>
        <v>45268</v>
      </c>
      <c r="BE31" s="94">
        <f t="shared" ca="1" si="18"/>
        <v>45165</v>
      </c>
      <c r="BF31" s="95">
        <f ca="1"/>
        <v>45268</v>
      </c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 t="s">
        <v>44</v>
      </c>
      <c r="CL31" s="99">
        <f ca="1">IF(CL28&lt;CL29,CL28,CL29)</f>
        <v>405</v>
      </c>
      <c r="CM31" s="27"/>
      <c r="CN31" s="27"/>
      <c r="CO31" s="27"/>
      <c r="CP31" s="99">
        <f ca="1">IF(CP28&lt;CP29,CP28,CP29)</f>
        <v>405</v>
      </c>
      <c r="CQ31" s="27"/>
      <c r="CR31" s="27"/>
      <c r="CS31" s="27"/>
      <c r="CT31" s="27"/>
      <c r="CU31" s="27"/>
      <c r="CV31" s="27" t="s">
        <v>1</v>
      </c>
      <c r="CW31" s="99">
        <f ca="1">IF(CW28&lt;CW29,CW28,CW29)</f>
        <v>405</v>
      </c>
      <c r="CX31" s="27"/>
      <c r="CY31" s="27"/>
      <c r="CZ31" s="27"/>
      <c r="DA31" s="99">
        <f ca="1">IF(DA28&lt;DA29,DA28,DA29)</f>
        <v>405</v>
      </c>
      <c r="DB31" s="27"/>
      <c r="DC31" s="2"/>
      <c r="DD31" s="2"/>
      <c r="DE31" s="2"/>
      <c r="DF31" s="2"/>
      <c r="DG31" s="2"/>
      <c r="DH31" s="2"/>
      <c r="DI31" s="2"/>
      <c r="DJ31" s="2"/>
      <c r="DK31" s="2"/>
    </row>
    <row r="32" spans="1:115" ht="16.5" customHeight="1" x14ac:dyDescent="0.15">
      <c r="A32" s="55" t="s">
        <v>78</v>
      </c>
      <c r="B32" s="56">
        <v>450</v>
      </c>
      <c r="C32" s="48" t="s">
        <v>65</v>
      </c>
      <c r="D32" s="57">
        <v>45163</v>
      </c>
      <c r="E32" s="87">
        <f>IF(AND(A32&lt;&gt;"",B32&lt;&gt;"",C32&lt;&gt;"",D32&lt;&gt;""),RTD("tws.twsrtdserverctrl",,"sym=" &amp;A32, "sec=" &amp;"OPT", "exp="&amp;P48, "strike=" &amp; B32, "right=" &amp;C32, "exch=" &amp;"SMART", "cur=" &amp; "USD","LAST"),"")</f>
        <v>21.7</v>
      </c>
      <c r="F32" s="88">
        <f>IF(AND(A32&lt;&gt;"",B32&lt;&gt;"",C32&lt;&gt;"",D32&lt;&gt;""),RTD("tws.twsrtdserverctrl",,"sym=" &amp;A32, "sec=" &amp;"OPT", "exp="&amp;P48, "strike=" &amp; B32, "right=" &amp;C32, "exch=" &amp;"SMART", "cur=" &amp; "USD","HIGH"),"")</f>
        <v>24.05</v>
      </c>
      <c r="G32" s="89">
        <f>IF(AND(A32&lt;&gt;"",B32&lt;&gt;"",C32&lt;&gt;"",D32&lt;&gt;""),RTD("tws.twsrtdserverctrl",,"sym=" &amp;A32, "sec=" &amp;"OPT", "exp="&amp;P48, "strike=" &amp; B32, "right=" &amp;C32, "exch=" &amp;"SMART", "cur=" &amp; "USD","LOW"),"")</f>
        <v>21.46</v>
      </c>
      <c r="I32" s="41">
        <v>1.272</v>
      </c>
      <c r="J32" s="105">
        <f>L55</f>
        <v>7.7558399999999992</v>
      </c>
      <c r="K32" s="106"/>
      <c r="L32" s="107"/>
      <c r="M32" s="81" t="str">
        <f t="shared" si="20"/>
        <v/>
      </c>
      <c r="N32" s="35"/>
      <c r="AU32" s="27"/>
      <c r="AV32" s="27"/>
      <c r="AW32" s="27"/>
      <c r="AX32" s="27"/>
      <c r="AY32" s="27"/>
      <c r="AZ32" s="27"/>
      <c r="BA32" s="27"/>
      <c r="BB32" s="27"/>
      <c r="BC32" s="27"/>
      <c r="BD32" s="94">
        <f t="shared" ca="1" si="17"/>
        <v>45275</v>
      </c>
      <c r="BE32" s="94">
        <f t="shared" ca="1" si="18"/>
        <v>45166</v>
      </c>
      <c r="BF32" s="95">
        <f ca="1"/>
        <v>45275</v>
      </c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"/>
      <c r="DD32" s="2"/>
      <c r="DE32" s="2"/>
      <c r="DF32" s="2"/>
      <c r="DG32" s="2"/>
      <c r="DH32" s="2"/>
      <c r="DI32" s="2"/>
      <c r="DJ32" s="2"/>
      <c r="DK32" s="2"/>
    </row>
    <row r="33" spans="1:115" ht="16.5" customHeight="1" x14ac:dyDescent="0.15">
      <c r="A33" s="58" t="s">
        <v>79</v>
      </c>
      <c r="B33" s="59">
        <v>140</v>
      </c>
      <c r="C33" s="51" t="s">
        <v>64</v>
      </c>
      <c r="D33" s="60">
        <v>45156</v>
      </c>
      <c r="E33" s="90">
        <f>IF(AND(A33&lt;&gt;"",B33&lt;&gt;"",C33&lt;&gt;"",D33&lt;&gt;""),RTD("tws.twsrtdserverctrl",,"sym=" &amp;A33, "sec=" &amp;"OPT", "exp="&amp;Q48, "strike=" &amp; B33, "right=" &amp;C33, "exch=" &amp;"SMART", "cur=" &amp; "USD","LAST"),"")</f>
        <v>2.64</v>
      </c>
      <c r="F33" s="91">
        <f>IF(AND(A33&lt;&gt;"",B33&lt;&gt;"",C33&lt;&gt;"",D33&lt;&gt;""),RTD("tws.twsrtdserverctrl",,"sym=" &amp;A33, "sec=" &amp;"OPT", "exp="&amp;Q48, "strike=" &amp; B33, "right=" &amp;C33, "exch=" &amp;"SMART", "cur=" &amp; "USD","HIGH"),"")</f>
        <v>2.88</v>
      </c>
      <c r="G33" s="92">
        <f>IF(AND(A33&lt;&gt;"",B33&lt;&gt;"",C33&lt;&gt;"",D33&lt;&gt;""),RTD("tws.twsrtdserverctrl",,"sym=" &amp;A33, "sec=" &amp;"OPT", "exp="&amp;Q48, "strike=" &amp; B33, "right=" &amp;C33, "exch=" &amp;"SMART", "cur=" &amp; "USD","LOW"),"")</f>
        <v>2.08</v>
      </c>
      <c r="I33" s="43" t="s">
        <v>10</v>
      </c>
      <c r="J33" s="108">
        <f>L26</f>
        <v>7.22</v>
      </c>
      <c r="K33" s="108"/>
      <c r="L33" s="109"/>
      <c r="M33" s="81" t="str">
        <f t="shared" si="20"/>
        <v/>
      </c>
      <c r="N33" s="35"/>
      <c r="AU33" s="27"/>
      <c r="AV33" s="27"/>
      <c r="AW33" s="27"/>
      <c r="AX33" s="27"/>
      <c r="AY33" s="27"/>
      <c r="AZ33" s="27"/>
      <c r="BA33" s="27"/>
      <c r="BB33" s="27"/>
      <c r="BC33" s="27"/>
      <c r="BD33" s="94">
        <f t="shared" ca="1" si="17"/>
        <v>45282</v>
      </c>
      <c r="BE33" s="94">
        <f t="shared" ca="1" si="18"/>
        <v>45167</v>
      </c>
      <c r="BF33" s="95">
        <f ca="1"/>
        <v>45282</v>
      </c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"/>
      <c r="DD33" s="2"/>
      <c r="DE33" s="2"/>
      <c r="DF33" s="2"/>
      <c r="DG33" s="2"/>
      <c r="DH33" s="2"/>
      <c r="DI33" s="2"/>
      <c r="DJ33" s="2"/>
      <c r="DK33" s="2"/>
    </row>
    <row r="34" spans="1:115" ht="16.5" customHeight="1" x14ac:dyDescent="0.15">
      <c r="A34" s="55"/>
      <c r="B34" s="61"/>
      <c r="C34" s="48"/>
      <c r="D34" s="57"/>
      <c r="E34" s="87" t="str">
        <f>IF(AND(A34&lt;&gt;"",B34&lt;&gt;"",C34&lt;&gt;"",D34&lt;&gt;""),RTD("tws.twsrtdserverctrl",,"sym=" &amp;A34, "sec=" &amp;"OPT", "exp="&amp;R48, "strike=" &amp; B34, "right=" &amp;C34, "exch=" &amp;"SMART", "cur=" &amp; "USD","LAST"),"")</f>
        <v/>
      </c>
      <c r="F34" s="88" t="str">
        <f>IF(AND(A34&lt;&gt;"",B34&lt;&gt;"",C34&lt;&gt;"",D34&lt;&gt;""),RTD("tws.twsrtdserverctrl",,"sym=" &amp;A34, "sec=" &amp;"OPT", "exp="&amp;R48, "strike=" &amp; B34, "right=" &amp;C34, "exch=" &amp;"SMART", "cur=" &amp; "USD","HIGH"),"")</f>
        <v/>
      </c>
      <c r="G34" s="89" t="str">
        <f>IF(AND(A34&lt;&gt;"",B34&lt;&gt;"",C34&lt;&gt;"",D34&lt;&gt;""),RTD("tws.twsrtdserverctrl",,"sym=" &amp;A34, "sec=" &amp;"OPT", "exp="&amp;R48, "strike=" &amp; B34, "right=" &amp;C34, "exch=" &amp;"SMART", "cur=" &amp; "USD","LOW"),"")</f>
        <v/>
      </c>
      <c r="I34" s="41">
        <v>0.78600000000000003</v>
      </c>
      <c r="J34" s="105">
        <f t="shared" ref="J34:J36" si="21">L57</f>
        <v>6.7984200000000001</v>
      </c>
      <c r="K34" s="105"/>
      <c r="L34" s="110"/>
      <c r="M34" s="81" t="str">
        <f t="shared" si="20"/>
        <v/>
      </c>
      <c r="N34" s="35"/>
      <c r="AU34" s="27"/>
      <c r="AV34" s="27"/>
      <c r="AW34" s="27"/>
      <c r="AX34" s="27"/>
      <c r="AY34" s="27"/>
      <c r="AZ34" s="27"/>
      <c r="BA34" s="27"/>
      <c r="BB34" s="27"/>
      <c r="BC34" s="27"/>
      <c r="BD34" s="94">
        <f t="shared" ca="1" si="17"/>
        <v>45289</v>
      </c>
      <c r="BE34" s="94">
        <f t="shared" ca="1" si="18"/>
        <v>45168</v>
      </c>
      <c r="BF34" s="95">
        <f ca="1"/>
        <v>45289</v>
      </c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"/>
      <c r="DD34" s="2"/>
      <c r="DE34" s="2"/>
      <c r="DF34" s="2"/>
      <c r="DG34" s="2"/>
      <c r="DH34" s="2"/>
      <c r="DI34" s="2"/>
      <c r="DJ34" s="2"/>
      <c r="DK34" s="2"/>
    </row>
    <row r="35" spans="1:115" ht="16.5" customHeight="1" x14ac:dyDescent="0.15">
      <c r="A35" s="58"/>
      <c r="B35" s="59"/>
      <c r="C35" s="49"/>
      <c r="D35" s="54"/>
      <c r="E35" s="90" t="str">
        <f>IF(AND(A35&lt;&gt;"",B35&lt;&gt;"",C35&lt;&gt;"",D35&lt;&gt;""),RTD("tws.twsrtdserverctrl",,"sym=" &amp;A35, "sec=" &amp;"OPT", "exp="&amp;S48, "strike=" &amp; B35, "right=" &amp;C35, "exch=" &amp;"SMART", "cur=" &amp; "USD","LAST"),"")</f>
        <v/>
      </c>
      <c r="F35" s="91" t="str">
        <f>IF(AND(A35&lt;&gt;"",B35&lt;&gt;"",C35&lt;&gt;"",D35&lt;&gt;""),RTD("tws.twsrtdserverctrl",,"sym=" &amp;A35, "sec=" &amp;"OPT", "exp="&amp;S48, "strike=" &amp; B35, "right=" &amp;C35, "exch=" &amp;"SMART", "cur=" &amp; "USD","HIGH"),"")</f>
        <v/>
      </c>
      <c r="G35" s="92" t="str">
        <f>IF(AND(A35&lt;&gt;"",B35&lt;&gt;"",C35&lt;&gt;"",D35&lt;&gt;""),RTD("tws.twsrtdserverctrl",,"sym=" &amp;A35, "sec=" &amp;"OPT", "exp="&amp;S48, "strike=" &amp; B35, "right=" &amp;C35, "exch=" &amp;"SMART", "cur=" &amp; "USD","LOW"),"")</f>
        <v/>
      </c>
      <c r="I35" s="41">
        <v>0.61799999999999999</v>
      </c>
      <c r="J35" s="105">
        <f t="shared" si="21"/>
        <v>6.46746</v>
      </c>
      <c r="K35" s="105"/>
      <c r="L35" s="110"/>
      <c r="M35" s="81" t="str">
        <f t="shared" si="20"/>
        <v/>
      </c>
      <c r="N35" s="35"/>
      <c r="AU35" s="27"/>
      <c r="AV35" s="27"/>
      <c r="AW35" s="27"/>
      <c r="AX35" s="27"/>
      <c r="AY35" s="27"/>
      <c r="AZ35" s="27"/>
      <c r="BA35" s="27"/>
      <c r="BB35" s="27"/>
      <c r="BC35" s="27"/>
      <c r="BD35" s="94">
        <f t="shared" ca="1" si="17"/>
        <v>45296</v>
      </c>
      <c r="BE35" s="94">
        <f t="shared" ca="1" si="18"/>
        <v>45169</v>
      </c>
      <c r="BF35" s="95">
        <f ca="1"/>
        <v>45296</v>
      </c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"/>
      <c r="DD35" s="2"/>
      <c r="DE35" s="2"/>
      <c r="DF35" s="2"/>
      <c r="DG35" s="2"/>
      <c r="DH35" s="2"/>
      <c r="DI35" s="2"/>
      <c r="DJ35" s="2"/>
      <c r="DK35" s="2"/>
    </row>
    <row r="36" spans="1:115" ht="16.5" customHeight="1" x14ac:dyDescent="0.15">
      <c r="A36" s="55"/>
      <c r="B36" s="61"/>
      <c r="C36" s="48"/>
      <c r="D36" s="57"/>
      <c r="E36" s="87" t="str">
        <f>IF(AND(A36&lt;&gt;"",B36&lt;&gt;"",C36&lt;&gt;"",D36&lt;&gt;""),RTD("tws.twsrtdserverctrl",,"sym=" &amp;A36, "sec=" &amp;"OPT", "exp="&amp;T48, "strike=" &amp; B36, "right=" &amp;C36, "exch=" &amp;"SMART", "cur=" &amp; "USD","LAST"),"")</f>
        <v/>
      </c>
      <c r="F36" s="88" t="str">
        <f>IF(AND(A36&lt;&gt;"",B36&lt;&gt;"",C36&lt;&gt;"",D36&lt;&gt;""),RTD("tws.twsrtdserverctrl",,"sym=" &amp;A36, "sec=" &amp;"OPT", "exp="&amp;T48, "strike=" &amp; B36, "right=" &amp;C36, "exch=" &amp;"SMART", "cur=" &amp; "USD","HIGH"),"")</f>
        <v/>
      </c>
      <c r="G36" s="89" t="str">
        <f>IF(AND(A36&lt;&gt;"",B36&lt;&gt;"",C36&lt;&gt;"",D36&lt;&gt;""),RTD("tws.twsrtdserverctrl",,"sym=" &amp;A36, "sec=" &amp;"OPT", "exp="&amp;T48, "strike=" &amp; B36, "right=" &amp;C36, "exch=" &amp;"SMART", "cur=" &amp; "USD","LOW"),"")</f>
        <v/>
      </c>
      <c r="I36" s="42">
        <v>0.5</v>
      </c>
      <c r="J36" s="105">
        <f t="shared" si="21"/>
        <v>6.2349999999999994</v>
      </c>
      <c r="K36" s="105"/>
      <c r="L36" s="110"/>
      <c r="M36" s="81" t="str">
        <f t="shared" si="20"/>
        <v/>
      </c>
      <c r="N36" s="35"/>
      <c r="AU36" s="27"/>
      <c r="AV36" s="27"/>
      <c r="AW36" s="27"/>
      <c r="AX36" s="27"/>
      <c r="AY36" s="27"/>
      <c r="AZ36" s="27"/>
      <c r="BA36" s="27"/>
      <c r="BB36" s="27"/>
      <c r="BC36" s="27"/>
      <c r="BD36" s="94">
        <f t="shared" ca="1" si="17"/>
        <v>45303</v>
      </c>
      <c r="BE36" s="94">
        <f t="shared" ca="1" si="18"/>
        <v>45170</v>
      </c>
      <c r="BF36" s="95">
        <f ca="1"/>
        <v>45303</v>
      </c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"/>
      <c r="DD36" s="2"/>
      <c r="DE36" s="2"/>
      <c r="DF36" s="2"/>
      <c r="DG36" s="2"/>
      <c r="DH36" s="2"/>
      <c r="DI36" s="2"/>
      <c r="DJ36" s="2"/>
      <c r="DK36" s="2"/>
    </row>
    <row r="37" spans="1:115" ht="16.5" customHeight="1" x14ac:dyDescent="0.15">
      <c r="A37" s="58"/>
      <c r="B37" s="62"/>
      <c r="C37" s="49"/>
      <c r="D37" s="63"/>
      <c r="E37" s="90" t="str">
        <f>IF(AND(A37&lt;&gt;"",B37&lt;&gt;"",C37&lt;&gt;"",D37&lt;&gt;""),RTD("tws.twsrtdserverctrl",,"sym=" &amp;A37, "sec=" &amp;"OPT", "exp="&amp;U48, "strike=" &amp; B37, "right=" &amp;C37, "exch=" &amp;"SMART", "cur=" &amp; "USD","LAST"),"")</f>
        <v/>
      </c>
      <c r="F37" s="91" t="str">
        <f>IF(AND(A37&lt;&gt;"",B37&lt;&gt;"",C37&lt;&gt;"",D37&lt;&gt;""),RTD("tws.twsrtdserverctrl",,"sym=" &amp;A37, "sec=" &amp;"OPT", "exp="&amp;U48, "strike=" &amp; B37, "right=" &amp;C37, "exch=" &amp;"SMART", "cur=" &amp; "USD","HIGH"),"")</f>
        <v/>
      </c>
      <c r="G37" s="92" t="str">
        <f>IF(AND(A37&lt;&gt;"",B37&lt;&gt;"",C37&lt;&gt;"",D37&lt;&gt;""),RTD("tws.twsrtdserverctrl",,"sym=" &amp;A37, "sec=" &amp;"OPT", "exp="&amp;U48, "strike=" &amp; B37, "right=" &amp;C37, "exch=" &amp;"SMART", "cur=" &amp; "USD","LOW"),"")</f>
        <v/>
      </c>
      <c r="I37" s="41">
        <v>0.38200000000000001</v>
      </c>
      <c r="J37" s="105">
        <f>L60</f>
        <v>6.0025399999999998</v>
      </c>
      <c r="K37" s="105"/>
      <c r="L37" s="110"/>
      <c r="M37" s="81" t="str">
        <f t="shared" si="20"/>
        <v/>
      </c>
      <c r="N37" s="35"/>
      <c r="AU37" s="27"/>
      <c r="AV37" s="27"/>
      <c r="AW37" s="27"/>
      <c r="AX37" s="27"/>
      <c r="AY37" s="27"/>
      <c r="AZ37" s="27"/>
      <c r="BA37" s="27"/>
      <c r="BB37" s="27"/>
      <c r="BC37" s="27"/>
      <c r="BD37" s="94">
        <f t="shared" ca="1" si="17"/>
        <v>45310</v>
      </c>
      <c r="BE37" s="94">
        <f t="shared" ca="1" si="18"/>
        <v>45171</v>
      </c>
      <c r="BF37" s="95">
        <f ca="1"/>
        <v>45310</v>
      </c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"/>
      <c r="DD37" s="2"/>
      <c r="DE37" s="2"/>
      <c r="DF37" s="2"/>
      <c r="DG37" s="2"/>
      <c r="DH37" s="2"/>
      <c r="DI37" s="2"/>
      <c r="DJ37" s="2"/>
      <c r="DK37" s="2"/>
    </row>
    <row r="38" spans="1:115" ht="16.5" customHeight="1" x14ac:dyDescent="0.15">
      <c r="A38" s="55"/>
      <c r="B38" s="64"/>
      <c r="C38" s="50"/>
      <c r="D38" s="65"/>
      <c r="E38" s="87" t="str">
        <f>IF(AND(A38&lt;&gt;"",B38&lt;&gt;"",C38&lt;&gt;"",D38&lt;&gt;""),RTD("tws.twsrtdserverctrl",,"sym=" &amp;A38, "sec=" &amp;"OPT", "exp="&amp;V48, "strike=" &amp; B38, "right=" &amp;C38, "exch=" &amp;"SMART", "cur=" &amp; "USD","LAST"),"")</f>
        <v/>
      </c>
      <c r="F38" s="88" t="str">
        <f>IF(AND(A38&lt;&gt;"",B38&lt;&gt;"",C38&lt;&gt;"",D38&lt;&gt;""),RTD("tws.twsrtdserverctrl",,"sym=" &amp;A38, "sec=" &amp;"OPT", "exp="&amp;V48, "strike=" &amp; B38, "right=" &amp;C38, "exch=" &amp;"SMART", "cur=" &amp; "USD","HIGH"),"")</f>
        <v/>
      </c>
      <c r="G38" s="89" t="str">
        <f>IF(AND(A38&lt;&gt;"",B38&lt;&gt;"",C38&lt;&gt;"",D38&lt;&gt;""),RTD("tws.twsrtdserverctrl",,"sym=" &amp;A38, "sec=" &amp;"OPT", "exp="&amp;V48, "strike=" &amp; B38, "right=" &amp;C38, "exch=" &amp;"SMART", "cur=" &amp; "USD","LOW"),"")</f>
        <v/>
      </c>
      <c r="I38" s="41">
        <v>0.23599999999999999</v>
      </c>
      <c r="J38" s="105">
        <f>L61</f>
        <v>5.7149200000000002</v>
      </c>
      <c r="K38" s="105"/>
      <c r="L38" s="110"/>
      <c r="M38" s="82" t="str">
        <f>IF(AND($I$26&gt;J38,$I$26&lt;J37),$I$26,"")</f>
        <v/>
      </c>
      <c r="N38" s="35"/>
      <c r="AU38" s="27"/>
      <c r="AV38" s="27"/>
      <c r="AW38" s="27"/>
      <c r="AX38" s="27"/>
      <c r="AY38" s="27"/>
      <c r="AZ38" s="27"/>
      <c r="BA38" s="27"/>
      <c r="BB38" s="27"/>
      <c r="BC38" s="27"/>
      <c r="BD38" s="94">
        <f t="shared" ca="1" si="17"/>
        <v>45317</v>
      </c>
      <c r="BE38" s="94">
        <f t="shared" ca="1" si="18"/>
        <v>45172</v>
      </c>
      <c r="BF38" s="95">
        <f ca="1"/>
        <v>45317</v>
      </c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</row>
    <row r="39" spans="1:115" ht="16.5" customHeight="1" thickBot="1" x14ac:dyDescent="0.2">
      <c r="A39" s="58"/>
      <c r="B39" s="66"/>
      <c r="C39" s="49"/>
      <c r="D39" s="60"/>
      <c r="E39" s="90" t="str">
        <f>IF(AND(A39&lt;&gt;"",B39&lt;&gt;"",C39&lt;&gt;"",D39&lt;&gt;""),RTD("tws.twsrtdserverctrl",,"sym=" &amp;A39, "sec=" &amp;"OPT", "exp="&amp;W48, "strike=" &amp; B39, "right=" &amp;C39, "exch=" &amp;"SMART", "cur=" &amp; "USD","LAST"),"")</f>
        <v/>
      </c>
      <c r="F39" s="91" t="str">
        <f>IF(AND(A39&lt;&gt;"",B39&lt;&gt;"",C39&lt;&gt;"",D39&lt;&gt;""),RTD("tws.twsrtdserverctrl",,"sym=" &amp;A39, "sec=" &amp;"OPT", "exp="&amp;W48, "strike=" &amp; B39, "right=" &amp;C39, "exch=" &amp;"SMART", "cur=" &amp; "USD","HIGH"),"")</f>
        <v/>
      </c>
      <c r="G39" s="92" t="str">
        <f>IF(AND(A39&lt;&gt;"",B39&lt;&gt;"",C39&lt;&gt;"",D39&lt;&gt;""),RTD("tws.twsrtdserverctrl",,"sym=" &amp;A39, "sec=" &amp;"OPT", "exp="&amp;W48, "strike=" &amp; B39, "right=" &amp;C39, "exch=" &amp;"SMART", "cur=" &amp; "USD","LOW"),"")</f>
        <v/>
      </c>
      <c r="I39" s="44" t="s">
        <v>11</v>
      </c>
      <c r="J39" s="103">
        <f>M26</f>
        <v>5.25</v>
      </c>
      <c r="K39" s="103"/>
      <c r="L39" s="104"/>
      <c r="M39" s="83">
        <f>IF(AND(I26&gt;J39,I26&lt;J38),I26,"")</f>
        <v>5.45</v>
      </c>
      <c r="N39" s="39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 t="s">
        <v>64</v>
      </c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</row>
    <row r="40" spans="1:115" ht="16.5" customHeight="1" thickTop="1" x14ac:dyDescent="0.15">
      <c r="A40" s="55"/>
      <c r="B40" s="67"/>
      <c r="C40" s="47"/>
      <c r="D40" s="65"/>
      <c r="E40" s="87" t="str">
        <f>IF(AND(A40&lt;&gt;"",B40&lt;&gt;"",C40&lt;&gt;"",D40&lt;&gt;""),RTD("tws.twsrtdserverctrl",,"sym=" &amp;A40, "sec=" &amp;"OPT", "exp="&amp;X48, "strike=" &amp; B40, "right=" &amp;C40, "exch=" &amp;"SMART", "cur=" &amp; "USD","LAST"),"")</f>
        <v/>
      </c>
      <c r="F40" s="88" t="str">
        <f>IF(AND(A40&lt;&gt;"",B40&lt;&gt;"",C40&lt;&gt;"",D40&lt;&gt;""),RTD("tws.twsrtdserverctrl",,"sym=" &amp;A40, "sec=" &amp;"OPT", "exp="&amp;X48, "strike=" &amp; B40, "right=" &amp;C40, "exch=" &amp;"SMART", "cur=" &amp; "USD","HIGH"),"")</f>
        <v/>
      </c>
      <c r="G40" s="89" t="str">
        <f>IF(AND(A40&lt;&gt;"",B40&lt;&gt;"",C40&lt;&gt;"",D40&lt;&gt;""),RTD("tws.twsrtdserverctrl",,"sym=" &amp;A40, "sec=" &amp;"OPT", "exp="&amp;X48, "strike=" &amp; B40, "right=" &amp;C40, "exch=" &amp;"SMART", "cur=" &amp; "USD","LOW"),"")</f>
        <v/>
      </c>
      <c r="I40" s="45"/>
      <c r="J40" s="45"/>
      <c r="K40" s="45"/>
      <c r="L40" s="45"/>
      <c r="M40" s="45"/>
      <c r="N40" s="5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 t="s">
        <v>65</v>
      </c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</row>
    <row r="41" spans="1:115" ht="16.5" customHeight="1" x14ac:dyDescent="0.15">
      <c r="E41" s="69" t="str">
        <f>IF(AND(A41&lt;&gt;"",B41&lt;&gt;"",C41&lt;&gt;"",D41&lt;&gt;""),RTD("tws.twsrtdserverctrl",,"sym=" &amp;A41, "sec=" &amp;"OPT", "exp="&amp;M31, "strike=" &amp; $G$28, "right=" &amp;C41, "exch=" &amp;"SMART", "cur=" &amp; "USD","LAST"),"")</f>
        <v/>
      </c>
      <c r="F41" s="69" t="str">
        <f>IF(AND(A41&lt;&gt;"",B41&lt;&gt;"",C41&lt;&gt;"",D41&lt;&gt;""),RTD("tws.twsrtdserverctrl",,"sym=" &amp;A41, "sec=" &amp;"OPT", "exp="&amp;M31, "strike=" &amp; $G$28, "right=" &amp;C41, "exch=" &amp;"SMART", "cur=" &amp; "USD","HIGH"),"")</f>
        <v/>
      </c>
      <c r="G41" s="69" t="str">
        <f>IF(AND(A41&lt;&gt;"",B41&lt;&gt;"",C41&lt;&gt;"",D41&lt;&gt;""),RTD("tws.twsrtdserverctrl",,"sym=" &amp;A41, "sec=" &amp;"OPT", "exp="&amp;M31, "strike=" &amp; $G$28, "right=" &amp;C41, "exch=" &amp;"SMART", "cur=" &amp; "USD","LOW"),"")</f>
        <v/>
      </c>
      <c r="I41" s="2"/>
      <c r="J41" s="2"/>
      <c r="K41" s="2"/>
      <c r="L41" s="2"/>
      <c r="M41" s="2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</row>
    <row r="42" spans="1:115" ht="16.5" customHeight="1" x14ac:dyDescent="0.15">
      <c r="E42" s="69" t="str">
        <f>IF(AND(A42&lt;&gt;"",B42&lt;&gt;"",C42&lt;&gt;"",D42&lt;&gt;""),RTD("tws.twsrtdserverctrl",,"sym=" &amp;A42, "sec=" &amp;"OPT", "exp="&amp;M32, "strike=" &amp; $G$28, "right=" &amp;C42, "exch=" &amp;"SMART", "cur=" &amp; "USD","LAST"),"")</f>
        <v/>
      </c>
      <c r="F42" s="69" t="str">
        <f>IF(AND(A42&lt;&gt;"",B42&lt;&gt;"",C42&lt;&gt;"",D42&lt;&gt;""),RTD("tws.twsrtdserverctrl",,"sym=" &amp;A42, "sec=" &amp;"OPT", "exp="&amp;M32, "strike=" &amp; $G$28, "right=" &amp;C42, "exch=" &amp;"SMART", "cur=" &amp; "USD","HIGH"),"")</f>
        <v/>
      </c>
      <c r="G42" s="69" t="str">
        <f>IF(AND(A42&lt;&gt;"",B42&lt;&gt;"",C42&lt;&gt;"",D42&lt;&gt;""),RTD("tws.twsrtdserverctrl",,"sym=" &amp;A42, "sec=" &amp;"OPT", "exp="&amp;M32, "strike=" &amp; $G$28, "right=" &amp;C42, "exch=" &amp;"SMART", "cur=" &amp; "USD","LOW"),"")</f>
        <v/>
      </c>
      <c r="J42" s="2"/>
      <c r="K42" s="2"/>
      <c r="L42" s="2"/>
      <c r="M42" s="2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</row>
    <row r="43" spans="1:115" ht="16.5" customHeight="1" x14ac:dyDescent="0.15">
      <c r="E43" s="69" t="str">
        <f>IF(AND(A43&lt;&gt;"",B43&lt;&gt;"",C43&lt;&gt;"",D43&lt;&gt;""),RTD("tws.twsrtdserverctrl",,"sym=" &amp;A43, "sec=" &amp;"OPT", "exp="&amp;M33, "strike=" &amp; $G$28, "right=" &amp;C43, "exch=" &amp;"SMART", "cur=" &amp; "USD","LAST"),"")</f>
        <v/>
      </c>
      <c r="F43" s="69" t="str">
        <f>IF(AND(A43&lt;&gt;"",B43&lt;&gt;"",C43&lt;&gt;"",D43&lt;&gt;""),RTD("tws.twsrtdserverctrl",,"sym=" &amp;A43, "sec=" &amp;"OPT", "exp="&amp;M33, "strike=" &amp; $G$28, "right=" &amp;C43, "exch=" &amp;"SMART", "cur=" &amp; "USD","HIGH"),"")</f>
        <v/>
      </c>
      <c r="G43" s="69" t="str">
        <f>IF(AND(A43&lt;&gt;"",B43&lt;&gt;"",C43&lt;&gt;"",D43&lt;&gt;""),RTD("tws.twsrtdserverctrl",,"sym=" &amp;A43, "sec=" &amp;"OPT", "exp="&amp;M33, "strike=" &amp; $G$28, "right=" &amp;C43, "exch=" &amp;"SMART", "cur=" &amp; "USD","LOW"),"")</f>
        <v/>
      </c>
      <c r="I43" s="2"/>
      <c r="J43" s="2"/>
      <c r="K43" s="2"/>
      <c r="L43" s="2"/>
      <c r="M43" s="2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</row>
    <row r="44" spans="1:115" ht="16.5" customHeight="1" x14ac:dyDescent="0.15"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</row>
    <row r="45" spans="1:115" ht="16.5" customHeight="1" x14ac:dyDescent="0.15"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 t="s">
        <v>22</v>
      </c>
      <c r="P45" s="76" t="str">
        <f>TEXT($D32,"dd")</f>
        <v>25</v>
      </c>
      <c r="Q45" s="76" t="str">
        <f>TEXT($D33,"dd")</f>
        <v>18</v>
      </c>
      <c r="R45" s="76" t="str">
        <f>TEXT($D34,"dd")</f>
        <v>00</v>
      </c>
      <c r="S45" s="76" t="str">
        <f>TEXT($D35,"dd")</f>
        <v>00</v>
      </c>
      <c r="T45" s="76" t="str">
        <f>TEXT($D36,"dd")</f>
        <v>00</v>
      </c>
      <c r="U45" s="76" t="str">
        <f>TEXT($D37,"dd")</f>
        <v>00</v>
      </c>
      <c r="V45" s="76" t="str">
        <f>TEXT($D38,"dd")</f>
        <v>00</v>
      </c>
      <c r="W45" s="76" t="str">
        <f>TEXT($D39,"dd")</f>
        <v>00</v>
      </c>
      <c r="X45" s="76" t="str">
        <f>TEXT($D40,"dd")</f>
        <v>00</v>
      </c>
      <c r="Y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</row>
    <row r="46" spans="1:115" ht="16.5" customHeight="1" x14ac:dyDescent="0.15"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 t="s">
        <v>21</v>
      </c>
      <c r="P46" s="76" t="str">
        <f>TEXT(D32,"mm")</f>
        <v>08</v>
      </c>
      <c r="Q46" s="76" t="str">
        <f>TEXT(D33,"mm")</f>
        <v>08</v>
      </c>
      <c r="R46" s="76" t="str">
        <f>TEXT(D34,"mm")</f>
        <v>01</v>
      </c>
      <c r="S46" s="76" t="str">
        <f>TEXT(D35,"mm")</f>
        <v>01</v>
      </c>
      <c r="T46" s="76" t="str">
        <f>TEXT(D36,"mm")</f>
        <v>01</v>
      </c>
      <c r="U46" s="76" t="str">
        <f>TEXT(D37,"mm")</f>
        <v>01</v>
      </c>
      <c r="V46" s="76" t="str">
        <f>TEXT(D38,"mm")</f>
        <v>01</v>
      </c>
      <c r="W46" s="76" t="str">
        <f>TEXT(D39,"mm")</f>
        <v>01</v>
      </c>
      <c r="X46" s="76" t="str">
        <f>TEXT(D40,"mm")</f>
        <v>01</v>
      </c>
      <c r="Y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</row>
    <row r="47" spans="1:115" ht="16.5" customHeight="1" x14ac:dyDescent="0.15"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 t="s">
        <v>75</v>
      </c>
      <c r="P47" s="76" t="str">
        <f>TEXT(D32,"yyyy")</f>
        <v>2023</v>
      </c>
      <c r="Q47" s="76" t="str">
        <f>TEXT(D33,"yyyy")</f>
        <v>2023</v>
      </c>
      <c r="R47" s="76" t="str">
        <f>TEXT(D34,"yyyy")</f>
        <v>1900</v>
      </c>
      <c r="S47" s="76" t="str">
        <f>TEXT(D35,"yyyy")</f>
        <v>1900</v>
      </c>
      <c r="T47" s="76" t="str">
        <f>TEXT(D36,"yyyy")</f>
        <v>1900</v>
      </c>
      <c r="U47" s="76" t="str">
        <f>TEXT(D37,"yyyy")</f>
        <v>1900</v>
      </c>
      <c r="V47" s="76" t="str">
        <f>TEXT(D38,"yyyy")</f>
        <v>1900</v>
      </c>
      <c r="W47" s="76" t="str">
        <f>TEXT(D39,"yyyy")</f>
        <v>1900</v>
      </c>
      <c r="X47" s="76" t="str">
        <f>TEXT(D40,"yyyy")</f>
        <v>1900</v>
      </c>
      <c r="Y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</row>
    <row r="48" spans="1:115" ht="16.5" customHeight="1" x14ac:dyDescent="0.15"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 t="s">
        <v>76</v>
      </c>
      <c r="P48" s="76" t="str">
        <f t="shared" ref="P48:X48" si="22">P47&amp;P46&amp;P45</f>
        <v>20230825</v>
      </c>
      <c r="Q48" s="76" t="str">
        <f t="shared" si="22"/>
        <v>20230818</v>
      </c>
      <c r="R48" s="76" t="str">
        <f t="shared" si="22"/>
        <v>19000100</v>
      </c>
      <c r="S48" s="76" t="str">
        <f t="shared" si="22"/>
        <v>19000100</v>
      </c>
      <c r="T48" s="76" t="str">
        <f t="shared" si="22"/>
        <v>19000100</v>
      </c>
      <c r="U48" s="76" t="str">
        <f t="shared" si="22"/>
        <v>19000100</v>
      </c>
      <c r="V48" s="76" t="str">
        <f t="shared" si="22"/>
        <v>19000100</v>
      </c>
      <c r="W48" s="76" t="str">
        <f t="shared" si="22"/>
        <v>19000100</v>
      </c>
      <c r="X48" s="76" t="str">
        <f t="shared" si="22"/>
        <v>19000100</v>
      </c>
      <c r="Y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</row>
    <row r="49" spans="1:106" ht="16.5" customHeight="1" x14ac:dyDescent="0.15">
      <c r="E49" s="27"/>
      <c r="F49" s="27"/>
      <c r="G49" s="27"/>
      <c r="H49" s="27"/>
      <c r="I49" s="27"/>
      <c r="J49" s="27"/>
      <c r="K49" s="27"/>
      <c r="L49" s="27"/>
      <c r="M49" s="27"/>
      <c r="N49" s="93" t="s">
        <v>24</v>
      </c>
      <c r="O49" s="93" t="s">
        <v>22</v>
      </c>
      <c r="P49" s="27" t="s">
        <v>74</v>
      </c>
      <c r="Q49" s="27">
        <v>3</v>
      </c>
      <c r="R49" s="27">
        <v>4</v>
      </c>
      <c r="S49" s="27">
        <v>5</v>
      </c>
      <c r="T49" s="27">
        <v>6</v>
      </c>
      <c r="U49" s="27">
        <v>7</v>
      </c>
      <c r="V49" s="27">
        <v>8</v>
      </c>
      <c r="W49" s="27">
        <v>9</v>
      </c>
      <c r="X49" s="27">
        <v>10</v>
      </c>
      <c r="Y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</row>
    <row r="50" spans="1:106" ht="16.5" customHeight="1" x14ac:dyDescent="0.15">
      <c r="A50" s="27"/>
      <c r="B50" s="27"/>
      <c r="C50" s="27"/>
      <c r="E50" s="27"/>
      <c r="F50" s="27"/>
      <c r="G50" s="27"/>
      <c r="H50" s="27"/>
      <c r="I50" s="27"/>
      <c r="J50" s="27"/>
      <c r="K50" s="27"/>
      <c r="L50" s="27"/>
      <c r="M50" s="94" cm="1">
        <f t="array" aca="1" ref="M50:M73" ca="1">IF(OR(A31="SPY",A31="QQQ",A31="SPX"),O50:O73, N50:N73)</f>
        <v>45156</v>
      </c>
      <c r="N50" s="94">
        <f ca="1">TODAY() + (6 - WEEKDAY(TODAY()) + IF(WEEKDAY(TODAY()) &gt;= 6, 7, 0))</f>
        <v>45156</v>
      </c>
      <c r="O50" s="94">
        <f ca="1">TODAY()</f>
        <v>45149</v>
      </c>
      <c r="P50" s="94" cm="1">
        <f t="array" aca="1" ref="P50:P73" ca="1">IF(OR(A32="SPY",A32="QQQ",A32="SPX"),O50:O73, N50:N73)</f>
        <v>45156</v>
      </c>
      <c r="Q50" s="94" cm="1">
        <f t="array" aca="1" ref="Q50:Q73" ca="1">IF(OR($A33="SPY",$A33="QQQ",$A33="SPX"),$O$50:$O$73, $N$50:$N$73)</f>
        <v>45156</v>
      </c>
      <c r="R50" s="94" cm="1">
        <f t="array" aca="1" ref="R50:R73" ca="1">IF(OR($A34="SPY",$A34="QQQ",$A34="SPX"),$O$50:$O$73, $N$50:$N$73)</f>
        <v>45156</v>
      </c>
      <c r="S50" s="94" cm="1">
        <f t="array" aca="1" ref="S50:S73" ca="1">IF(OR($A35="SPY",$A35="QQQ",$A35="SPX"),$O$50:$O$73, $N$50:$N$73)</f>
        <v>45156</v>
      </c>
      <c r="T50" s="94" cm="1">
        <f t="array" aca="1" ref="T50:T73" ca="1">IF(OR($A36="SPY",$A36="QQQ",$A36="SPX"),$O$50:$O$73, $N$50:$N$73)</f>
        <v>45156</v>
      </c>
      <c r="U50" s="94" cm="1">
        <f t="array" aca="1" ref="U50:U73" ca="1">IF(OR($A37="SPY",$A37="QQQ",$A37="SPX"),$O$50:$O$73, $N$50:$N$73)</f>
        <v>45156</v>
      </c>
      <c r="V50" s="94" cm="1">
        <f t="array" aca="1" ref="V50:V73" ca="1">IF(OR($A38="SPY",$A38="QQQ",$A38="SPX"),$O$50:$O$73, $N$50:$N$73)</f>
        <v>45156</v>
      </c>
      <c r="W50" s="94" cm="1">
        <f t="array" aca="1" ref="W50:W73" ca="1">IF(OR($A39="SPY",$A39="QQQ",$A39="SPX"),$O$50:$O$73, $N$50:$N$73)</f>
        <v>45156</v>
      </c>
      <c r="X50" s="94" cm="1">
        <f t="array" aca="1" ref="X50:X73" ca="1">IF(OR($A40="SPY",$A40="QQQ",$A40="SPX"),$O$50:$O$73, $N$50:$N$73)</f>
        <v>45156</v>
      </c>
      <c r="Y50" s="27"/>
      <c r="AU50" s="27"/>
      <c r="AV50" s="27"/>
      <c r="AW50" s="27"/>
      <c r="AX50" s="100">
        <v>0.5</v>
      </c>
      <c r="AY50" s="27">
        <v>2023</v>
      </c>
      <c r="AZ50" s="101" t="str">
        <f>0&amp;1</f>
        <v>01</v>
      </c>
      <c r="BA50" s="27"/>
      <c r="BB50" s="101" t="str">
        <f>0&amp;1</f>
        <v>01</v>
      </c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</row>
    <row r="51" spans="1:106" ht="16.5" customHeight="1" x14ac:dyDescent="0.15">
      <c r="A51" s="27"/>
      <c r="B51" s="27">
        <f ca="1">TODAY()</f>
        <v>45149</v>
      </c>
      <c r="C51" s="27"/>
      <c r="E51" s="27"/>
      <c r="F51" s="27"/>
      <c r="G51" s="27"/>
      <c r="H51" s="27"/>
      <c r="I51" s="27" t="s">
        <v>69</v>
      </c>
      <c r="J51" s="76">
        <f>M26-L26</f>
        <v>-1.9699999999999998</v>
      </c>
      <c r="K51" s="27"/>
      <c r="L51" s="27"/>
      <c r="M51" s="95">
        <f ca="1"/>
        <v>45163</v>
      </c>
      <c r="N51" s="94">
        <f ca="1">IF(WEEKDAY(N50)=6, N50+7, N50+7-WEEKDAY(N50))</f>
        <v>45163</v>
      </c>
      <c r="O51" s="94">
        <f ca="1">O50+1</f>
        <v>45150</v>
      </c>
      <c r="P51" s="95">
        <f ca="1"/>
        <v>45163</v>
      </c>
      <c r="Q51" s="95">
        <f ca="1"/>
        <v>45163</v>
      </c>
      <c r="R51" s="95">
        <f ca="1"/>
        <v>45163</v>
      </c>
      <c r="S51" s="95">
        <f ca="1"/>
        <v>45163</v>
      </c>
      <c r="T51" s="95">
        <f ca="1"/>
        <v>45163</v>
      </c>
      <c r="U51" s="95">
        <f ca="1"/>
        <v>45163</v>
      </c>
      <c r="V51" s="95">
        <f ca="1"/>
        <v>45163</v>
      </c>
      <c r="W51" s="95">
        <f ca="1"/>
        <v>45163</v>
      </c>
      <c r="X51" s="95">
        <f ca="1"/>
        <v>45163</v>
      </c>
      <c r="Y51" s="27"/>
      <c r="AU51" s="27"/>
      <c r="AV51" s="27"/>
      <c r="AW51" s="27"/>
      <c r="AX51" s="100">
        <v>1</v>
      </c>
      <c r="AY51" s="27">
        <v>2024</v>
      </c>
      <c r="AZ51" s="101" t="str">
        <f>0&amp;2</f>
        <v>02</v>
      </c>
      <c r="BA51" s="27"/>
      <c r="BB51" s="101" t="str">
        <f>0&amp;2</f>
        <v>02</v>
      </c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</row>
    <row r="52" spans="1:106" ht="16.5" customHeight="1" x14ac:dyDescent="0.15">
      <c r="A52" s="27"/>
      <c r="B52" s="27">
        <v>45150</v>
      </c>
      <c r="C52" s="27"/>
      <c r="E52" s="27"/>
      <c r="F52" s="27"/>
      <c r="G52" s="27"/>
      <c r="H52" s="27"/>
      <c r="I52" s="27">
        <v>2.6179999999999999</v>
      </c>
      <c r="J52" s="27">
        <v>2.6179999999999999</v>
      </c>
      <c r="K52" s="76">
        <f t="shared" ref="K52:K54" si="23">$J$51*J52</f>
        <v>-5.1574599999999995</v>
      </c>
      <c r="L52" s="76">
        <f t="shared" ref="L52:L54" si="24">$M$26-K52</f>
        <v>10.40746</v>
      </c>
      <c r="M52" s="95">
        <f ca="1"/>
        <v>45170</v>
      </c>
      <c r="N52" s="94">
        <f t="shared" ref="N52:N73" ca="1" si="25">IF(WEEKDAY(N51)=6, N51+7, N51+7-WEEKDAY(N51))</f>
        <v>45170</v>
      </c>
      <c r="O52" s="94">
        <f t="shared" ref="O52:O73" ca="1" si="26">O51+1</f>
        <v>45151</v>
      </c>
      <c r="P52" s="95">
        <f ca="1"/>
        <v>45170</v>
      </c>
      <c r="Q52" s="95">
        <f ca="1"/>
        <v>45170</v>
      </c>
      <c r="R52" s="95">
        <f ca="1"/>
        <v>45170</v>
      </c>
      <c r="S52" s="95">
        <f ca="1"/>
        <v>45170</v>
      </c>
      <c r="T52" s="95">
        <f ca="1"/>
        <v>45170</v>
      </c>
      <c r="U52" s="95">
        <f ca="1"/>
        <v>45170</v>
      </c>
      <c r="V52" s="95">
        <f ca="1"/>
        <v>45170</v>
      </c>
      <c r="W52" s="95">
        <f ca="1"/>
        <v>45170</v>
      </c>
      <c r="X52" s="95">
        <f ca="1"/>
        <v>45170</v>
      </c>
      <c r="Y52" s="27"/>
      <c r="AU52" s="27"/>
      <c r="AV52" s="27"/>
      <c r="AW52" s="27"/>
      <c r="AX52" s="100">
        <v>1.5</v>
      </c>
      <c r="AY52" s="27">
        <v>2025</v>
      </c>
      <c r="AZ52" s="101" t="str">
        <f>0&amp;3</f>
        <v>03</v>
      </c>
      <c r="BA52" s="27"/>
      <c r="BB52" s="101" t="str">
        <f>0&amp;3</f>
        <v>03</v>
      </c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</row>
    <row r="53" spans="1:106" ht="16.5" customHeight="1" x14ac:dyDescent="0.15">
      <c r="A53" s="27"/>
      <c r="B53" s="27">
        <f ca="1">B52-B51</f>
        <v>1</v>
      </c>
      <c r="C53" s="27"/>
      <c r="E53" s="27"/>
      <c r="F53" s="27"/>
      <c r="G53" s="27"/>
      <c r="H53" s="27"/>
      <c r="I53" s="27">
        <v>2</v>
      </c>
      <c r="J53" s="27">
        <v>2</v>
      </c>
      <c r="K53" s="76">
        <f t="shared" si="23"/>
        <v>-3.9399999999999995</v>
      </c>
      <c r="L53" s="76">
        <f t="shared" si="24"/>
        <v>9.19</v>
      </c>
      <c r="M53" s="95">
        <f ca="1"/>
        <v>45177</v>
      </c>
      <c r="N53" s="94">
        <f t="shared" ca="1" si="25"/>
        <v>45177</v>
      </c>
      <c r="O53" s="94">
        <f t="shared" ca="1" si="26"/>
        <v>45152</v>
      </c>
      <c r="P53" s="95">
        <f ca="1"/>
        <v>45177</v>
      </c>
      <c r="Q53" s="95">
        <f ca="1"/>
        <v>45177</v>
      </c>
      <c r="R53" s="95">
        <f ca="1"/>
        <v>45177</v>
      </c>
      <c r="S53" s="95">
        <f ca="1"/>
        <v>45177</v>
      </c>
      <c r="T53" s="95">
        <f ca="1"/>
        <v>45177</v>
      </c>
      <c r="U53" s="95">
        <f ca="1"/>
        <v>45177</v>
      </c>
      <c r="V53" s="95">
        <f ca="1"/>
        <v>45177</v>
      </c>
      <c r="W53" s="95">
        <f ca="1"/>
        <v>45177</v>
      </c>
      <c r="X53" s="95">
        <f ca="1"/>
        <v>45177</v>
      </c>
      <c r="Y53" s="27"/>
      <c r="AU53" s="27"/>
      <c r="AV53" s="27"/>
      <c r="AW53" s="27"/>
      <c r="AX53" s="100">
        <v>2</v>
      </c>
      <c r="AY53" s="27">
        <v>2026</v>
      </c>
      <c r="AZ53" s="101" t="str">
        <f>0&amp;4</f>
        <v>04</v>
      </c>
      <c r="BA53" s="27"/>
      <c r="BB53" s="101" t="str">
        <f>0&amp;4</f>
        <v>04</v>
      </c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</row>
    <row r="54" spans="1:106" ht="16.5" customHeight="1" x14ac:dyDescent="0.15">
      <c r="A54" s="27"/>
      <c r="B54" s="27"/>
      <c r="C54" s="27"/>
      <c r="E54" s="27"/>
      <c r="F54" s="27" t="s">
        <v>64</v>
      </c>
      <c r="G54" s="27"/>
      <c r="H54" s="27"/>
      <c r="I54" s="27">
        <v>1.6180000000000001</v>
      </c>
      <c r="J54" s="27">
        <v>1.6180000000000001</v>
      </c>
      <c r="K54" s="76">
        <f t="shared" si="23"/>
        <v>-3.1874599999999997</v>
      </c>
      <c r="L54" s="76">
        <f t="shared" si="24"/>
        <v>8.4374599999999997</v>
      </c>
      <c r="M54" s="95">
        <f ca="1"/>
        <v>45184</v>
      </c>
      <c r="N54" s="94">
        <f t="shared" ca="1" si="25"/>
        <v>45184</v>
      </c>
      <c r="O54" s="94">
        <f t="shared" ca="1" si="26"/>
        <v>45153</v>
      </c>
      <c r="P54" s="95">
        <f ca="1"/>
        <v>45184</v>
      </c>
      <c r="Q54" s="95">
        <f ca="1"/>
        <v>45184</v>
      </c>
      <c r="R54" s="95">
        <f ca="1"/>
        <v>45184</v>
      </c>
      <c r="S54" s="95">
        <f ca="1"/>
        <v>45184</v>
      </c>
      <c r="T54" s="95">
        <f ca="1"/>
        <v>45184</v>
      </c>
      <c r="U54" s="95">
        <f ca="1"/>
        <v>45184</v>
      </c>
      <c r="V54" s="95">
        <f ca="1"/>
        <v>45184</v>
      </c>
      <c r="W54" s="95">
        <f ca="1"/>
        <v>45184</v>
      </c>
      <c r="X54" s="95">
        <f ca="1"/>
        <v>45184</v>
      </c>
      <c r="Y54" s="27"/>
      <c r="AU54" s="27"/>
      <c r="AV54" s="27"/>
      <c r="AW54" s="27"/>
      <c r="AX54" s="100">
        <v>2.5</v>
      </c>
      <c r="AY54" s="27">
        <v>2027</v>
      </c>
      <c r="AZ54" s="101" t="str">
        <f>0&amp;5</f>
        <v>05</v>
      </c>
      <c r="BA54" s="27"/>
      <c r="BB54" s="101" t="str">
        <f>0&amp;5</f>
        <v>05</v>
      </c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</row>
    <row r="55" spans="1:106" ht="16.5" customHeight="1" x14ac:dyDescent="0.15">
      <c r="E55" s="27"/>
      <c r="F55" s="27" t="s">
        <v>65</v>
      </c>
      <c r="G55" s="27"/>
      <c r="H55" s="27"/>
      <c r="I55" s="27">
        <v>1.272</v>
      </c>
      <c r="J55" s="27">
        <v>1.272</v>
      </c>
      <c r="K55" s="76">
        <f>$J$51*J55</f>
        <v>-2.5058399999999996</v>
      </c>
      <c r="L55" s="76">
        <f>$M$26-K55</f>
        <v>7.7558399999999992</v>
      </c>
      <c r="M55" s="95">
        <f ca="1"/>
        <v>45191</v>
      </c>
      <c r="N55" s="94">
        <f t="shared" ca="1" si="25"/>
        <v>45191</v>
      </c>
      <c r="O55" s="94">
        <f t="shared" ca="1" si="26"/>
        <v>45154</v>
      </c>
      <c r="P55" s="95">
        <f ca="1"/>
        <v>45191</v>
      </c>
      <c r="Q55" s="95">
        <f ca="1"/>
        <v>45191</v>
      </c>
      <c r="R55" s="95">
        <f ca="1"/>
        <v>45191</v>
      </c>
      <c r="S55" s="95">
        <f ca="1"/>
        <v>45191</v>
      </c>
      <c r="T55" s="95">
        <f ca="1"/>
        <v>45191</v>
      </c>
      <c r="U55" s="95">
        <f ca="1"/>
        <v>45191</v>
      </c>
      <c r="V55" s="95">
        <f ca="1"/>
        <v>45191</v>
      </c>
      <c r="W55" s="95">
        <f ca="1"/>
        <v>45191</v>
      </c>
      <c r="X55" s="95">
        <f ca="1"/>
        <v>45191</v>
      </c>
      <c r="Y55" s="27"/>
      <c r="AU55" s="27"/>
      <c r="AV55" s="27"/>
      <c r="AW55" s="27"/>
      <c r="AX55" s="100">
        <v>3</v>
      </c>
      <c r="AY55" s="27">
        <v>2028</v>
      </c>
      <c r="AZ55" s="101" t="str">
        <f>0&amp;6</f>
        <v>06</v>
      </c>
      <c r="BA55" s="27"/>
      <c r="BB55" s="101" t="str">
        <f>0&amp;6</f>
        <v>06</v>
      </c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</row>
    <row r="56" spans="1:106" ht="16.5" customHeight="1" x14ac:dyDescent="0.15">
      <c r="E56" s="27"/>
      <c r="F56" s="27"/>
      <c r="G56" s="27"/>
      <c r="H56" s="27"/>
      <c r="I56" s="27" t="s">
        <v>10</v>
      </c>
      <c r="J56" s="76">
        <f>L26</f>
        <v>7.22</v>
      </c>
      <c r="K56" s="27"/>
      <c r="L56" s="27"/>
      <c r="M56" s="95">
        <f ca="1"/>
        <v>45198</v>
      </c>
      <c r="N56" s="94">
        <f t="shared" ca="1" si="25"/>
        <v>45198</v>
      </c>
      <c r="O56" s="94">
        <f t="shared" ca="1" si="26"/>
        <v>45155</v>
      </c>
      <c r="P56" s="95">
        <f ca="1"/>
        <v>45198</v>
      </c>
      <c r="Q56" s="95">
        <f ca="1"/>
        <v>45198</v>
      </c>
      <c r="R56" s="95">
        <f ca="1"/>
        <v>45198</v>
      </c>
      <c r="S56" s="95">
        <f ca="1"/>
        <v>45198</v>
      </c>
      <c r="T56" s="95">
        <f ca="1"/>
        <v>45198</v>
      </c>
      <c r="U56" s="95">
        <f ca="1"/>
        <v>45198</v>
      </c>
      <c r="V56" s="95">
        <f ca="1"/>
        <v>45198</v>
      </c>
      <c r="W56" s="95">
        <f ca="1"/>
        <v>45198</v>
      </c>
      <c r="X56" s="95">
        <f ca="1"/>
        <v>45198</v>
      </c>
      <c r="Y56" s="27"/>
      <c r="AU56" s="27"/>
      <c r="AV56" s="27"/>
      <c r="AW56" s="27"/>
      <c r="AX56" s="100">
        <v>3.5</v>
      </c>
      <c r="AY56" s="27">
        <v>2029</v>
      </c>
      <c r="AZ56" s="101" t="str">
        <f>0&amp;7</f>
        <v>07</v>
      </c>
      <c r="BA56" s="27"/>
      <c r="BB56" s="101" t="str">
        <f>0&amp;7</f>
        <v>07</v>
      </c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</row>
    <row r="57" spans="1:106" ht="16.5" customHeight="1" x14ac:dyDescent="0.15">
      <c r="E57" s="27"/>
      <c r="F57" s="27"/>
      <c r="G57" s="27"/>
      <c r="H57" s="27"/>
      <c r="I57" s="27">
        <v>0.78600000000000003</v>
      </c>
      <c r="J57" s="27">
        <v>0.78600000000000003</v>
      </c>
      <c r="K57" s="76">
        <f t="shared" ref="K57:K60" si="27">$J$51*J57</f>
        <v>-1.5484199999999999</v>
      </c>
      <c r="L57" s="76">
        <f t="shared" ref="L57:L60" si="28">$M$26-K57</f>
        <v>6.7984200000000001</v>
      </c>
      <c r="M57" s="95">
        <f ca="1"/>
        <v>45205</v>
      </c>
      <c r="N57" s="94">
        <f t="shared" ca="1" si="25"/>
        <v>45205</v>
      </c>
      <c r="O57" s="94">
        <f t="shared" ca="1" si="26"/>
        <v>45156</v>
      </c>
      <c r="P57" s="95">
        <f ca="1"/>
        <v>45205</v>
      </c>
      <c r="Q57" s="95">
        <f ca="1"/>
        <v>45205</v>
      </c>
      <c r="R57" s="95">
        <f ca="1"/>
        <v>45205</v>
      </c>
      <c r="S57" s="95">
        <f ca="1"/>
        <v>45205</v>
      </c>
      <c r="T57" s="95">
        <f ca="1"/>
        <v>45205</v>
      </c>
      <c r="U57" s="95">
        <f ca="1"/>
        <v>45205</v>
      </c>
      <c r="V57" s="95">
        <f ca="1"/>
        <v>45205</v>
      </c>
      <c r="W57" s="95">
        <f ca="1"/>
        <v>45205</v>
      </c>
      <c r="X57" s="95">
        <f ca="1"/>
        <v>45205</v>
      </c>
      <c r="Y57" s="27"/>
      <c r="AU57" s="27"/>
      <c r="AV57" s="27"/>
      <c r="AW57" s="27"/>
      <c r="AX57" s="100">
        <v>4</v>
      </c>
      <c r="AY57" s="27">
        <v>2030</v>
      </c>
      <c r="AZ57" s="101" t="str">
        <f>0&amp;8</f>
        <v>08</v>
      </c>
      <c r="BA57" s="27"/>
      <c r="BB57" s="101" t="str">
        <f>0&amp;8</f>
        <v>08</v>
      </c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</row>
    <row r="58" spans="1:106" ht="16.5" customHeight="1" x14ac:dyDescent="0.15">
      <c r="E58" s="27"/>
      <c r="F58" s="27"/>
      <c r="G58" s="27"/>
      <c r="H58" s="27"/>
      <c r="I58" s="27">
        <v>0.61799999999999999</v>
      </c>
      <c r="J58" s="27">
        <v>0.61799999999999999</v>
      </c>
      <c r="K58" s="76">
        <f t="shared" si="27"/>
        <v>-1.2174599999999998</v>
      </c>
      <c r="L58" s="76">
        <f t="shared" si="28"/>
        <v>6.46746</v>
      </c>
      <c r="M58" s="95">
        <f ca="1"/>
        <v>45212</v>
      </c>
      <c r="N58" s="94">
        <f t="shared" ca="1" si="25"/>
        <v>45212</v>
      </c>
      <c r="O58" s="94">
        <f t="shared" ca="1" si="26"/>
        <v>45157</v>
      </c>
      <c r="P58" s="95">
        <f ca="1"/>
        <v>45212</v>
      </c>
      <c r="Q58" s="95">
        <f ca="1"/>
        <v>45212</v>
      </c>
      <c r="R58" s="95">
        <f ca="1"/>
        <v>45212</v>
      </c>
      <c r="S58" s="95">
        <f ca="1"/>
        <v>45212</v>
      </c>
      <c r="T58" s="95">
        <f ca="1"/>
        <v>45212</v>
      </c>
      <c r="U58" s="95">
        <f ca="1"/>
        <v>45212</v>
      </c>
      <c r="V58" s="95">
        <f ca="1"/>
        <v>45212</v>
      </c>
      <c r="W58" s="95">
        <f ca="1"/>
        <v>45212</v>
      </c>
      <c r="X58" s="95">
        <f ca="1"/>
        <v>45212</v>
      </c>
      <c r="Y58" s="27"/>
      <c r="AU58" s="27"/>
      <c r="AV58" s="27"/>
      <c r="AW58" s="27"/>
      <c r="AX58" s="100">
        <v>4.5</v>
      </c>
      <c r="AY58" s="27"/>
      <c r="AZ58" s="101" t="str">
        <f>0&amp;9</f>
        <v>09</v>
      </c>
      <c r="BA58" s="27"/>
      <c r="BB58" s="101" t="str">
        <f>0&amp;9</f>
        <v>09</v>
      </c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</row>
    <row r="59" spans="1:106" ht="16.5" customHeight="1" x14ac:dyDescent="0.15">
      <c r="E59" s="27"/>
      <c r="F59" s="27"/>
      <c r="G59" s="27"/>
      <c r="H59" s="27"/>
      <c r="I59" s="27">
        <v>0.5</v>
      </c>
      <c r="J59" s="27">
        <v>0.5</v>
      </c>
      <c r="K59" s="76">
        <f t="shared" si="27"/>
        <v>-0.98499999999999988</v>
      </c>
      <c r="L59" s="76">
        <f t="shared" si="28"/>
        <v>6.2349999999999994</v>
      </c>
      <c r="M59" s="95">
        <f ca="1"/>
        <v>45219</v>
      </c>
      <c r="N59" s="94">
        <f t="shared" ca="1" si="25"/>
        <v>45219</v>
      </c>
      <c r="O59" s="94">
        <f t="shared" ca="1" si="26"/>
        <v>45158</v>
      </c>
      <c r="P59" s="95">
        <f ca="1"/>
        <v>45219</v>
      </c>
      <c r="Q59" s="95">
        <f ca="1"/>
        <v>45219</v>
      </c>
      <c r="R59" s="95">
        <f ca="1"/>
        <v>45219</v>
      </c>
      <c r="S59" s="95">
        <f ca="1"/>
        <v>45219</v>
      </c>
      <c r="T59" s="95">
        <f ca="1"/>
        <v>45219</v>
      </c>
      <c r="U59" s="95">
        <f ca="1"/>
        <v>45219</v>
      </c>
      <c r="V59" s="95">
        <f ca="1"/>
        <v>45219</v>
      </c>
      <c r="W59" s="95">
        <f ca="1"/>
        <v>45219</v>
      </c>
      <c r="X59" s="95">
        <f ca="1"/>
        <v>45219</v>
      </c>
      <c r="Y59" s="27"/>
      <c r="AU59" s="27"/>
      <c r="AV59" s="27"/>
      <c r="AW59" s="27"/>
      <c r="AX59" s="100">
        <v>5</v>
      </c>
      <c r="AY59" s="27"/>
      <c r="AZ59" s="102">
        <v>10</v>
      </c>
      <c r="BA59" s="27"/>
      <c r="BB59" s="27">
        <v>10</v>
      </c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</row>
    <row r="60" spans="1:106" ht="16.5" customHeight="1" x14ac:dyDescent="0.15">
      <c r="E60" s="27"/>
      <c r="F60" s="27"/>
      <c r="G60" s="27"/>
      <c r="H60" s="27"/>
      <c r="I60" s="27">
        <v>0.38200000000000001</v>
      </c>
      <c r="J60" s="27">
        <v>0.38200000000000001</v>
      </c>
      <c r="K60" s="76">
        <f t="shared" si="27"/>
        <v>-0.75253999999999988</v>
      </c>
      <c r="L60" s="76">
        <f t="shared" si="28"/>
        <v>6.0025399999999998</v>
      </c>
      <c r="M60" s="95">
        <f ca="1"/>
        <v>45226</v>
      </c>
      <c r="N60" s="94">
        <f t="shared" ca="1" si="25"/>
        <v>45226</v>
      </c>
      <c r="O60" s="94">
        <f t="shared" ca="1" si="26"/>
        <v>45159</v>
      </c>
      <c r="P60" s="95">
        <f ca="1"/>
        <v>45226</v>
      </c>
      <c r="Q60" s="95">
        <f ca="1"/>
        <v>45226</v>
      </c>
      <c r="R60" s="95">
        <f ca="1"/>
        <v>45226</v>
      </c>
      <c r="S60" s="95">
        <f ca="1"/>
        <v>45226</v>
      </c>
      <c r="T60" s="95">
        <f ca="1"/>
        <v>45226</v>
      </c>
      <c r="U60" s="95">
        <f ca="1"/>
        <v>45226</v>
      </c>
      <c r="V60" s="95">
        <f ca="1"/>
        <v>45226</v>
      </c>
      <c r="W60" s="95">
        <f ca="1"/>
        <v>45226</v>
      </c>
      <c r="X60" s="95">
        <f ca="1"/>
        <v>45226</v>
      </c>
      <c r="Y60" s="27"/>
      <c r="AU60" s="27"/>
      <c r="AV60" s="27"/>
      <c r="AW60" s="27"/>
      <c r="AX60" s="27"/>
      <c r="AY60" s="27"/>
      <c r="AZ60" s="102">
        <v>11</v>
      </c>
      <c r="BA60" s="27"/>
      <c r="BB60" s="27">
        <v>11</v>
      </c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</row>
    <row r="61" spans="1:106" ht="16.5" customHeight="1" x14ac:dyDescent="0.15">
      <c r="E61" s="27"/>
      <c r="F61" s="27"/>
      <c r="G61" s="27"/>
      <c r="H61" s="27"/>
      <c r="I61" s="27">
        <v>0.23599999999999999</v>
      </c>
      <c r="J61" s="27">
        <v>0.23599999999999999</v>
      </c>
      <c r="K61" s="76">
        <f>$J$51*J61</f>
        <v>-0.46491999999999994</v>
      </c>
      <c r="L61" s="76">
        <f>$M$26-K61</f>
        <v>5.7149200000000002</v>
      </c>
      <c r="M61" s="95">
        <f ca="1"/>
        <v>45233</v>
      </c>
      <c r="N61" s="94">
        <f t="shared" ca="1" si="25"/>
        <v>45233</v>
      </c>
      <c r="O61" s="94">
        <f t="shared" ca="1" si="26"/>
        <v>45160</v>
      </c>
      <c r="P61" s="95">
        <f ca="1"/>
        <v>45233</v>
      </c>
      <c r="Q61" s="95">
        <f ca="1"/>
        <v>45233</v>
      </c>
      <c r="R61" s="95">
        <f ca="1"/>
        <v>45233</v>
      </c>
      <c r="S61" s="95">
        <f ca="1"/>
        <v>45233</v>
      </c>
      <c r="T61" s="95">
        <f ca="1"/>
        <v>45233</v>
      </c>
      <c r="U61" s="95">
        <f ca="1"/>
        <v>45233</v>
      </c>
      <c r="V61" s="95">
        <f ca="1"/>
        <v>45233</v>
      </c>
      <c r="W61" s="95">
        <f ca="1"/>
        <v>45233</v>
      </c>
      <c r="X61" s="95">
        <f ca="1"/>
        <v>45233</v>
      </c>
      <c r="Y61" s="27"/>
      <c r="AU61" s="27"/>
      <c r="AV61" s="27"/>
      <c r="AW61" s="27"/>
      <c r="AX61" s="27"/>
      <c r="AY61" s="27"/>
      <c r="AZ61" s="102">
        <v>12</v>
      </c>
      <c r="BA61" s="27"/>
      <c r="BB61" s="27">
        <v>12</v>
      </c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</row>
    <row r="62" spans="1:106" ht="16.5" customHeight="1" x14ac:dyDescent="0.15">
      <c r="E62" s="27"/>
      <c r="F62" s="27"/>
      <c r="G62" s="27"/>
      <c r="H62" s="27"/>
      <c r="I62" s="27" t="s">
        <v>11</v>
      </c>
      <c r="J62" s="76">
        <f>M26</f>
        <v>5.25</v>
      </c>
      <c r="K62" s="27"/>
      <c r="L62" s="27"/>
      <c r="M62" s="95">
        <f ca="1"/>
        <v>45240</v>
      </c>
      <c r="N62" s="94">
        <f t="shared" ca="1" si="25"/>
        <v>45240</v>
      </c>
      <c r="O62" s="94">
        <f t="shared" ca="1" si="26"/>
        <v>45161</v>
      </c>
      <c r="P62" s="95">
        <f ca="1"/>
        <v>45240</v>
      </c>
      <c r="Q62" s="95">
        <f ca="1"/>
        <v>45240</v>
      </c>
      <c r="R62" s="95">
        <f ca="1"/>
        <v>45240</v>
      </c>
      <c r="S62" s="95">
        <f ca="1"/>
        <v>45240</v>
      </c>
      <c r="T62" s="95">
        <f ca="1"/>
        <v>45240</v>
      </c>
      <c r="U62" s="95">
        <f ca="1"/>
        <v>45240</v>
      </c>
      <c r="V62" s="95">
        <f ca="1"/>
        <v>45240</v>
      </c>
      <c r="W62" s="95">
        <f ca="1"/>
        <v>45240</v>
      </c>
      <c r="X62" s="95">
        <f ca="1"/>
        <v>45240</v>
      </c>
      <c r="Y62" s="27"/>
      <c r="AU62" s="27"/>
      <c r="AV62" s="27"/>
      <c r="AW62" s="27"/>
      <c r="AX62" s="27"/>
      <c r="AY62" s="27"/>
      <c r="AZ62" s="27"/>
      <c r="BA62" s="27"/>
      <c r="BB62" s="27">
        <v>13</v>
      </c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</row>
    <row r="63" spans="1:106" ht="16.5" customHeight="1" x14ac:dyDescent="0.15">
      <c r="E63" s="27"/>
      <c r="F63" s="27"/>
      <c r="G63" s="27"/>
      <c r="H63" s="27"/>
      <c r="I63" s="27"/>
      <c r="J63" s="27"/>
      <c r="K63" s="27"/>
      <c r="L63" s="27"/>
      <c r="M63" s="95">
        <f ca="1"/>
        <v>45247</v>
      </c>
      <c r="N63" s="94">
        <f t="shared" ca="1" si="25"/>
        <v>45247</v>
      </c>
      <c r="O63" s="94">
        <f t="shared" ca="1" si="26"/>
        <v>45162</v>
      </c>
      <c r="P63" s="95">
        <f ca="1"/>
        <v>45247</v>
      </c>
      <c r="Q63" s="95">
        <f ca="1"/>
        <v>45247</v>
      </c>
      <c r="R63" s="95">
        <f ca="1"/>
        <v>45247</v>
      </c>
      <c r="S63" s="95">
        <f ca="1"/>
        <v>45247</v>
      </c>
      <c r="T63" s="95">
        <f ca="1"/>
        <v>45247</v>
      </c>
      <c r="U63" s="95">
        <f ca="1"/>
        <v>45247</v>
      </c>
      <c r="V63" s="95">
        <f ca="1"/>
        <v>45247</v>
      </c>
      <c r="W63" s="95">
        <f ca="1"/>
        <v>45247</v>
      </c>
      <c r="X63" s="95">
        <f ca="1"/>
        <v>45247</v>
      </c>
      <c r="Y63" s="27"/>
      <c r="AU63" s="27"/>
      <c r="AV63" s="27"/>
      <c r="AW63" s="27"/>
      <c r="AX63" s="27"/>
      <c r="AY63" s="27"/>
      <c r="AZ63" s="27"/>
      <c r="BA63" s="27"/>
      <c r="BB63" s="27">
        <v>14</v>
      </c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</row>
    <row r="64" spans="1:106" ht="16.5" customHeight="1" x14ac:dyDescent="0.15">
      <c r="E64" s="27"/>
      <c r="F64" s="27"/>
      <c r="G64" s="27"/>
      <c r="H64" s="27"/>
      <c r="I64" s="27"/>
      <c r="J64" s="27"/>
      <c r="K64" s="27"/>
      <c r="L64" s="27"/>
      <c r="M64" s="95">
        <f ca="1"/>
        <v>45254</v>
      </c>
      <c r="N64" s="94">
        <f t="shared" ca="1" si="25"/>
        <v>45254</v>
      </c>
      <c r="O64" s="94">
        <f t="shared" ca="1" si="26"/>
        <v>45163</v>
      </c>
      <c r="P64" s="95">
        <f ca="1"/>
        <v>45254</v>
      </c>
      <c r="Q64" s="95">
        <f ca="1"/>
        <v>45254</v>
      </c>
      <c r="R64" s="95">
        <f ca="1"/>
        <v>45254</v>
      </c>
      <c r="S64" s="95">
        <f ca="1"/>
        <v>45254</v>
      </c>
      <c r="T64" s="95">
        <f ca="1"/>
        <v>45254</v>
      </c>
      <c r="U64" s="95">
        <f ca="1"/>
        <v>45254</v>
      </c>
      <c r="V64" s="95">
        <f ca="1"/>
        <v>45254</v>
      </c>
      <c r="W64" s="95">
        <f ca="1"/>
        <v>45254</v>
      </c>
      <c r="X64" s="95">
        <f ca="1"/>
        <v>45254</v>
      </c>
      <c r="Y64" s="27"/>
      <c r="AU64" s="27"/>
      <c r="AV64" s="27"/>
      <c r="AW64" s="27"/>
      <c r="AX64" s="27"/>
      <c r="AY64" s="27"/>
      <c r="AZ64" s="27"/>
      <c r="BA64" s="27"/>
      <c r="BB64" s="27">
        <v>15</v>
      </c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</row>
    <row r="65" spans="5:106" ht="16.5" customHeight="1" x14ac:dyDescent="0.15">
      <c r="E65" s="27"/>
      <c r="F65" s="27"/>
      <c r="G65" s="27"/>
      <c r="H65" s="27"/>
      <c r="I65" s="27"/>
      <c r="J65" s="27"/>
      <c r="K65" s="27"/>
      <c r="L65" s="27"/>
      <c r="M65" s="95">
        <f ca="1"/>
        <v>45261</v>
      </c>
      <c r="N65" s="94">
        <f t="shared" ca="1" si="25"/>
        <v>45261</v>
      </c>
      <c r="O65" s="94">
        <f t="shared" ca="1" si="26"/>
        <v>45164</v>
      </c>
      <c r="P65" s="95">
        <f ca="1"/>
        <v>45261</v>
      </c>
      <c r="Q65" s="95">
        <f ca="1"/>
        <v>45261</v>
      </c>
      <c r="R65" s="95">
        <f ca="1"/>
        <v>45261</v>
      </c>
      <c r="S65" s="95">
        <f ca="1"/>
        <v>45261</v>
      </c>
      <c r="T65" s="95">
        <f ca="1"/>
        <v>45261</v>
      </c>
      <c r="U65" s="95">
        <f ca="1"/>
        <v>45261</v>
      </c>
      <c r="V65" s="95">
        <f ca="1"/>
        <v>45261</v>
      </c>
      <c r="W65" s="95">
        <f ca="1"/>
        <v>45261</v>
      </c>
      <c r="X65" s="95">
        <f ca="1"/>
        <v>45261</v>
      </c>
      <c r="Y65" s="27"/>
      <c r="AU65" s="27"/>
      <c r="AV65" s="27"/>
      <c r="AW65" s="27"/>
      <c r="AX65" s="27"/>
      <c r="AY65" s="27"/>
      <c r="AZ65" s="27"/>
      <c r="BA65" s="27"/>
      <c r="BB65" s="27">
        <v>16</v>
      </c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</row>
    <row r="66" spans="5:106" ht="16.5" customHeight="1" x14ac:dyDescent="0.15">
      <c r="E66" s="27"/>
      <c r="F66" s="27"/>
      <c r="G66" s="27"/>
      <c r="H66" s="27"/>
      <c r="I66" s="27"/>
      <c r="J66" s="27"/>
      <c r="K66" s="27"/>
      <c r="L66" s="27"/>
      <c r="M66" s="95">
        <f ca="1"/>
        <v>45268</v>
      </c>
      <c r="N66" s="94">
        <f t="shared" ca="1" si="25"/>
        <v>45268</v>
      </c>
      <c r="O66" s="94">
        <f t="shared" ca="1" si="26"/>
        <v>45165</v>
      </c>
      <c r="P66" s="95">
        <f ca="1"/>
        <v>45268</v>
      </c>
      <c r="Q66" s="95">
        <f ca="1"/>
        <v>45268</v>
      </c>
      <c r="R66" s="95">
        <f ca="1"/>
        <v>45268</v>
      </c>
      <c r="S66" s="95">
        <f ca="1"/>
        <v>45268</v>
      </c>
      <c r="T66" s="95">
        <f ca="1"/>
        <v>45268</v>
      </c>
      <c r="U66" s="95">
        <f ca="1"/>
        <v>45268</v>
      </c>
      <c r="V66" s="95">
        <f ca="1"/>
        <v>45268</v>
      </c>
      <c r="W66" s="95">
        <f ca="1"/>
        <v>45268</v>
      </c>
      <c r="X66" s="95">
        <f ca="1"/>
        <v>45268</v>
      </c>
      <c r="Y66" s="27"/>
      <c r="AU66" s="27"/>
      <c r="AV66" s="27"/>
      <c r="AW66" s="27"/>
      <c r="AX66" s="27"/>
      <c r="AY66" s="27"/>
      <c r="AZ66" s="27"/>
      <c r="BA66" s="27"/>
      <c r="BB66" s="27">
        <v>17</v>
      </c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</row>
    <row r="67" spans="5:106" ht="16.5" customHeight="1" x14ac:dyDescent="0.15">
      <c r="E67" s="27"/>
      <c r="F67" s="27"/>
      <c r="G67" s="27"/>
      <c r="H67" s="27"/>
      <c r="I67" s="27"/>
      <c r="J67" s="27"/>
      <c r="K67" s="27"/>
      <c r="L67" s="27"/>
      <c r="M67" s="95">
        <f ca="1"/>
        <v>45275</v>
      </c>
      <c r="N67" s="94">
        <f t="shared" ca="1" si="25"/>
        <v>45275</v>
      </c>
      <c r="O67" s="94">
        <f t="shared" ca="1" si="26"/>
        <v>45166</v>
      </c>
      <c r="P67" s="95">
        <f ca="1"/>
        <v>45275</v>
      </c>
      <c r="Q67" s="95">
        <f ca="1"/>
        <v>45275</v>
      </c>
      <c r="R67" s="95">
        <f ca="1"/>
        <v>45275</v>
      </c>
      <c r="S67" s="95">
        <f ca="1"/>
        <v>45275</v>
      </c>
      <c r="T67" s="95">
        <f ca="1"/>
        <v>45275</v>
      </c>
      <c r="U67" s="95">
        <f ca="1"/>
        <v>45275</v>
      </c>
      <c r="V67" s="95">
        <f ca="1"/>
        <v>45275</v>
      </c>
      <c r="W67" s="95">
        <f ca="1"/>
        <v>45275</v>
      </c>
      <c r="X67" s="95">
        <f ca="1"/>
        <v>45275</v>
      </c>
      <c r="Y67" s="27"/>
      <c r="AU67" s="27"/>
      <c r="AV67" s="27"/>
      <c r="AW67" s="27"/>
      <c r="AX67" s="27"/>
      <c r="AY67" s="27"/>
      <c r="AZ67" s="27"/>
      <c r="BA67" s="27"/>
      <c r="BB67" s="27">
        <v>18</v>
      </c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</row>
    <row r="68" spans="5:106" ht="16.5" customHeight="1" x14ac:dyDescent="0.15">
      <c r="E68" s="27"/>
      <c r="F68" s="27"/>
      <c r="G68" s="27"/>
      <c r="H68" s="27"/>
      <c r="I68" s="27"/>
      <c r="J68" s="27"/>
      <c r="K68" s="27"/>
      <c r="L68" s="27"/>
      <c r="M68" s="95">
        <f ca="1"/>
        <v>45282</v>
      </c>
      <c r="N68" s="94">
        <f t="shared" ca="1" si="25"/>
        <v>45282</v>
      </c>
      <c r="O68" s="94">
        <f t="shared" ca="1" si="26"/>
        <v>45167</v>
      </c>
      <c r="P68" s="95">
        <f ca="1"/>
        <v>45282</v>
      </c>
      <c r="Q68" s="95">
        <f ca="1"/>
        <v>45282</v>
      </c>
      <c r="R68" s="95">
        <f ca="1"/>
        <v>45282</v>
      </c>
      <c r="S68" s="95">
        <f ca="1"/>
        <v>45282</v>
      </c>
      <c r="T68" s="95">
        <f ca="1"/>
        <v>45282</v>
      </c>
      <c r="U68" s="95">
        <f ca="1"/>
        <v>45282</v>
      </c>
      <c r="V68" s="95">
        <f ca="1"/>
        <v>45282</v>
      </c>
      <c r="W68" s="95">
        <f ca="1"/>
        <v>45282</v>
      </c>
      <c r="X68" s="95">
        <f ca="1"/>
        <v>45282</v>
      </c>
      <c r="Y68" s="27"/>
      <c r="AU68" s="27"/>
      <c r="AV68" s="27"/>
      <c r="AW68" s="27"/>
      <c r="AX68" s="27"/>
      <c r="AY68" s="27"/>
      <c r="AZ68" s="27"/>
      <c r="BA68" s="27"/>
      <c r="BB68" s="27">
        <v>19</v>
      </c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</row>
    <row r="69" spans="5:106" ht="16.5" customHeight="1" x14ac:dyDescent="0.15">
      <c r="E69" s="27"/>
      <c r="F69" s="27"/>
      <c r="G69" s="27"/>
      <c r="H69" s="27"/>
      <c r="I69" s="27"/>
      <c r="J69" s="27"/>
      <c r="K69" s="27"/>
      <c r="L69" s="27"/>
      <c r="M69" s="95">
        <f ca="1"/>
        <v>45289</v>
      </c>
      <c r="N69" s="94">
        <f t="shared" ca="1" si="25"/>
        <v>45289</v>
      </c>
      <c r="O69" s="94">
        <f t="shared" ca="1" si="26"/>
        <v>45168</v>
      </c>
      <c r="P69" s="95">
        <f ca="1"/>
        <v>45289</v>
      </c>
      <c r="Q69" s="95">
        <f ca="1"/>
        <v>45289</v>
      </c>
      <c r="R69" s="95">
        <f ca="1"/>
        <v>45289</v>
      </c>
      <c r="S69" s="95">
        <f ca="1"/>
        <v>45289</v>
      </c>
      <c r="T69" s="95">
        <f ca="1"/>
        <v>45289</v>
      </c>
      <c r="U69" s="95">
        <f ca="1"/>
        <v>45289</v>
      </c>
      <c r="V69" s="95">
        <f ca="1"/>
        <v>45289</v>
      </c>
      <c r="W69" s="95">
        <f ca="1"/>
        <v>45289</v>
      </c>
      <c r="X69" s="95">
        <f ca="1"/>
        <v>45289</v>
      </c>
      <c r="Y69" s="27"/>
      <c r="AU69" s="27"/>
      <c r="AV69" s="27"/>
      <c r="AW69" s="27"/>
      <c r="AX69" s="27"/>
      <c r="AY69" s="27"/>
      <c r="AZ69" s="27"/>
      <c r="BA69" s="27"/>
      <c r="BB69" s="27">
        <v>20</v>
      </c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</row>
    <row r="70" spans="5:106" ht="16.5" customHeight="1" x14ac:dyDescent="0.15">
      <c r="E70" s="27"/>
      <c r="F70" s="27"/>
      <c r="G70" s="27"/>
      <c r="H70" s="27"/>
      <c r="I70" s="27"/>
      <c r="J70" s="27"/>
      <c r="K70" s="27"/>
      <c r="L70" s="27"/>
      <c r="M70" s="95">
        <f ca="1"/>
        <v>45296</v>
      </c>
      <c r="N70" s="94">
        <f t="shared" ca="1" si="25"/>
        <v>45296</v>
      </c>
      <c r="O70" s="94">
        <f t="shared" ca="1" si="26"/>
        <v>45169</v>
      </c>
      <c r="P70" s="95">
        <f ca="1"/>
        <v>45296</v>
      </c>
      <c r="Q70" s="95">
        <f ca="1"/>
        <v>45296</v>
      </c>
      <c r="R70" s="95">
        <f ca="1"/>
        <v>45296</v>
      </c>
      <c r="S70" s="95">
        <f ca="1"/>
        <v>45296</v>
      </c>
      <c r="T70" s="95">
        <f ca="1"/>
        <v>45296</v>
      </c>
      <c r="U70" s="95">
        <f ca="1"/>
        <v>45296</v>
      </c>
      <c r="V70" s="95">
        <f ca="1"/>
        <v>45296</v>
      </c>
      <c r="W70" s="95">
        <f ca="1"/>
        <v>45296</v>
      </c>
      <c r="X70" s="95">
        <f ca="1"/>
        <v>45296</v>
      </c>
      <c r="Y70" s="27"/>
      <c r="AU70" s="27"/>
      <c r="AV70" s="27"/>
      <c r="AW70" s="27"/>
      <c r="AX70" s="27"/>
      <c r="AY70" s="27"/>
      <c r="AZ70" s="27"/>
      <c r="BA70" s="27"/>
      <c r="BB70" s="27">
        <v>21</v>
      </c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</row>
    <row r="71" spans="5:106" ht="16.5" customHeight="1" x14ac:dyDescent="0.15">
      <c r="E71" s="27"/>
      <c r="F71" s="27"/>
      <c r="G71" s="27"/>
      <c r="H71" s="27"/>
      <c r="I71" s="27"/>
      <c r="J71" s="27"/>
      <c r="K71" s="27"/>
      <c r="L71" s="27"/>
      <c r="M71" s="95">
        <f ca="1"/>
        <v>45303</v>
      </c>
      <c r="N71" s="94">
        <f t="shared" ca="1" si="25"/>
        <v>45303</v>
      </c>
      <c r="O71" s="94">
        <f t="shared" ca="1" si="26"/>
        <v>45170</v>
      </c>
      <c r="P71" s="95">
        <f ca="1"/>
        <v>45303</v>
      </c>
      <c r="Q71" s="95">
        <f ca="1"/>
        <v>45303</v>
      </c>
      <c r="R71" s="95">
        <f ca="1"/>
        <v>45303</v>
      </c>
      <c r="S71" s="95">
        <f ca="1"/>
        <v>45303</v>
      </c>
      <c r="T71" s="95">
        <f ca="1"/>
        <v>45303</v>
      </c>
      <c r="U71" s="95">
        <f ca="1"/>
        <v>45303</v>
      </c>
      <c r="V71" s="95">
        <f ca="1"/>
        <v>45303</v>
      </c>
      <c r="W71" s="95">
        <f ca="1"/>
        <v>45303</v>
      </c>
      <c r="X71" s="95">
        <f ca="1"/>
        <v>45303</v>
      </c>
      <c r="Y71" s="27"/>
      <c r="AU71" s="27"/>
      <c r="AV71" s="27"/>
      <c r="AW71" s="27"/>
      <c r="AX71" s="27"/>
      <c r="AY71" s="27"/>
      <c r="AZ71" s="27"/>
      <c r="BA71" s="27"/>
      <c r="BB71" s="27">
        <v>22</v>
      </c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</row>
    <row r="72" spans="5:106" ht="16.5" customHeight="1" x14ac:dyDescent="0.15">
      <c r="E72" s="27"/>
      <c r="F72" s="27"/>
      <c r="G72" s="27"/>
      <c r="H72" s="27"/>
      <c r="I72" s="27"/>
      <c r="J72" s="27"/>
      <c r="K72" s="27"/>
      <c r="L72" s="27"/>
      <c r="M72" s="95">
        <f ca="1"/>
        <v>45310</v>
      </c>
      <c r="N72" s="94">
        <f t="shared" ca="1" si="25"/>
        <v>45310</v>
      </c>
      <c r="O72" s="94">
        <f t="shared" ca="1" si="26"/>
        <v>45171</v>
      </c>
      <c r="P72" s="95">
        <f ca="1"/>
        <v>45310</v>
      </c>
      <c r="Q72" s="95">
        <f ca="1"/>
        <v>45310</v>
      </c>
      <c r="R72" s="95">
        <f ca="1"/>
        <v>45310</v>
      </c>
      <c r="S72" s="95">
        <f ca="1"/>
        <v>45310</v>
      </c>
      <c r="T72" s="95">
        <f ca="1"/>
        <v>45310</v>
      </c>
      <c r="U72" s="95">
        <f ca="1"/>
        <v>45310</v>
      </c>
      <c r="V72" s="95">
        <f ca="1"/>
        <v>45310</v>
      </c>
      <c r="W72" s="95">
        <f ca="1"/>
        <v>45310</v>
      </c>
      <c r="X72" s="95">
        <f ca="1"/>
        <v>45310</v>
      </c>
      <c r="Y72" s="27"/>
      <c r="AU72" s="27"/>
      <c r="AV72" s="27"/>
      <c r="AW72" s="27"/>
      <c r="AX72" s="27"/>
      <c r="AY72" s="27"/>
      <c r="AZ72" s="27"/>
      <c r="BA72" s="27"/>
      <c r="BB72" s="27">
        <v>23</v>
      </c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</row>
    <row r="73" spans="5:106" ht="16.5" customHeight="1" x14ac:dyDescent="0.15">
      <c r="E73" s="27"/>
      <c r="F73" s="27"/>
      <c r="G73" s="27"/>
      <c r="H73" s="27"/>
      <c r="I73" s="27"/>
      <c r="J73" s="27"/>
      <c r="K73" s="27"/>
      <c r="L73" s="27"/>
      <c r="M73" s="95">
        <f ca="1"/>
        <v>45317</v>
      </c>
      <c r="N73" s="94">
        <f t="shared" ca="1" si="25"/>
        <v>45317</v>
      </c>
      <c r="O73" s="94">
        <f t="shared" ca="1" si="26"/>
        <v>45172</v>
      </c>
      <c r="P73" s="95">
        <f ca="1"/>
        <v>45317</v>
      </c>
      <c r="Q73" s="95">
        <f ca="1"/>
        <v>45317</v>
      </c>
      <c r="R73" s="95">
        <f ca="1"/>
        <v>45317</v>
      </c>
      <c r="S73" s="95">
        <f ca="1"/>
        <v>45317</v>
      </c>
      <c r="T73" s="95">
        <f ca="1"/>
        <v>45317</v>
      </c>
      <c r="U73" s="95">
        <f ca="1"/>
        <v>45317</v>
      </c>
      <c r="V73" s="95">
        <f ca="1"/>
        <v>45317</v>
      </c>
      <c r="W73" s="95">
        <f ca="1"/>
        <v>45317</v>
      </c>
      <c r="X73" s="95">
        <f ca="1"/>
        <v>45317</v>
      </c>
      <c r="Y73" s="27"/>
      <c r="AU73" s="27"/>
      <c r="AV73" s="27"/>
      <c r="AW73" s="27"/>
      <c r="AX73" s="27"/>
      <c r="AY73" s="27"/>
      <c r="AZ73" s="27"/>
      <c r="BA73" s="27"/>
      <c r="BB73" s="27">
        <v>24</v>
      </c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</row>
    <row r="74" spans="5:106" ht="16.5" customHeight="1" x14ac:dyDescent="0.15"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AU74" s="27"/>
      <c r="AV74" s="27"/>
      <c r="AW74" s="27"/>
      <c r="AX74" s="27"/>
      <c r="AY74" s="27"/>
      <c r="AZ74" s="27"/>
      <c r="BA74" s="27"/>
      <c r="BB74" s="27">
        <v>25</v>
      </c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</row>
    <row r="75" spans="5:106" ht="16.5" customHeight="1" x14ac:dyDescent="0.15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AU75" s="27"/>
      <c r="AV75" s="27"/>
      <c r="AW75" s="27"/>
      <c r="AX75" s="27"/>
      <c r="AY75" s="27"/>
      <c r="AZ75" s="27"/>
      <c r="BA75" s="27"/>
      <c r="BB75" s="27">
        <v>26</v>
      </c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</row>
    <row r="76" spans="5:106" ht="16.5" customHeight="1" x14ac:dyDescent="0.15">
      <c r="AU76" s="27"/>
      <c r="AV76" s="27"/>
      <c r="AW76" s="27"/>
      <c r="AX76" s="27"/>
      <c r="AY76" s="27"/>
      <c r="AZ76" s="27"/>
      <c r="BA76" s="27"/>
      <c r="BB76" s="27">
        <v>27</v>
      </c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</row>
    <row r="77" spans="5:106" ht="16.5" customHeight="1" x14ac:dyDescent="0.15">
      <c r="AU77" s="27"/>
      <c r="AV77" s="27"/>
      <c r="AW77" s="27"/>
      <c r="AX77" s="27"/>
      <c r="AY77" s="27"/>
      <c r="AZ77" s="27"/>
      <c r="BA77" s="27"/>
      <c r="BB77" s="27">
        <v>28</v>
      </c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</row>
    <row r="78" spans="5:106" ht="16.5" customHeight="1" x14ac:dyDescent="0.15">
      <c r="AU78" s="27"/>
      <c r="AV78" s="27"/>
      <c r="AW78" s="27"/>
      <c r="AX78" s="27"/>
      <c r="AY78" s="27"/>
      <c r="AZ78" s="27"/>
      <c r="BA78" s="27"/>
      <c r="BB78" s="27">
        <v>29</v>
      </c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</row>
    <row r="79" spans="5:106" ht="16.5" customHeight="1" x14ac:dyDescent="0.15">
      <c r="AU79" s="27"/>
      <c r="AV79" s="27"/>
      <c r="AW79" s="27"/>
      <c r="AX79" s="27"/>
      <c r="AY79" s="27"/>
      <c r="AZ79" s="27"/>
      <c r="BA79" s="27"/>
      <c r="BB79" s="27">
        <v>30</v>
      </c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</row>
    <row r="80" spans="5:106" ht="16.5" customHeight="1" x14ac:dyDescent="0.15">
      <c r="AU80" s="27"/>
      <c r="AV80" s="27"/>
      <c r="AW80" s="27"/>
      <c r="AX80" s="27"/>
      <c r="AY80" s="27"/>
      <c r="AZ80" s="27"/>
      <c r="BA80" s="27"/>
      <c r="BB80" s="27">
        <v>31</v>
      </c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</row>
    <row r="81" spans="47:106" ht="16.5" customHeight="1" x14ac:dyDescent="0.15"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</row>
    <row r="82" spans="47:106" ht="16.5" customHeight="1" x14ac:dyDescent="0.15"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</row>
    <row r="83" spans="47:106" ht="16.5" customHeight="1" x14ac:dyDescent="0.15"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</row>
    <row r="84" spans="47:106" ht="16.5" customHeight="1" x14ac:dyDescent="0.15"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</row>
    <row r="85" spans="47:106" ht="16.5" customHeight="1" x14ac:dyDescent="0.15"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</row>
    <row r="86" spans="47:106" ht="16.5" customHeight="1" x14ac:dyDescent="0.15"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</row>
    <row r="87" spans="47:106" ht="16.5" customHeight="1" x14ac:dyDescent="0.15"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</row>
    <row r="88" spans="47:106" ht="16.5" customHeight="1" x14ac:dyDescent="0.15"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</row>
    <row r="89" spans="47:106" ht="16.5" customHeight="1" x14ac:dyDescent="0.15"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</row>
    <row r="90" spans="47:106" ht="16.5" customHeight="1" x14ac:dyDescent="0.15"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</row>
    <row r="91" spans="47:106" ht="16.5" customHeight="1" x14ac:dyDescent="0.15"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</row>
    <row r="92" spans="47:106" ht="16.5" customHeight="1" x14ac:dyDescent="0.15"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</row>
    <row r="93" spans="47:106" ht="16.5" customHeight="1" x14ac:dyDescent="0.15"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</row>
    <row r="94" spans="47:106" ht="16.5" customHeight="1" x14ac:dyDescent="0.15"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</row>
    <row r="95" spans="47:106" ht="16.5" customHeight="1" x14ac:dyDescent="0.15"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</row>
    <row r="96" spans="47:106" ht="16.5" customHeight="1" x14ac:dyDescent="0.15"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</row>
    <row r="97" spans="47:106" ht="16.5" customHeight="1" x14ac:dyDescent="0.15"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</row>
    <row r="98" spans="47:106" ht="16.5" customHeight="1" x14ac:dyDescent="0.15"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</row>
    <row r="99" spans="47:106" ht="16.5" customHeight="1" x14ac:dyDescent="0.15"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</row>
    <row r="100" spans="47:106" ht="16.5" customHeight="1" x14ac:dyDescent="0.15"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</row>
  </sheetData>
  <mergeCells count="36">
    <mergeCell ref="I9:M9"/>
    <mergeCell ref="I14:K14"/>
    <mergeCell ref="A29:G29"/>
    <mergeCell ref="CY2:DB2"/>
    <mergeCell ref="A1:C1"/>
    <mergeCell ref="D1:D2"/>
    <mergeCell ref="E1:G1"/>
    <mergeCell ref="L7:M7"/>
    <mergeCell ref="I7:K7"/>
    <mergeCell ref="I4:K4"/>
    <mergeCell ref="K1:M2"/>
    <mergeCell ref="I1:J2"/>
    <mergeCell ref="I3:J3"/>
    <mergeCell ref="I5:K5"/>
    <mergeCell ref="I6:J6"/>
    <mergeCell ref="J15:K15"/>
    <mergeCell ref="J16:K16"/>
    <mergeCell ref="I18:K18"/>
    <mergeCell ref="I28:L28"/>
    <mergeCell ref="I22:M22"/>
    <mergeCell ref="J23:K23"/>
    <mergeCell ref="J24:K24"/>
    <mergeCell ref="I27:M27"/>
    <mergeCell ref="J19:K19"/>
    <mergeCell ref="J20:K20"/>
    <mergeCell ref="J39:L39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</mergeCells>
  <conditionalFormatting sqref="C31:C40">
    <cfRule type="cellIs" dxfId="10" priority="1" operator="equal">
      <formula>"CALL"</formula>
    </cfRule>
    <cfRule type="cellIs" dxfId="9" priority="2" operator="equal">
      <formula>"PUT"</formula>
    </cfRule>
  </conditionalFormatting>
  <conditionalFormatting sqref="K3">
    <cfRule type="cellIs" dxfId="8" priority="6" operator="lessThan">
      <formula>0</formula>
    </cfRule>
    <cfRule type="cellIs" dxfId="7" priority="13" operator="greaterThan">
      <formula>0</formula>
    </cfRule>
    <cfRule type="cellIs" dxfId="6" priority="12" operator="lessThan">
      <formula>0</formula>
    </cfRule>
    <cfRule type="cellIs" dxfId="5" priority="7" operator="greaterThan">
      <formula>0</formula>
    </cfRule>
  </conditionalFormatting>
  <conditionalFormatting sqref="L3">
    <cfRule type="cellIs" dxfId="4" priority="8" operator="lessThan">
      <formula>$L$6</formula>
    </cfRule>
    <cfRule type="cellIs" dxfId="3" priority="9" operator="greaterThan">
      <formula>$L$6</formula>
    </cfRule>
  </conditionalFormatting>
  <conditionalFormatting sqref="L24">
    <cfRule type="cellIs" dxfId="2" priority="5" operator="equal">
      <formula>"PUT"</formula>
    </cfRule>
    <cfRule type="cellIs" dxfId="1" priority="4" operator="equal">
      <formula>"CALL"</formula>
    </cfRule>
  </conditionalFormatting>
  <conditionalFormatting sqref="M29:M39">
    <cfRule type="notContainsBlanks" dxfId="0" priority="3">
      <formula>LEN(TRIM(M29))&gt;0</formula>
    </cfRule>
  </conditionalFormatting>
  <dataValidations count="16">
    <dataValidation type="list" allowBlank="1" showInputMessage="1" showErrorMessage="1" sqref="L7" xr:uid="{34E19A71-179A-4861-A335-CEB4BCA834FB}">
      <formula1>$AX$50:$AX$59</formula1>
    </dataValidation>
    <dataValidation type="list" allowBlank="1" showInputMessage="1" showErrorMessage="1" sqref="J24 I5:K5" xr:uid="{8AC1F844-D90C-4F87-B89B-6FFC16FDACD2}">
      <formula1>$BF$15:$BF$38</formula1>
    </dataValidation>
    <dataValidation type="list" allowBlank="1" showInputMessage="1" showErrorMessage="1" sqref="I24" xr:uid="{13FFCED2-8B8C-441E-A9AF-41906F923E59}">
      <formula1>$D$3:$D$27</formula1>
    </dataValidation>
    <dataValidation type="list" allowBlank="1" showInputMessage="1" showErrorMessage="1" sqref="L24 C31" xr:uid="{E3F878AA-A0C0-429C-B9E1-3E666F450BE8}">
      <formula1>$BI$39:$BI$40</formula1>
    </dataValidation>
    <dataValidation type="list" allowBlank="1" showInputMessage="1" showErrorMessage="1" sqref="D41:D43" xr:uid="{62038605-E2CB-464B-ADBB-247B359BB0D6}">
      <formula1>$BD$15:$BD$38</formula1>
    </dataValidation>
    <dataValidation type="list" allowBlank="1" showInputMessage="1" showErrorMessage="1" sqref="D32" xr:uid="{73C5F2AA-45AC-4903-B8D1-9E6EB0A8B1F2}">
      <formula1>$P$50:$P$73</formula1>
    </dataValidation>
    <dataValidation type="list" allowBlank="1" showInputMessage="1" showErrorMessage="1" sqref="D33" xr:uid="{C449BB1F-5F38-4A81-8227-DC2B6E515688}">
      <formula1>$Q$50:$Q$73</formula1>
    </dataValidation>
    <dataValidation type="list" allowBlank="1" showInputMessage="1" showErrorMessage="1" sqref="D34" xr:uid="{7E1DC4B6-2640-408E-92EA-1D3D4F3CA141}">
      <formula1>$R$50:$R$73</formula1>
    </dataValidation>
    <dataValidation type="list" allowBlank="1" showInputMessage="1" showErrorMessage="1" sqref="D35" xr:uid="{452DD00F-DF6F-48A5-8B2D-198E07AEAB79}">
      <formula1>$S$50:$S$73</formula1>
    </dataValidation>
    <dataValidation type="list" allowBlank="1" showInputMessage="1" showErrorMessage="1" sqref="D36" xr:uid="{EB2A538A-E634-4D1A-9029-D55FC3C85869}">
      <formula1>$T$50:$T$73</formula1>
    </dataValidation>
    <dataValidation type="list" allowBlank="1" showInputMessage="1" showErrorMessage="1" sqref="D37" xr:uid="{94ED5FD1-F1F6-4CB3-A04D-1630F4596BBD}">
      <formula1>$U$50:$U$73</formula1>
    </dataValidation>
    <dataValidation type="list" allowBlank="1" showInputMessage="1" showErrorMessage="1" sqref="D38" xr:uid="{99FAB981-2D46-4D3B-90BC-DAB66DA777D1}">
      <formula1>$V$50:$V$73</formula1>
    </dataValidation>
    <dataValidation type="list" allowBlank="1" showInputMessage="1" showErrorMessage="1" sqref="D39" xr:uid="{86091FFA-F3C6-4B32-B22F-EC8ECDBA5DAF}">
      <formula1>$W$50:$W$73</formula1>
    </dataValidation>
    <dataValidation type="list" allowBlank="1" showInputMessage="1" showErrorMessage="1" sqref="D40" xr:uid="{25F4A3D1-4D81-432E-AFB6-6613AD10BC30}">
      <formula1>$X$50:$X$73</formula1>
    </dataValidation>
    <dataValidation type="list" allowBlank="1" showInputMessage="1" showErrorMessage="1" sqref="C32 C33 C34 C35:C40" xr:uid="{B24F3C6E-B133-4B12-AC2A-33F406CF0045}">
      <formula1>$F$54:$F$55</formula1>
    </dataValidation>
    <dataValidation type="list" allowBlank="1" showInputMessage="1" showErrorMessage="1" sqref="D31" xr:uid="{BDADB4E7-D99F-4089-BC2F-BD06ABE86084}">
      <formula1>$M$50:$M$73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8C80A07-6271-468D-9F0B-2D543E6E1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الشركات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ابوعبدالرحمن الأسمري</dc:creator>
  <cp:lastModifiedBy>pCd</cp:lastModifiedBy>
  <dcterms:created xsi:type="dcterms:W3CDTF">2023-07-02T19:27:07Z</dcterms:created>
  <dcterms:modified xsi:type="dcterms:W3CDTF">2023-07-30T20:04:23Z</dcterms:modified>
</cp:coreProperties>
</file>