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Class" sheetId="1" r:id="rId4"/>
    <sheet state="visible" name="2 Class" sheetId="2" r:id="rId5"/>
  </sheets>
  <definedNames/>
  <calcPr/>
</workbook>
</file>

<file path=xl/sharedStrings.xml><?xml version="1.0" encoding="utf-8"?>
<sst xmlns="http://schemas.openxmlformats.org/spreadsheetml/2006/main" count="964" uniqueCount="54">
  <si>
    <t>KLASIFIKASI 3 KELAS</t>
  </si>
  <si>
    <t>Original Dataset</t>
  </si>
  <si>
    <t>Resampled Dataset</t>
  </si>
  <si>
    <t>Algoritma</t>
  </si>
  <si>
    <t>Fitur</t>
  </si>
  <si>
    <t>accuracy</t>
  </si>
  <si>
    <t>precision</t>
  </si>
  <si>
    <t>recall</t>
  </si>
  <si>
    <t>f1-score</t>
  </si>
  <si>
    <t>Jumlah Kasus Positive</t>
  </si>
  <si>
    <t>Error Rate</t>
  </si>
  <si>
    <t>Jumlah Kasus Negative</t>
  </si>
  <si>
    <t>Fitur Importances</t>
  </si>
  <si>
    <t>XGBoost</t>
  </si>
  <si>
    <t>Original Data</t>
  </si>
  <si>
    <t>0.16</t>
  </si>
  <si>
    <t>Age_band_of_driver</t>
  </si>
  <si>
    <t>0.21</t>
  </si>
  <si>
    <t>Light_conditions</t>
  </si>
  <si>
    <t>Random Forest</t>
  </si>
  <si>
    <t>Cause_of_accident</t>
  </si>
  <si>
    <t>Decision Tree</t>
  </si>
  <si>
    <t>Naive Bayes</t>
  </si>
  <si>
    <t>-</t>
  </si>
  <si>
    <t>Logistic Regression</t>
  </si>
  <si>
    <t>Original Dataset + Seleksi Fitur Chi-Square</t>
  </si>
  <si>
    <t>Resampled + Seleksi Fitur Chi-Square</t>
  </si>
  <si>
    <t>0.78</t>
  </si>
  <si>
    <t>Road_surface_type</t>
  </si>
  <si>
    <t>0.69</t>
  </si>
  <si>
    <t>0.45</t>
  </si>
  <si>
    <t>Original Dataset + Seleksi Fitur SFS-Forward</t>
  </si>
  <si>
    <t>Resampled +  Seleksi Fitur SFS-Forward</t>
  </si>
  <si>
    <t>Types_of_Junction</t>
  </si>
  <si>
    <t>Weather_conditions</t>
  </si>
  <si>
    <t>Educational_level</t>
  </si>
  <si>
    <t>Vehicle_movement</t>
  </si>
  <si>
    <t>Original Dataset + Seleksi Fitur SFS-Backward</t>
  </si>
  <si>
    <t>Resampled + Seleksi Fitur SFS-Backward</t>
  </si>
  <si>
    <t>0.85</t>
  </si>
  <si>
    <t>0.76</t>
  </si>
  <si>
    <t>0.58</t>
  </si>
  <si>
    <t>0.43</t>
  </si>
  <si>
    <t>KLASIFIKASI 2 KELAS</t>
  </si>
  <si>
    <t>Feature Importances</t>
  </si>
  <si>
    <t>Sex_of_driver</t>
  </si>
  <si>
    <t>Cause_of_accidents</t>
  </si>
  <si>
    <t>0.84</t>
  </si>
  <si>
    <t>0.83</t>
  </si>
  <si>
    <t>Driving_experience</t>
  </si>
  <si>
    <t>0.74</t>
  </si>
  <si>
    <t>Driving_exprerince</t>
  </si>
  <si>
    <t>Casualty_class</t>
  </si>
  <si>
    <t>Driving+experience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</si>
</sst>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Times New Roman"/>
    </font>
    <font/>
    <font>
      <sz val="12.0"/>
      <color rgb="FF000000"/>
      <name val="&quot;Times New Roman&quot;"/>
    </font>
    <font>
      <sz val="12.0"/>
      <color theme="1"/>
      <name val="Times New Roman"/>
    </font>
    <font>
      <sz val="12.0"/>
      <color rgb="FF21212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readingOrder="0" shrinkToFit="0" wrapText="1"/>
    </xf>
    <xf borderId="15" fillId="0" fontId="5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vertical="center"/>
    </xf>
    <xf borderId="16" fillId="4" fontId="2" numFmtId="0" xfId="0" applyAlignment="1" applyBorder="1" applyFill="1" applyFont="1">
      <alignment horizontal="center" readingOrder="0" shrinkToFit="0" vertical="center" wrapText="1"/>
    </xf>
    <xf borderId="17" fillId="0" fontId="3" numFmtId="0" xfId="0" applyBorder="1" applyFont="1"/>
    <xf borderId="18" fillId="4" fontId="2" numFmtId="0" xfId="0" applyAlignment="1" applyBorder="1" applyFont="1">
      <alignment horizontal="center" readingOrder="0" shrinkToFit="0" vertical="center" wrapText="1"/>
    </xf>
    <xf borderId="19" fillId="4" fontId="2" numFmtId="0" xfId="0" applyAlignment="1" applyBorder="1" applyFont="1">
      <alignment horizontal="center" readingOrder="0" shrinkToFit="0" vertical="center" wrapText="1"/>
    </xf>
    <xf borderId="19" fillId="4" fontId="5" numFmtId="0" xfId="0" applyAlignment="1" applyBorder="1" applyFont="1">
      <alignment horizontal="center" readingOrder="0" shrinkToFit="0" vertical="center" wrapText="1"/>
    </xf>
    <xf borderId="19" fillId="4" fontId="5" numFmtId="0" xfId="0" applyAlignment="1" applyBorder="1" applyFont="1">
      <alignment horizontal="center" vertical="center"/>
    </xf>
    <xf borderId="18" fillId="4" fontId="5" numFmtId="0" xfId="0" applyAlignment="1" applyBorder="1" applyFont="1">
      <alignment horizontal="center" readingOrder="0" shrinkToFit="0" vertical="center" wrapText="1"/>
    </xf>
    <xf borderId="15" fillId="4" fontId="6" numFmtId="0" xfId="0" applyAlignment="1" applyBorder="1" applyFont="1">
      <alignment horizontal="center" readingOrder="0" vertical="center"/>
    </xf>
    <xf borderId="13" fillId="4" fontId="5" numFmtId="0" xfId="0" applyAlignment="1" applyBorder="1" applyFont="1">
      <alignment horizontal="center" shrinkToFit="0" wrapText="1"/>
    </xf>
    <xf borderId="14" fillId="0" fontId="3" numFmtId="0" xfId="0" applyBorder="1" applyFont="1"/>
    <xf borderId="15" fillId="4" fontId="5" numFmtId="0" xfId="0" applyAlignment="1" applyBorder="1" applyFont="1">
      <alignment horizontal="center" readingOrder="0" shrinkToFit="0" wrapText="1"/>
    </xf>
    <xf borderId="20" fillId="4" fontId="5" numFmtId="0" xfId="0" applyAlignment="1" applyBorder="1" applyFont="1">
      <alignment horizontal="center" readingOrder="0" shrinkToFit="0" vertical="center" wrapText="1"/>
    </xf>
    <xf borderId="20" fillId="4" fontId="5" numFmtId="0" xfId="0" applyAlignment="1" applyBorder="1" applyFont="1">
      <alignment horizontal="center" vertical="center"/>
    </xf>
    <xf borderId="20" fillId="4" fontId="6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5" numFmtId="0" xfId="0" applyAlignment="1" applyBorder="1" applyFont="1">
      <alignment horizontal="center" readingOrder="0" shrinkToFit="0" vertical="center" wrapText="1"/>
    </xf>
    <xf borderId="19" fillId="0" fontId="5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readingOrder="0" shrinkToFit="0" vertical="center" wrapText="1"/>
    </xf>
    <xf borderId="21" fillId="0" fontId="6" numFmtId="0" xfId="0" applyAlignment="1" applyBorder="1" applyFont="1">
      <alignment horizontal="center" readingOrder="0"/>
    </xf>
    <xf borderId="20" fillId="0" fontId="5" numFmtId="0" xfId="0" applyAlignment="1" applyBorder="1" applyFont="1">
      <alignment horizontal="center" readingOrder="0" shrinkToFit="0" vertical="center" wrapText="1"/>
    </xf>
    <xf borderId="20" fillId="0" fontId="5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readingOrder="0"/>
    </xf>
    <xf borderId="13" fillId="0" fontId="3" numFmtId="0" xfId="0" applyBorder="1" applyFont="1"/>
    <xf borderId="22" fillId="0" fontId="2" numFmtId="0" xfId="0" applyAlignment="1" applyBorder="1" applyFont="1">
      <alignment horizontal="center" readingOrder="0" shrinkToFit="0" vertical="center" wrapText="1"/>
    </xf>
    <xf borderId="22" fillId="0" fontId="5" numFmtId="0" xfId="0" applyAlignment="1" applyBorder="1" applyFont="1">
      <alignment horizontal="center" readingOrder="0" shrinkToFit="0" vertical="center" wrapText="1"/>
    </xf>
    <xf borderId="22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shrinkToFit="0" wrapText="1"/>
    </xf>
    <xf borderId="15" fillId="0" fontId="3" numFmtId="0" xfId="0" applyBorder="1" applyFont="1"/>
    <xf borderId="14" fillId="0" fontId="5" numFmtId="0" xfId="0" applyAlignment="1" applyBorder="1" applyFont="1">
      <alignment horizontal="center" readingOrder="0" shrinkToFit="0" wrapText="1"/>
    </xf>
    <xf borderId="21" fillId="0" fontId="5" numFmtId="0" xfId="0" applyAlignment="1" applyBorder="1" applyFont="1">
      <alignment horizontal="center" readingOrder="0" shrinkToFit="0" vertical="center" wrapText="1"/>
    </xf>
    <xf borderId="21" fillId="0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shrinkToFit="0" wrapText="1"/>
    </xf>
    <xf borderId="10" fillId="0" fontId="2" numFmtId="2" xfId="0" applyAlignment="1" applyBorder="1" applyFont="1" applyNumberFormat="1">
      <alignment horizontal="center" readingOrder="0" shrinkToFit="0" vertical="center" wrapText="1"/>
    </xf>
    <xf borderId="11" fillId="0" fontId="2" numFmtId="2" xfId="0" applyAlignment="1" applyBorder="1" applyFont="1" applyNumberFormat="1">
      <alignment horizontal="center" readingOrder="0" shrinkToFit="0" vertical="center" wrapText="1"/>
    </xf>
    <xf borderId="12" fillId="0" fontId="5" numFmtId="2" xfId="0" applyAlignment="1" applyBorder="1" applyFont="1" applyNumberFormat="1">
      <alignment horizontal="center" readingOrder="0" vertical="center"/>
    </xf>
    <xf borderId="17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5" fillId="0" fontId="5" numFmtId="2" xfId="0" applyAlignment="1" applyBorder="1" applyFont="1" applyNumberForma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23" fillId="0" fontId="5" numFmtId="2" xfId="0" applyAlignment="1" applyBorder="1" applyFont="1" applyNumberFormat="1">
      <alignment horizontal="center" readingOrder="0" vertical="center"/>
    </xf>
    <xf borderId="18" fillId="0" fontId="2" numFmtId="2" xfId="0" applyAlignment="1" applyBorder="1" applyFont="1" applyNumberFormat="1">
      <alignment horizontal="center" readingOrder="0" shrinkToFit="0" vertical="center" wrapText="1"/>
    </xf>
    <xf borderId="19" fillId="0" fontId="2" numFmtId="2" xfId="0" applyAlignment="1" applyBorder="1" applyFont="1" applyNumberFormat="1">
      <alignment horizontal="center" readingOrder="0" shrinkToFit="0" vertical="center" wrapText="1"/>
    </xf>
    <xf borderId="19" fillId="0" fontId="5" numFmtId="2" xfId="0" applyAlignment="1" applyBorder="1" applyFont="1" applyNumberFormat="1">
      <alignment horizontal="center" readingOrder="0" vertical="center"/>
    </xf>
    <xf borderId="20" fillId="0" fontId="5" numFmtId="2" xfId="0" applyAlignment="1" applyBorder="1" applyFont="1" applyNumberFormat="1">
      <alignment horizontal="center" readingOrder="0" vertical="center"/>
    </xf>
    <xf borderId="18" fillId="5" fontId="2" numFmtId="0" xfId="0" applyAlignment="1" applyBorder="1" applyFill="1" applyFont="1">
      <alignment horizontal="center" readingOrder="0" shrinkToFit="0" vertical="center" wrapText="1"/>
    </xf>
    <xf borderId="18" fillId="5" fontId="2" numFmtId="2" xfId="0" applyAlignment="1" applyBorder="1" applyFont="1" applyNumberFormat="1">
      <alignment horizontal="center" readingOrder="0" shrinkToFit="0" vertical="center" wrapText="1"/>
    </xf>
    <xf borderId="19" fillId="5" fontId="2" numFmtId="2" xfId="0" applyAlignment="1" applyBorder="1" applyFont="1" applyNumberFormat="1">
      <alignment horizontal="center" readingOrder="0" shrinkToFit="0" vertical="center" wrapText="1"/>
    </xf>
    <xf borderId="19" fillId="5" fontId="5" numFmtId="0" xfId="0" applyAlignment="1" applyBorder="1" applyFont="1">
      <alignment horizontal="center" readingOrder="0" shrinkToFit="0" vertical="center" wrapText="1"/>
    </xf>
    <xf borderId="19" fillId="5" fontId="5" numFmtId="2" xfId="0" applyAlignment="1" applyBorder="1" applyFont="1" applyNumberFormat="1">
      <alignment horizontal="center" readingOrder="0" vertical="center"/>
    </xf>
    <xf borderId="18" fillId="5" fontId="5" numFmtId="0" xfId="0" applyAlignment="1" applyBorder="1" applyFont="1">
      <alignment horizontal="center" readingOrder="0" shrinkToFit="0" vertical="center" wrapText="1"/>
    </xf>
    <xf borderId="16" fillId="0" fontId="2" numFmtId="2" xfId="0" applyAlignment="1" applyBorder="1" applyFont="1" applyNumberFormat="1">
      <alignment horizontal="center" readingOrder="0" shrinkToFit="0" vertical="center" wrapText="1"/>
    </xf>
    <xf borderId="22" fillId="0" fontId="2" numFmtId="2" xfId="0" applyAlignment="1" applyBorder="1" applyFont="1" applyNumberFormat="1">
      <alignment horizontal="center" readingOrder="0" shrinkToFit="0" vertical="center" wrapText="1"/>
    </xf>
    <xf borderId="22" fillId="0" fontId="5" numFmtId="2" xfId="0" applyAlignment="1" applyBorder="1" applyFont="1" applyNumberFormat="1">
      <alignment horizontal="center" readingOrder="0" vertical="center"/>
    </xf>
    <xf borderId="8" fillId="0" fontId="3" numFmtId="0" xfId="0" applyBorder="1" applyFont="1"/>
    <xf borderId="6" fillId="5" fontId="5" numFmtId="0" xfId="0" applyAlignment="1" applyBorder="1" applyFont="1">
      <alignment horizontal="center" shrinkToFit="0" vertical="center" wrapText="1"/>
    </xf>
    <xf borderId="6" fillId="5" fontId="5" numFmtId="2" xfId="0" applyAlignment="1" applyBorder="1" applyFont="1" applyNumberFormat="1">
      <alignment horizontal="center" readingOrder="0" shrinkToFit="0" vertical="center" wrapText="1"/>
    </xf>
    <xf borderId="24" fillId="5" fontId="5" numFmtId="0" xfId="0" applyAlignment="1" applyBorder="1" applyFont="1">
      <alignment horizontal="center" readingOrder="0" shrinkToFit="0" vertical="center" wrapText="1"/>
    </xf>
    <xf borderId="20" fillId="5" fontId="5" numFmtId="2" xfId="0" applyAlignment="1" applyBorder="1" applyFont="1" applyNumberFormat="1">
      <alignment horizontal="center" readingOrder="0" vertical="center"/>
    </xf>
    <xf borderId="24" fillId="5" fontId="2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vertical="center"/>
    </xf>
    <xf borderId="23" fillId="0" fontId="6" numFmtId="0" xfId="0" applyAlignment="1" applyBorder="1" applyFont="1">
      <alignment horizontal="center" readingOrder="0"/>
    </xf>
    <xf borderId="23" fillId="0" fontId="5" numFmtId="2" xfId="0" applyAlignment="1" applyBorder="1" applyFont="1" applyNumberFormat="1">
      <alignment horizontal="center" vertical="center"/>
    </xf>
    <xf borderId="20" fillId="0" fontId="6" numFmtId="0" xfId="0" applyAlignment="1" applyBorder="1" applyFont="1">
      <alignment horizontal="center" readingOrder="0"/>
    </xf>
    <xf borderId="20" fillId="0" fontId="5" numFmtId="2" xfId="0" applyAlignment="1" applyBorder="1" applyFont="1" applyNumberFormat="1">
      <alignment horizontal="center" vertical="center"/>
    </xf>
    <xf borderId="15" fillId="0" fontId="5" numFmtId="2" xfId="0" applyAlignment="1" applyBorder="1" applyFont="1" applyNumberFormat="1">
      <alignment horizontal="center" readingOrder="0" vertical="center"/>
    </xf>
    <xf borderId="25" fillId="0" fontId="5" numFmtId="0" xfId="0" applyAlignment="1" applyBorder="1" applyFont="1">
      <alignment horizontal="center" readingOrder="0" shrinkToFit="0" vertical="center" wrapText="1"/>
    </xf>
    <xf borderId="25" fillId="0" fontId="5" numFmtId="0" xfId="0" applyAlignment="1" applyBorder="1" applyFont="1">
      <alignment horizontal="center" vertical="center"/>
    </xf>
    <xf borderId="24" fillId="0" fontId="5" numFmtId="0" xfId="0" applyAlignment="1" applyBorder="1" applyFont="1">
      <alignment horizontal="center" readingOrder="0" shrinkToFit="0" vertical="center" wrapText="1"/>
    </xf>
    <xf borderId="26" fillId="0" fontId="6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 shrinkToFit="0" vertical="center" wrapText="1"/>
    </xf>
    <xf borderId="6" fillId="4" fontId="5" numFmtId="2" xfId="0" applyAlignment="1" applyBorder="1" applyFont="1" applyNumberFormat="1">
      <alignment horizontal="center" readingOrder="0" shrinkToFit="0" vertical="center" wrapText="1"/>
    </xf>
    <xf borderId="24" fillId="4" fontId="5" numFmtId="0" xfId="0" applyAlignment="1" applyBorder="1" applyFont="1">
      <alignment horizontal="center" readingOrder="0" shrinkToFit="0" vertical="center" wrapText="1"/>
    </xf>
    <xf borderId="26" fillId="4" fontId="5" numFmtId="2" xfId="0" applyAlignment="1" applyBorder="1" applyFont="1" applyNumberFormat="1">
      <alignment horizontal="center" vertical="center"/>
    </xf>
    <xf borderId="26" fillId="4" fontId="6" numFmtId="0" xfId="0" applyAlignment="1" applyBorder="1" applyFont="1">
      <alignment horizontal="center" readingOrder="0"/>
    </xf>
    <xf borderId="10" fillId="5" fontId="2" numFmtId="0" xfId="0" applyAlignment="1" applyBorder="1" applyFont="1">
      <alignment horizontal="center" readingOrder="0" shrinkToFit="0" vertical="center" wrapText="1"/>
    </xf>
    <xf borderId="11" fillId="5" fontId="2" numFmtId="0" xfId="0" applyAlignment="1" applyBorder="1" applyFont="1">
      <alignment horizontal="center" readingOrder="0" shrinkToFit="0" vertical="center" wrapText="1"/>
    </xf>
    <xf borderId="12" fillId="5" fontId="5" numFmtId="0" xfId="0" applyAlignment="1" applyBorder="1" applyFont="1">
      <alignment horizontal="center" readingOrder="0" shrinkToFit="0" vertical="center" wrapText="1"/>
    </xf>
    <xf borderId="12" fillId="5" fontId="5" numFmtId="0" xfId="0" applyAlignment="1" applyBorder="1" applyFont="1">
      <alignment horizontal="center" vertical="center"/>
    </xf>
    <xf borderId="13" fillId="5" fontId="5" numFmtId="0" xfId="0" applyAlignment="1" applyBorder="1" applyFont="1">
      <alignment horizontal="center" readingOrder="0" shrinkToFit="0" vertical="center" wrapText="1"/>
    </xf>
    <xf borderId="15" fillId="5" fontId="6" numFmtId="0" xfId="0" applyAlignment="1" applyBorder="1" applyFont="1">
      <alignment horizontal="center" readingOrder="0"/>
    </xf>
    <xf borderId="15" fillId="0" fontId="5" numFmtId="2" xfId="0" applyAlignment="1" applyBorder="1" applyFont="1" applyNumberFormat="1">
      <alignment horizontal="center" vertical="center"/>
    </xf>
    <xf borderId="15" fillId="0" fontId="6" numFmtId="0" xfId="0" applyAlignment="1" applyBorder="1" applyFont="1">
      <alignment horizontal="center" readingOrder="0"/>
    </xf>
    <xf borderId="15" fillId="0" fontId="5" numFmtId="2" xfId="0" applyAlignment="1" applyBorder="1" applyFont="1" applyNumberFormat="1">
      <alignment horizontal="center" shrinkToFit="0" vertical="center" wrapText="1"/>
    </xf>
    <xf borderId="26" fillId="5" fontId="5" numFmtId="0" xfId="0" applyAlignment="1" applyBorder="1" applyFont="1">
      <alignment horizontal="center" readingOrder="0" shrinkToFit="0" vertical="center" wrapText="1"/>
    </xf>
    <xf borderId="26" fillId="5" fontId="5" numFmtId="2" xfId="0" applyAlignment="1" applyBorder="1" applyFont="1" applyNumberFormat="1">
      <alignment horizontal="center" vertical="center"/>
    </xf>
    <xf borderId="16" fillId="5" fontId="5" numFmtId="0" xfId="0" applyAlignment="1" applyBorder="1" applyFont="1">
      <alignment horizontal="center" readingOrder="0" shrinkToFit="0" vertical="center" wrapText="1"/>
    </xf>
    <xf borderId="21" fillId="5" fontId="6" numFmtId="0" xfId="0" applyAlignment="1" applyBorder="1" applyFont="1">
      <alignment horizontal="center" readingOrder="0"/>
    </xf>
    <xf borderId="11" fillId="5" fontId="5" numFmtId="0" xfId="0" applyAlignment="1" applyBorder="1" applyFont="1">
      <alignment horizontal="center" readingOrder="0" shrinkToFit="0" vertical="center" wrapText="1"/>
    </xf>
    <xf borderId="11" fillId="5" fontId="5" numFmtId="0" xfId="0" applyAlignment="1" applyBorder="1" applyFont="1">
      <alignment horizontal="center" vertical="center"/>
    </xf>
    <xf borderId="10" fillId="5" fontId="5" numFmtId="0" xfId="0" applyAlignment="1" applyBorder="1" applyFont="1">
      <alignment horizontal="center" readingOrder="0" shrinkToFit="0" vertical="center" wrapText="1"/>
    </xf>
    <xf borderId="15" fillId="5" fontId="5" numFmtId="2" xfId="0" applyAlignment="1" applyBorder="1" applyFont="1" applyNumberFormat="1">
      <alignment horizontal="center" readingOrder="0" shrinkToFit="0" vertical="center" wrapText="1"/>
    </xf>
    <xf borderId="16" fillId="5" fontId="2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20" fillId="0" fontId="5" numFmtId="0" xfId="0" applyAlignment="1" applyBorder="1" applyFont="1">
      <alignment horizontal="center" shrinkToFit="0" vertical="center" wrapText="1"/>
    </xf>
    <xf borderId="12" fillId="5" fontId="5" numFmtId="0" xfId="0" applyAlignment="1" applyBorder="1" applyFont="1">
      <alignment horizontal="center" shrinkToFit="0" vertical="center" wrapText="1"/>
    </xf>
    <xf borderId="22" fillId="5" fontId="5" numFmtId="0" xfId="0" applyAlignment="1" applyBorder="1" applyFont="1">
      <alignment horizontal="center" vertical="center"/>
    </xf>
    <xf borderId="13" fillId="5" fontId="5" numFmtId="0" xfId="0" applyAlignment="1" applyBorder="1" applyFont="1">
      <alignment horizontal="center" shrinkToFit="0" vertical="center" wrapText="1"/>
    </xf>
    <xf borderId="21" fillId="5" fontId="5" numFmtId="0" xfId="0" applyAlignment="1" applyBorder="1" applyFont="1">
      <alignment horizontal="center" shrinkToFit="0" vertical="center" wrapText="1"/>
    </xf>
    <xf borderId="15" fillId="5" fontId="5" numFmtId="2" xfId="0" applyAlignment="1" applyBorder="1" applyFont="1" applyNumberFormat="1">
      <alignment horizontal="center" vertical="center"/>
    </xf>
    <xf borderId="16" fillId="5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readingOrder="0" vertical="center"/>
    </xf>
    <xf borderId="19" fillId="0" fontId="5" numFmtId="0" xfId="0" applyAlignment="1" applyBorder="1" applyFont="1">
      <alignment horizontal="center" readingOrder="0" vertical="center"/>
    </xf>
    <xf borderId="27" fillId="0" fontId="5" numFmtId="0" xfId="0" applyAlignment="1" applyBorder="1" applyFont="1">
      <alignment horizontal="center" readingOrder="0" shrinkToFit="0" vertical="center" wrapText="1"/>
    </xf>
    <xf borderId="27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3" fillId="5" fontId="5" numFmtId="0" xfId="0" applyAlignment="1" applyBorder="1" applyFont="1">
      <alignment horizontal="center" readingOrder="0" vertical="center"/>
    </xf>
    <xf borderId="12" fillId="5" fontId="5" numFmtId="0" xfId="0" applyAlignment="1" applyBorder="1" applyFont="1">
      <alignment horizontal="center" readingOrder="0" vertical="center"/>
    </xf>
    <xf borderId="19" fillId="5" fontId="5" numFmtId="0" xfId="0" applyAlignment="1" applyBorder="1" applyFont="1">
      <alignment horizontal="center" readingOrder="0" vertical="center"/>
    </xf>
    <xf borderId="18" fillId="5" fontId="5" numFmtId="0" xfId="0" applyAlignment="1" applyBorder="1" applyFont="1">
      <alignment horizontal="center" readingOrder="0" vertical="center"/>
    </xf>
    <xf borderId="27" fillId="5" fontId="5" numFmtId="0" xfId="0" applyAlignment="1" applyBorder="1" applyFont="1">
      <alignment horizontal="center" readingOrder="0" shrinkToFit="0" vertical="center" wrapText="1"/>
    </xf>
    <xf borderId="15" fillId="5" fontId="5" numFmtId="0" xfId="0" applyAlignment="1" applyBorder="1" applyFont="1">
      <alignment horizontal="center" shrinkToFit="0" vertical="center" wrapText="1"/>
    </xf>
    <xf borderId="15" fillId="5" fontId="5" numFmtId="2" xfId="0" applyAlignment="1" applyBorder="1" applyFont="1" applyNumberFormat="1">
      <alignment horizontal="center" readingOrder="0" vertical="center"/>
    </xf>
    <xf borderId="20" fillId="5" fontId="5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6" fillId="0" fontId="5" numFmtId="2" xfId="0" applyAlignment="1" applyBorder="1" applyFont="1" applyNumberFormat="1">
      <alignment horizontal="center" readingOrder="0" shrinkToFit="0" vertical="center" wrapText="1"/>
    </xf>
    <xf borderId="10" fillId="0" fontId="5" numFmtId="2" xfId="0" applyAlignment="1" applyBorder="1" applyFont="1" applyNumberFormat="1">
      <alignment horizontal="center" vertical="center"/>
    </xf>
    <xf borderId="18" fillId="0" fontId="5" numFmtId="2" xfId="0" applyAlignment="1" applyBorder="1" applyFont="1" applyNumberFormat="1">
      <alignment horizontal="center" vertical="center"/>
    </xf>
    <xf borderId="13" fillId="4" fontId="5" numFmtId="0" xfId="0" applyAlignment="1" applyBorder="1" applyFont="1">
      <alignment horizontal="center" shrinkToFit="0" vertical="center" wrapText="1"/>
    </xf>
    <xf borderId="13" fillId="4" fontId="5" numFmtId="0" xfId="0" applyAlignment="1" applyBorder="1" applyFont="1">
      <alignment horizontal="center" readingOrder="0" vertical="center"/>
    </xf>
    <xf borderId="12" fillId="4" fontId="5" numFmtId="0" xfId="0" applyAlignment="1" applyBorder="1" applyFont="1">
      <alignment horizontal="center" readingOrder="0" vertical="center"/>
    </xf>
    <xf borderId="16" fillId="4" fontId="5" numFmtId="0" xfId="0" applyAlignment="1" applyBorder="1" applyFont="1">
      <alignment horizontal="center" readingOrder="0" vertical="center"/>
    </xf>
    <xf borderId="24" fillId="4" fontId="5" numFmtId="2" xfId="0" applyAlignment="1" applyBorder="1" applyFont="1" applyNumberFormat="1">
      <alignment horizontal="center" vertical="center"/>
    </xf>
    <xf borderId="19" fillId="5" fontId="5" numFmtId="0" xfId="0" applyAlignment="1" applyBorder="1" applyFont="1">
      <alignment horizontal="center" vertical="center"/>
    </xf>
    <xf borderId="20" fillId="5" fontId="6" numFmtId="0" xfId="0" applyAlignment="1" applyBorder="1" applyFont="1">
      <alignment horizontal="center" readingOrder="0"/>
    </xf>
    <xf borderId="24" fillId="0" fontId="2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6" fillId="0" fontId="5" numFmtId="2" xfId="0" applyAlignment="1" applyBorder="1" applyFont="1" applyNumberFormat="1">
      <alignment horizontal="center" readingOrder="0" vertical="center"/>
    </xf>
    <xf borderId="26" fillId="0" fontId="5" numFmtId="0" xfId="0" applyAlignment="1" applyBorder="1" applyFont="1">
      <alignment horizontal="center" readingOrder="0" shrinkToFit="0" vertical="center" wrapText="1"/>
    </xf>
    <xf borderId="6" fillId="0" fontId="5" numFmtId="2" xfId="0" applyAlignment="1" applyBorder="1" applyFont="1" applyNumberFormat="1">
      <alignment horizontal="center" vertical="center"/>
    </xf>
    <xf borderId="15" fillId="0" fontId="5" numFmtId="1" xfId="0" applyAlignment="1" applyBorder="1" applyFont="1" applyNumberFormat="1">
      <alignment horizontal="center" shrinkToFit="0" vertical="center" wrapText="1"/>
    </xf>
    <xf borderId="13" fillId="0" fontId="5" numFmtId="1" xfId="0" applyAlignment="1" applyBorder="1" applyFont="1" applyNumberFormat="1">
      <alignment horizontal="center" shrinkToFit="0" vertical="center" wrapText="1"/>
    </xf>
    <xf borderId="20" fillId="0" fontId="5" numFmtId="1" xfId="0" applyAlignment="1" applyBorder="1" applyFont="1" applyNumberFormat="1">
      <alignment horizontal="center" shrinkToFit="0" vertical="center" wrapText="1"/>
    </xf>
    <xf borderId="18" fillId="0" fontId="5" numFmtId="1" xfId="0" applyAlignment="1" applyBorder="1" applyFont="1" applyNumberFormat="1">
      <alignment horizontal="center" shrinkToFit="0" vertical="center" wrapText="1"/>
    </xf>
    <xf borderId="17" fillId="5" fontId="5" numFmtId="0" xfId="0" applyAlignment="1" applyBorder="1" applyFont="1">
      <alignment horizontal="center" shrinkToFit="0" vertical="center" wrapText="1"/>
    </xf>
    <xf borderId="21" fillId="5" fontId="5" numFmtId="1" xfId="0" applyAlignment="1" applyBorder="1" applyFont="1" applyNumberFormat="1">
      <alignment horizontal="center" shrinkToFit="0" vertical="center" wrapText="1"/>
    </xf>
    <xf borderId="21" fillId="5" fontId="5" numFmtId="2" xfId="0" applyAlignment="1" applyBorder="1" applyFont="1" applyNumberFormat="1">
      <alignment horizontal="center" vertical="center"/>
    </xf>
    <xf borderId="16" fillId="5" fontId="5" numFmtId="1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/>
    </xf>
    <xf borderId="18" fillId="0" fontId="6" numFmtId="0" xfId="0" applyAlignment="1" applyBorder="1" applyFont="1">
      <alignment horizontal="center" readingOrder="0"/>
    </xf>
    <xf borderId="18" fillId="4" fontId="6" numFmtId="0" xfId="0" applyAlignment="1" applyBorder="1" applyFont="1">
      <alignment horizontal="center" readingOrder="0"/>
    </xf>
    <xf borderId="24" fillId="0" fontId="6" numFmtId="0" xfId="0" applyAlignment="1" applyBorder="1" applyFont="1">
      <alignment horizontal="center" readingOrder="0"/>
    </xf>
    <xf borderId="26" fillId="4" fontId="5" numFmtId="0" xfId="0" applyAlignment="1" applyBorder="1" applyFont="1">
      <alignment horizontal="center" readingOrder="0" shrinkToFit="0" vertical="center" wrapText="1"/>
    </xf>
    <xf borderId="6" fillId="4" fontId="5" numFmtId="2" xfId="0" applyAlignment="1" applyBorder="1" applyFont="1" applyNumberFormat="1">
      <alignment horizontal="center" vertical="center"/>
    </xf>
    <xf borderId="24" fillId="4" fontId="6" numFmtId="0" xfId="0" applyAlignment="1" applyBorder="1" applyFont="1">
      <alignment horizontal="center" readingOrder="0"/>
    </xf>
    <xf borderId="20" fillId="5" fontId="5" numFmtId="2" xfId="0" applyAlignment="1" applyBorder="1" applyFont="1" applyNumberFormat="1">
      <alignment horizontal="center" vertical="center"/>
    </xf>
    <xf borderId="19" fillId="5" fontId="2" numFmtId="0" xfId="0" applyAlignment="1" applyBorder="1" applyFont="1">
      <alignment horizontal="center" readingOrder="0" shrinkToFit="0" vertical="center" wrapText="1"/>
    </xf>
    <xf borderId="21" fillId="0" fontId="5" numFmtId="2" xfId="0" applyAlignment="1" applyBorder="1" applyFont="1" applyNumberFormat="1">
      <alignment horizontal="center" vertical="center"/>
    </xf>
    <xf borderId="20" fillId="5" fontId="5" numFmtId="0" xfId="0" applyAlignment="1" applyBorder="1" applyFont="1">
      <alignment horizontal="center" shrinkToFit="0" vertical="center" wrapText="1"/>
    </xf>
    <xf borderId="18" fillId="5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25" fillId="5" fontId="5" numFmtId="0" xfId="0" applyAlignment="1" applyBorder="1" applyFont="1">
      <alignment horizontal="center" vertical="center"/>
    </xf>
    <xf borderId="8" fillId="5" fontId="5" numFmtId="0" xfId="0" applyAlignment="1" applyBorder="1" applyFont="1">
      <alignment horizontal="center" readingOrder="0" shrinkToFit="0" vertical="center" wrapText="1"/>
    </xf>
    <xf borderId="26" fillId="0" fontId="5" numFmtId="0" xfId="0" applyAlignment="1" applyBorder="1" applyFont="1">
      <alignment horizontal="center" shrinkToFit="0" vertical="center" wrapText="1"/>
    </xf>
    <xf borderId="26" fillId="0" fontId="5" numFmtId="2" xfId="0" applyAlignment="1" applyBorder="1" applyFont="1" applyNumberFormat="1">
      <alignment horizontal="center" vertical="center"/>
    </xf>
    <xf borderId="24" fillId="0" fontId="5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7" fillId="3" fontId="2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7" fillId="5" fontId="5" numFmtId="0" xfId="0" applyAlignment="1" applyBorder="1" applyFont="1">
      <alignment horizontal="center" readingOrder="0" shrinkToFit="0" vertical="center" wrapText="1"/>
    </xf>
    <xf borderId="7" fillId="0" fontId="5" numFmtId="2" xfId="0" applyAlignment="1" applyBorder="1" applyFont="1" applyNumberFormat="1">
      <alignment horizontal="center" readingOrder="0" shrinkToFit="0" vertical="center" wrapText="1"/>
    </xf>
    <xf borderId="7" fillId="0" fontId="2" numFmtId="2" xfId="0" applyAlignment="1" applyBorder="1" applyFont="1" applyNumberFormat="1">
      <alignment horizontal="center" readingOrder="0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7" fillId="5" fontId="5" numFmtId="2" xfId="0" applyAlignment="1" applyBorder="1" applyFont="1" applyNumberFormat="1">
      <alignment horizontal="center" readingOrder="0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7" fillId="4" fontId="2" numFmtId="2" xfId="0" applyAlignment="1" applyBorder="1" applyFont="1" applyNumberForma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0" fillId="7" fontId="4" numFmtId="0" xfId="0" applyAlignment="1" applyFill="1" applyFont="1">
      <alignment horizontal="center"/>
    </xf>
    <xf borderId="3" fillId="0" fontId="5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4" max="4" width="10.5"/>
    <col customWidth="1" min="5" max="5" width="10.75"/>
    <col customWidth="1" min="6" max="6" width="9.5"/>
    <col customWidth="1" min="7" max="7" width="10.0"/>
    <col customWidth="1" min="8" max="8" width="12.38"/>
    <col customWidth="1" min="9" max="9" width="10.88"/>
    <col customWidth="1" min="10" max="10" width="13.13"/>
    <col customWidth="1" min="11" max="11" width="21.5"/>
    <col customWidth="1" min="19" max="19" width="12.88"/>
    <col customWidth="1" min="20" max="20" width="12.25"/>
    <col customWidth="1" min="21" max="21" width="12.63"/>
    <col customWidth="1" min="22" max="22" width="23.63"/>
  </cols>
  <sheetData>
    <row r="1">
      <c r="A1" s="1"/>
      <c r="B1" s="2"/>
      <c r="C1" s="2"/>
      <c r="D1" s="2"/>
      <c r="E1" s="2"/>
      <c r="F1" s="2"/>
      <c r="G1" s="2"/>
      <c r="H1" s="3"/>
      <c r="I1" s="2"/>
      <c r="J1" s="3"/>
      <c r="K1" s="3"/>
      <c r="L1" s="2"/>
      <c r="M1" s="1"/>
      <c r="N1" s="2"/>
      <c r="O1" s="2"/>
      <c r="P1" s="2"/>
      <c r="Q1" s="2"/>
      <c r="R1" s="2"/>
      <c r="S1" s="3"/>
      <c r="T1" s="2"/>
      <c r="U1" s="3"/>
      <c r="V1" s="3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6"/>
      <c r="L2" s="7"/>
      <c r="M2" s="8" t="s">
        <v>0</v>
      </c>
      <c r="N2" s="5"/>
      <c r="O2" s="5"/>
      <c r="P2" s="5"/>
      <c r="Q2" s="5"/>
      <c r="R2" s="5"/>
      <c r="S2" s="5"/>
      <c r="T2" s="5"/>
      <c r="U2" s="5"/>
      <c r="V2" s="6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2"/>
      <c r="B3" s="9" t="s">
        <v>1</v>
      </c>
      <c r="C3" s="5"/>
      <c r="D3" s="5"/>
      <c r="E3" s="5"/>
      <c r="F3" s="5"/>
      <c r="G3" s="5"/>
      <c r="H3" s="5"/>
      <c r="I3" s="5"/>
      <c r="J3" s="5"/>
      <c r="K3" s="6"/>
      <c r="L3" s="7"/>
      <c r="M3" s="10" t="s">
        <v>2</v>
      </c>
      <c r="N3" s="11"/>
      <c r="O3" s="11"/>
      <c r="P3" s="11"/>
      <c r="Q3" s="11"/>
      <c r="R3" s="11"/>
      <c r="S3" s="11"/>
      <c r="T3" s="11"/>
      <c r="U3" s="11"/>
      <c r="V3" s="1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2"/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4" t="s">
        <v>8</v>
      </c>
      <c r="H4" s="15" t="s">
        <v>9</v>
      </c>
      <c r="I4" s="16" t="s">
        <v>10</v>
      </c>
      <c r="J4" s="15" t="s">
        <v>11</v>
      </c>
      <c r="K4" s="17" t="s">
        <v>12</v>
      </c>
      <c r="L4" s="7"/>
      <c r="M4" s="18" t="s">
        <v>3</v>
      </c>
      <c r="N4" s="19" t="s">
        <v>4</v>
      </c>
      <c r="O4" s="19" t="s">
        <v>5</v>
      </c>
      <c r="P4" s="19" t="s">
        <v>6</v>
      </c>
      <c r="Q4" s="20" t="s">
        <v>7</v>
      </c>
      <c r="R4" s="20" t="s">
        <v>8</v>
      </c>
      <c r="S4" s="21" t="s">
        <v>9</v>
      </c>
      <c r="T4" s="22" t="s">
        <v>10</v>
      </c>
      <c r="U4" s="15" t="s">
        <v>11</v>
      </c>
      <c r="V4" s="17" t="s">
        <v>12</v>
      </c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"/>
      <c r="B5" s="23" t="s">
        <v>13</v>
      </c>
      <c r="C5" s="23" t="s">
        <v>14</v>
      </c>
      <c r="D5" s="24">
        <v>0.84</v>
      </c>
      <c r="E5" s="24">
        <v>0.76</v>
      </c>
      <c r="F5" s="24">
        <v>0.84</v>
      </c>
      <c r="G5" s="25">
        <v>0.78</v>
      </c>
      <c r="H5" s="26">
        <v>1703.0</v>
      </c>
      <c r="I5" s="27" t="s">
        <v>15</v>
      </c>
      <c r="J5" s="28">
        <v>315.0</v>
      </c>
      <c r="K5" s="29" t="s">
        <v>16</v>
      </c>
      <c r="L5" s="7"/>
      <c r="M5" s="30" t="s">
        <v>13</v>
      </c>
      <c r="N5" s="31" t="s">
        <v>14</v>
      </c>
      <c r="O5" s="32">
        <v>0.79</v>
      </c>
      <c r="P5" s="32">
        <v>0.79</v>
      </c>
      <c r="Q5" s="32">
        <v>0.79</v>
      </c>
      <c r="R5" s="32">
        <v>0.79</v>
      </c>
      <c r="S5" s="33">
        <v>4061.0</v>
      </c>
      <c r="T5" s="34" t="s">
        <v>17</v>
      </c>
      <c r="U5" s="28">
        <v>1080.0</v>
      </c>
      <c r="V5" s="29" t="s">
        <v>18</v>
      </c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2"/>
      <c r="B6" s="35" t="s">
        <v>19</v>
      </c>
      <c r="C6" s="36"/>
      <c r="D6" s="37">
        <v>0.83</v>
      </c>
      <c r="E6" s="37">
        <v>0.73</v>
      </c>
      <c r="F6" s="37">
        <v>0.83</v>
      </c>
      <c r="G6" s="38">
        <v>0.77</v>
      </c>
      <c r="H6" s="39">
        <v>1710.0</v>
      </c>
      <c r="I6" s="40">
        <f t="shared" ref="I6:I9" si="1">1-D6</f>
        <v>0.17</v>
      </c>
      <c r="J6" s="41">
        <v>308.0</v>
      </c>
      <c r="K6" s="42" t="s">
        <v>20</v>
      </c>
      <c r="L6" s="7"/>
      <c r="M6" s="43" t="s">
        <v>19</v>
      </c>
      <c r="N6" s="44"/>
      <c r="O6" s="45">
        <v>0.86</v>
      </c>
      <c r="P6" s="45">
        <v>0.86</v>
      </c>
      <c r="Q6" s="45">
        <v>0.86</v>
      </c>
      <c r="R6" s="45">
        <v>0.86</v>
      </c>
      <c r="S6" s="46">
        <v>4414.0</v>
      </c>
      <c r="T6" s="47">
        <f t="shared" ref="T6:T9" si="2">1-O6</f>
        <v>0.14</v>
      </c>
      <c r="U6" s="41">
        <v>727.0</v>
      </c>
      <c r="V6" s="48" t="s">
        <v>20</v>
      </c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"/>
      <c r="B7" s="49" t="s">
        <v>21</v>
      </c>
      <c r="C7" s="36"/>
      <c r="D7" s="50">
        <v>0.72</v>
      </c>
      <c r="E7" s="50">
        <v>0.74</v>
      </c>
      <c r="F7" s="50">
        <v>0.72</v>
      </c>
      <c r="G7" s="51">
        <v>0.73</v>
      </c>
      <c r="H7" s="52">
        <v>1458.0</v>
      </c>
      <c r="I7" s="53">
        <f t="shared" si="1"/>
        <v>0.28</v>
      </c>
      <c r="J7" s="54">
        <v>560.0</v>
      </c>
      <c r="K7" s="55" t="s">
        <v>20</v>
      </c>
      <c r="L7" s="7"/>
      <c r="M7" s="30" t="s">
        <v>21</v>
      </c>
      <c r="N7" s="44"/>
      <c r="O7" s="32">
        <v>0.82</v>
      </c>
      <c r="P7" s="32">
        <v>0.82</v>
      </c>
      <c r="Q7" s="32">
        <v>0.82</v>
      </c>
      <c r="R7" s="32">
        <v>0.81</v>
      </c>
      <c r="S7" s="56">
        <v>4207.0</v>
      </c>
      <c r="T7" s="57">
        <f t="shared" si="2"/>
        <v>0.18</v>
      </c>
      <c r="U7" s="54">
        <v>934.0</v>
      </c>
      <c r="V7" s="58" t="s">
        <v>20</v>
      </c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49" t="s">
        <v>22</v>
      </c>
      <c r="C8" s="36"/>
      <c r="D8" s="50">
        <v>0.84</v>
      </c>
      <c r="E8" s="50">
        <v>0.75</v>
      </c>
      <c r="F8" s="50">
        <v>0.84</v>
      </c>
      <c r="G8" s="51">
        <v>0.78</v>
      </c>
      <c r="H8" s="52">
        <v>1702.0</v>
      </c>
      <c r="I8" s="53">
        <f t="shared" si="1"/>
        <v>0.16</v>
      </c>
      <c r="J8" s="54">
        <v>316.0</v>
      </c>
      <c r="K8" s="50" t="s">
        <v>23</v>
      </c>
      <c r="L8" s="7"/>
      <c r="M8" s="30" t="s">
        <v>22</v>
      </c>
      <c r="N8" s="44"/>
      <c r="O8" s="32">
        <v>0.44</v>
      </c>
      <c r="P8" s="32">
        <v>0.46</v>
      </c>
      <c r="Q8" s="32">
        <v>0.44</v>
      </c>
      <c r="R8" s="32">
        <v>0.39</v>
      </c>
      <c r="S8" s="56">
        <v>2277.0</v>
      </c>
      <c r="T8" s="57">
        <f t="shared" si="2"/>
        <v>0.56</v>
      </c>
      <c r="U8" s="54">
        <v>2864.0</v>
      </c>
      <c r="V8" s="50" t="s">
        <v>23</v>
      </c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"/>
      <c r="B9" s="49" t="s">
        <v>24</v>
      </c>
      <c r="C9" s="59"/>
      <c r="D9" s="49">
        <v>0.85</v>
      </c>
      <c r="E9" s="49">
        <v>0.72</v>
      </c>
      <c r="F9" s="49">
        <v>0.85</v>
      </c>
      <c r="G9" s="60">
        <v>0.78</v>
      </c>
      <c r="H9" s="61">
        <f>0+0+1712</f>
        <v>1712</v>
      </c>
      <c r="I9" s="62">
        <f t="shared" si="1"/>
        <v>0.15</v>
      </c>
      <c r="J9" s="63">
        <f>0+22+284+0+0+0</f>
        <v>306</v>
      </c>
      <c r="K9" s="49" t="s">
        <v>23</v>
      </c>
      <c r="L9" s="7"/>
      <c r="M9" s="64" t="s">
        <v>24</v>
      </c>
      <c r="N9" s="65"/>
      <c r="O9" s="66">
        <v>0.49</v>
      </c>
      <c r="P9" s="66">
        <v>0.48</v>
      </c>
      <c r="Q9" s="66">
        <v>0.49</v>
      </c>
      <c r="R9" s="66">
        <v>0.48</v>
      </c>
      <c r="S9" s="67">
        <f>1129+549+846</f>
        <v>2524</v>
      </c>
      <c r="T9" s="68">
        <f t="shared" si="2"/>
        <v>0.51</v>
      </c>
      <c r="U9" s="63">
        <f>275+295+625+535+411+476</f>
        <v>2617</v>
      </c>
      <c r="V9" s="49" t="s">
        <v>23</v>
      </c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2"/>
      <c r="B10" s="9" t="s">
        <v>25</v>
      </c>
      <c r="C10" s="5"/>
      <c r="D10" s="5"/>
      <c r="E10" s="5"/>
      <c r="F10" s="5"/>
      <c r="G10" s="5"/>
      <c r="H10" s="5"/>
      <c r="I10" s="5"/>
      <c r="J10" s="5"/>
      <c r="K10" s="6"/>
      <c r="L10" s="7"/>
      <c r="M10" s="69" t="s">
        <v>26</v>
      </c>
      <c r="N10" s="5"/>
      <c r="O10" s="5"/>
      <c r="P10" s="5"/>
      <c r="Q10" s="5"/>
      <c r="R10" s="5"/>
      <c r="S10" s="5"/>
      <c r="T10" s="5"/>
      <c r="U10" s="5"/>
      <c r="V10" s="6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"/>
      <c r="B11" s="13" t="s">
        <v>3</v>
      </c>
      <c r="C11" s="13" t="s">
        <v>4</v>
      </c>
      <c r="D11" s="13" t="s">
        <v>5</v>
      </c>
      <c r="E11" s="13" t="s">
        <v>6</v>
      </c>
      <c r="F11" s="13" t="s">
        <v>7</v>
      </c>
      <c r="G11" s="14" t="s">
        <v>8</v>
      </c>
      <c r="H11" s="15" t="s">
        <v>9</v>
      </c>
      <c r="I11" s="22" t="s">
        <v>10</v>
      </c>
      <c r="J11" s="15" t="s">
        <v>11</v>
      </c>
      <c r="K11" s="17" t="s">
        <v>12</v>
      </c>
      <c r="L11" s="7"/>
      <c r="M11" s="18" t="s">
        <v>3</v>
      </c>
      <c r="N11" s="19" t="s">
        <v>4</v>
      </c>
      <c r="O11" s="19" t="s">
        <v>5</v>
      </c>
      <c r="P11" s="19" t="s">
        <v>6</v>
      </c>
      <c r="Q11" s="20" t="s">
        <v>7</v>
      </c>
      <c r="R11" s="20" t="s">
        <v>8</v>
      </c>
      <c r="S11" s="15" t="s">
        <v>9</v>
      </c>
      <c r="T11" s="22" t="s">
        <v>10</v>
      </c>
      <c r="U11" s="15" t="s">
        <v>11</v>
      </c>
      <c r="V11" s="17" t="s">
        <v>12</v>
      </c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2"/>
      <c r="B12" s="23" t="s">
        <v>13</v>
      </c>
      <c r="C12" s="24">
        <v>1.0</v>
      </c>
      <c r="D12" s="70">
        <v>0.85</v>
      </c>
      <c r="E12" s="70">
        <v>0.72</v>
      </c>
      <c r="F12" s="70">
        <v>0.85</v>
      </c>
      <c r="G12" s="71">
        <v>0.78</v>
      </c>
      <c r="H12" s="26">
        <f>0+1712</f>
        <v>1712</v>
      </c>
      <c r="I12" s="72">
        <f t="shared" ref="I12:I66" si="3">1-D12</f>
        <v>0.15</v>
      </c>
      <c r="J12" s="28">
        <f>22+284</f>
        <v>306</v>
      </c>
      <c r="K12" s="29" t="s">
        <v>18</v>
      </c>
      <c r="L12" s="7"/>
      <c r="M12" s="73" t="s">
        <v>13</v>
      </c>
      <c r="N12" s="74">
        <v>1.0</v>
      </c>
      <c r="O12" s="75">
        <v>0.42</v>
      </c>
      <c r="P12" s="75">
        <v>0.47</v>
      </c>
      <c r="Q12" s="75">
        <v>0.42</v>
      </c>
      <c r="R12" s="75">
        <v>0.33</v>
      </c>
      <c r="S12" s="76">
        <v>2139.0</v>
      </c>
      <c r="T12" s="77">
        <f t="shared" ref="T12:T66" si="4">1-O12</f>
        <v>0.58</v>
      </c>
      <c r="U12" s="76">
        <v>3002.0</v>
      </c>
      <c r="V12" s="24" t="s">
        <v>18</v>
      </c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2"/>
      <c r="B13" s="36"/>
      <c r="C13" s="50">
        <v>2.0</v>
      </c>
      <c r="D13" s="78">
        <v>0.85</v>
      </c>
      <c r="E13" s="78">
        <v>0.72</v>
      </c>
      <c r="F13" s="78">
        <v>0.85</v>
      </c>
      <c r="G13" s="79" t="s">
        <v>27</v>
      </c>
      <c r="H13" s="52">
        <f>0+0+1711</f>
        <v>1711</v>
      </c>
      <c r="I13" s="80">
        <f t="shared" si="3"/>
        <v>0.15</v>
      </c>
      <c r="J13" s="54">
        <f>22+284+1</f>
        <v>307</v>
      </c>
      <c r="K13" s="50" t="s">
        <v>18</v>
      </c>
      <c r="L13" s="7"/>
      <c r="M13" s="36"/>
      <c r="N13" s="74">
        <v>2.0</v>
      </c>
      <c r="O13" s="75">
        <v>0.43</v>
      </c>
      <c r="P13" s="75">
        <v>0.47</v>
      </c>
      <c r="Q13" s="75">
        <v>0.43</v>
      </c>
      <c r="R13" s="75">
        <v>0.37</v>
      </c>
      <c r="S13" s="54">
        <v>2197.0</v>
      </c>
      <c r="T13" s="81">
        <f t="shared" si="4"/>
        <v>0.57</v>
      </c>
      <c r="U13" s="54">
        <v>2944.0</v>
      </c>
      <c r="V13" s="50" t="s">
        <v>18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2"/>
      <c r="B14" s="36"/>
      <c r="C14" s="50">
        <v>3.0</v>
      </c>
      <c r="D14" s="78">
        <v>0.85</v>
      </c>
      <c r="E14" s="78">
        <v>0.74</v>
      </c>
      <c r="F14" s="78">
        <v>0.85</v>
      </c>
      <c r="G14" s="79">
        <v>0.78</v>
      </c>
      <c r="H14" s="52">
        <f>1705+1</f>
        <v>1706</v>
      </c>
      <c r="I14" s="80">
        <f t="shared" si="3"/>
        <v>0.15</v>
      </c>
      <c r="J14" s="54">
        <f>22+283+7</f>
        <v>312</v>
      </c>
      <c r="K14" s="50" t="s">
        <v>28</v>
      </c>
      <c r="L14" s="7"/>
      <c r="M14" s="36"/>
      <c r="N14" s="74">
        <v>3.0</v>
      </c>
      <c r="O14" s="75">
        <v>0.48</v>
      </c>
      <c r="P14" s="75">
        <v>0.48</v>
      </c>
      <c r="Q14" s="75">
        <v>0.48</v>
      </c>
      <c r="R14" s="75">
        <v>0.47</v>
      </c>
      <c r="S14" s="54">
        <v>2466.0</v>
      </c>
      <c r="T14" s="81">
        <f t="shared" si="4"/>
        <v>0.52</v>
      </c>
      <c r="U14" s="54">
        <v>2675.0</v>
      </c>
      <c r="V14" s="50" t="s">
        <v>18</v>
      </c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36"/>
      <c r="C15" s="82">
        <v>4.0</v>
      </c>
      <c r="D15" s="83">
        <v>0.85</v>
      </c>
      <c r="E15" s="83">
        <v>0.8</v>
      </c>
      <c r="F15" s="83">
        <v>0.85</v>
      </c>
      <c r="G15" s="84">
        <v>0.78</v>
      </c>
      <c r="H15" s="85">
        <f>0+6+1707</f>
        <v>1713</v>
      </c>
      <c r="I15" s="86">
        <f t="shared" si="3"/>
        <v>0.15</v>
      </c>
      <c r="J15" s="87">
        <f>22+278+5</f>
        <v>305</v>
      </c>
      <c r="K15" s="82" t="s">
        <v>16</v>
      </c>
      <c r="L15" s="7"/>
      <c r="M15" s="36"/>
      <c r="N15" s="74">
        <v>4.0</v>
      </c>
      <c r="O15" s="75">
        <v>0.56</v>
      </c>
      <c r="P15" s="75">
        <v>0.55</v>
      </c>
      <c r="Q15" s="75">
        <v>0.56</v>
      </c>
      <c r="R15" s="75">
        <v>0.55</v>
      </c>
      <c r="S15" s="54">
        <v>2876.0</v>
      </c>
      <c r="T15" s="81">
        <f t="shared" si="4"/>
        <v>0.44</v>
      </c>
      <c r="U15" s="54">
        <v>2265.0</v>
      </c>
      <c r="V15" s="50" t="s">
        <v>16</v>
      </c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/>
      <c r="B16" s="36"/>
      <c r="C16" s="50">
        <v>5.0</v>
      </c>
      <c r="D16" s="78">
        <v>0.84</v>
      </c>
      <c r="E16" s="78">
        <v>0.75</v>
      </c>
      <c r="F16" s="78">
        <v>0.84</v>
      </c>
      <c r="G16" s="79">
        <v>0.78</v>
      </c>
      <c r="H16" s="52">
        <f t="shared" ref="H16:H17" si="5">4+1699</f>
        <v>1703</v>
      </c>
      <c r="I16" s="80">
        <f t="shared" si="3"/>
        <v>0.16</v>
      </c>
      <c r="J16" s="54">
        <f>22+13+280</f>
        <v>315</v>
      </c>
      <c r="K16" s="50" t="s">
        <v>18</v>
      </c>
      <c r="L16" s="7"/>
      <c r="M16" s="36"/>
      <c r="N16" s="74">
        <v>5.0</v>
      </c>
      <c r="O16" s="75">
        <v>0.63</v>
      </c>
      <c r="P16" s="75">
        <v>0.63</v>
      </c>
      <c r="Q16" s="75">
        <v>0.63</v>
      </c>
      <c r="R16" s="75">
        <v>0.62</v>
      </c>
      <c r="S16" s="54">
        <v>3246.0</v>
      </c>
      <c r="T16" s="81">
        <f t="shared" si="4"/>
        <v>0.37</v>
      </c>
      <c r="U16" s="54">
        <v>1895.0</v>
      </c>
      <c r="V16" s="50" t="s">
        <v>18</v>
      </c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/>
      <c r="B17" s="36"/>
      <c r="C17" s="50">
        <v>6.0</v>
      </c>
      <c r="D17" s="78">
        <v>0.84</v>
      </c>
      <c r="E17" s="78">
        <v>0.75</v>
      </c>
      <c r="F17" s="78">
        <v>0.84</v>
      </c>
      <c r="G17" s="79">
        <v>0.78</v>
      </c>
      <c r="H17" s="52">
        <f t="shared" si="5"/>
        <v>1703</v>
      </c>
      <c r="I17" s="80">
        <f t="shared" si="3"/>
        <v>0.16</v>
      </c>
      <c r="J17" s="54">
        <f>22+280+13</f>
        <v>315</v>
      </c>
      <c r="K17" s="50" t="s">
        <v>18</v>
      </c>
      <c r="L17" s="7"/>
      <c r="M17" s="36"/>
      <c r="N17" s="74">
        <v>6.0</v>
      </c>
      <c r="O17" s="75">
        <v>0.69</v>
      </c>
      <c r="P17" s="75">
        <v>0.69</v>
      </c>
      <c r="Q17" s="75">
        <v>0.69</v>
      </c>
      <c r="R17" s="75">
        <v>0.69</v>
      </c>
      <c r="S17" s="54">
        <v>3564.0</v>
      </c>
      <c r="T17" s="81">
        <f t="shared" si="4"/>
        <v>0.31</v>
      </c>
      <c r="U17" s="54">
        <v>1577.0</v>
      </c>
      <c r="V17" s="50" t="s">
        <v>18</v>
      </c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36"/>
      <c r="C18" s="50">
        <v>7.0</v>
      </c>
      <c r="D18" s="78">
        <v>0.84</v>
      </c>
      <c r="E18" s="78">
        <v>0.76</v>
      </c>
      <c r="F18" s="78">
        <v>0.84</v>
      </c>
      <c r="G18" s="79">
        <v>0.78</v>
      </c>
      <c r="H18" s="52">
        <f>7+1694</f>
        <v>1701</v>
      </c>
      <c r="I18" s="80">
        <f t="shared" si="3"/>
        <v>0.16</v>
      </c>
      <c r="J18" s="54">
        <f>22+276+1+18</f>
        <v>317</v>
      </c>
      <c r="K18" s="50" t="s">
        <v>18</v>
      </c>
      <c r="L18" s="7"/>
      <c r="M18" s="36"/>
      <c r="N18" s="74">
        <v>7.0</v>
      </c>
      <c r="O18" s="75">
        <v>0.72</v>
      </c>
      <c r="P18" s="75">
        <v>0.72</v>
      </c>
      <c r="Q18" s="75">
        <v>0.72</v>
      </c>
      <c r="R18" s="75">
        <v>0.72</v>
      </c>
      <c r="S18" s="54">
        <v>3707.0</v>
      </c>
      <c r="T18" s="81">
        <f t="shared" si="4"/>
        <v>0.28</v>
      </c>
      <c r="U18" s="54">
        <v>1434.0</v>
      </c>
      <c r="V18" s="50" t="s">
        <v>18</v>
      </c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36"/>
      <c r="C19" s="50">
        <v>8.0</v>
      </c>
      <c r="D19" s="78">
        <v>0.85</v>
      </c>
      <c r="E19" s="78">
        <v>0.77</v>
      </c>
      <c r="F19" s="78">
        <v>0.85</v>
      </c>
      <c r="G19" s="79">
        <v>0.78</v>
      </c>
      <c r="H19" s="52">
        <f>0+8+1698</f>
        <v>1706</v>
      </c>
      <c r="I19" s="80">
        <f t="shared" si="3"/>
        <v>0.15</v>
      </c>
      <c r="J19" s="54">
        <f>22+276+14</f>
        <v>312</v>
      </c>
      <c r="K19" s="50" t="s">
        <v>18</v>
      </c>
      <c r="L19" s="7"/>
      <c r="M19" s="36"/>
      <c r="N19" s="74">
        <v>8.0</v>
      </c>
      <c r="O19" s="75">
        <v>0.72</v>
      </c>
      <c r="P19" s="75">
        <v>0.72</v>
      </c>
      <c r="Q19" s="75">
        <v>0.72</v>
      </c>
      <c r="R19" s="75">
        <v>0.72</v>
      </c>
      <c r="S19" s="54">
        <v>3723.0</v>
      </c>
      <c r="T19" s="81">
        <f t="shared" si="4"/>
        <v>0.28</v>
      </c>
      <c r="U19" s="54">
        <v>1418.0</v>
      </c>
      <c r="V19" s="50" t="s">
        <v>18</v>
      </c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36"/>
      <c r="C20" s="50">
        <v>9.0</v>
      </c>
      <c r="D20" s="78">
        <v>0.84</v>
      </c>
      <c r="E20" s="78">
        <v>0.75</v>
      </c>
      <c r="F20" s="78">
        <v>0.84</v>
      </c>
      <c r="G20" s="79">
        <v>0.78</v>
      </c>
      <c r="H20" s="52">
        <f>0+5+1690</f>
        <v>1695</v>
      </c>
      <c r="I20" s="80">
        <f t="shared" si="3"/>
        <v>0.16</v>
      </c>
      <c r="J20" s="54">
        <f>22+279+1+21</f>
        <v>323</v>
      </c>
      <c r="K20" s="50" t="s">
        <v>18</v>
      </c>
      <c r="L20" s="7"/>
      <c r="M20" s="36"/>
      <c r="N20" s="74">
        <v>9.0</v>
      </c>
      <c r="O20" s="75">
        <v>0.75</v>
      </c>
      <c r="P20" s="75">
        <v>0.74</v>
      </c>
      <c r="Q20" s="75">
        <v>0.75</v>
      </c>
      <c r="R20" s="75">
        <v>0.74</v>
      </c>
      <c r="S20" s="54">
        <v>3853.0</v>
      </c>
      <c r="T20" s="81">
        <f t="shared" si="4"/>
        <v>0.25</v>
      </c>
      <c r="U20" s="54">
        <v>1288.0</v>
      </c>
      <c r="V20" s="50" t="s">
        <v>18</v>
      </c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36"/>
      <c r="C21" s="50">
        <v>10.0</v>
      </c>
      <c r="D21" s="78">
        <v>0.84</v>
      </c>
      <c r="E21" s="78">
        <v>0.76</v>
      </c>
      <c r="F21" s="78">
        <v>0.84</v>
      </c>
      <c r="G21" s="79">
        <v>0.78</v>
      </c>
      <c r="H21" s="52">
        <f>0+6+1697</f>
        <v>1703</v>
      </c>
      <c r="I21" s="80">
        <f t="shared" si="3"/>
        <v>0.16</v>
      </c>
      <c r="J21" s="54">
        <f>22+278+15</f>
        <v>315</v>
      </c>
      <c r="K21" s="50" t="s">
        <v>16</v>
      </c>
      <c r="L21" s="7"/>
      <c r="M21" s="36"/>
      <c r="N21" s="74">
        <v>10.0</v>
      </c>
      <c r="O21" s="75">
        <v>0.75</v>
      </c>
      <c r="P21" s="75">
        <v>0.74</v>
      </c>
      <c r="Q21" s="75">
        <v>0.75</v>
      </c>
      <c r="R21" s="75">
        <v>0.74</v>
      </c>
      <c r="S21" s="54">
        <v>3850.0</v>
      </c>
      <c r="T21" s="81">
        <f t="shared" si="4"/>
        <v>0.25</v>
      </c>
      <c r="U21" s="54">
        <v>1291.0</v>
      </c>
      <c r="V21" s="50" t="s">
        <v>18</v>
      </c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59"/>
      <c r="C22" s="49">
        <v>11.0</v>
      </c>
      <c r="D22" s="88">
        <v>0.84</v>
      </c>
      <c r="E22" s="88">
        <v>0.76</v>
      </c>
      <c r="F22" s="88">
        <v>0.84</v>
      </c>
      <c r="G22" s="89">
        <v>0.78</v>
      </c>
      <c r="H22" s="61">
        <f>0+7+1696</f>
        <v>1703</v>
      </c>
      <c r="I22" s="90">
        <f t="shared" si="3"/>
        <v>0.16</v>
      </c>
      <c r="J22" s="63">
        <f>22+277+16</f>
        <v>315</v>
      </c>
      <c r="K22" s="49" t="s">
        <v>16</v>
      </c>
      <c r="L22" s="7"/>
      <c r="M22" s="91"/>
      <c r="N22" s="92">
        <v>11.0</v>
      </c>
      <c r="O22" s="93">
        <v>0.79</v>
      </c>
      <c r="P22" s="93">
        <v>0.79</v>
      </c>
      <c r="Q22" s="93">
        <v>0.79</v>
      </c>
      <c r="R22" s="93">
        <v>0.79</v>
      </c>
      <c r="S22" s="94">
        <v>4061.0</v>
      </c>
      <c r="T22" s="95">
        <f t="shared" si="4"/>
        <v>0.21</v>
      </c>
      <c r="U22" s="94">
        <v>1080.0</v>
      </c>
      <c r="V22" s="96" t="s">
        <v>18</v>
      </c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3" t="s">
        <v>19</v>
      </c>
      <c r="C23" s="24">
        <v>1.0</v>
      </c>
      <c r="D23" s="24">
        <v>0.85</v>
      </c>
      <c r="E23" s="24">
        <v>0.72</v>
      </c>
      <c r="F23" s="24">
        <v>0.85</v>
      </c>
      <c r="G23" s="25">
        <v>0.78</v>
      </c>
      <c r="H23" s="97">
        <v>1712.0</v>
      </c>
      <c r="I23" s="98">
        <f t="shared" si="3"/>
        <v>0.15</v>
      </c>
      <c r="J23" s="76">
        <v>306.0</v>
      </c>
      <c r="K23" s="99" t="s">
        <v>18</v>
      </c>
      <c r="L23" s="7"/>
      <c r="M23" s="73" t="s">
        <v>19</v>
      </c>
      <c r="N23" s="74">
        <v>1.0</v>
      </c>
      <c r="O23" s="75">
        <v>0.42</v>
      </c>
      <c r="P23" s="75">
        <v>0.47</v>
      </c>
      <c r="Q23" s="75">
        <v>0.42</v>
      </c>
      <c r="R23" s="75">
        <v>0.33</v>
      </c>
      <c r="S23" s="76">
        <v>2139.0</v>
      </c>
      <c r="T23" s="100">
        <f t="shared" si="4"/>
        <v>0.58</v>
      </c>
      <c r="U23" s="76">
        <v>3002.0</v>
      </c>
      <c r="V23" s="99" t="s">
        <v>18</v>
      </c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36"/>
      <c r="C24" s="50">
        <v>2.0</v>
      </c>
      <c r="D24" s="50">
        <v>0.85</v>
      </c>
      <c r="E24" s="50">
        <v>0.72</v>
      </c>
      <c r="F24" s="50">
        <v>0.85</v>
      </c>
      <c r="G24" s="51">
        <v>0.78</v>
      </c>
      <c r="H24" s="52">
        <v>1711.0</v>
      </c>
      <c r="I24" s="53">
        <f t="shared" si="3"/>
        <v>0.15</v>
      </c>
      <c r="J24" s="54">
        <v>307.0</v>
      </c>
      <c r="K24" s="101" t="s">
        <v>18</v>
      </c>
      <c r="L24" s="7"/>
      <c r="M24" s="36"/>
      <c r="N24" s="74">
        <v>2.0</v>
      </c>
      <c r="O24" s="75">
        <v>0.43</v>
      </c>
      <c r="P24" s="75">
        <v>0.47</v>
      </c>
      <c r="Q24" s="75">
        <v>0.43</v>
      </c>
      <c r="R24" s="75">
        <v>0.37</v>
      </c>
      <c r="S24" s="54">
        <v>2197.0</v>
      </c>
      <c r="T24" s="102">
        <f t="shared" si="4"/>
        <v>0.57</v>
      </c>
      <c r="U24" s="54">
        <v>2944.0</v>
      </c>
      <c r="V24" s="101" t="s">
        <v>18</v>
      </c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36"/>
      <c r="C25" s="50">
        <v>3.0</v>
      </c>
      <c r="D25" s="50">
        <v>0.85</v>
      </c>
      <c r="E25" s="50">
        <v>0.75</v>
      </c>
      <c r="F25" s="50">
        <v>0.85</v>
      </c>
      <c r="G25" s="51">
        <v>0.78</v>
      </c>
      <c r="H25" s="52">
        <v>1709.0</v>
      </c>
      <c r="I25" s="53">
        <f t="shared" si="3"/>
        <v>0.15</v>
      </c>
      <c r="J25" s="54">
        <v>309.0</v>
      </c>
      <c r="K25" s="101" t="s">
        <v>20</v>
      </c>
      <c r="L25" s="7"/>
      <c r="M25" s="36"/>
      <c r="N25" s="74">
        <v>3.0</v>
      </c>
      <c r="O25" s="75">
        <v>0.48</v>
      </c>
      <c r="P25" s="75">
        <v>0.48</v>
      </c>
      <c r="Q25" s="75">
        <v>0.48</v>
      </c>
      <c r="R25" s="75">
        <v>0.47</v>
      </c>
      <c r="S25" s="54">
        <v>2471.0</v>
      </c>
      <c r="T25" s="102">
        <f t="shared" si="4"/>
        <v>0.52</v>
      </c>
      <c r="U25" s="54">
        <v>2670.0</v>
      </c>
      <c r="V25" s="101" t="s">
        <v>20</v>
      </c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36"/>
      <c r="C26" s="37">
        <v>4.0</v>
      </c>
      <c r="D26" s="37">
        <v>0.85</v>
      </c>
      <c r="E26" s="37">
        <v>0.78</v>
      </c>
      <c r="F26" s="37">
        <v>0.85</v>
      </c>
      <c r="G26" s="38">
        <v>0.78</v>
      </c>
      <c r="H26" s="39">
        <v>1710.0</v>
      </c>
      <c r="I26" s="40">
        <f t="shared" si="3"/>
        <v>0.15</v>
      </c>
      <c r="J26" s="41">
        <v>308.0</v>
      </c>
      <c r="K26" s="48" t="s">
        <v>20</v>
      </c>
      <c r="L26" s="7"/>
      <c r="M26" s="36"/>
      <c r="N26" s="74">
        <v>4.0</v>
      </c>
      <c r="O26" s="75">
        <v>0.55</v>
      </c>
      <c r="P26" s="75">
        <v>0.54</v>
      </c>
      <c r="Q26" s="75">
        <v>0.55</v>
      </c>
      <c r="R26" s="75">
        <v>0.53</v>
      </c>
      <c r="S26" s="54">
        <v>2818.0</v>
      </c>
      <c r="T26" s="102">
        <f t="shared" si="4"/>
        <v>0.45</v>
      </c>
      <c r="U26" s="54">
        <v>2323.0</v>
      </c>
      <c r="V26" s="101" t="s">
        <v>20</v>
      </c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36"/>
      <c r="C27" s="50">
        <v>5.0</v>
      </c>
      <c r="D27" s="50">
        <v>0.84</v>
      </c>
      <c r="E27" s="50">
        <v>0.75</v>
      </c>
      <c r="F27" s="50">
        <v>0.84</v>
      </c>
      <c r="G27" s="51">
        <v>0.78</v>
      </c>
      <c r="H27" s="52">
        <v>1692.0</v>
      </c>
      <c r="I27" s="53">
        <f t="shared" si="3"/>
        <v>0.16</v>
      </c>
      <c r="J27" s="54">
        <v>326.0</v>
      </c>
      <c r="K27" s="101" t="s">
        <v>20</v>
      </c>
      <c r="L27" s="7"/>
      <c r="M27" s="36"/>
      <c r="N27" s="74">
        <v>5.0</v>
      </c>
      <c r="O27" s="75">
        <v>0.64</v>
      </c>
      <c r="P27" s="75">
        <v>0.64</v>
      </c>
      <c r="Q27" s="75">
        <v>0.64</v>
      </c>
      <c r="R27" s="75">
        <v>0.62</v>
      </c>
      <c r="S27" s="54">
        <v>3280.0</v>
      </c>
      <c r="T27" s="102">
        <f t="shared" si="4"/>
        <v>0.36</v>
      </c>
      <c r="U27" s="54">
        <v>1861.0</v>
      </c>
      <c r="V27" s="101" t="s">
        <v>20</v>
      </c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36"/>
      <c r="C28" s="50">
        <v>6.0</v>
      </c>
      <c r="D28" s="50">
        <v>0.83</v>
      </c>
      <c r="E28" s="50">
        <v>0.75</v>
      </c>
      <c r="F28" s="50">
        <v>0.83</v>
      </c>
      <c r="G28" s="51">
        <v>0.78</v>
      </c>
      <c r="H28" s="52">
        <v>1675.0</v>
      </c>
      <c r="I28" s="53">
        <f t="shared" si="3"/>
        <v>0.17</v>
      </c>
      <c r="J28" s="54">
        <v>343.0</v>
      </c>
      <c r="K28" s="101" t="s">
        <v>20</v>
      </c>
      <c r="L28" s="7"/>
      <c r="M28" s="36"/>
      <c r="N28" s="74">
        <v>6.0</v>
      </c>
      <c r="O28" s="75">
        <v>0.71</v>
      </c>
      <c r="P28" s="75">
        <v>0.71</v>
      </c>
      <c r="Q28" s="75">
        <v>0.71</v>
      </c>
      <c r="R28" s="75">
        <v>0.7</v>
      </c>
      <c r="S28" s="54">
        <v>3656.0</v>
      </c>
      <c r="T28" s="102">
        <f t="shared" si="4"/>
        <v>0.29</v>
      </c>
      <c r="U28" s="54">
        <v>1485.0</v>
      </c>
      <c r="V28" s="101" t="s">
        <v>20</v>
      </c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36"/>
      <c r="C29" s="50">
        <v>7.0</v>
      </c>
      <c r="D29" s="50">
        <v>0.82</v>
      </c>
      <c r="E29" s="50">
        <v>0.73</v>
      </c>
      <c r="F29" s="50">
        <v>0.82</v>
      </c>
      <c r="G29" s="51">
        <v>0.77</v>
      </c>
      <c r="H29" s="52">
        <v>1648.0</v>
      </c>
      <c r="I29" s="53">
        <f t="shared" si="3"/>
        <v>0.18</v>
      </c>
      <c r="J29" s="54">
        <v>370.0</v>
      </c>
      <c r="K29" s="101" t="s">
        <v>20</v>
      </c>
      <c r="L29" s="7"/>
      <c r="M29" s="36"/>
      <c r="N29" s="74">
        <v>7.0</v>
      </c>
      <c r="O29" s="75">
        <v>0.77</v>
      </c>
      <c r="P29" s="75">
        <v>0.76</v>
      </c>
      <c r="Q29" s="75">
        <v>0.77</v>
      </c>
      <c r="R29" s="75">
        <v>0.76</v>
      </c>
      <c r="S29" s="54">
        <v>3934.0</v>
      </c>
      <c r="T29" s="102">
        <f t="shared" si="4"/>
        <v>0.23</v>
      </c>
      <c r="U29" s="54">
        <v>1207.0</v>
      </c>
      <c r="V29" s="101" t="s">
        <v>20</v>
      </c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36"/>
      <c r="C30" s="50">
        <v>8.0</v>
      </c>
      <c r="D30" s="50">
        <v>0.82</v>
      </c>
      <c r="E30" s="50">
        <v>0.73</v>
      </c>
      <c r="F30" s="50">
        <v>0.82</v>
      </c>
      <c r="G30" s="51">
        <v>0.77</v>
      </c>
      <c r="H30" s="52">
        <v>1655.0</v>
      </c>
      <c r="I30" s="53">
        <f t="shared" si="3"/>
        <v>0.18</v>
      </c>
      <c r="J30" s="54">
        <v>363.0</v>
      </c>
      <c r="K30" s="101" t="s">
        <v>20</v>
      </c>
      <c r="L30" s="7"/>
      <c r="M30" s="36"/>
      <c r="N30" s="74">
        <v>8.0</v>
      </c>
      <c r="O30" s="103">
        <v>0.78</v>
      </c>
      <c r="P30" s="103">
        <v>0.78</v>
      </c>
      <c r="Q30" s="103">
        <v>0.78</v>
      </c>
      <c r="R30" s="103">
        <v>0.78</v>
      </c>
      <c r="S30" s="54">
        <v>4008.0</v>
      </c>
      <c r="T30" s="102">
        <f t="shared" si="4"/>
        <v>0.22</v>
      </c>
      <c r="U30" s="54">
        <v>1133.0</v>
      </c>
      <c r="V30" s="101" t="s">
        <v>20</v>
      </c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36"/>
      <c r="C31" s="50">
        <v>9.0</v>
      </c>
      <c r="D31" s="50">
        <v>0.81</v>
      </c>
      <c r="E31" s="50">
        <v>0.73</v>
      </c>
      <c r="F31" s="50">
        <v>0.81</v>
      </c>
      <c r="G31" s="51">
        <v>0.77</v>
      </c>
      <c r="H31" s="52">
        <v>1639.0</v>
      </c>
      <c r="I31" s="53">
        <f t="shared" si="3"/>
        <v>0.19</v>
      </c>
      <c r="J31" s="54">
        <v>379.0</v>
      </c>
      <c r="K31" s="101" t="s">
        <v>20</v>
      </c>
      <c r="L31" s="7"/>
      <c r="M31" s="36"/>
      <c r="N31" s="74">
        <v>9.0</v>
      </c>
      <c r="O31" s="75">
        <v>0.82</v>
      </c>
      <c r="P31" s="75">
        <v>0.81</v>
      </c>
      <c r="Q31" s="75">
        <v>0.82</v>
      </c>
      <c r="R31" s="75">
        <v>0.81</v>
      </c>
      <c r="S31" s="54">
        <v>4200.0</v>
      </c>
      <c r="T31" s="102">
        <f t="shared" si="4"/>
        <v>0.18</v>
      </c>
      <c r="U31" s="54">
        <v>941.0</v>
      </c>
      <c r="V31" s="101" t="s">
        <v>20</v>
      </c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36"/>
      <c r="C32" s="50">
        <v>10.0</v>
      </c>
      <c r="D32" s="50">
        <v>0.81</v>
      </c>
      <c r="E32" s="50">
        <v>0.73</v>
      </c>
      <c r="F32" s="50">
        <v>0.81</v>
      </c>
      <c r="G32" s="51">
        <v>0.76</v>
      </c>
      <c r="H32" s="52">
        <v>1639.0</v>
      </c>
      <c r="I32" s="53">
        <f t="shared" si="3"/>
        <v>0.19</v>
      </c>
      <c r="J32" s="54">
        <v>379.0</v>
      </c>
      <c r="K32" s="101" t="s">
        <v>20</v>
      </c>
      <c r="L32" s="7"/>
      <c r="M32" s="36"/>
      <c r="N32" s="74">
        <v>10.0</v>
      </c>
      <c r="O32" s="75">
        <v>0.82</v>
      </c>
      <c r="P32" s="75">
        <v>0.82</v>
      </c>
      <c r="Q32" s="75">
        <v>0.82</v>
      </c>
      <c r="R32" s="75">
        <v>0.82</v>
      </c>
      <c r="S32" s="54">
        <v>4235.0</v>
      </c>
      <c r="T32" s="102">
        <f t="shared" si="4"/>
        <v>0.18</v>
      </c>
      <c r="U32" s="54">
        <v>906.0</v>
      </c>
      <c r="V32" s="101" t="s">
        <v>20</v>
      </c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59"/>
      <c r="C33" s="49">
        <v>11.0</v>
      </c>
      <c r="D33" s="49">
        <v>0.83</v>
      </c>
      <c r="E33" s="49">
        <v>0.73</v>
      </c>
      <c r="F33" s="49">
        <v>0.83</v>
      </c>
      <c r="G33" s="60">
        <v>0.77</v>
      </c>
      <c r="H33" s="104">
        <v>1666.0</v>
      </c>
      <c r="I33" s="105">
        <f t="shared" si="3"/>
        <v>0.17</v>
      </c>
      <c r="J33" s="106">
        <v>352.0</v>
      </c>
      <c r="K33" s="107" t="s">
        <v>20</v>
      </c>
      <c r="L33" s="7"/>
      <c r="M33" s="91"/>
      <c r="N33" s="108">
        <v>11.0</v>
      </c>
      <c r="O33" s="109">
        <v>0.86</v>
      </c>
      <c r="P33" s="109">
        <v>0.86</v>
      </c>
      <c r="Q33" s="109">
        <v>0.86</v>
      </c>
      <c r="R33" s="109">
        <v>0.86</v>
      </c>
      <c r="S33" s="110">
        <v>4414.0</v>
      </c>
      <c r="T33" s="111">
        <f t="shared" si="4"/>
        <v>0.14</v>
      </c>
      <c r="U33" s="110">
        <v>727.0</v>
      </c>
      <c r="V33" s="112" t="s">
        <v>20</v>
      </c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3" t="s">
        <v>21</v>
      </c>
      <c r="C34" s="113">
        <v>1.0</v>
      </c>
      <c r="D34" s="113">
        <v>0.85</v>
      </c>
      <c r="E34" s="113">
        <v>0.72</v>
      </c>
      <c r="F34" s="113">
        <v>0.85</v>
      </c>
      <c r="G34" s="114">
        <v>0.78</v>
      </c>
      <c r="H34" s="115">
        <v>1712.0</v>
      </c>
      <c r="I34" s="116">
        <f t="shared" si="3"/>
        <v>0.15</v>
      </c>
      <c r="J34" s="117">
        <v>306.0</v>
      </c>
      <c r="K34" s="118" t="s">
        <v>18</v>
      </c>
      <c r="L34" s="7"/>
      <c r="M34" s="73" t="s">
        <v>21</v>
      </c>
      <c r="N34" s="74">
        <v>1.0</v>
      </c>
      <c r="O34" s="75">
        <v>0.42</v>
      </c>
      <c r="P34" s="75">
        <v>0.47</v>
      </c>
      <c r="Q34" s="75">
        <v>0.42</v>
      </c>
      <c r="R34" s="75">
        <v>0.33</v>
      </c>
      <c r="S34" s="33">
        <v>2139.0</v>
      </c>
      <c r="T34" s="119">
        <f t="shared" si="4"/>
        <v>0.58</v>
      </c>
      <c r="U34" s="28">
        <v>3002.0</v>
      </c>
      <c r="V34" s="120" t="s">
        <v>18</v>
      </c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36"/>
      <c r="C35" s="50">
        <v>2.0</v>
      </c>
      <c r="D35" s="50">
        <v>0.85</v>
      </c>
      <c r="E35" s="50">
        <v>0.72</v>
      </c>
      <c r="F35" s="50">
        <v>0.85</v>
      </c>
      <c r="G35" s="51">
        <v>0.78</v>
      </c>
      <c r="H35" s="52">
        <v>1711.0</v>
      </c>
      <c r="I35" s="53">
        <f t="shared" si="3"/>
        <v>0.15</v>
      </c>
      <c r="J35" s="54">
        <v>307.0</v>
      </c>
      <c r="K35" s="101" t="s">
        <v>28</v>
      </c>
      <c r="L35" s="7"/>
      <c r="M35" s="36"/>
      <c r="N35" s="74">
        <v>2.0</v>
      </c>
      <c r="O35" s="75">
        <v>0.43</v>
      </c>
      <c r="P35" s="75">
        <v>0.47</v>
      </c>
      <c r="Q35" s="75">
        <v>0.43</v>
      </c>
      <c r="R35" s="75">
        <v>0.37</v>
      </c>
      <c r="S35" s="56">
        <v>2197.0</v>
      </c>
      <c r="T35" s="102">
        <f t="shared" si="4"/>
        <v>0.57</v>
      </c>
      <c r="U35" s="54">
        <v>2944.0</v>
      </c>
      <c r="V35" s="101" t="s">
        <v>18</v>
      </c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36"/>
      <c r="C36" s="50">
        <v>3.0</v>
      </c>
      <c r="D36" s="50">
        <v>0.84</v>
      </c>
      <c r="E36" s="50">
        <v>0.74</v>
      </c>
      <c r="F36" s="50">
        <v>0.84</v>
      </c>
      <c r="G36" s="51">
        <v>0.78</v>
      </c>
      <c r="H36" s="52">
        <v>1704.0</v>
      </c>
      <c r="I36" s="53">
        <f t="shared" si="3"/>
        <v>0.16</v>
      </c>
      <c r="J36" s="54">
        <v>314.0</v>
      </c>
      <c r="K36" s="101" t="s">
        <v>20</v>
      </c>
      <c r="L36" s="7"/>
      <c r="M36" s="36"/>
      <c r="N36" s="74">
        <v>3.0</v>
      </c>
      <c r="O36" s="75">
        <v>0.48</v>
      </c>
      <c r="P36" s="75">
        <v>0.48</v>
      </c>
      <c r="Q36" s="75">
        <v>0.48</v>
      </c>
      <c r="R36" s="75">
        <v>0.47</v>
      </c>
      <c r="S36" s="56">
        <v>2469.0</v>
      </c>
      <c r="T36" s="102">
        <f t="shared" si="4"/>
        <v>0.52</v>
      </c>
      <c r="U36" s="54">
        <v>2672.0</v>
      </c>
      <c r="V36" s="101" t="s">
        <v>20</v>
      </c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36"/>
      <c r="C37" s="50">
        <v>4.0</v>
      </c>
      <c r="D37" s="50">
        <v>0.84</v>
      </c>
      <c r="E37" s="50">
        <v>0.77</v>
      </c>
      <c r="F37" s="50">
        <v>0.84</v>
      </c>
      <c r="G37" s="51">
        <v>0.79</v>
      </c>
      <c r="H37" s="52">
        <v>1703.0</v>
      </c>
      <c r="I37" s="53">
        <f t="shared" si="3"/>
        <v>0.16</v>
      </c>
      <c r="J37" s="54">
        <v>315.0</v>
      </c>
      <c r="K37" s="101" t="s">
        <v>20</v>
      </c>
      <c r="L37" s="7"/>
      <c r="M37" s="36"/>
      <c r="N37" s="74">
        <v>4.0</v>
      </c>
      <c r="O37" s="75">
        <v>0.55</v>
      </c>
      <c r="P37" s="75">
        <v>0.54</v>
      </c>
      <c r="Q37" s="75">
        <v>0.55</v>
      </c>
      <c r="R37" s="75">
        <v>0.53</v>
      </c>
      <c r="S37" s="56">
        <v>2816.0</v>
      </c>
      <c r="T37" s="102">
        <f t="shared" si="4"/>
        <v>0.45</v>
      </c>
      <c r="U37" s="54">
        <v>798.0</v>
      </c>
      <c r="V37" s="101" t="s">
        <v>20</v>
      </c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36"/>
      <c r="C38" s="50">
        <v>5.0</v>
      </c>
      <c r="D38" s="50">
        <v>0.82</v>
      </c>
      <c r="E38" s="50">
        <v>0.75</v>
      </c>
      <c r="F38" s="50">
        <v>0.82</v>
      </c>
      <c r="G38" s="51">
        <v>0.78</v>
      </c>
      <c r="H38" s="52">
        <v>1661.0</v>
      </c>
      <c r="I38" s="53">
        <f t="shared" si="3"/>
        <v>0.18</v>
      </c>
      <c r="J38" s="54">
        <v>357.0</v>
      </c>
      <c r="K38" s="101" t="s">
        <v>20</v>
      </c>
      <c r="L38" s="7"/>
      <c r="M38" s="36"/>
      <c r="N38" s="74">
        <v>5.0</v>
      </c>
      <c r="O38" s="75">
        <v>0.64</v>
      </c>
      <c r="P38" s="75">
        <v>0.64</v>
      </c>
      <c r="Q38" s="75">
        <v>0.64</v>
      </c>
      <c r="R38" s="75">
        <v>0.62</v>
      </c>
      <c r="S38" s="56">
        <v>3265.0</v>
      </c>
      <c r="T38" s="102">
        <f t="shared" si="4"/>
        <v>0.36</v>
      </c>
      <c r="U38" s="54">
        <v>1876.0</v>
      </c>
      <c r="V38" s="101" t="s">
        <v>20</v>
      </c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36"/>
      <c r="C39" s="50">
        <v>6.0</v>
      </c>
      <c r="D39" s="50">
        <v>0.79</v>
      </c>
      <c r="E39" s="50">
        <v>0.75</v>
      </c>
      <c r="F39" s="50">
        <v>0.79</v>
      </c>
      <c r="G39" s="51">
        <v>0.77</v>
      </c>
      <c r="H39" s="52">
        <v>1604.0</v>
      </c>
      <c r="I39" s="53">
        <f t="shared" si="3"/>
        <v>0.21</v>
      </c>
      <c r="J39" s="54">
        <v>414.0</v>
      </c>
      <c r="K39" s="101" t="s">
        <v>20</v>
      </c>
      <c r="L39" s="7"/>
      <c r="M39" s="36"/>
      <c r="N39" s="74">
        <v>6.0</v>
      </c>
      <c r="O39" s="75">
        <v>0.7</v>
      </c>
      <c r="P39" s="75">
        <v>0.7</v>
      </c>
      <c r="Q39" s="75">
        <v>0.7</v>
      </c>
      <c r="R39" s="121" t="s">
        <v>29</v>
      </c>
      <c r="S39" s="56">
        <v>3609.0</v>
      </c>
      <c r="T39" s="102">
        <f t="shared" si="4"/>
        <v>0.3</v>
      </c>
      <c r="U39" s="54">
        <v>1532.0</v>
      </c>
      <c r="V39" s="101" t="s">
        <v>20</v>
      </c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36"/>
      <c r="C40" s="50">
        <v>7.0</v>
      </c>
      <c r="D40" s="50">
        <v>0.75</v>
      </c>
      <c r="E40" s="50">
        <v>0.74</v>
      </c>
      <c r="F40" s="50">
        <v>0.75</v>
      </c>
      <c r="G40" s="51">
        <v>0.74</v>
      </c>
      <c r="H40" s="52">
        <v>1511.0</v>
      </c>
      <c r="I40" s="53">
        <f t="shared" si="3"/>
        <v>0.25</v>
      </c>
      <c r="J40" s="54">
        <v>507.0</v>
      </c>
      <c r="K40" s="101" t="s">
        <v>20</v>
      </c>
      <c r="L40" s="7"/>
      <c r="M40" s="36"/>
      <c r="N40" s="74">
        <v>7.0</v>
      </c>
      <c r="O40" s="75">
        <v>0.75</v>
      </c>
      <c r="P40" s="75">
        <v>0.75</v>
      </c>
      <c r="Q40" s="75">
        <v>0.75</v>
      </c>
      <c r="R40" s="75">
        <v>0.75</v>
      </c>
      <c r="S40" s="56">
        <v>3871.0</v>
      </c>
      <c r="T40" s="102">
        <f t="shared" si="4"/>
        <v>0.25</v>
      </c>
      <c r="U40" s="54">
        <v>1270.0</v>
      </c>
      <c r="V40" s="101" t="s">
        <v>20</v>
      </c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36"/>
      <c r="C41" s="50">
        <v>8.0</v>
      </c>
      <c r="D41" s="50">
        <v>0.75</v>
      </c>
      <c r="E41" s="50">
        <v>0.74</v>
      </c>
      <c r="F41" s="50">
        <v>0.75</v>
      </c>
      <c r="G41" s="51">
        <v>0.75</v>
      </c>
      <c r="H41" s="52">
        <v>1511.0</v>
      </c>
      <c r="I41" s="53">
        <f t="shared" si="3"/>
        <v>0.25</v>
      </c>
      <c r="J41" s="54">
        <v>507.0</v>
      </c>
      <c r="K41" s="101" t="s">
        <v>20</v>
      </c>
      <c r="L41" s="7"/>
      <c r="M41" s="36"/>
      <c r="N41" s="74">
        <v>8.0</v>
      </c>
      <c r="O41" s="75">
        <v>0.77</v>
      </c>
      <c r="P41" s="75">
        <v>0.77</v>
      </c>
      <c r="Q41" s="75">
        <v>0.77</v>
      </c>
      <c r="R41" s="75">
        <v>0.66</v>
      </c>
      <c r="S41" s="56">
        <v>3943.0</v>
      </c>
      <c r="T41" s="102">
        <f t="shared" si="4"/>
        <v>0.23</v>
      </c>
      <c r="U41" s="54">
        <v>1198.0</v>
      </c>
      <c r="V41" s="101" t="s">
        <v>20</v>
      </c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36"/>
      <c r="C42" s="50">
        <v>9.0</v>
      </c>
      <c r="D42" s="50">
        <v>0.73</v>
      </c>
      <c r="E42" s="50">
        <v>0.74</v>
      </c>
      <c r="F42" s="50">
        <v>0.73</v>
      </c>
      <c r="G42" s="51">
        <v>0.73</v>
      </c>
      <c r="H42" s="52">
        <v>1473.0</v>
      </c>
      <c r="I42" s="53">
        <f t="shared" si="3"/>
        <v>0.27</v>
      </c>
      <c r="J42" s="54">
        <v>545.0</v>
      </c>
      <c r="K42" s="101" t="s">
        <v>20</v>
      </c>
      <c r="L42" s="7"/>
      <c r="M42" s="36"/>
      <c r="N42" s="74">
        <v>9.0</v>
      </c>
      <c r="O42" s="75">
        <v>0.8</v>
      </c>
      <c r="P42" s="75">
        <v>0.8</v>
      </c>
      <c r="Q42" s="75">
        <v>0.8</v>
      </c>
      <c r="R42" s="75">
        <v>0.79</v>
      </c>
      <c r="S42" s="56">
        <v>4095.0</v>
      </c>
      <c r="T42" s="102">
        <f t="shared" si="4"/>
        <v>0.2</v>
      </c>
      <c r="U42" s="54">
        <v>1046.0</v>
      </c>
      <c r="V42" s="101" t="s">
        <v>20</v>
      </c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36"/>
      <c r="C43" s="50">
        <v>10.0</v>
      </c>
      <c r="D43" s="50">
        <v>0.73</v>
      </c>
      <c r="E43" s="50">
        <v>0.74</v>
      </c>
      <c r="F43" s="50">
        <v>0.73</v>
      </c>
      <c r="G43" s="51">
        <v>0.73</v>
      </c>
      <c r="H43" s="52">
        <v>1464.0</v>
      </c>
      <c r="I43" s="53">
        <f t="shared" si="3"/>
        <v>0.27</v>
      </c>
      <c r="J43" s="54">
        <v>554.0</v>
      </c>
      <c r="K43" s="101" t="s">
        <v>20</v>
      </c>
      <c r="L43" s="7"/>
      <c r="M43" s="36"/>
      <c r="N43" s="74">
        <v>10.0</v>
      </c>
      <c r="O43" s="75">
        <v>0.79</v>
      </c>
      <c r="P43" s="75">
        <v>0.79</v>
      </c>
      <c r="Q43" s="75">
        <v>0.79</v>
      </c>
      <c r="R43" s="75">
        <v>0.79</v>
      </c>
      <c r="S43" s="56">
        <v>4081.0</v>
      </c>
      <c r="T43" s="102">
        <f t="shared" si="4"/>
        <v>0.21</v>
      </c>
      <c r="U43" s="54">
        <v>1060.0</v>
      </c>
      <c r="V43" s="101" t="s">
        <v>20</v>
      </c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59"/>
      <c r="C44" s="49">
        <v>11.0</v>
      </c>
      <c r="D44" s="49">
        <v>0.72</v>
      </c>
      <c r="E44" s="49">
        <v>0.74</v>
      </c>
      <c r="F44" s="49">
        <v>0.72</v>
      </c>
      <c r="G44" s="60">
        <v>0.73</v>
      </c>
      <c r="H44" s="61">
        <v>1458.0</v>
      </c>
      <c r="I44" s="62">
        <f t="shared" si="3"/>
        <v>0.28</v>
      </c>
      <c r="J44" s="63">
        <v>560.0</v>
      </c>
      <c r="K44" s="55" t="s">
        <v>20</v>
      </c>
      <c r="L44" s="7"/>
      <c r="M44" s="91"/>
      <c r="N44" s="92">
        <v>11.0</v>
      </c>
      <c r="O44" s="93">
        <v>0.82</v>
      </c>
      <c r="P44" s="93">
        <v>0.82</v>
      </c>
      <c r="Q44" s="93">
        <v>0.82</v>
      </c>
      <c r="R44" s="93">
        <v>0.81</v>
      </c>
      <c r="S44" s="122">
        <v>4207.0</v>
      </c>
      <c r="T44" s="123">
        <f t="shared" si="4"/>
        <v>0.18</v>
      </c>
      <c r="U44" s="124">
        <v>934.0</v>
      </c>
      <c r="V44" s="125" t="s">
        <v>20</v>
      </c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3" t="s">
        <v>22</v>
      </c>
      <c r="C45" s="113">
        <v>1.0</v>
      </c>
      <c r="D45" s="113">
        <v>0.85</v>
      </c>
      <c r="E45" s="113">
        <v>0.72</v>
      </c>
      <c r="F45" s="113">
        <v>0.85</v>
      </c>
      <c r="G45" s="114">
        <v>0.78</v>
      </c>
      <c r="H45" s="126">
        <v>1712.0</v>
      </c>
      <c r="I45" s="127">
        <f t="shared" si="3"/>
        <v>0.15</v>
      </c>
      <c r="J45" s="128">
        <v>306.0</v>
      </c>
      <c r="K45" s="113" t="s">
        <v>23</v>
      </c>
      <c r="L45" s="7"/>
      <c r="M45" s="73" t="s">
        <v>22</v>
      </c>
      <c r="N45" s="74">
        <v>1.0</v>
      </c>
      <c r="O45" s="75">
        <v>0.41</v>
      </c>
      <c r="P45" s="75">
        <v>0.39</v>
      </c>
      <c r="Q45" s="75">
        <v>0.41</v>
      </c>
      <c r="R45" s="75">
        <v>0.34</v>
      </c>
      <c r="S45" s="33">
        <v>2105.0</v>
      </c>
      <c r="T45" s="119">
        <f t="shared" si="4"/>
        <v>0.59</v>
      </c>
      <c r="U45" s="76">
        <v>3036.0</v>
      </c>
      <c r="V45" s="24" t="s">
        <v>23</v>
      </c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36"/>
      <c r="C46" s="50">
        <v>2.0</v>
      </c>
      <c r="D46" s="50">
        <v>0.84</v>
      </c>
      <c r="E46" s="50">
        <v>0.75</v>
      </c>
      <c r="F46" s="50">
        <v>0.84</v>
      </c>
      <c r="G46" s="51">
        <v>0.78</v>
      </c>
      <c r="H46" s="52">
        <v>1703.0</v>
      </c>
      <c r="I46" s="53">
        <f t="shared" si="3"/>
        <v>0.16</v>
      </c>
      <c r="J46" s="54">
        <v>315.0</v>
      </c>
      <c r="K46" s="50" t="s">
        <v>23</v>
      </c>
      <c r="L46" s="7"/>
      <c r="M46" s="36"/>
      <c r="N46" s="74">
        <v>2.0</v>
      </c>
      <c r="O46" s="75">
        <v>0.34</v>
      </c>
      <c r="P46" s="75">
        <v>0.24</v>
      </c>
      <c r="Q46" s="75">
        <v>0.34</v>
      </c>
      <c r="R46" s="75">
        <v>0.2</v>
      </c>
      <c r="S46" s="56">
        <v>1756.0</v>
      </c>
      <c r="T46" s="102">
        <f t="shared" si="4"/>
        <v>0.66</v>
      </c>
      <c r="U46" s="54">
        <v>3385.0</v>
      </c>
      <c r="V46" s="50" t="s">
        <v>23</v>
      </c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36"/>
      <c r="C47" s="50">
        <v>3.0</v>
      </c>
      <c r="D47" s="50">
        <v>0.84</v>
      </c>
      <c r="E47" s="50">
        <v>0.75</v>
      </c>
      <c r="F47" s="50">
        <v>0.84</v>
      </c>
      <c r="G47" s="51">
        <v>0.78</v>
      </c>
      <c r="H47" s="52">
        <v>1703.0</v>
      </c>
      <c r="I47" s="53">
        <f t="shared" si="3"/>
        <v>0.16</v>
      </c>
      <c r="J47" s="54">
        <v>315.0</v>
      </c>
      <c r="K47" s="50" t="s">
        <v>23</v>
      </c>
      <c r="L47" s="7"/>
      <c r="M47" s="36"/>
      <c r="N47" s="74">
        <v>3.0</v>
      </c>
      <c r="O47" s="75">
        <v>0.34</v>
      </c>
      <c r="P47" s="75">
        <v>0.42</v>
      </c>
      <c r="Q47" s="75">
        <v>0.34</v>
      </c>
      <c r="R47" s="75">
        <v>0.21</v>
      </c>
      <c r="S47" s="56">
        <v>1769.0</v>
      </c>
      <c r="T47" s="102">
        <f t="shared" si="4"/>
        <v>0.66</v>
      </c>
      <c r="U47" s="54">
        <v>3372.0</v>
      </c>
      <c r="V47" s="50" t="s">
        <v>23</v>
      </c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36"/>
      <c r="C48" s="50">
        <v>4.0</v>
      </c>
      <c r="D48" s="50">
        <v>0.84</v>
      </c>
      <c r="E48" s="50">
        <v>0.75</v>
      </c>
      <c r="F48" s="50">
        <v>0.84</v>
      </c>
      <c r="G48" s="51">
        <v>0.78</v>
      </c>
      <c r="H48" s="52">
        <v>1703.0</v>
      </c>
      <c r="I48" s="53">
        <f t="shared" si="3"/>
        <v>0.16</v>
      </c>
      <c r="J48" s="54">
        <v>315.0</v>
      </c>
      <c r="K48" s="50" t="s">
        <v>23</v>
      </c>
      <c r="L48" s="7"/>
      <c r="M48" s="36"/>
      <c r="N48" s="74">
        <v>4.0</v>
      </c>
      <c r="O48" s="75">
        <v>0.39</v>
      </c>
      <c r="P48" s="75">
        <v>0.45</v>
      </c>
      <c r="Q48" s="75">
        <v>0.39</v>
      </c>
      <c r="R48" s="75">
        <v>0.3</v>
      </c>
      <c r="S48" s="56">
        <v>2017.0</v>
      </c>
      <c r="T48" s="102">
        <f t="shared" si="4"/>
        <v>0.61</v>
      </c>
      <c r="U48" s="54">
        <v>3124.0</v>
      </c>
      <c r="V48" s="50" t="s">
        <v>23</v>
      </c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36"/>
      <c r="C49" s="50">
        <v>5.0</v>
      </c>
      <c r="D49" s="50">
        <v>0.84</v>
      </c>
      <c r="E49" s="50">
        <v>0.75</v>
      </c>
      <c r="F49" s="50">
        <v>0.84</v>
      </c>
      <c r="G49" s="51">
        <v>0.78</v>
      </c>
      <c r="H49" s="52">
        <v>1703.0</v>
      </c>
      <c r="I49" s="53">
        <f t="shared" si="3"/>
        <v>0.16</v>
      </c>
      <c r="J49" s="54">
        <v>315.0</v>
      </c>
      <c r="K49" s="50" t="s">
        <v>23</v>
      </c>
      <c r="L49" s="7"/>
      <c r="M49" s="36"/>
      <c r="N49" s="74">
        <v>5.0</v>
      </c>
      <c r="O49" s="75">
        <v>0.42</v>
      </c>
      <c r="P49" s="75">
        <v>0.43</v>
      </c>
      <c r="Q49" s="75">
        <v>0.42</v>
      </c>
      <c r="R49" s="75">
        <v>0.34</v>
      </c>
      <c r="S49" s="56">
        <v>2158.0</v>
      </c>
      <c r="T49" s="102">
        <f t="shared" si="4"/>
        <v>0.58</v>
      </c>
      <c r="U49" s="54">
        <v>2983.0</v>
      </c>
      <c r="V49" s="50" t="s">
        <v>23</v>
      </c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36"/>
      <c r="C50" s="50">
        <v>6.0</v>
      </c>
      <c r="D50" s="50">
        <v>0.84</v>
      </c>
      <c r="E50" s="50">
        <v>0.75</v>
      </c>
      <c r="F50" s="50">
        <v>0.84</v>
      </c>
      <c r="G50" s="51">
        <v>0.78</v>
      </c>
      <c r="H50" s="52">
        <v>1703.0</v>
      </c>
      <c r="I50" s="53">
        <f t="shared" si="3"/>
        <v>0.16</v>
      </c>
      <c r="J50" s="54">
        <v>315.0</v>
      </c>
      <c r="K50" s="50" t="s">
        <v>23</v>
      </c>
      <c r="L50" s="7"/>
      <c r="M50" s="36"/>
      <c r="N50" s="74">
        <v>6.0</v>
      </c>
      <c r="O50" s="75">
        <v>0.42</v>
      </c>
      <c r="P50" s="75">
        <v>0.44</v>
      </c>
      <c r="Q50" s="75">
        <v>0.42</v>
      </c>
      <c r="R50" s="75">
        <v>0.35</v>
      </c>
      <c r="S50" s="56">
        <v>2181.0</v>
      </c>
      <c r="T50" s="102">
        <f t="shared" si="4"/>
        <v>0.58</v>
      </c>
      <c r="U50" s="54">
        <v>2960.0</v>
      </c>
      <c r="V50" s="50" t="s">
        <v>23</v>
      </c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36"/>
      <c r="C51" s="50">
        <v>7.0</v>
      </c>
      <c r="D51" s="50">
        <v>0.84</v>
      </c>
      <c r="E51" s="50">
        <v>0.75</v>
      </c>
      <c r="F51" s="50">
        <v>0.84</v>
      </c>
      <c r="G51" s="51">
        <v>0.78</v>
      </c>
      <c r="H51" s="52">
        <v>1703.0</v>
      </c>
      <c r="I51" s="53">
        <f t="shared" si="3"/>
        <v>0.16</v>
      </c>
      <c r="J51" s="54">
        <v>315.0</v>
      </c>
      <c r="K51" s="50" t="s">
        <v>23</v>
      </c>
      <c r="L51" s="7"/>
      <c r="M51" s="36"/>
      <c r="N51" s="74">
        <v>7.0</v>
      </c>
      <c r="O51" s="75">
        <v>0.43</v>
      </c>
      <c r="P51" s="75">
        <v>0.42</v>
      </c>
      <c r="Q51" s="75">
        <v>0.43</v>
      </c>
      <c r="R51" s="75">
        <v>0.35</v>
      </c>
      <c r="S51" s="56">
        <v>2209.0</v>
      </c>
      <c r="T51" s="102">
        <f t="shared" si="4"/>
        <v>0.57</v>
      </c>
      <c r="U51" s="54">
        <v>2932.0</v>
      </c>
      <c r="V51" s="50" t="s">
        <v>23</v>
      </c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36"/>
      <c r="C52" s="50">
        <v>8.0</v>
      </c>
      <c r="D52" s="50">
        <v>0.84</v>
      </c>
      <c r="E52" s="50">
        <v>0.75</v>
      </c>
      <c r="F52" s="50">
        <v>0.84</v>
      </c>
      <c r="G52" s="51">
        <v>0.78</v>
      </c>
      <c r="H52" s="52">
        <v>1702.0</v>
      </c>
      <c r="I52" s="53">
        <f t="shared" si="3"/>
        <v>0.16</v>
      </c>
      <c r="J52" s="54">
        <v>316.0</v>
      </c>
      <c r="K52" s="50" t="s">
        <v>23</v>
      </c>
      <c r="L52" s="7"/>
      <c r="M52" s="36"/>
      <c r="N52" s="74">
        <v>8.0</v>
      </c>
      <c r="O52" s="75">
        <v>0.44</v>
      </c>
      <c r="P52" s="75">
        <v>0.44</v>
      </c>
      <c r="Q52" s="75">
        <v>0.44</v>
      </c>
      <c r="R52" s="75">
        <v>0.37</v>
      </c>
      <c r="S52" s="56">
        <v>2259.0</v>
      </c>
      <c r="T52" s="102">
        <f t="shared" si="4"/>
        <v>0.56</v>
      </c>
      <c r="U52" s="54">
        <v>2882.0</v>
      </c>
      <c r="V52" s="50" t="s">
        <v>23</v>
      </c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36"/>
      <c r="C53" s="50">
        <v>9.0</v>
      </c>
      <c r="D53" s="50">
        <v>0.84</v>
      </c>
      <c r="E53" s="50">
        <v>0.75</v>
      </c>
      <c r="F53" s="50">
        <v>0.84</v>
      </c>
      <c r="G53" s="51">
        <v>0.78</v>
      </c>
      <c r="H53" s="52">
        <v>1702.0</v>
      </c>
      <c r="I53" s="53">
        <f t="shared" si="3"/>
        <v>0.16</v>
      </c>
      <c r="J53" s="54">
        <v>316.0</v>
      </c>
      <c r="K53" s="50" t="s">
        <v>23</v>
      </c>
      <c r="L53" s="7"/>
      <c r="M53" s="36"/>
      <c r="N53" s="74">
        <v>9.0</v>
      </c>
      <c r="O53" s="75">
        <v>0.44</v>
      </c>
      <c r="P53" s="75">
        <v>0.44</v>
      </c>
      <c r="Q53" s="75">
        <v>0.44</v>
      </c>
      <c r="R53" s="75">
        <v>0.37</v>
      </c>
      <c r="S53" s="56">
        <v>2273.0</v>
      </c>
      <c r="T53" s="102">
        <f t="shared" si="4"/>
        <v>0.56</v>
      </c>
      <c r="U53" s="54">
        <v>2868.0</v>
      </c>
      <c r="V53" s="50" t="s">
        <v>23</v>
      </c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36"/>
      <c r="C54" s="50">
        <v>10.0</v>
      </c>
      <c r="D54" s="50">
        <v>0.84</v>
      </c>
      <c r="E54" s="50">
        <v>0.75</v>
      </c>
      <c r="F54" s="50">
        <v>0.84</v>
      </c>
      <c r="G54" s="51">
        <v>0.78</v>
      </c>
      <c r="H54" s="52">
        <v>1702.0</v>
      </c>
      <c r="I54" s="53">
        <f t="shared" si="3"/>
        <v>0.16</v>
      </c>
      <c r="J54" s="54">
        <v>316.0</v>
      </c>
      <c r="K54" s="50" t="s">
        <v>23</v>
      </c>
      <c r="L54" s="7"/>
      <c r="M54" s="36"/>
      <c r="N54" s="74">
        <v>10.0</v>
      </c>
      <c r="O54" s="75">
        <v>0.44</v>
      </c>
      <c r="P54" s="121" t="s">
        <v>30</v>
      </c>
      <c r="Q54" s="75">
        <v>0.44</v>
      </c>
      <c r="R54" s="75">
        <v>0.37</v>
      </c>
      <c r="S54" s="56">
        <v>2238.0</v>
      </c>
      <c r="T54" s="102">
        <f t="shared" si="4"/>
        <v>0.56</v>
      </c>
      <c r="U54" s="54">
        <v>2903.0</v>
      </c>
      <c r="V54" s="50" t="s">
        <v>23</v>
      </c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59"/>
      <c r="C55" s="49">
        <v>11.0</v>
      </c>
      <c r="D55" s="50">
        <v>0.84</v>
      </c>
      <c r="E55" s="50">
        <v>0.75</v>
      </c>
      <c r="F55" s="50">
        <v>0.84</v>
      </c>
      <c r="G55" s="51">
        <v>0.78</v>
      </c>
      <c r="H55" s="104">
        <v>1702.0</v>
      </c>
      <c r="I55" s="105">
        <f t="shared" si="3"/>
        <v>0.16</v>
      </c>
      <c r="J55" s="106">
        <v>316.0</v>
      </c>
      <c r="K55" s="49" t="s">
        <v>23</v>
      </c>
      <c r="L55" s="7"/>
      <c r="M55" s="91"/>
      <c r="N55" s="92">
        <v>11.0</v>
      </c>
      <c r="O55" s="93">
        <v>0.44</v>
      </c>
      <c r="P55" s="129">
        <v>0.46</v>
      </c>
      <c r="Q55" s="93">
        <v>0.44</v>
      </c>
      <c r="R55" s="93">
        <v>0.39</v>
      </c>
      <c r="S55" s="122">
        <v>2277.0</v>
      </c>
      <c r="T55" s="123">
        <f t="shared" si="4"/>
        <v>0.56</v>
      </c>
      <c r="U55" s="94">
        <v>2864.0</v>
      </c>
      <c r="V55" s="130" t="s">
        <v>23</v>
      </c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3" t="s">
        <v>24</v>
      </c>
      <c r="C56" s="24">
        <v>1.0</v>
      </c>
      <c r="D56" s="24">
        <v>0.85</v>
      </c>
      <c r="E56" s="24">
        <v>0.72</v>
      </c>
      <c r="F56" s="24">
        <v>0.85</v>
      </c>
      <c r="G56" s="25">
        <v>0.78</v>
      </c>
      <c r="H56" s="131">
        <f t="shared" ref="H56:H66" si="6">0+0+1712</f>
        <v>1712</v>
      </c>
      <c r="I56" s="132">
        <f t="shared" si="3"/>
        <v>0.15</v>
      </c>
      <c r="J56" s="133">
        <f t="shared" ref="J56:J66" si="7">0+22+284+0+0+0</f>
        <v>306</v>
      </c>
      <c r="K56" s="24" t="s">
        <v>23</v>
      </c>
      <c r="L56" s="7"/>
      <c r="M56" s="73" t="s">
        <v>24</v>
      </c>
      <c r="N56" s="74">
        <v>1.0</v>
      </c>
      <c r="O56" s="75">
        <v>0.41</v>
      </c>
      <c r="P56" s="75">
        <v>0.39</v>
      </c>
      <c r="Q56" s="75">
        <v>0.41</v>
      </c>
      <c r="R56" s="75">
        <v>0.34</v>
      </c>
      <c r="S56" s="134">
        <f>800+49+1256</f>
        <v>2105</v>
      </c>
      <c r="T56" s="119">
        <f t="shared" si="4"/>
        <v>0.59</v>
      </c>
      <c r="U56" s="133">
        <f>77+822+1180+480+458+19</f>
        <v>3036</v>
      </c>
      <c r="V56" s="24" t="s">
        <v>23</v>
      </c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36"/>
      <c r="C57" s="50">
        <v>2.0</v>
      </c>
      <c r="D57" s="24">
        <v>0.85</v>
      </c>
      <c r="E57" s="24">
        <v>0.72</v>
      </c>
      <c r="F57" s="24">
        <v>0.85</v>
      </c>
      <c r="G57" s="25">
        <v>0.78</v>
      </c>
      <c r="H57" s="135">
        <f t="shared" si="6"/>
        <v>1712</v>
      </c>
      <c r="I57" s="53">
        <f t="shared" si="3"/>
        <v>0.15</v>
      </c>
      <c r="J57" s="136">
        <f t="shared" si="7"/>
        <v>306</v>
      </c>
      <c r="K57" s="50" t="s">
        <v>23</v>
      </c>
      <c r="L57" s="7"/>
      <c r="M57" s="36"/>
      <c r="N57" s="74">
        <v>2.0</v>
      </c>
      <c r="O57" s="75">
        <v>0.42</v>
      </c>
      <c r="P57" s="75">
        <v>0.42</v>
      </c>
      <c r="Q57" s="75">
        <v>0.42</v>
      </c>
      <c r="R57" s="75">
        <v>0.37</v>
      </c>
      <c r="S57" s="137">
        <f>877+112+1169</f>
        <v>2158</v>
      </c>
      <c r="T57" s="102">
        <f t="shared" si="4"/>
        <v>0.58</v>
      </c>
      <c r="U57" s="136">
        <f>59+763+1107+490+444+120</f>
        <v>2983</v>
      </c>
      <c r="V57" s="50" t="s">
        <v>23</v>
      </c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36"/>
      <c r="C58" s="50">
        <v>3.0</v>
      </c>
      <c r="D58" s="24">
        <v>0.85</v>
      </c>
      <c r="E58" s="24">
        <v>0.72</v>
      </c>
      <c r="F58" s="24">
        <v>0.85</v>
      </c>
      <c r="G58" s="25">
        <v>0.78</v>
      </c>
      <c r="H58" s="131">
        <f t="shared" si="6"/>
        <v>1712</v>
      </c>
      <c r="I58" s="53">
        <f t="shared" si="3"/>
        <v>0.15</v>
      </c>
      <c r="J58" s="133">
        <f t="shared" si="7"/>
        <v>306</v>
      </c>
      <c r="K58" s="50" t="s">
        <v>23</v>
      </c>
      <c r="L58" s="7"/>
      <c r="M58" s="36"/>
      <c r="N58" s="74">
        <v>3.0</v>
      </c>
      <c r="O58" s="75">
        <v>0.42</v>
      </c>
      <c r="P58" s="75">
        <v>0.46</v>
      </c>
      <c r="Q58" s="75">
        <v>0.42</v>
      </c>
      <c r="R58" s="75">
        <v>0.36</v>
      </c>
      <c r="S58" s="137">
        <f>865+58+1258</f>
        <v>2181</v>
      </c>
      <c r="T58" s="119">
        <f t="shared" si="4"/>
        <v>0.58</v>
      </c>
      <c r="U58" s="136">
        <f>16+818+458+435+1193+40</f>
        <v>2960</v>
      </c>
      <c r="V58" s="50" t="s">
        <v>23</v>
      </c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36"/>
      <c r="C59" s="50">
        <v>4.0</v>
      </c>
      <c r="D59" s="24">
        <v>0.85</v>
      </c>
      <c r="E59" s="24">
        <v>0.72</v>
      </c>
      <c r="F59" s="24">
        <v>0.85</v>
      </c>
      <c r="G59" s="25">
        <v>0.78</v>
      </c>
      <c r="H59" s="135">
        <f t="shared" si="6"/>
        <v>1712</v>
      </c>
      <c r="I59" s="53">
        <f t="shared" si="3"/>
        <v>0.15</v>
      </c>
      <c r="J59" s="136">
        <f t="shared" si="7"/>
        <v>306</v>
      </c>
      <c r="K59" s="50" t="s">
        <v>23</v>
      </c>
      <c r="L59" s="7"/>
      <c r="M59" s="36"/>
      <c r="N59" s="74">
        <v>4.0</v>
      </c>
      <c r="O59" s="75">
        <v>0.42</v>
      </c>
      <c r="P59" s="75">
        <v>0.42</v>
      </c>
      <c r="Q59" s="75">
        <v>0.42</v>
      </c>
      <c r="R59" s="75">
        <v>0.4</v>
      </c>
      <c r="S59" s="56">
        <f>1097+270+810</f>
        <v>2177</v>
      </c>
      <c r="T59" s="102">
        <f t="shared" si="4"/>
        <v>0.58</v>
      </c>
      <c r="U59" s="136">
        <f>132+470+769+670+686+237</f>
        <v>2964</v>
      </c>
      <c r="V59" s="50" t="s">
        <v>23</v>
      </c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36"/>
      <c r="C60" s="50">
        <v>5.0</v>
      </c>
      <c r="D60" s="24">
        <v>0.85</v>
      </c>
      <c r="E60" s="24">
        <v>0.72</v>
      </c>
      <c r="F60" s="24">
        <v>0.85</v>
      </c>
      <c r="G60" s="25">
        <v>0.78</v>
      </c>
      <c r="H60" s="131">
        <f t="shared" si="6"/>
        <v>1712</v>
      </c>
      <c r="I60" s="53">
        <f t="shared" si="3"/>
        <v>0.15</v>
      </c>
      <c r="J60" s="133">
        <f t="shared" si="7"/>
        <v>306</v>
      </c>
      <c r="K60" s="50" t="s">
        <v>23</v>
      </c>
      <c r="L60" s="7"/>
      <c r="M60" s="36"/>
      <c r="N60" s="74">
        <v>5.0</v>
      </c>
      <c r="O60" s="75">
        <v>0.44</v>
      </c>
      <c r="P60" s="75">
        <v>0.43</v>
      </c>
      <c r="Q60" s="75">
        <v>0.44</v>
      </c>
      <c r="R60" s="75">
        <v>0.42</v>
      </c>
      <c r="S60" s="137">
        <f>1137+343+801</f>
        <v>2281</v>
      </c>
      <c r="T60" s="119">
        <f t="shared" si="4"/>
        <v>0.56</v>
      </c>
      <c r="U60" s="136">
        <f>208+354+763+630+608+324</f>
        <v>2887</v>
      </c>
      <c r="V60" s="50" t="s">
        <v>23</v>
      </c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36"/>
      <c r="C61" s="50">
        <v>6.0</v>
      </c>
      <c r="D61" s="24">
        <v>0.85</v>
      </c>
      <c r="E61" s="24">
        <v>0.72</v>
      </c>
      <c r="F61" s="24">
        <v>0.85</v>
      </c>
      <c r="G61" s="25">
        <v>0.78</v>
      </c>
      <c r="H61" s="135">
        <f t="shared" si="6"/>
        <v>1712</v>
      </c>
      <c r="I61" s="53">
        <f t="shared" si="3"/>
        <v>0.15</v>
      </c>
      <c r="J61" s="136">
        <f t="shared" si="7"/>
        <v>306</v>
      </c>
      <c r="K61" s="50" t="s">
        <v>23</v>
      </c>
      <c r="L61" s="7"/>
      <c r="M61" s="36"/>
      <c r="N61" s="74">
        <v>6.0</v>
      </c>
      <c r="O61" s="75">
        <v>0.45</v>
      </c>
      <c r="P61" s="75">
        <v>0.44</v>
      </c>
      <c r="Q61" s="75">
        <v>0.45</v>
      </c>
      <c r="R61" s="75">
        <v>0.44</v>
      </c>
      <c r="S61" s="137">
        <f>1113+430+792</f>
        <v>2335</v>
      </c>
      <c r="T61" s="102">
        <f t="shared" si="4"/>
        <v>0.55</v>
      </c>
      <c r="U61" s="136">
        <f>261+325+692+587+557+384</f>
        <v>2806</v>
      </c>
      <c r="V61" s="50" t="s">
        <v>23</v>
      </c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36"/>
      <c r="C62" s="50">
        <v>7.0</v>
      </c>
      <c r="D62" s="24">
        <v>0.85</v>
      </c>
      <c r="E62" s="24">
        <v>0.72</v>
      </c>
      <c r="F62" s="24">
        <v>0.85</v>
      </c>
      <c r="G62" s="25">
        <v>0.78</v>
      </c>
      <c r="H62" s="131">
        <f t="shared" si="6"/>
        <v>1712</v>
      </c>
      <c r="I62" s="53">
        <f t="shared" si="3"/>
        <v>0.15</v>
      </c>
      <c r="J62" s="133">
        <f t="shared" si="7"/>
        <v>306</v>
      </c>
      <c r="K62" s="50" t="s">
        <v>23</v>
      </c>
      <c r="L62" s="7"/>
      <c r="M62" s="36"/>
      <c r="N62" s="74">
        <v>7.0</v>
      </c>
      <c r="O62" s="75">
        <v>0.46</v>
      </c>
      <c r="P62" s="75">
        <v>0.45</v>
      </c>
      <c r="Q62" s="75">
        <v>0.46</v>
      </c>
      <c r="R62" s="75">
        <v>0.45</v>
      </c>
      <c r="S62" s="137">
        <f>1126+417+842</f>
        <v>2385</v>
      </c>
      <c r="T62" s="119">
        <f t="shared" si="4"/>
        <v>0.54</v>
      </c>
      <c r="U62" s="136">
        <f>5154-2385</f>
        <v>2769</v>
      </c>
      <c r="V62" s="50" t="s">
        <v>23</v>
      </c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36"/>
      <c r="C63" s="50">
        <v>8.0</v>
      </c>
      <c r="D63" s="24">
        <v>0.85</v>
      </c>
      <c r="E63" s="24">
        <v>0.72</v>
      </c>
      <c r="F63" s="24">
        <v>0.85</v>
      </c>
      <c r="G63" s="25">
        <v>0.78</v>
      </c>
      <c r="H63" s="135">
        <f t="shared" si="6"/>
        <v>1712</v>
      </c>
      <c r="I63" s="53">
        <f t="shared" si="3"/>
        <v>0.15</v>
      </c>
      <c r="J63" s="136">
        <f t="shared" si="7"/>
        <v>306</v>
      </c>
      <c r="K63" s="50" t="s">
        <v>23</v>
      </c>
      <c r="L63" s="7"/>
      <c r="M63" s="36"/>
      <c r="N63" s="74">
        <v>8.0</v>
      </c>
      <c r="O63" s="75">
        <v>0.48</v>
      </c>
      <c r="P63" s="75">
        <v>0.47</v>
      </c>
      <c r="Q63" s="75">
        <v>0.48</v>
      </c>
      <c r="R63" s="75">
        <v>0.46</v>
      </c>
      <c r="S63" s="137">
        <f>1133+464+860</f>
        <v>2457</v>
      </c>
      <c r="T63" s="102">
        <f t="shared" si="4"/>
        <v>0.52</v>
      </c>
      <c r="U63" s="136">
        <f>5141-2457</f>
        <v>2684</v>
      </c>
      <c r="V63" s="50" t="s">
        <v>23</v>
      </c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36"/>
      <c r="C64" s="50">
        <v>9.0</v>
      </c>
      <c r="D64" s="24">
        <v>0.85</v>
      </c>
      <c r="E64" s="24">
        <v>0.72</v>
      </c>
      <c r="F64" s="24">
        <v>0.85</v>
      </c>
      <c r="G64" s="25">
        <v>0.78</v>
      </c>
      <c r="H64" s="131">
        <f t="shared" si="6"/>
        <v>1712</v>
      </c>
      <c r="I64" s="53">
        <f t="shared" si="3"/>
        <v>0.15</v>
      </c>
      <c r="J64" s="133">
        <f t="shared" si="7"/>
        <v>306</v>
      </c>
      <c r="K64" s="50" t="s">
        <v>23</v>
      </c>
      <c r="L64" s="7"/>
      <c r="M64" s="36"/>
      <c r="N64" s="74">
        <v>9.0</v>
      </c>
      <c r="O64" s="75">
        <v>0.47</v>
      </c>
      <c r="P64" s="75">
        <v>0.45</v>
      </c>
      <c r="Q64" s="75">
        <v>0.47</v>
      </c>
      <c r="R64" s="75">
        <v>0.45</v>
      </c>
      <c r="S64" s="137">
        <f>1101+427+870</f>
        <v>2398</v>
      </c>
      <c r="T64" s="119">
        <f t="shared" si="4"/>
        <v>0.53</v>
      </c>
      <c r="U64" s="136">
        <f>5141-2398</f>
        <v>2743</v>
      </c>
      <c r="V64" s="50" t="s">
        <v>23</v>
      </c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36"/>
      <c r="C65" s="50">
        <v>10.0</v>
      </c>
      <c r="D65" s="24">
        <v>0.85</v>
      </c>
      <c r="E65" s="24">
        <v>0.72</v>
      </c>
      <c r="F65" s="24">
        <v>0.85</v>
      </c>
      <c r="G65" s="25">
        <v>0.78</v>
      </c>
      <c r="H65" s="135">
        <f t="shared" si="6"/>
        <v>1712</v>
      </c>
      <c r="I65" s="53">
        <f t="shared" si="3"/>
        <v>0.15</v>
      </c>
      <c r="J65" s="136">
        <f t="shared" si="7"/>
        <v>306</v>
      </c>
      <c r="K65" s="50" t="s">
        <v>23</v>
      </c>
      <c r="L65" s="7"/>
      <c r="M65" s="36"/>
      <c r="N65" s="74">
        <v>10.0</v>
      </c>
      <c r="O65" s="75">
        <v>0.47</v>
      </c>
      <c r="P65" s="75">
        <v>0.46</v>
      </c>
      <c r="Q65" s="75">
        <v>0.47</v>
      </c>
      <c r="R65" s="75">
        <v>0.46</v>
      </c>
      <c r="S65" s="137">
        <f>1094+511+807</f>
        <v>2412</v>
      </c>
      <c r="T65" s="102">
        <f t="shared" si="4"/>
        <v>0.53</v>
      </c>
      <c r="U65" s="136">
        <f>5141-2412</f>
        <v>2729</v>
      </c>
      <c r="V65" s="50" t="s">
        <v>23</v>
      </c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59"/>
      <c r="C66" s="130">
        <v>11.0</v>
      </c>
      <c r="D66" s="113">
        <v>0.85</v>
      </c>
      <c r="E66" s="113">
        <v>0.72</v>
      </c>
      <c r="F66" s="113">
        <v>0.85</v>
      </c>
      <c r="G66" s="114">
        <v>0.78</v>
      </c>
      <c r="H66" s="138">
        <f t="shared" si="6"/>
        <v>1712</v>
      </c>
      <c r="I66" s="139">
        <f t="shared" si="3"/>
        <v>0.15</v>
      </c>
      <c r="J66" s="140">
        <f t="shared" si="7"/>
        <v>306</v>
      </c>
      <c r="K66" s="130" t="s">
        <v>23</v>
      </c>
      <c r="L66" s="7"/>
      <c r="M66" s="91"/>
      <c r="N66" s="92">
        <v>11.0</v>
      </c>
      <c r="O66" s="93">
        <v>0.49</v>
      </c>
      <c r="P66" s="93">
        <v>0.48</v>
      </c>
      <c r="Q66" s="93">
        <v>0.49</v>
      </c>
      <c r="R66" s="93">
        <v>0.48</v>
      </c>
      <c r="S66" s="141">
        <f>1129+549+846</f>
        <v>2524</v>
      </c>
      <c r="T66" s="142">
        <f t="shared" si="4"/>
        <v>0.51</v>
      </c>
      <c r="U66" s="143">
        <f>5141-2542</f>
        <v>2599</v>
      </c>
      <c r="V66" s="130" t="s">
        <v>23</v>
      </c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144" t="s">
        <v>31</v>
      </c>
      <c r="C67" s="5"/>
      <c r="D67" s="5"/>
      <c r="E67" s="5"/>
      <c r="F67" s="5"/>
      <c r="G67" s="5"/>
      <c r="H67" s="5"/>
      <c r="I67" s="5"/>
      <c r="J67" s="5"/>
      <c r="K67" s="6"/>
      <c r="L67" s="7"/>
      <c r="M67" s="145" t="s">
        <v>32</v>
      </c>
      <c r="N67" s="5"/>
      <c r="O67" s="5"/>
      <c r="P67" s="5"/>
      <c r="Q67" s="5"/>
      <c r="R67" s="5"/>
      <c r="S67" s="5"/>
      <c r="T67" s="5"/>
      <c r="U67" s="5"/>
      <c r="V67" s="6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146" t="s">
        <v>3</v>
      </c>
      <c r="C68" s="146" t="s">
        <v>4</v>
      </c>
      <c r="D68" s="146" t="s">
        <v>5</v>
      </c>
      <c r="E68" s="146" t="s">
        <v>6</v>
      </c>
      <c r="F68" s="146" t="s">
        <v>7</v>
      </c>
      <c r="G68" s="147" t="s">
        <v>8</v>
      </c>
      <c r="H68" s="15" t="s">
        <v>9</v>
      </c>
      <c r="I68" s="22" t="s">
        <v>10</v>
      </c>
      <c r="J68" s="15" t="s">
        <v>11</v>
      </c>
      <c r="K68" s="17" t="s">
        <v>12</v>
      </c>
      <c r="L68" s="7"/>
      <c r="M68" s="148" t="s">
        <v>3</v>
      </c>
      <c r="N68" s="149" t="s">
        <v>4</v>
      </c>
      <c r="O68" s="149" t="s">
        <v>5</v>
      </c>
      <c r="P68" s="149" t="s">
        <v>6</v>
      </c>
      <c r="Q68" s="150" t="s">
        <v>7</v>
      </c>
      <c r="R68" s="150" t="s">
        <v>8</v>
      </c>
      <c r="S68" s="15" t="s">
        <v>9</v>
      </c>
      <c r="T68" s="22" t="s">
        <v>10</v>
      </c>
      <c r="U68" s="15" t="s">
        <v>11</v>
      </c>
      <c r="V68" s="17" t="s">
        <v>12</v>
      </c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151" t="s">
        <v>13</v>
      </c>
      <c r="C69" s="152">
        <v>1.0</v>
      </c>
      <c r="D69" s="153">
        <v>0.85</v>
      </c>
      <c r="E69" s="153">
        <v>0.72</v>
      </c>
      <c r="F69" s="153">
        <v>0.85</v>
      </c>
      <c r="G69" s="154">
        <v>0.78</v>
      </c>
      <c r="H69" s="26">
        <v>1712.0</v>
      </c>
      <c r="I69" s="27">
        <f t="shared" ref="I69:I123" si="8">1-D69</f>
        <v>0.15</v>
      </c>
      <c r="J69" s="28">
        <v>306.0</v>
      </c>
      <c r="K69" s="29" t="s">
        <v>16</v>
      </c>
      <c r="L69" s="7"/>
      <c r="M69" s="73" t="s">
        <v>13</v>
      </c>
      <c r="N69" s="74">
        <v>1.0</v>
      </c>
      <c r="O69" s="103">
        <v>0.38</v>
      </c>
      <c r="P69" s="103">
        <v>0.39</v>
      </c>
      <c r="Q69" s="103">
        <v>0.38</v>
      </c>
      <c r="R69" s="103">
        <v>0.35</v>
      </c>
      <c r="S69" s="33">
        <v>1942.0</v>
      </c>
      <c r="T69" s="103">
        <f t="shared" ref="T69:T123" si="9">1-O69</f>
        <v>0.62</v>
      </c>
      <c r="U69" s="28">
        <v>3199.0</v>
      </c>
      <c r="V69" s="29" t="s">
        <v>16</v>
      </c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36"/>
      <c r="C70" s="131">
        <v>2.0</v>
      </c>
      <c r="D70" s="155">
        <v>0.85</v>
      </c>
      <c r="E70" s="156">
        <v>0.72</v>
      </c>
      <c r="F70" s="156">
        <v>0.85</v>
      </c>
      <c r="G70" s="155">
        <v>0.78</v>
      </c>
      <c r="H70" s="157">
        <v>1710.0</v>
      </c>
      <c r="I70" s="27">
        <f t="shared" si="8"/>
        <v>0.15</v>
      </c>
      <c r="J70" s="54">
        <v>308.0</v>
      </c>
      <c r="K70" s="50" t="s">
        <v>33</v>
      </c>
      <c r="L70" s="7"/>
      <c r="M70" s="36"/>
      <c r="N70" s="74">
        <v>2.0</v>
      </c>
      <c r="O70" s="103">
        <v>0.45</v>
      </c>
      <c r="P70" s="103">
        <v>0.44</v>
      </c>
      <c r="Q70" s="103">
        <v>0.45</v>
      </c>
      <c r="R70" s="103">
        <v>0.43</v>
      </c>
      <c r="S70" s="56">
        <v>2297.0</v>
      </c>
      <c r="T70" s="103">
        <f t="shared" si="9"/>
        <v>0.55</v>
      </c>
      <c r="U70" s="54">
        <v>2844.0</v>
      </c>
      <c r="V70" s="50" t="s">
        <v>33</v>
      </c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36"/>
      <c r="C71" s="131">
        <v>3.0</v>
      </c>
      <c r="D71" s="155">
        <v>0.85</v>
      </c>
      <c r="E71" s="156">
        <v>0.72</v>
      </c>
      <c r="F71" s="156">
        <v>0.85</v>
      </c>
      <c r="G71" s="155">
        <v>0.78</v>
      </c>
      <c r="H71" s="157">
        <v>1707.0</v>
      </c>
      <c r="I71" s="27">
        <f t="shared" si="8"/>
        <v>0.15</v>
      </c>
      <c r="J71" s="54">
        <v>311.0</v>
      </c>
      <c r="K71" s="50" t="s">
        <v>33</v>
      </c>
      <c r="L71" s="7"/>
      <c r="M71" s="36"/>
      <c r="N71" s="74">
        <v>3.0</v>
      </c>
      <c r="O71" s="103">
        <v>0.46</v>
      </c>
      <c r="P71" s="103">
        <v>0.45</v>
      </c>
      <c r="Q71" s="103">
        <v>0.46</v>
      </c>
      <c r="R71" s="103">
        <v>0.45</v>
      </c>
      <c r="S71" s="56">
        <v>2350.0</v>
      </c>
      <c r="T71" s="103">
        <f t="shared" si="9"/>
        <v>0.54</v>
      </c>
      <c r="U71" s="54">
        <v>2791.0</v>
      </c>
      <c r="V71" s="50" t="s">
        <v>33</v>
      </c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36"/>
      <c r="C72" s="131">
        <v>4.0</v>
      </c>
      <c r="D72" s="155">
        <v>0.85</v>
      </c>
      <c r="E72" s="158">
        <v>0.81</v>
      </c>
      <c r="F72" s="156">
        <v>0.85</v>
      </c>
      <c r="G72" s="155">
        <v>0.78</v>
      </c>
      <c r="H72" s="157">
        <v>1713.0</v>
      </c>
      <c r="I72" s="27">
        <f t="shared" si="8"/>
        <v>0.15</v>
      </c>
      <c r="J72" s="54">
        <v>305.0</v>
      </c>
      <c r="K72" s="50" t="s">
        <v>33</v>
      </c>
      <c r="L72" s="7"/>
      <c r="M72" s="36"/>
      <c r="N72" s="74">
        <v>4.0</v>
      </c>
      <c r="O72" s="103">
        <v>0.49</v>
      </c>
      <c r="P72" s="103">
        <v>0.49</v>
      </c>
      <c r="Q72" s="103">
        <v>0.49</v>
      </c>
      <c r="R72" s="103">
        <v>0.47</v>
      </c>
      <c r="S72" s="56">
        <v>2499.0</v>
      </c>
      <c r="T72" s="103">
        <f t="shared" si="9"/>
        <v>0.51</v>
      </c>
      <c r="U72" s="54">
        <v>2642.0</v>
      </c>
      <c r="V72" s="50" t="s">
        <v>33</v>
      </c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36"/>
      <c r="C73" s="131">
        <v>5.0</v>
      </c>
      <c r="D73" s="155">
        <v>0.85</v>
      </c>
      <c r="E73" s="158">
        <v>0.78</v>
      </c>
      <c r="F73" s="155">
        <v>0.85</v>
      </c>
      <c r="G73" s="158">
        <v>0.79</v>
      </c>
      <c r="H73" s="52">
        <v>1710.0</v>
      </c>
      <c r="I73" s="27">
        <f t="shared" si="8"/>
        <v>0.15</v>
      </c>
      <c r="J73" s="54">
        <v>306.0</v>
      </c>
      <c r="K73" s="50" t="s">
        <v>18</v>
      </c>
      <c r="L73" s="7"/>
      <c r="M73" s="36"/>
      <c r="N73" s="74">
        <v>5.0</v>
      </c>
      <c r="O73" s="103">
        <v>0.55</v>
      </c>
      <c r="P73" s="103">
        <v>0.54</v>
      </c>
      <c r="Q73" s="103">
        <v>0.55</v>
      </c>
      <c r="R73" s="103">
        <v>0.54</v>
      </c>
      <c r="S73" s="56">
        <v>2819.0</v>
      </c>
      <c r="T73" s="103">
        <f t="shared" si="9"/>
        <v>0.45</v>
      </c>
      <c r="U73" s="54">
        <v>2322.0</v>
      </c>
      <c r="V73" s="50" t="s">
        <v>18</v>
      </c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36"/>
      <c r="C74" s="131">
        <v>6.0</v>
      </c>
      <c r="D74" s="155">
        <v>0.85</v>
      </c>
      <c r="E74" s="156">
        <v>0.84</v>
      </c>
      <c r="F74" s="156">
        <v>0.85</v>
      </c>
      <c r="G74" s="155">
        <v>0.79</v>
      </c>
      <c r="H74" s="157">
        <v>1706.0</v>
      </c>
      <c r="I74" s="27">
        <f t="shared" si="8"/>
        <v>0.15</v>
      </c>
      <c r="J74" s="54">
        <v>312.0</v>
      </c>
      <c r="K74" s="50" t="s">
        <v>34</v>
      </c>
      <c r="L74" s="7"/>
      <c r="M74" s="36"/>
      <c r="N74" s="74">
        <v>6.0</v>
      </c>
      <c r="O74" s="103">
        <v>0.56</v>
      </c>
      <c r="P74" s="103">
        <v>0.56</v>
      </c>
      <c r="Q74" s="103">
        <v>0.56</v>
      </c>
      <c r="R74" s="103">
        <v>0.55</v>
      </c>
      <c r="S74" s="56">
        <v>2896.0</v>
      </c>
      <c r="T74" s="103">
        <f t="shared" si="9"/>
        <v>0.44</v>
      </c>
      <c r="U74" s="54">
        <v>2245.0</v>
      </c>
      <c r="V74" s="50" t="s">
        <v>16</v>
      </c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36"/>
      <c r="C75" s="133">
        <v>7.0</v>
      </c>
      <c r="D75" s="159">
        <v>0.84</v>
      </c>
      <c r="E75" s="27">
        <v>0.84</v>
      </c>
      <c r="F75" s="156">
        <v>0.84</v>
      </c>
      <c r="G75" s="155">
        <v>0.79</v>
      </c>
      <c r="H75" s="157">
        <v>1702.0</v>
      </c>
      <c r="I75" s="27">
        <f t="shared" si="8"/>
        <v>0.16</v>
      </c>
      <c r="J75" s="54">
        <v>316.0</v>
      </c>
      <c r="K75" s="50" t="s">
        <v>18</v>
      </c>
      <c r="L75" s="7"/>
      <c r="M75" s="36"/>
      <c r="N75" s="74">
        <v>7.0</v>
      </c>
      <c r="O75" s="103">
        <v>0.61</v>
      </c>
      <c r="P75" s="103">
        <v>0.6</v>
      </c>
      <c r="Q75" s="103">
        <v>0.61</v>
      </c>
      <c r="R75" s="103">
        <v>0.6</v>
      </c>
      <c r="S75" s="56">
        <v>3142.0</v>
      </c>
      <c r="T75" s="103">
        <f t="shared" si="9"/>
        <v>0.39</v>
      </c>
      <c r="U75" s="54">
        <v>1999.0</v>
      </c>
      <c r="V75" s="50" t="s">
        <v>16</v>
      </c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36"/>
      <c r="C76" s="140">
        <v>8.0</v>
      </c>
      <c r="D76" s="160">
        <v>0.85</v>
      </c>
      <c r="E76" s="161">
        <v>0.84</v>
      </c>
      <c r="F76" s="162">
        <v>0.85</v>
      </c>
      <c r="G76" s="163">
        <v>0.79</v>
      </c>
      <c r="H76" s="164">
        <v>1706.0</v>
      </c>
      <c r="I76" s="161">
        <f t="shared" si="8"/>
        <v>0.15</v>
      </c>
      <c r="J76" s="87">
        <v>312.0</v>
      </c>
      <c r="K76" s="82" t="s">
        <v>18</v>
      </c>
      <c r="L76" s="7"/>
      <c r="M76" s="36"/>
      <c r="N76" s="74">
        <v>8.0</v>
      </c>
      <c r="O76" s="103">
        <v>0.66</v>
      </c>
      <c r="P76" s="103">
        <v>0.66</v>
      </c>
      <c r="Q76" s="103">
        <v>0.66</v>
      </c>
      <c r="R76" s="103">
        <v>0.65</v>
      </c>
      <c r="S76" s="56">
        <v>3392.0</v>
      </c>
      <c r="T76" s="103">
        <f t="shared" si="9"/>
        <v>0.34</v>
      </c>
      <c r="U76" s="54">
        <v>1749.0</v>
      </c>
      <c r="V76" s="50" t="s">
        <v>16</v>
      </c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36"/>
      <c r="C77" s="133">
        <v>9.0</v>
      </c>
      <c r="D77" s="159">
        <v>0.84</v>
      </c>
      <c r="E77" s="159">
        <v>0.77</v>
      </c>
      <c r="F77" s="156">
        <v>0.84</v>
      </c>
      <c r="G77" s="155">
        <v>0.78</v>
      </c>
      <c r="H77" s="157">
        <v>1700.0</v>
      </c>
      <c r="I77" s="27">
        <f t="shared" si="8"/>
        <v>0.16</v>
      </c>
      <c r="J77" s="54">
        <v>318.0</v>
      </c>
      <c r="K77" s="50" t="s">
        <v>18</v>
      </c>
      <c r="L77" s="7"/>
      <c r="M77" s="36"/>
      <c r="N77" s="74">
        <v>9.0</v>
      </c>
      <c r="O77" s="103">
        <v>0.73</v>
      </c>
      <c r="P77" s="103">
        <v>0.72</v>
      </c>
      <c r="Q77" s="103">
        <v>0.73</v>
      </c>
      <c r="R77" s="103">
        <v>0.72</v>
      </c>
      <c r="S77" s="56">
        <v>3740.0</v>
      </c>
      <c r="T77" s="103">
        <f t="shared" si="9"/>
        <v>0.27</v>
      </c>
      <c r="U77" s="54">
        <v>1401.0</v>
      </c>
      <c r="V77" s="50" t="s">
        <v>16</v>
      </c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36"/>
      <c r="C78" s="133">
        <v>10.0</v>
      </c>
      <c r="D78" s="159">
        <v>0.84</v>
      </c>
      <c r="E78" s="159">
        <v>0.77</v>
      </c>
      <c r="F78" s="156">
        <v>0.84</v>
      </c>
      <c r="G78" s="155">
        <v>0.78</v>
      </c>
      <c r="H78" s="157">
        <v>1704.0</v>
      </c>
      <c r="I78" s="27">
        <f t="shared" si="8"/>
        <v>0.16</v>
      </c>
      <c r="J78" s="54">
        <v>314.0</v>
      </c>
      <c r="K78" s="50" t="s">
        <v>18</v>
      </c>
      <c r="L78" s="7"/>
      <c r="M78" s="36"/>
      <c r="N78" s="165">
        <v>10.0</v>
      </c>
      <c r="O78" s="166">
        <v>0.76</v>
      </c>
      <c r="P78" s="166">
        <v>0.75</v>
      </c>
      <c r="Q78" s="166">
        <v>0.76</v>
      </c>
      <c r="R78" s="166">
        <v>0.75</v>
      </c>
      <c r="S78" s="167">
        <v>3896.0</v>
      </c>
      <c r="T78" s="166">
        <f t="shared" si="9"/>
        <v>0.24</v>
      </c>
      <c r="U78" s="87">
        <v>1245.0</v>
      </c>
      <c r="V78" s="82" t="s">
        <v>18</v>
      </c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59"/>
      <c r="C79" s="168">
        <v>11.0</v>
      </c>
      <c r="D79" s="49">
        <v>0.84</v>
      </c>
      <c r="E79" s="49">
        <v>0.76</v>
      </c>
      <c r="F79" s="156">
        <v>0.84</v>
      </c>
      <c r="G79" s="156">
        <v>0.78</v>
      </c>
      <c r="H79" s="61">
        <v>1703.0</v>
      </c>
      <c r="I79" s="27">
        <f t="shared" si="8"/>
        <v>0.16</v>
      </c>
      <c r="J79" s="63">
        <v>315.0</v>
      </c>
      <c r="K79" s="49" t="s">
        <v>16</v>
      </c>
      <c r="L79" s="7"/>
      <c r="M79" s="91"/>
      <c r="N79" s="149">
        <v>11.0</v>
      </c>
      <c r="O79" s="169">
        <v>0.61</v>
      </c>
      <c r="P79" s="169">
        <v>0.6</v>
      </c>
      <c r="Q79" s="169">
        <v>0.61</v>
      </c>
      <c r="R79" s="169">
        <v>0.6</v>
      </c>
      <c r="S79" s="67">
        <v>4061.0</v>
      </c>
      <c r="T79" s="103">
        <f t="shared" si="9"/>
        <v>0.39</v>
      </c>
      <c r="U79" s="63">
        <v>1080.0</v>
      </c>
      <c r="V79" s="49" t="s">
        <v>18</v>
      </c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151" t="s">
        <v>19</v>
      </c>
      <c r="C80" s="152">
        <v>1.0</v>
      </c>
      <c r="D80" s="153">
        <v>0.85</v>
      </c>
      <c r="E80" s="153">
        <v>0.72</v>
      </c>
      <c r="F80" s="153">
        <v>0.85</v>
      </c>
      <c r="G80" s="154">
        <v>0.78</v>
      </c>
      <c r="H80" s="97">
        <v>1712.0</v>
      </c>
      <c r="I80" s="98">
        <f t="shared" si="8"/>
        <v>0.15</v>
      </c>
      <c r="J80" s="76">
        <v>306.0</v>
      </c>
      <c r="K80" s="99" t="s">
        <v>16</v>
      </c>
      <c r="L80" s="7"/>
      <c r="M80" s="73" t="s">
        <v>19</v>
      </c>
      <c r="N80" s="74">
        <v>1.0</v>
      </c>
      <c r="O80" s="103">
        <v>0.38</v>
      </c>
      <c r="P80" s="103">
        <v>0.39</v>
      </c>
      <c r="Q80" s="103">
        <v>0.38</v>
      </c>
      <c r="R80" s="103">
        <v>0.35</v>
      </c>
      <c r="S80" s="76">
        <v>1942.0</v>
      </c>
      <c r="T80" s="170">
        <f t="shared" si="9"/>
        <v>0.62</v>
      </c>
      <c r="U80" s="76">
        <v>3199.0</v>
      </c>
      <c r="V80" s="99" t="s">
        <v>16</v>
      </c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36"/>
      <c r="C81" s="131">
        <v>2.0</v>
      </c>
      <c r="D81" s="155">
        <v>0.85</v>
      </c>
      <c r="E81" s="158">
        <v>0.72</v>
      </c>
      <c r="F81" s="156">
        <v>0.85</v>
      </c>
      <c r="G81" s="155">
        <v>0.78</v>
      </c>
      <c r="H81" s="52">
        <v>1710.0</v>
      </c>
      <c r="I81" s="53">
        <f t="shared" si="8"/>
        <v>0.15</v>
      </c>
      <c r="J81" s="54">
        <v>308.0</v>
      </c>
      <c r="K81" s="101" t="s">
        <v>16</v>
      </c>
      <c r="L81" s="7"/>
      <c r="M81" s="36"/>
      <c r="N81" s="74">
        <v>2.0</v>
      </c>
      <c r="O81" s="103">
        <v>0.45</v>
      </c>
      <c r="P81" s="103">
        <v>0.44</v>
      </c>
      <c r="Q81" s="103">
        <v>0.45</v>
      </c>
      <c r="R81" s="103">
        <v>0.43</v>
      </c>
      <c r="S81" s="54">
        <v>2297.0</v>
      </c>
      <c r="T81" s="171">
        <f t="shared" si="9"/>
        <v>0.55</v>
      </c>
      <c r="U81" s="54">
        <v>2844.0</v>
      </c>
      <c r="V81" s="101" t="s">
        <v>33</v>
      </c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36"/>
      <c r="C82" s="131">
        <v>3.0</v>
      </c>
      <c r="D82" s="155">
        <v>0.85</v>
      </c>
      <c r="E82" s="158">
        <v>0.76</v>
      </c>
      <c r="F82" s="156">
        <v>0.85</v>
      </c>
      <c r="G82" s="155">
        <v>0.78</v>
      </c>
      <c r="H82" s="52">
        <v>1713.0</v>
      </c>
      <c r="I82" s="53">
        <f t="shared" si="8"/>
        <v>0.15</v>
      </c>
      <c r="J82" s="54">
        <v>305.0</v>
      </c>
      <c r="K82" s="101" t="s">
        <v>34</v>
      </c>
      <c r="L82" s="7"/>
      <c r="M82" s="36"/>
      <c r="N82" s="74">
        <v>3.0</v>
      </c>
      <c r="O82" s="103">
        <v>0.48</v>
      </c>
      <c r="P82" s="103">
        <v>0.49</v>
      </c>
      <c r="Q82" s="103">
        <v>0.48</v>
      </c>
      <c r="R82" s="103">
        <v>0.45</v>
      </c>
      <c r="S82" s="54">
        <v>2483.0</v>
      </c>
      <c r="T82" s="171">
        <f t="shared" si="9"/>
        <v>0.52</v>
      </c>
      <c r="U82" s="54">
        <v>2658.0</v>
      </c>
      <c r="V82" s="101" t="s">
        <v>33</v>
      </c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36"/>
      <c r="C83" s="133">
        <v>4.0</v>
      </c>
      <c r="D83" s="155">
        <v>0.84</v>
      </c>
      <c r="E83" s="155">
        <v>0.75</v>
      </c>
      <c r="F83" s="156">
        <v>0.84</v>
      </c>
      <c r="G83" s="155">
        <v>0.78</v>
      </c>
      <c r="H83" s="52">
        <v>1705.0</v>
      </c>
      <c r="I83" s="53">
        <f t="shared" si="8"/>
        <v>0.16</v>
      </c>
      <c r="J83" s="54">
        <v>313.0</v>
      </c>
      <c r="K83" s="101" t="s">
        <v>33</v>
      </c>
      <c r="L83" s="7"/>
      <c r="M83" s="36"/>
      <c r="N83" s="74">
        <v>4.0</v>
      </c>
      <c r="O83" s="103">
        <v>0.47</v>
      </c>
      <c r="P83" s="103">
        <v>0.47</v>
      </c>
      <c r="Q83" s="103">
        <v>0.47</v>
      </c>
      <c r="R83" s="103">
        <v>0.47</v>
      </c>
      <c r="S83" s="54">
        <v>2440.0</v>
      </c>
      <c r="T83" s="171">
        <f t="shared" si="9"/>
        <v>0.53</v>
      </c>
      <c r="U83" s="54">
        <v>2701.0</v>
      </c>
      <c r="V83" s="101" t="s">
        <v>33</v>
      </c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36"/>
      <c r="C84" s="172">
        <v>5.0</v>
      </c>
      <c r="D84" s="173">
        <v>0.85</v>
      </c>
      <c r="E84" s="173">
        <v>0.78</v>
      </c>
      <c r="F84" s="174">
        <v>0.85</v>
      </c>
      <c r="G84" s="175">
        <v>0.78</v>
      </c>
      <c r="H84" s="39">
        <v>1710.0</v>
      </c>
      <c r="I84" s="40">
        <f t="shared" si="8"/>
        <v>0.15</v>
      </c>
      <c r="J84" s="41">
        <v>308.0</v>
      </c>
      <c r="K84" s="48" t="s">
        <v>34</v>
      </c>
      <c r="L84" s="7"/>
      <c r="M84" s="36"/>
      <c r="N84" s="74">
        <v>5.0</v>
      </c>
      <c r="O84" s="103">
        <v>0.5</v>
      </c>
      <c r="P84" s="103">
        <v>0.54</v>
      </c>
      <c r="Q84" s="103">
        <v>0.5</v>
      </c>
      <c r="R84" s="103">
        <v>0.48</v>
      </c>
      <c r="S84" s="54">
        <v>2553.0</v>
      </c>
      <c r="T84" s="171">
        <f t="shared" si="9"/>
        <v>0.5</v>
      </c>
      <c r="U84" s="54">
        <v>2588.0</v>
      </c>
      <c r="V84" s="101" t="s">
        <v>16</v>
      </c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36"/>
      <c r="C85" s="133">
        <v>6.0</v>
      </c>
      <c r="D85" s="159">
        <v>0.84</v>
      </c>
      <c r="E85" s="159">
        <v>0.74</v>
      </c>
      <c r="F85" s="159">
        <v>0.84</v>
      </c>
      <c r="G85" s="27">
        <v>0.78</v>
      </c>
      <c r="H85" s="52">
        <v>1696.0</v>
      </c>
      <c r="I85" s="53">
        <f t="shared" si="8"/>
        <v>0.16</v>
      </c>
      <c r="J85" s="54">
        <v>322.0</v>
      </c>
      <c r="K85" s="101" t="s">
        <v>33</v>
      </c>
      <c r="L85" s="7"/>
      <c r="M85" s="36"/>
      <c r="N85" s="74">
        <v>6.0</v>
      </c>
      <c r="O85" s="103">
        <v>0.55</v>
      </c>
      <c r="P85" s="103">
        <v>0.55</v>
      </c>
      <c r="Q85" s="103">
        <v>0.55</v>
      </c>
      <c r="R85" s="103">
        <v>0.53</v>
      </c>
      <c r="S85" s="54">
        <v>2809.0</v>
      </c>
      <c r="T85" s="171">
        <f t="shared" si="9"/>
        <v>0.45</v>
      </c>
      <c r="U85" s="54">
        <v>2332.0</v>
      </c>
      <c r="V85" s="101" t="s">
        <v>16</v>
      </c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36"/>
      <c r="C86" s="133">
        <v>7.0</v>
      </c>
      <c r="D86" s="159">
        <v>0.84</v>
      </c>
      <c r="E86" s="159">
        <v>0.78</v>
      </c>
      <c r="F86" s="159">
        <v>0.84</v>
      </c>
      <c r="G86" s="27">
        <v>0.79</v>
      </c>
      <c r="H86" s="52">
        <v>1701.0</v>
      </c>
      <c r="I86" s="53">
        <f t="shared" si="8"/>
        <v>0.16</v>
      </c>
      <c r="J86" s="54">
        <v>317.0</v>
      </c>
      <c r="K86" s="101" t="s">
        <v>35</v>
      </c>
      <c r="L86" s="7"/>
      <c r="M86" s="36"/>
      <c r="N86" s="74">
        <v>7.0</v>
      </c>
      <c r="O86" s="103">
        <v>0.62</v>
      </c>
      <c r="P86" s="103">
        <v>0.62</v>
      </c>
      <c r="Q86" s="103">
        <v>0.62</v>
      </c>
      <c r="R86" s="103">
        <v>0.6</v>
      </c>
      <c r="S86" s="54">
        <v>3173.0</v>
      </c>
      <c r="T86" s="171">
        <f t="shared" si="9"/>
        <v>0.38</v>
      </c>
      <c r="U86" s="54">
        <v>1968.0</v>
      </c>
      <c r="V86" s="101" t="s">
        <v>16</v>
      </c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36"/>
      <c r="C87" s="133">
        <v>8.0</v>
      </c>
      <c r="D87" s="159">
        <v>0.83</v>
      </c>
      <c r="E87" s="159">
        <v>0.75</v>
      </c>
      <c r="F87" s="159">
        <v>0.83</v>
      </c>
      <c r="G87" s="27">
        <v>0.78</v>
      </c>
      <c r="H87" s="52">
        <v>1676.0</v>
      </c>
      <c r="I87" s="53">
        <f t="shared" si="8"/>
        <v>0.17</v>
      </c>
      <c r="J87" s="54">
        <v>342.0</v>
      </c>
      <c r="K87" s="101" t="s">
        <v>33</v>
      </c>
      <c r="L87" s="7"/>
      <c r="M87" s="36"/>
      <c r="N87" s="74">
        <v>8.0</v>
      </c>
      <c r="O87" s="103">
        <v>0.67</v>
      </c>
      <c r="P87" s="103">
        <v>0.67</v>
      </c>
      <c r="Q87" s="103">
        <v>0.67</v>
      </c>
      <c r="R87" s="103">
        <v>0.66</v>
      </c>
      <c r="S87" s="54">
        <v>3452.0</v>
      </c>
      <c r="T87" s="171">
        <f t="shared" si="9"/>
        <v>0.33</v>
      </c>
      <c r="U87" s="54">
        <v>1689.0</v>
      </c>
      <c r="V87" s="101" t="s">
        <v>16</v>
      </c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36"/>
      <c r="C88" s="133">
        <v>9.0</v>
      </c>
      <c r="D88" s="159">
        <v>0.83</v>
      </c>
      <c r="E88" s="159">
        <v>0.76</v>
      </c>
      <c r="F88" s="159">
        <v>0.83</v>
      </c>
      <c r="G88" s="27">
        <v>0.78</v>
      </c>
      <c r="H88" s="52">
        <v>1667.0</v>
      </c>
      <c r="I88" s="53">
        <f t="shared" si="8"/>
        <v>0.17</v>
      </c>
      <c r="J88" s="54">
        <v>351.0</v>
      </c>
      <c r="K88" s="101" t="s">
        <v>36</v>
      </c>
      <c r="L88" s="7"/>
      <c r="M88" s="36"/>
      <c r="N88" s="74">
        <v>9.0</v>
      </c>
      <c r="O88" s="103">
        <v>0.74</v>
      </c>
      <c r="P88" s="103">
        <v>0.74</v>
      </c>
      <c r="Q88" s="103">
        <v>0.74</v>
      </c>
      <c r="R88" s="103">
        <v>0.73</v>
      </c>
      <c r="S88" s="54">
        <v>3800.0</v>
      </c>
      <c r="T88" s="171">
        <f t="shared" si="9"/>
        <v>0.26</v>
      </c>
      <c r="U88" s="54">
        <v>1341.0</v>
      </c>
      <c r="V88" s="101" t="s">
        <v>36</v>
      </c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36"/>
      <c r="C89" s="133">
        <v>10.0</v>
      </c>
      <c r="D89" s="159">
        <v>0.83</v>
      </c>
      <c r="E89" s="159">
        <v>0.76</v>
      </c>
      <c r="F89" s="159">
        <v>0.83</v>
      </c>
      <c r="G89" s="27">
        <v>0.78</v>
      </c>
      <c r="H89" s="52">
        <v>1668.0</v>
      </c>
      <c r="I89" s="53">
        <f t="shared" si="8"/>
        <v>0.17</v>
      </c>
      <c r="J89" s="54">
        <v>350.0</v>
      </c>
      <c r="K89" s="101" t="s">
        <v>20</v>
      </c>
      <c r="L89" s="7"/>
      <c r="M89" s="36"/>
      <c r="N89" s="74">
        <v>10.0</v>
      </c>
      <c r="O89" s="103">
        <v>0.82</v>
      </c>
      <c r="P89" s="103">
        <v>0.82</v>
      </c>
      <c r="Q89" s="103">
        <v>0.82</v>
      </c>
      <c r="R89" s="103">
        <v>0.82</v>
      </c>
      <c r="S89" s="54">
        <v>4222.0</v>
      </c>
      <c r="T89" s="171">
        <f t="shared" si="9"/>
        <v>0.18</v>
      </c>
      <c r="U89" s="54">
        <v>919.0</v>
      </c>
      <c r="V89" s="101" t="s">
        <v>20</v>
      </c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59"/>
      <c r="C90" s="168">
        <v>11.0</v>
      </c>
      <c r="D90" s="49">
        <v>0.83</v>
      </c>
      <c r="E90" s="49">
        <v>0.73</v>
      </c>
      <c r="F90" s="49">
        <v>0.83</v>
      </c>
      <c r="G90" s="60">
        <v>0.77</v>
      </c>
      <c r="H90" s="104">
        <v>1666.0</v>
      </c>
      <c r="I90" s="105">
        <f t="shared" si="8"/>
        <v>0.17</v>
      </c>
      <c r="J90" s="106">
        <v>352.0</v>
      </c>
      <c r="K90" s="107" t="s">
        <v>20</v>
      </c>
      <c r="L90" s="7"/>
      <c r="M90" s="91"/>
      <c r="N90" s="108">
        <v>11.0</v>
      </c>
      <c r="O90" s="109">
        <v>0.86</v>
      </c>
      <c r="P90" s="109">
        <v>0.86</v>
      </c>
      <c r="Q90" s="109">
        <v>0.86</v>
      </c>
      <c r="R90" s="109">
        <v>0.86</v>
      </c>
      <c r="S90" s="110">
        <v>4414.0</v>
      </c>
      <c r="T90" s="176">
        <f t="shared" si="9"/>
        <v>0.14</v>
      </c>
      <c r="U90" s="110">
        <v>721.0</v>
      </c>
      <c r="V90" s="112" t="s">
        <v>20</v>
      </c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151" t="s">
        <v>21</v>
      </c>
      <c r="C91" s="152">
        <v>1.0</v>
      </c>
      <c r="D91" s="153">
        <v>0.85</v>
      </c>
      <c r="E91" s="153">
        <v>0.72</v>
      </c>
      <c r="F91" s="153">
        <v>0.85</v>
      </c>
      <c r="G91" s="154">
        <v>0.78</v>
      </c>
      <c r="H91" s="26">
        <v>1712.0</v>
      </c>
      <c r="I91" s="132">
        <f t="shared" si="8"/>
        <v>0.15</v>
      </c>
      <c r="J91" s="28">
        <v>306.0</v>
      </c>
      <c r="K91" s="120" t="s">
        <v>16</v>
      </c>
      <c r="L91" s="7"/>
      <c r="M91" s="73" t="s">
        <v>21</v>
      </c>
      <c r="N91" s="74">
        <v>1.0</v>
      </c>
      <c r="O91" s="103">
        <v>0.38</v>
      </c>
      <c r="P91" s="103">
        <v>0.39</v>
      </c>
      <c r="Q91" s="103">
        <v>0.38</v>
      </c>
      <c r="R91" s="103">
        <v>0.35</v>
      </c>
      <c r="S91" s="33">
        <v>1942.0</v>
      </c>
      <c r="T91" s="119">
        <f t="shared" si="9"/>
        <v>0.62</v>
      </c>
      <c r="U91" s="28">
        <v>3199.0</v>
      </c>
      <c r="V91" s="120" t="s">
        <v>16</v>
      </c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36"/>
      <c r="C92" s="133">
        <v>2.0</v>
      </c>
      <c r="D92" s="155">
        <v>0.85</v>
      </c>
      <c r="E92" s="155">
        <v>0.72</v>
      </c>
      <c r="F92" s="155">
        <v>0.85</v>
      </c>
      <c r="G92" s="156">
        <v>0.78</v>
      </c>
      <c r="H92" s="52">
        <v>1710.0</v>
      </c>
      <c r="I92" s="53">
        <f t="shared" si="8"/>
        <v>0.15</v>
      </c>
      <c r="J92" s="54">
        <v>308.0</v>
      </c>
      <c r="K92" s="101" t="s">
        <v>33</v>
      </c>
      <c r="L92" s="7"/>
      <c r="M92" s="36"/>
      <c r="N92" s="74">
        <v>2.0</v>
      </c>
      <c r="O92" s="103">
        <v>0.45</v>
      </c>
      <c r="P92" s="103">
        <v>0.44</v>
      </c>
      <c r="Q92" s="103">
        <v>0.45</v>
      </c>
      <c r="R92" s="103">
        <v>0.43</v>
      </c>
      <c r="S92" s="56">
        <v>2297.0</v>
      </c>
      <c r="T92" s="102">
        <f t="shared" si="9"/>
        <v>0.55</v>
      </c>
      <c r="U92" s="54">
        <v>2844.0</v>
      </c>
      <c r="V92" s="101" t="s">
        <v>33</v>
      </c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36"/>
      <c r="C93" s="133">
        <v>3.0</v>
      </c>
      <c r="D93" s="155">
        <v>0.85</v>
      </c>
      <c r="E93" s="155">
        <v>0.72</v>
      </c>
      <c r="F93" s="155">
        <v>0.85</v>
      </c>
      <c r="G93" s="156">
        <v>0.78</v>
      </c>
      <c r="H93" s="52">
        <v>1706.0</v>
      </c>
      <c r="I93" s="53">
        <f t="shared" si="8"/>
        <v>0.15</v>
      </c>
      <c r="J93" s="54">
        <v>312.0</v>
      </c>
      <c r="K93" s="101" t="s">
        <v>33</v>
      </c>
      <c r="L93" s="7"/>
      <c r="M93" s="36"/>
      <c r="N93" s="74">
        <v>3.0</v>
      </c>
      <c r="O93" s="103">
        <v>0.46</v>
      </c>
      <c r="P93" s="103">
        <v>0.45</v>
      </c>
      <c r="Q93" s="103">
        <v>0.46</v>
      </c>
      <c r="R93" s="103">
        <v>0.45</v>
      </c>
      <c r="S93" s="56">
        <v>2351.0</v>
      </c>
      <c r="T93" s="102">
        <f t="shared" si="9"/>
        <v>0.54</v>
      </c>
      <c r="U93" s="54">
        <v>2790.0</v>
      </c>
      <c r="V93" s="101" t="s">
        <v>33</v>
      </c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36"/>
      <c r="C94" s="140">
        <v>4.0</v>
      </c>
      <c r="D94" s="163">
        <v>0.85</v>
      </c>
      <c r="E94" s="160">
        <v>0.78</v>
      </c>
      <c r="F94" s="163">
        <v>0.85</v>
      </c>
      <c r="G94" s="162">
        <v>0.78</v>
      </c>
      <c r="H94" s="85">
        <v>1711.0</v>
      </c>
      <c r="I94" s="177">
        <f t="shared" si="8"/>
        <v>0.15</v>
      </c>
      <c r="J94" s="87">
        <v>307.0</v>
      </c>
      <c r="K94" s="178" t="s">
        <v>33</v>
      </c>
      <c r="L94" s="7"/>
      <c r="M94" s="36"/>
      <c r="N94" s="74">
        <v>4.0</v>
      </c>
      <c r="O94" s="103">
        <v>0.49</v>
      </c>
      <c r="P94" s="103">
        <v>0.49</v>
      </c>
      <c r="Q94" s="103">
        <v>0.49</v>
      </c>
      <c r="R94" s="103">
        <v>0.47</v>
      </c>
      <c r="S94" s="56">
        <v>2500.0</v>
      </c>
      <c r="T94" s="102">
        <f t="shared" si="9"/>
        <v>0.51</v>
      </c>
      <c r="U94" s="54">
        <v>2641.0</v>
      </c>
      <c r="V94" s="101" t="s">
        <v>33</v>
      </c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36"/>
      <c r="C95" s="133">
        <v>5.0</v>
      </c>
      <c r="D95" s="159">
        <v>0.84</v>
      </c>
      <c r="E95" s="159">
        <v>0.75</v>
      </c>
      <c r="F95" s="159">
        <v>0.84</v>
      </c>
      <c r="G95" s="156">
        <v>0.78</v>
      </c>
      <c r="H95" s="52">
        <v>1699.0</v>
      </c>
      <c r="I95" s="53">
        <f t="shared" si="8"/>
        <v>0.16</v>
      </c>
      <c r="J95" s="54">
        <v>319.0</v>
      </c>
      <c r="K95" s="101" t="s">
        <v>34</v>
      </c>
      <c r="L95" s="7"/>
      <c r="M95" s="36"/>
      <c r="N95" s="74">
        <v>5.0</v>
      </c>
      <c r="O95" s="103">
        <v>0.5</v>
      </c>
      <c r="P95" s="103">
        <v>0.51</v>
      </c>
      <c r="Q95" s="103">
        <v>0.5</v>
      </c>
      <c r="R95" s="103">
        <v>0.49</v>
      </c>
      <c r="S95" s="56">
        <v>2584.0</v>
      </c>
      <c r="T95" s="102">
        <f t="shared" si="9"/>
        <v>0.5</v>
      </c>
      <c r="U95" s="54">
        <v>2557.0</v>
      </c>
      <c r="V95" s="101" t="s">
        <v>16</v>
      </c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36"/>
      <c r="C96" s="133">
        <v>6.0</v>
      </c>
      <c r="D96" s="159">
        <v>0.84</v>
      </c>
      <c r="E96" s="159">
        <v>0.79</v>
      </c>
      <c r="F96" s="159">
        <v>0.84</v>
      </c>
      <c r="G96" s="27">
        <v>0.79</v>
      </c>
      <c r="H96" s="52">
        <v>1705.0</v>
      </c>
      <c r="I96" s="53">
        <f t="shared" si="8"/>
        <v>0.16</v>
      </c>
      <c r="J96" s="54">
        <v>313.0</v>
      </c>
      <c r="K96" s="101" t="s">
        <v>33</v>
      </c>
      <c r="L96" s="7"/>
      <c r="M96" s="36"/>
      <c r="N96" s="74">
        <v>6.0</v>
      </c>
      <c r="O96" s="103">
        <v>0.56</v>
      </c>
      <c r="P96" s="103">
        <v>0.56</v>
      </c>
      <c r="Q96" s="103">
        <v>0.56</v>
      </c>
      <c r="R96" s="103">
        <v>0.55</v>
      </c>
      <c r="S96" s="56">
        <v>2885.0</v>
      </c>
      <c r="T96" s="102">
        <f t="shared" si="9"/>
        <v>0.44</v>
      </c>
      <c r="U96" s="54">
        <v>2256.0</v>
      </c>
      <c r="V96" s="101" t="s">
        <v>16</v>
      </c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36"/>
      <c r="C97" s="133">
        <v>7.0</v>
      </c>
      <c r="D97" s="159">
        <v>0.83</v>
      </c>
      <c r="E97" s="159">
        <v>0.76</v>
      </c>
      <c r="F97" s="159">
        <v>0.83</v>
      </c>
      <c r="G97" s="27">
        <v>0.78</v>
      </c>
      <c r="H97" s="52">
        <v>1672.0</v>
      </c>
      <c r="I97" s="53">
        <f t="shared" si="8"/>
        <v>0.17</v>
      </c>
      <c r="J97" s="54">
        <v>346.0</v>
      </c>
      <c r="K97" s="101" t="s">
        <v>34</v>
      </c>
      <c r="L97" s="7"/>
      <c r="M97" s="36"/>
      <c r="N97" s="74">
        <v>7.0</v>
      </c>
      <c r="O97" s="103">
        <v>0.61</v>
      </c>
      <c r="P97" s="103">
        <v>0.6</v>
      </c>
      <c r="Q97" s="103">
        <v>0.61</v>
      </c>
      <c r="R97" s="103">
        <v>0.6</v>
      </c>
      <c r="S97" s="56">
        <v>3127.0</v>
      </c>
      <c r="T97" s="102">
        <f t="shared" si="9"/>
        <v>0.39</v>
      </c>
      <c r="U97" s="54">
        <v>2014.0</v>
      </c>
      <c r="V97" s="101" t="s">
        <v>16</v>
      </c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36"/>
      <c r="C98" s="133">
        <v>8.0</v>
      </c>
      <c r="D98" s="159">
        <v>0.81</v>
      </c>
      <c r="E98" s="159">
        <v>0.75</v>
      </c>
      <c r="F98" s="159">
        <v>0.81</v>
      </c>
      <c r="G98" s="27">
        <v>0.77</v>
      </c>
      <c r="H98" s="52">
        <v>1640.0</v>
      </c>
      <c r="I98" s="53">
        <f t="shared" si="8"/>
        <v>0.19</v>
      </c>
      <c r="J98" s="54">
        <v>378.0</v>
      </c>
      <c r="K98" s="101" t="s">
        <v>35</v>
      </c>
      <c r="L98" s="7"/>
      <c r="M98" s="36"/>
      <c r="N98" s="74">
        <v>8.0</v>
      </c>
      <c r="O98" s="103">
        <v>0.67</v>
      </c>
      <c r="P98" s="103">
        <v>0.67</v>
      </c>
      <c r="Q98" s="103">
        <v>0.67</v>
      </c>
      <c r="R98" s="103">
        <v>0.65</v>
      </c>
      <c r="S98" s="56">
        <v>3427.0</v>
      </c>
      <c r="T98" s="102">
        <f t="shared" si="9"/>
        <v>0.33</v>
      </c>
      <c r="U98" s="54">
        <v>1714.0</v>
      </c>
      <c r="V98" s="101" t="s">
        <v>35</v>
      </c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36"/>
      <c r="C99" s="133">
        <v>9.0</v>
      </c>
      <c r="D99" s="159">
        <v>0.79</v>
      </c>
      <c r="E99" s="159">
        <v>0.75</v>
      </c>
      <c r="F99" s="159">
        <v>0.79</v>
      </c>
      <c r="G99" s="27">
        <v>0.77</v>
      </c>
      <c r="H99" s="52">
        <v>1590.0</v>
      </c>
      <c r="I99" s="53">
        <f t="shared" si="8"/>
        <v>0.21</v>
      </c>
      <c r="J99" s="54">
        <v>428.0</v>
      </c>
      <c r="K99" s="101" t="s">
        <v>36</v>
      </c>
      <c r="L99" s="7"/>
      <c r="M99" s="36"/>
      <c r="N99" s="74">
        <v>9.0</v>
      </c>
      <c r="O99" s="103">
        <v>0.72</v>
      </c>
      <c r="P99" s="103">
        <v>0.72</v>
      </c>
      <c r="Q99" s="103">
        <v>0.72</v>
      </c>
      <c r="R99" s="103">
        <v>0.71</v>
      </c>
      <c r="S99" s="56">
        <v>3717.0</v>
      </c>
      <c r="T99" s="102">
        <f t="shared" si="9"/>
        <v>0.28</v>
      </c>
      <c r="U99" s="54">
        <v>1424.0</v>
      </c>
      <c r="V99" s="101" t="s">
        <v>36</v>
      </c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36"/>
      <c r="C100" s="133">
        <v>10.0</v>
      </c>
      <c r="D100" s="159">
        <v>0.76</v>
      </c>
      <c r="E100" s="159">
        <v>0.75</v>
      </c>
      <c r="F100" s="159">
        <v>0.76</v>
      </c>
      <c r="G100" s="27">
        <v>0.75</v>
      </c>
      <c r="H100" s="52">
        <v>1430.0</v>
      </c>
      <c r="I100" s="53">
        <f t="shared" si="8"/>
        <v>0.24</v>
      </c>
      <c r="J100" s="54">
        <v>488.0</v>
      </c>
      <c r="K100" s="101" t="s">
        <v>36</v>
      </c>
      <c r="L100" s="7"/>
      <c r="M100" s="36"/>
      <c r="N100" s="74">
        <v>10.0</v>
      </c>
      <c r="O100" s="103">
        <v>0.77</v>
      </c>
      <c r="P100" s="103">
        <v>0.78</v>
      </c>
      <c r="Q100" s="103">
        <v>0.77</v>
      </c>
      <c r="R100" s="103">
        <v>0.77</v>
      </c>
      <c r="S100" s="56">
        <v>3984.0</v>
      </c>
      <c r="T100" s="102">
        <f t="shared" si="9"/>
        <v>0.23</v>
      </c>
      <c r="U100" s="54">
        <v>1157.0</v>
      </c>
      <c r="V100" s="101" t="s">
        <v>36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59"/>
      <c r="C101" s="168">
        <v>11.0</v>
      </c>
      <c r="D101" s="49">
        <v>0.72</v>
      </c>
      <c r="E101" s="49">
        <v>0.74</v>
      </c>
      <c r="F101" s="49">
        <v>0.72</v>
      </c>
      <c r="G101" s="60">
        <v>0.73</v>
      </c>
      <c r="H101" s="61">
        <v>1458.0</v>
      </c>
      <c r="I101" s="62">
        <f t="shared" si="8"/>
        <v>0.28</v>
      </c>
      <c r="J101" s="63">
        <v>560.0</v>
      </c>
      <c r="K101" s="55" t="s">
        <v>20</v>
      </c>
      <c r="L101" s="7"/>
      <c r="M101" s="91"/>
      <c r="N101" s="92">
        <v>11.0</v>
      </c>
      <c r="O101" s="93">
        <v>0.82</v>
      </c>
      <c r="P101" s="93">
        <v>0.82</v>
      </c>
      <c r="Q101" s="93">
        <v>0.82</v>
      </c>
      <c r="R101" s="93">
        <v>0.81</v>
      </c>
      <c r="S101" s="122">
        <v>4207.0</v>
      </c>
      <c r="T101" s="123">
        <f t="shared" si="9"/>
        <v>0.18</v>
      </c>
      <c r="U101" s="124">
        <v>934.0</v>
      </c>
      <c r="V101" s="125" t="s">
        <v>20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151" t="s">
        <v>22</v>
      </c>
      <c r="C102" s="152">
        <v>1.0</v>
      </c>
      <c r="D102" s="153">
        <v>0.85</v>
      </c>
      <c r="E102" s="153">
        <v>0.72</v>
      </c>
      <c r="F102" s="153">
        <v>0.85</v>
      </c>
      <c r="G102" s="154">
        <v>0.78</v>
      </c>
      <c r="H102" s="97">
        <v>1712.0</v>
      </c>
      <c r="I102" s="98">
        <f t="shared" si="8"/>
        <v>0.15</v>
      </c>
      <c r="J102" s="76">
        <v>306.0</v>
      </c>
      <c r="K102" s="24" t="s">
        <v>23</v>
      </c>
      <c r="L102" s="7"/>
      <c r="M102" s="73" t="s">
        <v>22</v>
      </c>
      <c r="N102" s="74">
        <v>1.0</v>
      </c>
      <c r="O102" s="103">
        <v>0.36</v>
      </c>
      <c r="P102" s="103">
        <v>0.36</v>
      </c>
      <c r="Q102" s="103">
        <v>0.36</v>
      </c>
      <c r="R102" s="103">
        <v>0.31</v>
      </c>
      <c r="S102" s="33">
        <v>1827.0</v>
      </c>
      <c r="T102" s="119">
        <f t="shared" si="9"/>
        <v>0.64</v>
      </c>
      <c r="U102" s="76">
        <v>3314.0</v>
      </c>
      <c r="V102" s="24" t="s">
        <v>23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36"/>
      <c r="C103" s="133">
        <v>2.0</v>
      </c>
      <c r="D103" s="159">
        <v>0.85</v>
      </c>
      <c r="E103" s="159">
        <v>0.72</v>
      </c>
      <c r="F103" s="159">
        <v>0.85</v>
      </c>
      <c r="G103" s="27">
        <v>0.78</v>
      </c>
      <c r="H103" s="52">
        <v>1712.0</v>
      </c>
      <c r="I103" s="53">
        <f t="shared" si="8"/>
        <v>0.15</v>
      </c>
      <c r="J103" s="54">
        <v>306.0</v>
      </c>
      <c r="K103" s="50" t="s">
        <v>23</v>
      </c>
      <c r="L103" s="7"/>
      <c r="M103" s="36"/>
      <c r="N103" s="74">
        <v>2.0</v>
      </c>
      <c r="O103" s="103">
        <v>0.38</v>
      </c>
      <c r="P103" s="103">
        <v>0.43</v>
      </c>
      <c r="Q103" s="103">
        <v>0.38</v>
      </c>
      <c r="R103" s="103">
        <v>0.31</v>
      </c>
      <c r="S103" s="56">
        <v>1941.0</v>
      </c>
      <c r="T103" s="119">
        <f t="shared" si="9"/>
        <v>0.62</v>
      </c>
      <c r="U103" s="54">
        <v>3200.0</v>
      </c>
      <c r="V103" s="50" t="s">
        <v>23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36"/>
      <c r="C104" s="133">
        <v>3.0</v>
      </c>
      <c r="D104" s="159">
        <v>0.85</v>
      </c>
      <c r="E104" s="159">
        <v>0.72</v>
      </c>
      <c r="F104" s="159">
        <v>0.85</v>
      </c>
      <c r="G104" s="27">
        <v>0.78</v>
      </c>
      <c r="H104" s="52">
        <v>1712.0</v>
      </c>
      <c r="I104" s="53">
        <f t="shared" si="8"/>
        <v>0.15</v>
      </c>
      <c r="J104" s="54">
        <v>306.0</v>
      </c>
      <c r="K104" s="50" t="s">
        <v>23</v>
      </c>
      <c r="L104" s="7"/>
      <c r="M104" s="36"/>
      <c r="N104" s="74">
        <v>3.0</v>
      </c>
      <c r="O104" s="103">
        <v>0.38</v>
      </c>
      <c r="P104" s="103">
        <v>0.42</v>
      </c>
      <c r="Q104" s="103">
        <v>0.38</v>
      </c>
      <c r="R104" s="103">
        <v>0.3</v>
      </c>
      <c r="S104" s="56">
        <v>1935.0</v>
      </c>
      <c r="T104" s="119">
        <f t="shared" si="9"/>
        <v>0.62</v>
      </c>
      <c r="U104" s="54">
        <v>3206.0</v>
      </c>
      <c r="V104" s="50" t="s">
        <v>23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36"/>
      <c r="C105" s="133">
        <v>4.0</v>
      </c>
      <c r="D105" s="159">
        <v>0.85</v>
      </c>
      <c r="E105" s="159">
        <v>0.72</v>
      </c>
      <c r="F105" s="159">
        <v>0.85</v>
      </c>
      <c r="G105" s="27">
        <v>0.78</v>
      </c>
      <c r="H105" s="52">
        <v>1712.0</v>
      </c>
      <c r="I105" s="53">
        <f t="shared" si="8"/>
        <v>0.15</v>
      </c>
      <c r="J105" s="54">
        <v>306.0</v>
      </c>
      <c r="K105" s="50" t="s">
        <v>23</v>
      </c>
      <c r="L105" s="7"/>
      <c r="M105" s="36"/>
      <c r="N105" s="74">
        <v>4.0</v>
      </c>
      <c r="O105" s="103">
        <v>0.41</v>
      </c>
      <c r="P105" s="103">
        <v>0.44</v>
      </c>
      <c r="Q105" s="103">
        <v>0.41</v>
      </c>
      <c r="R105" s="103">
        <v>0.36</v>
      </c>
      <c r="S105" s="56">
        <v>2120.0</v>
      </c>
      <c r="T105" s="119">
        <f t="shared" si="9"/>
        <v>0.59</v>
      </c>
      <c r="U105" s="54">
        <v>3021.0</v>
      </c>
      <c r="V105" s="50" t="s">
        <v>23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36"/>
      <c r="C106" s="133">
        <v>5.0</v>
      </c>
      <c r="D106" s="159">
        <v>0.85</v>
      </c>
      <c r="E106" s="159">
        <v>0.72</v>
      </c>
      <c r="F106" s="159">
        <v>0.85</v>
      </c>
      <c r="G106" s="27">
        <v>0.78</v>
      </c>
      <c r="H106" s="52">
        <v>1712.0</v>
      </c>
      <c r="I106" s="53">
        <f t="shared" si="8"/>
        <v>0.15</v>
      </c>
      <c r="J106" s="54">
        <v>306.0</v>
      </c>
      <c r="K106" s="50" t="s">
        <v>23</v>
      </c>
      <c r="L106" s="7"/>
      <c r="M106" s="36"/>
      <c r="N106" s="74">
        <v>5.0</v>
      </c>
      <c r="O106" s="103">
        <v>0.4</v>
      </c>
      <c r="P106" s="103">
        <v>0.41</v>
      </c>
      <c r="Q106" s="103">
        <v>0.4</v>
      </c>
      <c r="R106" s="103">
        <v>0.36</v>
      </c>
      <c r="S106" s="56">
        <v>2079.0</v>
      </c>
      <c r="T106" s="119">
        <f t="shared" si="9"/>
        <v>0.6</v>
      </c>
      <c r="U106" s="54">
        <v>3062.0</v>
      </c>
      <c r="V106" s="50" t="s">
        <v>23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36"/>
      <c r="C107" s="133">
        <v>6.0</v>
      </c>
      <c r="D107" s="159">
        <v>0.85</v>
      </c>
      <c r="E107" s="159">
        <v>0.72</v>
      </c>
      <c r="F107" s="159">
        <v>0.85</v>
      </c>
      <c r="G107" s="27">
        <v>0.78</v>
      </c>
      <c r="H107" s="52">
        <v>1712.0</v>
      </c>
      <c r="I107" s="53">
        <f t="shared" si="8"/>
        <v>0.15</v>
      </c>
      <c r="J107" s="54">
        <v>306.0</v>
      </c>
      <c r="K107" s="50" t="s">
        <v>23</v>
      </c>
      <c r="L107" s="7"/>
      <c r="M107" s="36"/>
      <c r="N107" s="74">
        <v>6.0</v>
      </c>
      <c r="O107" s="103">
        <v>0.44</v>
      </c>
      <c r="P107" s="103">
        <v>0.44</v>
      </c>
      <c r="Q107" s="103">
        <v>0.44</v>
      </c>
      <c r="R107" s="103">
        <v>0.41</v>
      </c>
      <c r="S107" s="56">
        <v>2257.0</v>
      </c>
      <c r="T107" s="119">
        <f t="shared" si="9"/>
        <v>0.56</v>
      </c>
      <c r="U107" s="54">
        <v>2884.0</v>
      </c>
      <c r="V107" s="50" t="s">
        <v>23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36"/>
      <c r="C108" s="133">
        <v>7.0</v>
      </c>
      <c r="D108" s="159">
        <v>0.85</v>
      </c>
      <c r="E108" s="159">
        <v>0.72</v>
      </c>
      <c r="F108" s="159">
        <v>0.85</v>
      </c>
      <c r="G108" s="27">
        <v>0.78</v>
      </c>
      <c r="H108" s="52">
        <v>1712.0</v>
      </c>
      <c r="I108" s="53">
        <f t="shared" si="8"/>
        <v>0.15</v>
      </c>
      <c r="J108" s="54">
        <v>306.0</v>
      </c>
      <c r="K108" s="50" t="s">
        <v>23</v>
      </c>
      <c r="L108" s="7"/>
      <c r="M108" s="36"/>
      <c r="N108" s="74">
        <v>7.0</v>
      </c>
      <c r="O108" s="103">
        <v>0.44</v>
      </c>
      <c r="P108" s="103">
        <v>0.43</v>
      </c>
      <c r="Q108" s="103">
        <v>0.44</v>
      </c>
      <c r="R108" s="103">
        <v>0.4</v>
      </c>
      <c r="S108" s="56">
        <v>2245.0</v>
      </c>
      <c r="T108" s="119">
        <f t="shared" si="9"/>
        <v>0.56</v>
      </c>
      <c r="U108" s="54">
        <v>2896.0</v>
      </c>
      <c r="V108" s="50" t="s">
        <v>23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36"/>
      <c r="C109" s="133">
        <v>8.0</v>
      </c>
      <c r="D109" s="159">
        <v>0.85</v>
      </c>
      <c r="E109" s="159">
        <v>0.72</v>
      </c>
      <c r="F109" s="159">
        <v>0.85</v>
      </c>
      <c r="G109" s="27">
        <v>0.78</v>
      </c>
      <c r="H109" s="52">
        <v>1712.0</v>
      </c>
      <c r="I109" s="53">
        <f t="shared" si="8"/>
        <v>0.15</v>
      </c>
      <c r="J109" s="54">
        <v>306.0</v>
      </c>
      <c r="K109" s="50" t="s">
        <v>23</v>
      </c>
      <c r="L109" s="7"/>
      <c r="M109" s="36"/>
      <c r="N109" s="74">
        <v>8.0</v>
      </c>
      <c r="O109" s="103">
        <v>0.46</v>
      </c>
      <c r="P109" s="103">
        <v>0.46</v>
      </c>
      <c r="Q109" s="103">
        <v>0.46</v>
      </c>
      <c r="R109" s="103">
        <v>0.42</v>
      </c>
      <c r="S109" s="56">
        <v>2385.0</v>
      </c>
      <c r="T109" s="119">
        <f t="shared" si="9"/>
        <v>0.54</v>
      </c>
      <c r="U109" s="54">
        <v>2756.0</v>
      </c>
      <c r="V109" s="50" t="s">
        <v>23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36"/>
      <c r="C110" s="133">
        <v>9.0</v>
      </c>
      <c r="D110" s="159">
        <v>0.85</v>
      </c>
      <c r="E110" s="159">
        <v>0.72</v>
      </c>
      <c r="F110" s="159">
        <v>0.85</v>
      </c>
      <c r="G110" s="27">
        <v>0.78</v>
      </c>
      <c r="H110" s="52">
        <v>1712.0</v>
      </c>
      <c r="I110" s="53">
        <f t="shared" si="8"/>
        <v>0.15</v>
      </c>
      <c r="J110" s="54">
        <v>306.0</v>
      </c>
      <c r="K110" s="50" t="s">
        <v>23</v>
      </c>
      <c r="L110" s="7"/>
      <c r="M110" s="36"/>
      <c r="N110" s="165">
        <v>9.0</v>
      </c>
      <c r="O110" s="166">
        <v>0.48</v>
      </c>
      <c r="P110" s="166">
        <v>0.48</v>
      </c>
      <c r="Q110" s="166">
        <v>0.48</v>
      </c>
      <c r="R110" s="166">
        <v>0.43</v>
      </c>
      <c r="S110" s="167">
        <v>2447.0</v>
      </c>
      <c r="T110" s="142">
        <f t="shared" si="9"/>
        <v>0.52</v>
      </c>
      <c r="U110" s="87">
        <v>2694.0</v>
      </c>
      <c r="V110" s="82" t="s">
        <v>23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36"/>
      <c r="C111" s="140">
        <v>10.0</v>
      </c>
      <c r="D111" s="160">
        <v>0.85</v>
      </c>
      <c r="E111" s="160">
        <v>0.72</v>
      </c>
      <c r="F111" s="160">
        <v>0.85</v>
      </c>
      <c r="G111" s="161">
        <v>0.78</v>
      </c>
      <c r="H111" s="85">
        <v>1712.0</v>
      </c>
      <c r="I111" s="177">
        <f t="shared" si="8"/>
        <v>0.15</v>
      </c>
      <c r="J111" s="87">
        <v>306.0</v>
      </c>
      <c r="K111" s="82" t="s">
        <v>23</v>
      </c>
      <c r="L111" s="7"/>
      <c r="M111" s="36"/>
      <c r="N111" s="74">
        <v>10.0</v>
      </c>
      <c r="O111" s="103">
        <v>0.45</v>
      </c>
      <c r="P111" s="103">
        <v>0.43</v>
      </c>
      <c r="Q111" s="103">
        <v>0.45</v>
      </c>
      <c r="R111" s="103">
        <v>0.39</v>
      </c>
      <c r="S111" s="56">
        <v>2305.0</v>
      </c>
      <c r="T111" s="119">
        <f t="shared" si="9"/>
        <v>0.55</v>
      </c>
      <c r="U111" s="54">
        <v>2836.0</v>
      </c>
      <c r="V111" s="50" t="s">
        <v>23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59"/>
      <c r="C112" s="168">
        <v>11.0</v>
      </c>
      <c r="D112" s="179">
        <v>0.84</v>
      </c>
      <c r="E112" s="179">
        <v>0.75</v>
      </c>
      <c r="F112" s="179">
        <v>0.84</v>
      </c>
      <c r="G112" s="180">
        <v>0.78</v>
      </c>
      <c r="H112" s="104">
        <v>1702.0</v>
      </c>
      <c r="I112" s="105">
        <f t="shared" si="8"/>
        <v>0.16</v>
      </c>
      <c r="J112" s="106">
        <v>316.0</v>
      </c>
      <c r="K112" s="49" t="s">
        <v>23</v>
      </c>
      <c r="L112" s="7"/>
      <c r="M112" s="91"/>
      <c r="N112" s="149">
        <v>11.0</v>
      </c>
      <c r="O112" s="181">
        <v>0.44</v>
      </c>
      <c r="P112" s="169">
        <v>0.46</v>
      </c>
      <c r="Q112" s="181">
        <v>0.44</v>
      </c>
      <c r="R112" s="181">
        <v>0.39</v>
      </c>
      <c r="S112" s="182">
        <v>2277.0</v>
      </c>
      <c r="T112" s="183">
        <f t="shared" si="9"/>
        <v>0.56</v>
      </c>
      <c r="U112" s="106">
        <v>2864.0</v>
      </c>
      <c r="V112" s="179" t="s">
        <v>23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151" t="s">
        <v>24</v>
      </c>
      <c r="C113" s="152">
        <v>1.0</v>
      </c>
      <c r="D113" s="153">
        <v>0.85</v>
      </c>
      <c r="E113" s="159">
        <v>0.72</v>
      </c>
      <c r="F113" s="159">
        <v>0.85</v>
      </c>
      <c r="G113" s="154">
        <v>0.78</v>
      </c>
      <c r="H113" s="131">
        <f t="shared" ref="H113:H123" si="10">0+0+1712</f>
        <v>1712</v>
      </c>
      <c r="I113" s="132">
        <f t="shared" si="8"/>
        <v>0.15</v>
      </c>
      <c r="J113" s="133">
        <f t="shared" ref="J113:J123" si="11">2018-1712</f>
        <v>306</v>
      </c>
      <c r="K113" s="24" t="s">
        <v>23</v>
      </c>
      <c r="L113" s="7"/>
      <c r="M113" s="73" t="s">
        <v>24</v>
      </c>
      <c r="N113" s="74">
        <v>1.0</v>
      </c>
      <c r="O113" s="103">
        <v>0.35</v>
      </c>
      <c r="P113" s="103">
        <v>0.23</v>
      </c>
      <c r="Q113" s="103">
        <v>0.35</v>
      </c>
      <c r="R113" s="103">
        <v>0.27</v>
      </c>
      <c r="S113" s="184">
        <f>1244+0+544</f>
        <v>1788</v>
      </c>
      <c r="T113" s="119">
        <f t="shared" si="9"/>
        <v>0.65</v>
      </c>
      <c r="U113" s="185">
        <f>5141-1788</f>
        <v>3353</v>
      </c>
      <c r="V113" s="29" t="s">
        <v>23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36"/>
      <c r="C114" s="133">
        <v>2.0</v>
      </c>
      <c r="D114" s="159">
        <v>0.85</v>
      </c>
      <c r="E114" s="159">
        <v>0.72</v>
      </c>
      <c r="F114" s="159">
        <v>0.85</v>
      </c>
      <c r="G114" s="27">
        <v>0.78</v>
      </c>
      <c r="H114" s="131">
        <f t="shared" si="10"/>
        <v>1712</v>
      </c>
      <c r="I114" s="53">
        <f t="shared" si="8"/>
        <v>0.15</v>
      </c>
      <c r="J114" s="133">
        <f t="shared" si="11"/>
        <v>306</v>
      </c>
      <c r="K114" s="50" t="s">
        <v>23</v>
      </c>
      <c r="L114" s="7"/>
      <c r="M114" s="36"/>
      <c r="N114" s="74">
        <v>2.0</v>
      </c>
      <c r="O114" s="103">
        <v>0.35</v>
      </c>
      <c r="P114" s="103">
        <v>0.35</v>
      </c>
      <c r="Q114" s="103">
        <v>0.35</v>
      </c>
      <c r="R114" s="103">
        <v>0.28</v>
      </c>
      <c r="S114" s="186">
        <f>1244+79+457</f>
        <v>1780</v>
      </c>
      <c r="T114" s="102">
        <f t="shared" si="9"/>
        <v>0.65</v>
      </c>
      <c r="U114" s="187">
        <f>5141-1780</f>
        <v>3361</v>
      </c>
      <c r="V114" s="50" t="s">
        <v>23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36"/>
      <c r="C115" s="133">
        <v>3.0</v>
      </c>
      <c r="D115" s="159">
        <v>0.85</v>
      </c>
      <c r="E115" s="159">
        <v>0.72</v>
      </c>
      <c r="F115" s="159">
        <v>0.85</v>
      </c>
      <c r="G115" s="27">
        <v>0.78</v>
      </c>
      <c r="H115" s="131">
        <f t="shared" si="10"/>
        <v>1712</v>
      </c>
      <c r="I115" s="53">
        <f t="shared" si="8"/>
        <v>0.15</v>
      </c>
      <c r="J115" s="133">
        <f t="shared" si="11"/>
        <v>306</v>
      </c>
      <c r="K115" s="50" t="s">
        <v>23</v>
      </c>
      <c r="L115" s="7"/>
      <c r="M115" s="36"/>
      <c r="N115" s="74">
        <v>3.0</v>
      </c>
      <c r="O115" s="103">
        <v>0.36</v>
      </c>
      <c r="P115" s="103">
        <v>0.35</v>
      </c>
      <c r="Q115" s="103">
        <v>0.36</v>
      </c>
      <c r="R115" s="103">
        <v>0.35</v>
      </c>
      <c r="S115" s="186">
        <f>961+429+471</f>
        <v>1861</v>
      </c>
      <c r="T115" s="102">
        <f t="shared" si="9"/>
        <v>0.64</v>
      </c>
      <c r="U115" s="187">
        <f>5141-1861</f>
        <v>3280</v>
      </c>
      <c r="V115" s="50" t="s">
        <v>23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36"/>
      <c r="C116" s="133">
        <v>4.0</v>
      </c>
      <c r="D116" s="159">
        <v>0.85</v>
      </c>
      <c r="E116" s="159">
        <v>0.72</v>
      </c>
      <c r="F116" s="159">
        <v>0.85</v>
      </c>
      <c r="G116" s="27">
        <v>0.78</v>
      </c>
      <c r="H116" s="131">
        <f t="shared" si="10"/>
        <v>1712</v>
      </c>
      <c r="I116" s="53">
        <f t="shared" si="8"/>
        <v>0.15</v>
      </c>
      <c r="J116" s="133">
        <f t="shared" si="11"/>
        <v>306</v>
      </c>
      <c r="K116" s="50" t="s">
        <v>23</v>
      </c>
      <c r="L116" s="7"/>
      <c r="M116" s="36"/>
      <c r="N116" s="74">
        <v>4.0</v>
      </c>
      <c r="O116" s="103">
        <v>0.38</v>
      </c>
      <c r="P116" s="103">
        <v>0.38</v>
      </c>
      <c r="Q116" s="103">
        <v>0.38</v>
      </c>
      <c r="R116" s="103">
        <v>0.37</v>
      </c>
      <c r="S116" s="186">
        <f>997+520+458</f>
        <v>1975</v>
      </c>
      <c r="T116" s="102">
        <f t="shared" si="9"/>
        <v>0.62</v>
      </c>
      <c r="U116" s="187">
        <f>5141-1975</f>
        <v>3166</v>
      </c>
      <c r="V116" s="50" t="s">
        <v>23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36"/>
      <c r="C117" s="133">
        <v>5.0</v>
      </c>
      <c r="D117" s="159">
        <v>0.85</v>
      </c>
      <c r="E117" s="159">
        <v>0.72</v>
      </c>
      <c r="F117" s="159">
        <v>0.85</v>
      </c>
      <c r="G117" s="27">
        <v>0.78</v>
      </c>
      <c r="H117" s="131">
        <f t="shared" si="10"/>
        <v>1712</v>
      </c>
      <c r="I117" s="53">
        <f t="shared" si="8"/>
        <v>0.15</v>
      </c>
      <c r="J117" s="133">
        <f t="shared" si="11"/>
        <v>306</v>
      </c>
      <c r="K117" s="50" t="s">
        <v>23</v>
      </c>
      <c r="L117" s="7"/>
      <c r="M117" s="36"/>
      <c r="N117" s="74">
        <v>5.0</v>
      </c>
      <c r="O117" s="103">
        <v>0.4</v>
      </c>
      <c r="P117" s="103">
        <v>0.39</v>
      </c>
      <c r="Q117" s="103">
        <v>0.4</v>
      </c>
      <c r="R117" s="103">
        <v>0.38</v>
      </c>
      <c r="S117" s="186">
        <f>1070+411+569</f>
        <v>2050</v>
      </c>
      <c r="T117" s="102">
        <f t="shared" si="9"/>
        <v>0.6</v>
      </c>
      <c r="U117" s="187">
        <f>5141-2050</f>
        <v>3091</v>
      </c>
      <c r="V117" s="50" t="s">
        <v>23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36"/>
      <c r="C118" s="133">
        <v>6.0</v>
      </c>
      <c r="D118" s="159">
        <v>0.85</v>
      </c>
      <c r="E118" s="159">
        <v>0.72</v>
      </c>
      <c r="F118" s="159">
        <v>0.85</v>
      </c>
      <c r="G118" s="27">
        <v>0.78</v>
      </c>
      <c r="H118" s="131">
        <f t="shared" si="10"/>
        <v>1712</v>
      </c>
      <c r="I118" s="53">
        <f t="shared" si="8"/>
        <v>0.15</v>
      </c>
      <c r="J118" s="133">
        <f t="shared" si="11"/>
        <v>306</v>
      </c>
      <c r="K118" s="50" t="s">
        <v>23</v>
      </c>
      <c r="L118" s="7"/>
      <c r="M118" s="36"/>
      <c r="N118" s="74">
        <v>6.0</v>
      </c>
      <c r="O118" s="103">
        <v>0.41</v>
      </c>
      <c r="P118" s="103">
        <v>0.4</v>
      </c>
      <c r="Q118" s="103">
        <v>0.41</v>
      </c>
      <c r="R118" s="103">
        <v>0.39</v>
      </c>
      <c r="S118" s="186">
        <f>1083+389+614</f>
        <v>2086</v>
      </c>
      <c r="T118" s="102">
        <f t="shared" si="9"/>
        <v>0.59</v>
      </c>
      <c r="U118" s="187">
        <f>5141-2086</f>
        <v>3055</v>
      </c>
      <c r="V118" s="50" t="s">
        <v>23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36"/>
      <c r="C119" s="133">
        <v>7.0</v>
      </c>
      <c r="D119" s="159">
        <v>0.85</v>
      </c>
      <c r="E119" s="159">
        <v>0.72</v>
      </c>
      <c r="F119" s="159">
        <v>0.85</v>
      </c>
      <c r="G119" s="27">
        <v>0.78</v>
      </c>
      <c r="H119" s="131">
        <f t="shared" si="10"/>
        <v>1712</v>
      </c>
      <c r="I119" s="53">
        <f t="shared" si="8"/>
        <v>0.15</v>
      </c>
      <c r="J119" s="133">
        <f t="shared" si="11"/>
        <v>306</v>
      </c>
      <c r="K119" s="50" t="s">
        <v>23</v>
      </c>
      <c r="L119" s="7"/>
      <c r="M119" s="36"/>
      <c r="N119" s="74">
        <v>7.0</v>
      </c>
      <c r="O119" s="103">
        <v>0.45</v>
      </c>
      <c r="P119" s="103">
        <v>0.44</v>
      </c>
      <c r="Q119" s="103">
        <v>0.45</v>
      </c>
      <c r="R119" s="103">
        <v>0.43</v>
      </c>
      <c r="S119" s="186">
        <f>1172+423+705</f>
        <v>2300</v>
      </c>
      <c r="T119" s="102">
        <f t="shared" si="9"/>
        <v>0.55</v>
      </c>
      <c r="U119" s="187">
        <f>5141-2300</f>
        <v>2841</v>
      </c>
      <c r="V119" s="50" t="s">
        <v>23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36"/>
      <c r="C120" s="133">
        <v>8.0</v>
      </c>
      <c r="D120" s="159">
        <v>0.85</v>
      </c>
      <c r="E120" s="159">
        <v>0.72</v>
      </c>
      <c r="F120" s="159">
        <v>0.85</v>
      </c>
      <c r="G120" s="27">
        <v>0.78</v>
      </c>
      <c r="H120" s="131">
        <f t="shared" si="10"/>
        <v>1712</v>
      </c>
      <c r="I120" s="53">
        <f t="shared" si="8"/>
        <v>0.15</v>
      </c>
      <c r="J120" s="133">
        <f t="shared" si="11"/>
        <v>306</v>
      </c>
      <c r="K120" s="50" t="s">
        <v>23</v>
      </c>
      <c r="L120" s="7"/>
      <c r="M120" s="36"/>
      <c r="N120" s="74">
        <v>8.0</v>
      </c>
      <c r="O120" s="103">
        <v>0.45</v>
      </c>
      <c r="P120" s="103">
        <v>0.44</v>
      </c>
      <c r="Q120" s="103">
        <v>0.45</v>
      </c>
      <c r="R120" s="103">
        <v>0.44</v>
      </c>
      <c r="S120" s="186">
        <f>1111+477+722</f>
        <v>2310</v>
      </c>
      <c r="T120" s="102">
        <f t="shared" si="9"/>
        <v>0.55</v>
      </c>
      <c r="U120" s="187">
        <f>5141-2310</f>
        <v>2831</v>
      </c>
      <c r="V120" s="50" t="s">
        <v>23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36"/>
      <c r="C121" s="133">
        <v>9.0</v>
      </c>
      <c r="D121" s="159">
        <v>0.85</v>
      </c>
      <c r="E121" s="159">
        <v>0.72</v>
      </c>
      <c r="F121" s="159">
        <v>0.85</v>
      </c>
      <c r="G121" s="27">
        <v>0.78</v>
      </c>
      <c r="H121" s="131">
        <f t="shared" si="10"/>
        <v>1712</v>
      </c>
      <c r="I121" s="53">
        <f t="shared" si="8"/>
        <v>0.15</v>
      </c>
      <c r="J121" s="133">
        <f t="shared" si="11"/>
        <v>306</v>
      </c>
      <c r="K121" s="50" t="s">
        <v>23</v>
      </c>
      <c r="L121" s="7"/>
      <c r="M121" s="36"/>
      <c r="N121" s="74">
        <v>9.0</v>
      </c>
      <c r="O121" s="103">
        <v>0.47</v>
      </c>
      <c r="P121" s="103">
        <v>0.46</v>
      </c>
      <c r="Q121" s="103">
        <v>0.47</v>
      </c>
      <c r="R121" s="103">
        <v>0.46</v>
      </c>
      <c r="S121" s="186">
        <f>1110+532+771</f>
        <v>2413</v>
      </c>
      <c r="T121" s="102">
        <f t="shared" si="9"/>
        <v>0.53</v>
      </c>
      <c r="U121" s="187">
        <f>5141-2413</f>
        <v>2728</v>
      </c>
      <c r="V121" s="50" t="s">
        <v>23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36"/>
      <c r="C122" s="133">
        <v>10.0</v>
      </c>
      <c r="D122" s="159">
        <v>0.85</v>
      </c>
      <c r="E122" s="159">
        <v>0.72</v>
      </c>
      <c r="F122" s="159">
        <v>0.85</v>
      </c>
      <c r="G122" s="27">
        <v>0.78</v>
      </c>
      <c r="H122" s="131">
        <f t="shared" si="10"/>
        <v>1712</v>
      </c>
      <c r="I122" s="53">
        <f t="shared" si="8"/>
        <v>0.15</v>
      </c>
      <c r="J122" s="133">
        <f t="shared" si="11"/>
        <v>306</v>
      </c>
      <c r="K122" s="50" t="s">
        <v>23</v>
      </c>
      <c r="L122" s="7"/>
      <c r="M122" s="36"/>
      <c r="N122" s="74">
        <v>10.0</v>
      </c>
      <c r="O122" s="103">
        <v>0.49</v>
      </c>
      <c r="P122" s="103">
        <v>0.48</v>
      </c>
      <c r="Q122" s="103">
        <v>0.49</v>
      </c>
      <c r="R122" s="103">
        <v>0.48</v>
      </c>
      <c r="S122" s="186">
        <f>1155+550+815</f>
        <v>2520</v>
      </c>
      <c r="T122" s="102">
        <f t="shared" si="9"/>
        <v>0.51</v>
      </c>
      <c r="U122" s="187">
        <f>5141-2520</f>
        <v>2621</v>
      </c>
      <c r="V122" s="50" t="s">
        <v>23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59"/>
      <c r="C123" s="188">
        <v>11.0</v>
      </c>
      <c r="D123" s="160">
        <v>0.85</v>
      </c>
      <c r="E123" s="160">
        <v>0.72</v>
      </c>
      <c r="F123" s="160">
        <v>0.85</v>
      </c>
      <c r="G123" s="161">
        <v>0.78</v>
      </c>
      <c r="H123" s="138">
        <f t="shared" si="10"/>
        <v>1712</v>
      </c>
      <c r="I123" s="139">
        <f t="shared" si="8"/>
        <v>0.15</v>
      </c>
      <c r="J123" s="140">
        <f t="shared" si="11"/>
        <v>306</v>
      </c>
      <c r="K123" s="130" t="s">
        <v>23</v>
      </c>
      <c r="L123" s="7"/>
      <c r="M123" s="91"/>
      <c r="N123" s="92">
        <v>11.0</v>
      </c>
      <c r="O123" s="93">
        <v>0.49</v>
      </c>
      <c r="P123" s="93">
        <v>0.48</v>
      </c>
      <c r="Q123" s="93">
        <v>0.49</v>
      </c>
      <c r="R123" s="93">
        <v>0.48</v>
      </c>
      <c r="S123" s="189">
        <f>1129+549+846</f>
        <v>2524</v>
      </c>
      <c r="T123" s="190">
        <f t="shared" si="9"/>
        <v>0.51</v>
      </c>
      <c r="U123" s="191">
        <f>5141-2524</f>
        <v>2617</v>
      </c>
      <c r="V123" s="130" t="s">
        <v>23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144" t="s">
        <v>37</v>
      </c>
      <c r="C124" s="5"/>
      <c r="D124" s="5"/>
      <c r="E124" s="5"/>
      <c r="F124" s="5"/>
      <c r="G124" s="5"/>
      <c r="H124" s="5"/>
      <c r="I124" s="5"/>
      <c r="J124" s="5"/>
      <c r="K124" s="6"/>
      <c r="L124" s="7"/>
      <c r="M124" s="145" t="s">
        <v>38</v>
      </c>
      <c r="N124" s="5"/>
      <c r="O124" s="5"/>
      <c r="P124" s="5"/>
      <c r="Q124" s="5"/>
      <c r="R124" s="5"/>
      <c r="S124" s="5"/>
      <c r="T124" s="5"/>
      <c r="U124" s="5"/>
      <c r="V124" s="6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146" t="s">
        <v>3</v>
      </c>
      <c r="C125" s="146" t="s">
        <v>4</v>
      </c>
      <c r="D125" s="146" t="s">
        <v>5</v>
      </c>
      <c r="E125" s="146" t="s">
        <v>6</v>
      </c>
      <c r="F125" s="146" t="s">
        <v>7</v>
      </c>
      <c r="G125" s="147" t="s">
        <v>8</v>
      </c>
      <c r="H125" s="15" t="s">
        <v>9</v>
      </c>
      <c r="I125" s="22" t="s">
        <v>10</v>
      </c>
      <c r="J125" s="15" t="s">
        <v>11</v>
      </c>
      <c r="K125" s="17" t="s">
        <v>12</v>
      </c>
      <c r="L125" s="7"/>
      <c r="M125" s="148" t="s">
        <v>3</v>
      </c>
      <c r="N125" s="149" t="s">
        <v>4</v>
      </c>
      <c r="O125" s="149" t="s">
        <v>5</v>
      </c>
      <c r="P125" s="149" t="s">
        <v>6</v>
      </c>
      <c r="Q125" s="150" t="s">
        <v>7</v>
      </c>
      <c r="R125" s="150" t="s">
        <v>8</v>
      </c>
      <c r="S125" s="15" t="s">
        <v>9</v>
      </c>
      <c r="T125" s="22" t="s">
        <v>10</v>
      </c>
      <c r="U125" s="15" t="s">
        <v>11</v>
      </c>
      <c r="V125" s="13" t="s">
        <v>12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168" t="s">
        <v>13</v>
      </c>
      <c r="C126" s="133">
        <v>1.0</v>
      </c>
      <c r="D126" s="159">
        <v>0.85</v>
      </c>
      <c r="E126" s="159">
        <v>0.72</v>
      </c>
      <c r="F126" s="159">
        <v>0.85</v>
      </c>
      <c r="G126" s="27">
        <v>0.78</v>
      </c>
      <c r="H126" s="26">
        <v>1712.0</v>
      </c>
      <c r="I126" s="27">
        <f t="shared" ref="I126:I180" si="12">1-D126</f>
        <v>0.15</v>
      </c>
      <c r="J126" s="28">
        <v>306.0</v>
      </c>
      <c r="K126" s="29" t="s">
        <v>16</v>
      </c>
      <c r="L126" s="7"/>
      <c r="M126" s="73" t="s">
        <v>13</v>
      </c>
      <c r="N126" s="74">
        <v>1.0</v>
      </c>
      <c r="O126" s="103">
        <v>0.38</v>
      </c>
      <c r="P126" s="103">
        <v>0.39</v>
      </c>
      <c r="Q126" s="103">
        <v>0.38</v>
      </c>
      <c r="R126" s="103">
        <v>0.35</v>
      </c>
      <c r="S126" s="33">
        <v>2499.0</v>
      </c>
      <c r="T126" s="103">
        <f t="shared" ref="T126:T180" si="13">1-O126</f>
        <v>0.62</v>
      </c>
      <c r="U126" s="28">
        <v>2642.0</v>
      </c>
      <c r="V126" s="29" t="s">
        <v>33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36"/>
      <c r="C127" s="133">
        <v>2.0</v>
      </c>
      <c r="D127" s="159">
        <v>0.85</v>
      </c>
      <c r="E127" s="159">
        <v>0.72</v>
      </c>
      <c r="F127" s="159">
        <v>0.85</v>
      </c>
      <c r="G127" s="27">
        <v>0.78</v>
      </c>
      <c r="H127" s="52">
        <v>1710.0</v>
      </c>
      <c r="I127" s="27">
        <f t="shared" si="12"/>
        <v>0.15</v>
      </c>
      <c r="J127" s="54">
        <v>308.0</v>
      </c>
      <c r="K127" s="50" t="s">
        <v>33</v>
      </c>
      <c r="L127" s="7"/>
      <c r="M127" s="36"/>
      <c r="N127" s="74">
        <v>2.0</v>
      </c>
      <c r="O127" s="103">
        <v>0.45</v>
      </c>
      <c r="P127" s="103">
        <v>0.44</v>
      </c>
      <c r="Q127" s="103">
        <v>0.45</v>
      </c>
      <c r="R127" s="103">
        <v>0.43</v>
      </c>
      <c r="S127" s="56">
        <v>2297.0</v>
      </c>
      <c r="T127" s="103">
        <f t="shared" si="13"/>
        <v>0.55</v>
      </c>
      <c r="U127" s="54">
        <v>2284.0</v>
      </c>
      <c r="V127" s="50" t="s">
        <v>33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36"/>
      <c r="C128" s="133">
        <v>3.0</v>
      </c>
      <c r="D128" s="159">
        <v>0.85</v>
      </c>
      <c r="E128" s="159">
        <v>0.72</v>
      </c>
      <c r="F128" s="159">
        <v>0.85</v>
      </c>
      <c r="G128" s="27">
        <v>0.78</v>
      </c>
      <c r="H128" s="52">
        <v>1707.0</v>
      </c>
      <c r="I128" s="27">
        <f t="shared" si="12"/>
        <v>0.15</v>
      </c>
      <c r="J128" s="54">
        <v>311.0</v>
      </c>
      <c r="K128" s="50" t="s">
        <v>33</v>
      </c>
      <c r="L128" s="7"/>
      <c r="M128" s="36"/>
      <c r="N128" s="74">
        <v>3.0</v>
      </c>
      <c r="O128" s="103">
        <v>0.46</v>
      </c>
      <c r="P128" s="103">
        <v>0.45</v>
      </c>
      <c r="Q128" s="103">
        <v>0.46</v>
      </c>
      <c r="R128" s="103">
        <v>0.45</v>
      </c>
      <c r="S128" s="56">
        <v>2350.0</v>
      </c>
      <c r="T128" s="103">
        <f t="shared" si="13"/>
        <v>0.54</v>
      </c>
      <c r="U128" s="54">
        <v>2791.0</v>
      </c>
      <c r="V128" s="50" t="s">
        <v>33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36"/>
      <c r="C129" s="140">
        <v>4.0</v>
      </c>
      <c r="D129" s="160">
        <v>0.85</v>
      </c>
      <c r="E129" s="160">
        <v>0.81</v>
      </c>
      <c r="F129" s="160">
        <v>0.85</v>
      </c>
      <c r="G129" s="161">
        <v>0.78</v>
      </c>
      <c r="H129" s="85">
        <v>1713.0</v>
      </c>
      <c r="I129" s="161">
        <f t="shared" si="12"/>
        <v>0.15</v>
      </c>
      <c r="J129" s="87">
        <v>305.0</v>
      </c>
      <c r="K129" s="82" t="s">
        <v>33</v>
      </c>
      <c r="L129" s="7"/>
      <c r="M129" s="36"/>
      <c r="N129" s="74">
        <v>4.0</v>
      </c>
      <c r="O129" s="103">
        <v>0.49</v>
      </c>
      <c r="P129" s="103">
        <v>0.49</v>
      </c>
      <c r="Q129" s="103">
        <v>0.49</v>
      </c>
      <c r="R129" s="103">
        <v>0.47</v>
      </c>
      <c r="S129" s="56">
        <v>2499.0</v>
      </c>
      <c r="T129" s="103">
        <f t="shared" si="13"/>
        <v>0.51</v>
      </c>
      <c r="U129" s="54">
        <v>2642.0</v>
      </c>
      <c r="V129" s="50" t="s">
        <v>33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36"/>
      <c r="C130" s="133">
        <v>5.0</v>
      </c>
      <c r="D130" s="159">
        <v>0.85</v>
      </c>
      <c r="E130" s="27">
        <v>0.78</v>
      </c>
      <c r="F130" s="159">
        <v>0.85</v>
      </c>
      <c r="G130" s="27">
        <v>0.79</v>
      </c>
      <c r="H130" s="52">
        <v>1710.0</v>
      </c>
      <c r="I130" s="27">
        <f t="shared" si="12"/>
        <v>0.15</v>
      </c>
      <c r="J130" s="54">
        <v>308.0</v>
      </c>
      <c r="K130" s="50" t="s">
        <v>18</v>
      </c>
      <c r="L130" s="7"/>
      <c r="M130" s="36"/>
      <c r="N130" s="74">
        <v>5.0</v>
      </c>
      <c r="O130" s="103">
        <v>0.55</v>
      </c>
      <c r="P130" s="103">
        <v>0.54</v>
      </c>
      <c r="Q130" s="103">
        <v>0.55</v>
      </c>
      <c r="R130" s="103">
        <v>0.54</v>
      </c>
      <c r="S130" s="56">
        <v>2801.0</v>
      </c>
      <c r="T130" s="103">
        <f t="shared" si="13"/>
        <v>0.45</v>
      </c>
      <c r="U130" s="54">
        <v>2340.0</v>
      </c>
      <c r="V130" s="50" t="s">
        <v>18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36"/>
      <c r="C131" s="133">
        <v>6.0</v>
      </c>
      <c r="D131" s="159">
        <v>0.85</v>
      </c>
      <c r="E131" s="159">
        <v>0.78</v>
      </c>
      <c r="F131" s="159">
        <v>0.85</v>
      </c>
      <c r="G131" s="27">
        <v>0.79</v>
      </c>
      <c r="H131" s="52">
        <v>1708.0</v>
      </c>
      <c r="I131" s="27">
        <f t="shared" si="12"/>
        <v>0.15</v>
      </c>
      <c r="J131" s="54">
        <v>310.0</v>
      </c>
      <c r="K131" s="50" t="s">
        <v>18</v>
      </c>
      <c r="L131" s="7"/>
      <c r="M131" s="36"/>
      <c r="N131" s="74">
        <v>6.0</v>
      </c>
      <c r="O131" s="103">
        <v>0.6</v>
      </c>
      <c r="P131" s="103">
        <v>0.59</v>
      </c>
      <c r="Q131" s="103">
        <v>0.6</v>
      </c>
      <c r="R131" s="103">
        <v>0.59</v>
      </c>
      <c r="S131" s="56">
        <v>3068.0</v>
      </c>
      <c r="T131" s="103">
        <f t="shared" si="13"/>
        <v>0.4</v>
      </c>
      <c r="U131" s="54">
        <v>2073.0</v>
      </c>
      <c r="V131" s="50" t="s">
        <v>16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36"/>
      <c r="C132" s="133">
        <v>7.0</v>
      </c>
      <c r="D132" s="159">
        <v>0.84</v>
      </c>
      <c r="E132" s="159">
        <v>0.76</v>
      </c>
      <c r="F132" s="159">
        <v>0.84</v>
      </c>
      <c r="G132" s="27">
        <v>0.78</v>
      </c>
      <c r="H132" s="52">
        <v>1703.0</v>
      </c>
      <c r="I132" s="27">
        <f t="shared" si="12"/>
        <v>0.16</v>
      </c>
      <c r="J132" s="54">
        <v>315.0</v>
      </c>
      <c r="K132" s="50" t="s">
        <v>18</v>
      </c>
      <c r="L132" s="7"/>
      <c r="M132" s="36"/>
      <c r="N132" s="74">
        <v>7.0</v>
      </c>
      <c r="O132" s="103">
        <v>0.65</v>
      </c>
      <c r="P132" s="103">
        <v>0.64</v>
      </c>
      <c r="Q132" s="75">
        <v>0.65</v>
      </c>
      <c r="R132" s="103">
        <v>0.64</v>
      </c>
      <c r="S132" s="56">
        <v>3319.0</v>
      </c>
      <c r="T132" s="103">
        <f t="shared" si="13"/>
        <v>0.35</v>
      </c>
      <c r="U132" s="54">
        <v>1822.0</v>
      </c>
      <c r="V132" s="50" t="s">
        <v>18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36"/>
      <c r="C133" s="133">
        <v>8.0</v>
      </c>
      <c r="D133" s="159">
        <v>0.84</v>
      </c>
      <c r="E133" s="159">
        <v>0.77</v>
      </c>
      <c r="F133" s="159">
        <v>0.84</v>
      </c>
      <c r="G133" s="27">
        <v>0.78</v>
      </c>
      <c r="H133" s="52">
        <v>1698.0</v>
      </c>
      <c r="I133" s="27">
        <f t="shared" si="12"/>
        <v>0.16</v>
      </c>
      <c r="J133" s="54">
        <v>320.0</v>
      </c>
      <c r="K133" s="50" t="s">
        <v>18</v>
      </c>
      <c r="L133" s="7"/>
      <c r="M133" s="36"/>
      <c r="N133" s="74">
        <v>8.0</v>
      </c>
      <c r="O133" s="103">
        <v>0.76</v>
      </c>
      <c r="P133" s="103">
        <v>0.75</v>
      </c>
      <c r="Q133" s="103">
        <v>0.76</v>
      </c>
      <c r="R133" s="103">
        <v>0.75</v>
      </c>
      <c r="S133" s="56">
        <v>3891.0</v>
      </c>
      <c r="T133" s="103">
        <f t="shared" si="13"/>
        <v>0.24</v>
      </c>
      <c r="U133" s="54">
        <v>1250.0</v>
      </c>
      <c r="V133" s="50" t="s">
        <v>18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36"/>
      <c r="C134" s="133">
        <v>9.0</v>
      </c>
      <c r="D134" s="159">
        <v>0.84</v>
      </c>
      <c r="E134" s="159">
        <v>0.77</v>
      </c>
      <c r="F134" s="159">
        <v>0.84</v>
      </c>
      <c r="G134" s="27">
        <v>0.78</v>
      </c>
      <c r="H134" s="52">
        <v>1701.0</v>
      </c>
      <c r="I134" s="27">
        <f t="shared" si="12"/>
        <v>0.16</v>
      </c>
      <c r="J134" s="54">
        <v>317.0</v>
      </c>
      <c r="K134" s="50" t="s">
        <v>18</v>
      </c>
      <c r="L134" s="7"/>
      <c r="M134" s="36"/>
      <c r="N134" s="74">
        <v>9.0</v>
      </c>
      <c r="O134" s="103">
        <v>0.77</v>
      </c>
      <c r="P134" s="103">
        <v>0.76</v>
      </c>
      <c r="Q134" s="103">
        <v>0.77</v>
      </c>
      <c r="R134" s="103">
        <v>0.76</v>
      </c>
      <c r="S134" s="56">
        <v>3948.0</v>
      </c>
      <c r="T134" s="103">
        <f t="shared" si="13"/>
        <v>0.23</v>
      </c>
      <c r="U134" s="54">
        <v>1193.0</v>
      </c>
      <c r="V134" s="50" t="s">
        <v>18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36"/>
      <c r="C135" s="133">
        <v>10.0</v>
      </c>
      <c r="D135" s="159">
        <v>0.84</v>
      </c>
      <c r="E135" s="159">
        <v>0.75</v>
      </c>
      <c r="F135" s="159">
        <v>0.84</v>
      </c>
      <c r="G135" s="27">
        <v>0.78</v>
      </c>
      <c r="H135" s="52">
        <v>1696.0</v>
      </c>
      <c r="I135" s="27">
        <f t="shared" si="12"/>
        <v>0.16</v>
      </c>
      <c r="J135" s="54">
        <v>322.0</v>
      </c>
      <c r="K135" s="50" t="s">
        <v>18</v>
      </c>
      <c r="L135" s="7"/>
      <c r="M135" s="36"/>
      <c r="N135" s="165">
        <v>10.0</v>
      </c>
      <c r="O135" s="166">
        <v>0.79</v>
      </c>
      <c r="P135" s="166">
        <v>0.78</v>
      </c>
      <c r="Q135" s="166">
        <v>0.79</v>
      </c>
      <c r="R135" s="166">
        <v>0.78</v>
      </c>
      <c r="S135" s="167">
        <v>4052.0</v>
      </c>
      <c r="T135" s="166">
        <f t="shared" si="13"/>
        <v>0.21</v>
      </c>
      <c r="U135" s="87">
        <v>1089.0</v>
      </c>
      <c r="V135" s="82" t="s">
        <v>18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59"/>
      <c r="C136" s="168">
        <v>11.0</v>
      </c>
      <c r="D136" s="159">
        <v>0.84</v>
      </c>
      <c r="E136" s="192">
        <v>0.76</v>
      </c>
      <c r="F136" s="159">
        <v>0.84</v>
      </c>
      <c r="G136" s="27">
        <v>0.78</v>
      </c>
      <c r="H136" s="61">
        <v>1703.0</v>
      </c>
      <c r="I136" s="27">
        <f t="shared" si="12"/>
        <v>0.16</v>
      </c>
      <c r="J136" s="63">
        <v>315.0</v>
      </c>
      <c r="K136" s="49" t="s">
        <v>16</v>
      </c>
      <c r="L136" s="7"/>
      <c r="M136" s="91"/>
      <c r="N136" s="149">
        <v>11.0</v>
      </c>
      <c r="O136" s="169">
        <v>0.65</v>
      </c>
      <c r="P136" s="169">
        <v>0.64</v>
      </c>
      <c r="Q136" s="169">
        <v>0.65</v>
      </c>
      <c r="R136" s="169">
        <v>0.64</v>
      </c>
      <c r="S136" s="182">
        <v>4061.0</v>
      </c>
      <c r="T136" s="181">
        <f t="shared" si="13"/>
        <v>0.35</v>
      </c>
      <c r="U136" s="63">
        <v>1080.0</v>
      </c>
      <c r="V136" s="49" t="s">
        <v>18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151" t="s">
        <v>19</v>
      </c>
      <c r="C137" s="152">
        <v>1.0</v>
      </c>
      <c r="D137" s="153">
        <v>0.85</v>
      </c>
      <c r="E137" s="153">
        <v>0.72</v>
      </c>
      <c r="F137" s="153">
        <v>0.85</v>
      </c>
      <c r="G137" s="154">
        <v>0.78</v>
      </c>
      <c r="H137" s="97">
        <v>1712.0</v>
      </c>
      <c r="I137" s="98">
        <f t="shared" si="12"/>
        <v>0.15</v>
      </c>
      <c r="J137" s="76">
        <v>306.0</v>
      </c>
      <c r="K137" s="193" t="s">
        <v>18</v>
      </c>
      <c r="L137" s="7"/>
      <c r="M137" s="73" t="s">
        <v>19</v>
      </c>
      <c r="N137" s="74">
        <v>1.0</v>
      </c>
      <c r="O137" s="103">
        <v>0.42</v>
      </c>
      <c r="P137" s="103">
        <v>0.47</v>
      </c>
      <c r="Q137" s="103">
        <v>0.42</v>
      </c>
      <c r="R137" s="103">
        <v>0.33</v>
      </c>
      <c r="S137" s="33">
        <v>2139.0</v>
      </c>
      <c r="T137" s="119">
        <f t="shared" si="13"/>
        <v>0.58</v>
      </c>
      <c r="U137" s="76">
        <v>3002.0</v>
      </c>
      <c r="V137" s="193" t="s">
        <v>18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36"/>
      <c r="C138" s="133">
        <v>2.0</v>
      </c>
      <c r="D138" s="159">
        <v>0.85</v>
      </c>
      <c r="E138" s="159">
        <v>0.72</v>
      </c>
      <c r="F138" s="159">
        <v>0.85</v>
      </c>
      <c r="G138" s="27">
        <v>0.78</v>
      </c>
      <c r="H138" s="52">
        <v>1711.0</v>
      </c>
      <c r="I138" s="53">
        <f t="shared" si="12"/>
        <v>0.15</v>
      </c>
      <c r="J138" s="54">
        <v>307.0</v>
      </c>
      <c r="K138" s="194" t="s">
        <v>18</v>
      </c>
      <c r="L138" s="7"/>
      <c r="M138" s="36"/>
      <c r="N138" s="74">
        <v>2.0</v>
      </c>
      <c r="O138" s="103">
        <v>0.43</v>
      </c>
      <c r="P138" s="103">
        <v>0.47</v>
      </c>
      <c r="Q138" s="103">
        <v>0.43</v>
      </c>
      <c r="R138" s="103">
        <v>0.37</v>
      </c>
      <c r="S138" s="56">
        <v>2197.0</v>
      </c>
      <c r="T138" s="119">
        <f t="shared" si="13"/>
        <v>0.57</v>
      </c>
      <c r="U138" s="54">
        <v>2944.0</v>
      </c>
      <c r="V138" s="194" t="s">
        <v>18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36"/>
      <c r="C139" s="133">
        <v>3.0</v>
      </c>
      <c r="D139" s="159">
        <v>0.85</v>
      </c>
      <c r="E139" s="159">
        <v>0.72</v>
      </c>
      <c r="F139" s="159">
        <v>0.85</v>
      </c>
      <c r="G139" s="27">
        <v>0.78</v>
      </c>
      <c r="H139" s="52">
        <v>1711.0</v>
      </c>
      <c r="I139" s="53">
        <f t="shared" si="12"/>
        <v>0.15</v>
      </c>
      <c r="J139" s="54">
        <v>307.0</v>
      </c>
      <c r="K139" s="194" t="s">
        <v>18</v>
      </c>
      <c r="L139" s="7"/>
      <c r="M139" s="36"/>
      <c r="N139" s="74">
        <v>3.0</v>
      </c>
      <c r="O139" s="103">
        <v>0.43</v>
      </c>
      <c r="P139" s="103">
        <v>0.47</v>
      </c>
      <c r="Q139" s="103">
        <v>0.43</v>
      </c>
      <c r="R139" s="103">
        <v>0.37</v>
      </c>
      <c r="S139" s="56">
        <v>2206.0</v>
      </c>
      <c r="T139" s="119">
        <f t="shared" si="13"/>
        <v>0.57</v>
      </c>
      <c r="U139" s="54">
        <v>2935.0</v>
      </c>
      <c r="V139" s="194" t="s">
        <v>18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36"/>
      <c r="C140" s="172">
        <v>4.0</v>
      </c>
      <c r="D140" s="173">
        <v>0.85</v>
      </c>
      <c r="E140" s="173">
        <v>0.72</v>
      </c>
      <c r="F140" s="173">
        <v>0.85</v>
      </c>
      <c r="G140" s="174">
        <v>0.78</v>
      </c>
      <c r="H140" s="39">
        <v>1710.0</v>
      </c>
      <c r="I140" s="40">
        <f t="shared" si="12"/>
        <v>0.15</v>
      </c>
      <c r="J140" s="41">
        <v>308.0</v>
      </c>
      <c r="K140" s="195" t="s">
        <v>34</v>
      </c>
      <c r="L140" s="7"/>
      <c r="M140" s="36"/>
      <c r="N140" s="74">
        <v>4.0</v>
      </c>
      <c r="O140" s="103">
        <v>0.46</v>
      </c>
      <c r="P140" s="103">
        <v>0.53</v>
      </c>
      <c r="Q140" s="103">
        <v>0.46</v>
      </c>
      <c r="R140" s="103">
        <v>0.42</v>
      </c>
      <c r="S140" s="56">
        <v>2353.0</v>
      </c>
      <c r="T140" s="119">
        <f t="shared" si="13"/>
        <v>0.54</v>
      </c>
      <c r="U140" s="54">
        <v>2788.0</v>
      </c>
      <c r="V140" s="194" t="s">
        <v>34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36"/>
      <c r="C141" s="133">
        <v>5.0</v>
      </c>
      <c r="D141" s="159">
        <v>0.84</v>
      </c>
      <c r="E141" s="27">
        <v>0.74</v>
      </c>
      <c r="F141" s="159">
        <v>0.84</v>
      </c>
      <c r="G141" s="27">
        <v>0.78</v>
      </c>
      <c r="H141" s="52">
        <v>1698.0</v>
      </c>
      <c r="I141" s="53">
        <f t="shared" si="12"/>
        <v>0.16</v>
      </c>
      <c r="J141" s="54">
        <v>320.0</v>
      </c>
      <c r="K141" s="194" t="s">
        <v>34</v>
      </c>
      <c r="L141" s="7"/>
      <c r="M141" s="36"/>
      <c r="N141" s="74">
        <v>5.0</v>
      </c>
      <c r="O141" s="103">
        <v>0.48</v>
      </c>
      <c r="P141" s="103">
        <v>0.5</v>
      </c>
      <c r="Q141" s="103">
        <v>0.58</v>
      </c>
      <c r="R141" s="103">
        <v>0.44</v>
      </c>
      <c r="S141" s="56">
        <v>2465.0</v>
      </c>
      <c r="T141" s="119">
        <f t="shared" si="13"/>
        <v>0.52</v>
      </c>
      <c r="U141" s="54">
        <v>2676.0</v>
      </c>
      <c r="V141" s="194" t="s">
        <v>35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36"/>
      <c r="C142" s="133">
        <v>6.0</v>
      </c>
      <c r="D142" s="159">
        <v>0.84</v>
      </c>
      <c r="E142" s="159">
        <v>0.74</v>
      </c>
      <c r="F142" s="159">
        <v>0.84</v>
      </c>
      <c r="G142" s="27">
        <v>0.78</v>
      </c>
      <c r="H142" s="52">
        <v>1701.0</v>
      </c>
      <c r="I142" s="53">
        <f t="shared" si="12"/>
        <v>0.16</v>
      </c>
      <c r="J142" s="54">
        <v>317.0</v>
      </c>
      <c r="K142" s="194" t="s">
        <v>35</v>
      </c>
      <c r="L142" s="7"/>
      <c r="M142" s="36"/>
      <c r="N142" s="74">
        <v>6.0</v>
      </c>
      <c r="O142" s="103">
        <v>0.54</v>
      </c>
      <c r="P142" s="103">
        <v>0.55</v>
      </c>
      <c r="Q142" s="103">
        <v>0.54</v>
      </c>
      <c r="R142" s="103">
        <v>0.52</v>
      </c>
      <c r="S142" s="56">
        <v>2789.0</v>
      </c>
      <c r="T142" s="119">
        <f t="shared" si="13"/>
        <v>0.46</v>
      </c>
      <c r="U142" s="54">
        <v>2352.0</v>
      </c>
      <c r="V142" s="194" t="s">
        <v>35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36"/>
      <c r="C143" s="133">
        <v>7.0</v>
      </c>
      <c r="D143" s="159">
        <v>0.84</v>
      </c>
      <c r="E143" s="159">
        <v>0.75</v>
      </c>
      <c r="F143" s="159">
        <v>0.84</v>
      </c>
      <c r="G143" s="27">
        <v>0.78</v>
      </c>
      <c r="H143" s="52">
        <v>1686.0</v>
      </c>
      <c r="I143" s="53">
        <f t="shared" si="12"/>
        <v>0.16</v>
      </c>
      <c r="J143" s="54">
        <v>332.0</v>
      </c>
      <c r="K143" s="194" t="s">
        <v>36</v>
      </c>
      <c r="L143" s="7"/>
      <c r="M143" s="36"/>
      <c r="N143" s="74">
        <v>7.0</v>
      </c>
      <c r="O143" s="103">
        <v>0.65</v>
      </c>
      <c r="P143" s="103">
        <v>0.65</v>
      </c>
      <c r="Q143" s="103">
        <v>0.65</v>
      </c>
      <c r="R143" s="103">
        <v>0.65</v>
      </c>
      <c r="S143" s="56">
        <v>3363.0</v>
      </c>
      <c r="T143" s="119">
        <f t="shared" si="13"/>
        <v>0.35</v>
      </c>
      <c r="U143" s="54">
        <v>1778.0</v>
      </c>
      <c r="V143" s="194" t="s">
        <v>36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36"/>
      <c r="C144" s="133">
        <v>8.0</v>
      </c>
      <c r="D144" s="159">
        <v>0.83</v>
      </c>
      <c r="E144" s="159">
        <v>0.74</v>
      </c>
      <c r="F144" s="159">
        <v>0.83</v>
      </c>
      <c r="G144" s="27">
        <v>0.78</v>
      </c>
      <c r="H144" s="52">
        <v>1672.0</v>
      </c>
      <c r="I144" s="53">
        <f t="shared" si="12"/>
        <v>0.17</v>
      </c>
      <c r="J144" s="54">
        <v>346.0</v>
      </c>
      <c r="K144" s="194" t="s">
        <v>36</v>
      </c>
      <c r="L144" s="7"/>
      <c r="M144" s="36"/>
      <c r="N144" s="74">
        <v>8.0</v>
      </c>
      <c r="O144" s="103">
        <v>0.67</v>
      </c>
      <c r="P144" s="103">
        <v>0.66</v>
      </c>
      <c r="Q144" s="103">
        <v>0.67</v>
      </c>
      <c r="R144" s="103">
        <v>0.66</v>
      </c>
      <c r="S144" s="56">
        <v>3432.0</v>
      </c>
      <c r="T144" s="119">
        <f t="shared" si="13"/>
        <v>0.33</v>
      </c>
      <c r="U144" s="54">
        <v>1709.0</v>
      </c>
      <c r="V144" s="194" t="s">
        <v>36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36"/>
      <c r="C145" s="133">
        <v>9.0</v>
      </c>
      <c r="D145" s="159">
        <v>0.82</v>
      </c>
      <c r="E145" s="159">
        <v>0.73</v>
      </c>
      <c r="F145" s="159">
        <v>0.82</v>
      </c>
      <c r="G145" s="27">
        <v>0.77</v>
      </c>
      <c r="H145" s="52">
        <v>1654.0</v>
      </c>
      <c r="I145" s="53">
        <f t="shared" si="12"/>
        <v>0.18</v>
      </c>
      <c r="J145" s="54">
        <v>364.0</v>
      </c>
      <c r="K145" s="194" t="s">
        <v>20</v>
      </c>
      <c r="L145" s="7"/>
      <c r="M145" s="36"/>
      <c r="N145" s="74">
        <v>9.0</v>
      </c>
      <c r="O145" s="103">
        <v>0.82</v>
      </c>
      <c r="P145" s="103">
        <v>0.82</v>
      </c>
      <c r="Q145" s="103">
        <v>0.82</v>
      </c>
      <c r="R145" s="103">
        <v>0.82</v>
      </c>
      <c r="S145" s="56">
        <v>4204.0</v>
      </c>
      <c r="T145" s="119">
        <f t="shared" si="13"/>
        <v>0.18</v>
      </c>
      <c r="U145" s="54">
        <v>937.0</v>
      </c>
      <c r="V145" s="194" t="s">
        <v>20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36"/>
      <c r="C146" s="133">
        <v>10.0</v>
      </c>
      <c r="D146" s="159">
        <v>0.83</v>
      </c>
      <c r="E146" s="159">
        <v>0.76</v>
      </c>
      <c r="F146" s="159">
        <v>0.83</v>
      </c>
      <c r="G146" s="27">
        <v>0.78</v>
      </c>
      <c r="H146" s="52">
        <v>1674.0</v>
      </c>
      <c r="I146" s="53">
        <f t="shared" si="12"/>
        <v>0.17</v>
      </c>
      <c r="J146" s="54">
        <v>344.0</v>
      </c>
      <c r="K146" s="194" t="s">
        <v>20</v>
      </c>
      <c r="L146" s="7"/>
      <c r="M146" s="36"/>
      <c r="N146" s="74">
        <v>10.0</v>
      </c>
      <c r="O146" s="103">
        <v>0.82</v>
      </c>
      <c r="P146" s="103">
        <v>0.82</v>
      </c>
      <c r="Q146" s="103">
        <v>0.82</v>
      </c>
      <c r="R146" s="103">
        <v>0.82</v>
      </c>
      <c r="S146" s="56">
        <v>4225.0</v>
      </c>
      <c r="T146" s="119">
        <f t="shared" si="13"/>
        <v>0.18</v>
      </c>
      <c r="U146" s="54">
        <v>916.0</v>
      </c>
      <c r="V146" s="194" t="s">
        <v>20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59"/>
      <c r="C147" s="168">
        <v>11.0</v>
      </c>
      <c r="D147" s="159">
        <v>0.83</v>
      </c>
      <c r="E147" s="49">
        <v>0.73</v>
      </c>
      <c r="F147" s="159">
        <v>0.83</v>
      </c>
      <c r="G147" s="27">
        <v>0.77</v>
      </c>
      <c r="H147" s="104">
        <v>1666.0</v>
      </c>
      <c r="I147" s="105">
        <f t="shared" si="12"/>
        <v>0.17</v>
      </c>
      <c r="J147" s="106">
        <v>352.0</v>
      </c>
      <c r="K147" s="196" t="s">
        <v>20</v>
      </c>
      <c r="L147" s="7"/>
      <c r="M147" s="91"/>
      <c r="N147" s="108">
        <v>11.0</v>
      </c>
      <c r="O147" s="109">
        <v>0.86</v>
      </c>
      <c r="P147" s="109">
        <v>0.86</v>
      </c>
      <c r="Q147" s="109">
        <v>0.86</v>
      </c>
      <c r="R147" s="109">
        <v>0.86</v>
      </c>
      <c r="S147" s="197">
        <v>4414.0</v>
      </c>
      <c r="T147" s="198">
        <f t="shared" si="13"/>
        <v>0.14</v>
      </c>
      <c r="U147" s="110">
        <v>727.0</v>
      </c>
      <c r="V147" s="199" t="s">
        <v>20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151" t="s">
        <v>21</v>
      </c>
      <c r="C148" s="152">
        <v>1.0</v>
      </c>
      <c r="D148" s="153">
        <v>0.85</v>
      </c>
      <c r="E148" s="153">
        <v>0.72</v>
      </c>
      <c r="F148" s="153" t="s">
        <v>39</v>
      </c>
      <c r="G148" s="154">
        <v>0.78</v>
      </c>
      <c r="H148" s="26">
        <v>1712.0</v>
      </c>
      <c r="I148" s="132">
        <f t="shared" si="12"/>
        <v>0.15</v>
      </c>
      <c r="J148" s="28">
        <v>306.0</v>
      </c>
      <c r="K148" s="120" t="s">
        <v>28</v>
      </c>
      <c r="L148" s="7"/>
      <c r="M148" s="73" t="s">
        <v>21</v>
      </c>
      <c r="N148" s="74">
        <v>1.0</v>
      </c>
      <c r="O148" s="103">
        <v>0.35</v>
      </c>
      <c r="P148" s="103">
        <v>0.41</v>
      </c>
      <c r="Q148" s="103">
        <v>0.35</v>
      </c>
      <c r="R148" s="103">
        <v>0.21</v>
      </c>
      <c r="S148" s="33">
        <v>1780.0</v>
      </c>
      <c r="T148" s="119">
        <f t="shared" si="13"/>
        <v>0.65</v>
      </c>
      <c r="U148" s="28">
        <v>3361.0</v>
      </c>
      <c r="V148" s="120" t="s">
        <v>28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36"/>
      <c r="C149" s="133">
        <v>2.0</v>
      </c>
      <c r="D149" s="159">
        <v>0.85</v>
      </c>
      <c r="E149" s="159">
        <v>0.72</v>
      </c>
      <c r="F149" s="159">
        <v>0.85</v>
      </c>
      <c r="G149" s="27">
        <v>0.78</v>
      </c>
      <c r="H149" s="52">
        <v>1711.0</v>
      </c>
      <c r="I149" s="53">
        <f t="shared" si="12"/>
        <v>0.15</v>
      </c>
      <c r="J149" s="54">
        <v>307.0</v>
      </c>
      <c r="K149" s="101" t="s">
        <v>28</v>
      </c>
      <c r="L149" s="7"/>
      <c r="M149" s="36"/>
      <c r="N149" s="74">
        <v>2.0</v>
      </c>
      <c r="O149" s="103">
        <v>0.43</v>
      </c>
      <c r="P149" s="103">
        <v>0.47</v>
      </c>
      <c r="Q149" s="103">
        <v>0.43</v>
      </c>
      <c r="R149" s="103">
        <v>0.37</v>
      </c>
      <c r="S149" s="56">
        <v>2197.0</v>
      </c>
      <c r="T149" s="102">
        <f t="shared" si="13"/>
        <v>0.57</v>
      </c>
      <c r="U149" s="54">
        <v>2944.0</v>
      </c>
      <c r="V149" s="101" t="s">
        <v>18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36"/>
      <c r="C150" s="140">
        <v>3.0</v>
      </c>
      <c r="D150" s="160">
        <v>0.85</v>
      </c>
      <c r="E150" s="160">
        <v>0.75</v>
      </c>
      <c r="F150" s="160">
        <v>0.85</v>
      </c>
      <c r="G150" s="161">
        <v>0.78</v>
      </c>
      <c r="H150" s="85">
        <v>1709.0</v>
      </c>
      <c r="I150" s="177">
        <f t="shared" si="12"/>
        <v>0.15</v>
      </c>
      <c r="J150" s="87">
        <v>309.0</v>
      </c>
      <c r="K150" s="178" t="s">
        <v>34</v>
      </c>
      <c r="L150" s="7"/>
      <c r="M150" s="36"/>
      <c r="N150" s="74">
        <v>3.0</v>
      </c>
      <c r="O150" s="103">
        <v>0.45</v>
      </c>
      <c r="P150" s="103">
        <v>0.55</v>
      </c>
      <c r="Q150" s="103">
        <v>0.45</v>
      </c>
      <c r="R150" s="103">
        <v>0.39</v>
      </c>
      <c r="S150" s="56">
        <v>2316.0</v>
      </c>
      <c r="T150" s="102">
        <f t="shared" si="13"/>
        <v>0.55</v>
      </c>
      <c r="U150" s="54">
        <v>2825.0</v>
      </c>
      <c r="V150" s="101" t="s">
        <v>34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36"/>
      <c r="C151" s="133">
        <v>4.0</v>
      </c>
      <c r="D151" s="159">
        <v>0.84</v>
      </c>
      <c r="E151" s="159">
        <v>0.75</v>
      </c>
      <c r="F151" s="159">
        <v>0.84</v>
      </c>
      <c r="G151" s="27">
        <v>0.78</v>
      </c>
      <c r="H151" s="52">
        <v>1701.0</v>
      </c>
      <c r="I151" s="53">
        <f t="shared" si="12"/>
        <v>0.16</v>
      </c>
      <c r="J151" s="54">
        <v>317.0</v>
      </c>
      <c r="K151" s="101" t="s">
        <v>35</v>
      </c>
      <c r="L151" s="7"/>
      <c r="M151" s="36"/>
      <c r="N151" s="74">
        <v>4.0</v>
      </c>
      <c r="O151" s="103">
        <v>0.47</v>
      </c>
      <c r="P151" s="103">
        <v>0.48</v>
      </c>
      <c r="Q151" s="103">
        <v>0.47</v>
      </c>
      <c r="R151" s="103">
        <v>0.42</v>
      </c>
      <c r="S151" s="56">
        <v>2400.0</v>
      </c>
      <c r="T151" s="102">
        <f t="shared" si="13"/>
        <v>0.53</v>
      </c>
      <c r="U151" s="54">
        <v>2741.0</v>
      </c>
      <c r="V151" s="101" t="s">
        <v>34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36"/>
      <c r="C152" s="133">
        <v>5.0</v>
      </c>
      <c r="D152" s="159">
        <v>0.84</v>
      </c>
      <c r="E152" s="159">
        <v>0.75</v>
      </c>
      <c r="F152" s="159">
        <v>0.84</v>
      </c>
      <c r="G152" s="27">
        <v>0.78</v>
      </c>
      <c r="H152" s="52">
        <v>1695.0</v>
      </c>
      <c r="I152" s="53">
        <f t="shared" si="12"/>
        <v>0.16</v>
      </c>
      <c r="J152" s="54">
        <v>323.0</v>
      </c>
      <c r="K152" s="101" t="s">
        <v>35</v>
      </c>
      <c r="L152" s="7"/>
      <c r="M152" s="36"/>
      <c r="N152" s="74">
        <v>5.0</v>
      </c>
      <c r="O152" s="103">
        <v>0.48</v>
      </c>
      <c r="P152" s="103">
        <v>0.5</v>
      </c>
      <c r="Q152" s="103">
        <v>0.48</v>
      </c>
      <c r="R152" s="103">
        <v>0.44</v>
      </c>
      <c r="S152" s="56">
        <v>2464.0</v>
      </c>
      <c r="T152" s="102">
        <f t="shared" si="13"/>
        <v>0.52</v>
      </c>
      <c r="U152" s="54">
        <v>2677.0</v>
      </c>
      <c r="V152" s="101" t="s">
        <v>34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36"/>
      <c r="C153" s="133">
        <v>6.0</v>
      </c>
      <c r="D153" s="159">
        <v>0.84</v>
      </c>
      <c r="E153" s="159" t="s">
        <v>40</v>
      </c>
      <c r="F153" s="159">
        <v>0.84</v>
      </c>
      <c r="G153" s="27">
        <v>0.78</v>
      </c>
      <c r="H153" s="52">
        <v>1698.0</v>
      </c>
      <c r="I153" s="53">
        <f t="shared" si="12"/>
        <v>0.16</v>
      </c>
      <c r="J153" s="54">
        <v>320.0</v>
      </c>
      <c r="K153" s="101" t="s">
        <v>35</v>
      </c>
      <c r="L153" s="7"/>
      <c r="M153" s="36"/>
      <c r="N153" s="74">
        <v>6.0</v>
      </c>
      <c r="O153" s="103">
        <v>0.55</v>
      </c>
      <c r="P153" s="103">
        <v>0.56</v>
      </c>
      <c r="Q153" s="103">
        <v>0.55</v>
      </c>
      <c r="R153" s="103">
        <v>0.54</v>
      </c>
      <c r="S153" s="56">
        <v>2847.0</v>
      </c>
      <c r="T153" s="102">
        <f t="shared" si="13"/>
        <v>0.45</v>
      </c>
      <c r="U153" s="54">
        <v>2294.0</v>
      </c>
      <c r="V153" s="101" t="s">
        <v>35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36"/>
      <c r="C154" s="133">
        <v>7.0</v>
      </c>
      <c r="D154" s="159">
        <v>0.83</v>
      </c>
      <c r="E154" s="159">
        <v>0.75</v>
      </c>
      <c r="F154" s="159">
        <v>0.83</v>
      </c>
      <c r="G154" s="27">
        <v>0.78</v>
      </c>
      <c r="H154" s="52">
        <v>1678.0</v>
      </c>
      <c r="I154" s="53">
        <f t="shared" si="12"/>
        <v>0.17</v>
      </c>
      <c r="J154" s="54">
        <v>340.0</v>
      </c>
      <c r="K154" s="101" t="s">
        <v>35</v>
      </c>
      <c r="L154" s="7"/>
      <c r="M154" s="36"/>
      <c r="N154" s="74">
        <v>7.0</v>
      </c>
      <c r="O154" s="103">
        <v>0.6</v>
      </c>
      <c r="P154" s="103">
        <v>0.61</v>
      </c>
      <c r="Q154" s="103">
        <v>0.6</v>
      </c>
      <c r="R154" s="119" t="s">
        <v>41</v>
      </c>
      <c r="S154" s="56">
        <v>3093.0</v>
      </c>
      <c r="T154" s="102">
        <f t="shared" si="13"/>
        <v>0.4</v>
      </c>
      <c r="U154" s="54">
        <v>2048.0</v>
      </c>
      <c r="V154" s="101" t="s">
        <v>33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36"/>
      <c r="C155" s="133">
        <v>8.0</v>
      </c>
      <c r="D155" s="159">
        <v>0.81</v>
      </c>
      <c r="E155" s="159">
        <v>0.75</v>
      </c>
      <c r="F155" s="159">
        <v>0.81</v>
      </c>
      <c r="G155" s="27">
        <v>0.77</v>
      </c>
      <c r="H155" s="52">
        <v>1640.0</v>
      </c>
      <c r="I155" s="53">
        <f t="shared" si="12"/>
        <v>0.19</v>
      </c>
      <c r="J155" s="54">
        <v>378.0</v>
      </c>
      <c r="K155" s="101" t="s">
        <v>35</v>
      </c>
      <c r="L155" s="7"/>
      <c r="M155" s="36"/>
      <c r="N155" s="74">
        <v>8.0</v>
      </c>
      <c r="O155" s="103">
        <v>0.67</v>
      </c>
      <c r="P155" s="103">
        <v>0.67</v>
      </c>
      <c r="Q155" s="103">
        <v>0.67</v>
      </c>
      <c r="R155" s="103">
        <v>0.65</v>
      </c>
      <c r="S155" s="56">
        <v>3427.0</v>
      </c>
      <c r="T155" s="102">
        <f t="shared" si="13"/>
        <v>0.33</v>
      </c>
      <c r="U155" s="54">
        <v>1714.0</v>
      </c>
      <c r="V155" s="101" t="s">
        <v>35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36"/>
      <c r="C156" s="133">
        <v>9.0</v>
      </c>
      <c r="D156" s="159">
        <v>0.79</v>
      </c>
      <c r="E156" s="159">
        <v>0.75</v>
      </c>
      <c r="F156" s="159">
        <v>0.79</v>
      </c>
      <c r="G156" s="27">
        <v>0.77</v>
      </c>
      <c r="H156" s="52">
        <v>1590.0</v>
      </c>
      <c r="I156" s="53">
        <f t="shared" si="12"/>
        <v>0.21</v>
      </c>
      <c r="J156" s="54">
        <v>428.0</v>
      </c>
      <c r="K156" s="101" t="s">
        <v>36</v>
      </c>
      <c r="L156" s="7"/>
      <c r="M156" s="36"/>
      <c r="N156" s="74">
        <v>9.0</v>
      </c>
      <c r="O156" s="103">
        <v>0.72</v>
      </c>
      <c r="P156" s="103">
        <v>0.72</v>
      </c>
      <c r="Q156" s="103">
        <v>0.72</v>
      </c>
      <c r="R156" s="103">
        <v>0.71</v>
      </c>
      <c r="S156" s="56">
        <v>3717.0</v>
      </c>
      <c r="T156" s="102">
        <f t="shared" si="13"/>
        <v>0.28</v>
      </c>
      <c r="U156" s="54">
        <v>1424.0</v>
      </c>
      <c r="V156" s="101" t="s">
        <v>36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36"/>
      <c r="C157" s="133">
        <v>10.0</v>
      </c>
      <c r="D157" s="159">
        <v>0.76</v>
      </c>
      <c r="E157" s="159">
        <v>0.75</v>
      </c>
      <c r="F157" s="159">
        <v>0.76</v>
      </c>
      <c r="G157" s="159">
        <v>0.75</v>
      </c>
      <c r="H157" s="52">
        <v>1530.0</v>
      </c>
      <c r="I157" s="53">
        <f t="shared" si="12"/>
        <v>0.24</v>
      </c>
      <c r="J157" s="54">
        <v>488.0</v>
      </c>
      <c r="K157" s="101" t="s">
        <v>36</v>
      </c>
      <c r="L157" s="7"/>
      <c r="M157" s="36"/>
      <c r="N157" s="74">
        <v>10.0</v>
      </c>
      <c r="O157" s="103">
        <v>0.77</v>
      </c>
      <c r="P157" s="103">
        <v>0.78</v>
      </c>
      <c r="Q157" s="103">
        <v>0.77</v>
      </c>
      <c r="R157" s="103">
        <v>0.77</v>
      </c>
      <c r="S157" s="56">
        <v>3984.0</v>
      </c>
      <c r="T157" s="102">
        <f t="shared" si="13"/>
        <v>0.23</v>
      </c>
      <c r="U157" s="54">
        <v>1157.0</v>
      </c>
      <c r="V157" s="101" t="s">
        <v>36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59"/>
      <c r="C158" s="168">
        <v>11.0</v>
      </c>
      <c r="D158" s="159">
        <v>0.72</v>
      </c>
      <c r="E158" s="49">
        <v>0.74</v>
      </c>
      <c r="F158" s="159">
        <v>0.72</v>
      </c>
      <c r="G158" s="60">
        <v>0.73</v>
      </c>
      <c r="H158" s="61">
        <v>1458.0</v>
      </c>
      <c r="I158" s="105">
        <f t="shared" si="12"/>
        <v>0.28</v>
      </c>
      <c r="J158" s="63">
        <v>560.0</v>
      </c>
      <c r="K158" s="55" t="s">
        <v>20</v>
      </c>
      <c r="L158" s="7"/>
      <c r="M158" s="91"/>
      <c r="N158" s="92">
        <v>11.0</v>
      </c>
      <c r="O158" s="93">
        <v>0.82</v>
      </c>
      <c r="P158" s="93">
        <v>0.82</v>
      </c>
      <c r="Q158" s="93">
        <v>0.82</v>
      </c>
      <c r="R158" s="93">
        <v>0.81</v>
      </c>
      <c r="S158" s="122">
        <v>4207.0</v>
      </c>
      <c r="T158" s="123">
        <f t="shared" si="13"/>
        <v>0.18</v>
      </c>
      <c r="U158" s="124">
        <v>934.0</v>
      </c>
      <c r="V158" s="125" t="s">
        <v>20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151" t="s">
        <v>22</v>
      </c>
      <c r="C159" s="152">
        <v>1.0</v>
      </c>
      <c r="D159" s="24">
        <v>0.85</v>
      </c>
      <c r="E159" s="24">
        <v>0.72</v>
      </c>
      <c r="F159" s="24">
        <v>0.85</v>
      </c>
      <c r="G159" s="25">
        <v>0.78</v>
      </c>
      <c r="H159" s="97">
        <v>1712.0</v>
      </c>
      <c r="I159" s="132">
        <f t="shared" si="12"/>
        <v>0.15</v>
      </c>
      <c r="J159" s="76">
        <v>306.0</v>
      </c>
      <c r="K159" s="24" t="s">
        <v>23</v>
      </c>
      <c r="L159" s="7"/>
      <c r="M159" s="73" t="s">
        <v>22</v>
      </c>
      <c r="N159" s="74">
        <v>1.0</v>
      </c>
      <c r="O159" s="103">
        <v>0.36</v>
      </c>
      <c r="P159" s="103">
        <v>0.36</v>
      </c>
      <c r="Q159" s="103">
        <v>0.36</v>
      </c>
      <c r="R159" s="103">
        <v>0.31</v>
      </c>
      <c r="S159" s="33">
        <v>1827.0</v>
      </c>
      <c r="T159" s="119">
        <f t="shared" si="13"/>
        <v>0.64</v>
      </c>
      <c r="U159" s="76">
        <v>3314.0</v>
      </c>
      <c r="V159" s="24" t="s">
        <v>23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36"/>
      <c r="C160" s="133">
        <v>2.0</v>
      </c>
      <c r="D160" s="50">
        <v>0.85</v>
      </c>
      <c r="E160" s="50">
        <v>0.72</v>
      </c>
      <c r="F160" s="50">
        <v>0.85</v>
      </c>
      <c r="G160" s="51">
        <v>0.78</v>
      </c>
      <c r="H160" s="52">
        <v>1712.0</v>
      </c>
      <c r="I160" s="53">
        <f t="shared" si="12"/>
        <v>0.15</v>
      </c>
      <c r="J160" s="54">
        <v>306.0</v>
      </c>
      <c r="K160" s="50" t="s">
        <v>23</v>
      </c>
      <c r="L160" s="7"/>
      <c r="M160" s="36"/>
      <c r="N160" s="74">
        <v>2.0</v>
      </c>
      <c r="O160" s="103">
        <v>0.38</v>
      </c>
      <c r="P160" s="103">
        <v>0.43</v>
      </c>
      <c r="Q160" s="103">
        <v>0.38</v>
      </c>
      <c r="R160" s="103">
        <v>0.31</v>
      </c>
      <c r="S160" s="56">
        <v>1941.0</v>
      </c>
      <c r="T160" s="102">
        <f t="shared" si="13"/>
        <v>0.62</v>
      </c>
      <c r="U160" s="54">
        <v>3200.0</v>
      </c>
      <c r="V160" s="50" t="s">
        <v>23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36"/>
      <c r="C161" s="133">
        <v>3.0</v>
      </c>
      <c r="D161" s="50">
        <v>0.85</v>
      </c>
      <c r="E161" s="50">
        <v>0.72</v>
      </c>
      <c r="F161" s="50">
        <v>0.85</v>
      </c>
      <c r="G161" s="51">
        <v>0.78</v>
      </c>
      <c r="H161" s="52">
        <v>1712.0</v>
      </c>
      <c r="I161" s="53">
        <f t="shared" si="12"/>
        <v>0.15</v>
      </c>
      <c r="J161" s="54">
        <v>306.0</v>
      </c>
      <c r="K161" s="50" t="s">
        <v>23</v>
      </c>
      <c r="L161" s="7"/>
      <c r="M161" s="36"/>
      <c r="N161" s="74">
        <v>3.0</v>
      </c>
      <c r="O161" s="103">
        <v>0.38</v>
      </c>
      <c r="P161" s="103">
        <v>0.42</v>
      </c>
      <c r="Q161" s="103">
        <v>0.38</v>
      </c>
      <c r="R161" s="103">
        <v>0.3</v>
      </c>
      <c r="S161" s="56">
        <v>1935.0</v>
      </c>
      <c r="T161" s="102">
        <f t="shared" si="13"/>
        <v>0.62</v>
      </c>
      <c r="U161" s="54">
        <v>3206.0</v>
      </c>
      <c r="V161" s="50" t="s">
        <v>23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36"/>
      <c r="C162" s="133">
        <v>4.0</v>
      </c>
      <c r="D162" s="50">
        <v>0.85</v>
      </c>
      <c r="E162" s="50">
        <v>0.72</v>
      </c>
      <c r="F162" s="50">
        <v>0.85</v>
      </c>
      <c r="G162" s="51">
        <v>0.78</v>
      </c>
      <c r="H162" s="52">
        <v>1712.0</v>
      </c>
      <c r="I162" s="53">
        <f t="shared" si="12"/>
        <v>0.15</v>
      </c>
      <c r="J162" s="54">
        <v>306.0</v>
      </c>
      <c r="K162" s="50" t="s">
        <v>23</v>
      </c>
      <c r="L162" s="7"/>
      <c r="M162" s="36"/>
      <c r="N162" s="74">
        <v>4.0</v>
      </c>
      <c r="O162" s="103">
        <v>0.41</v>
      </c>
      <c r="P162" s="103">
        <v>0.44</v>
      </c>
      <c r="Q162" s="103">
        <v>0.41</v>
      </c>
      <c r="R162" s="103">
        <v>0.36</v>
      </c>
      <c r="S162" s="56">
        <v>2120.0</v>
      </c>
      <c r="T162" s="102">
        <f t="shared" si="13"/>
        <v>0.59</v>
      </c>
      <c r="U162" s="54">
        <v>3021.0</v>
      </c>
      <c r="V162" s="50" t="s">
        <v>23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36"/>
      <c r="C163" s="133">
        <v>5.0</v>
      </c>
      <c r="D163" s="50">
        <v>0.85</v>
      </c>
      <c r="E163" s="50">
        <v>0.72</v>
      </c>
      <c r="F163" s="50">
        <v>0.85</v>
      </c>
      <c r="G163" s="51">
        <v>0.78</v>
      </c>
      <c r="H163" s="52">
        <v>1712.0</v>
      </c>
      <c r="I163" s="53">
        <f t="shared" si="12"/>
        <v>0.15</v>
      </c>
      <c r="J163" s="54">
        <v>306.0</v>
      </c>
      <c r="K163" s="50" t="s">
        <v>23</v>
      </c>
      <c r="L163" s="7"/>
      <c r="M163" s="36"/>
      <c r="N163" s="74">
        <v>5.0</v>
      </c>
      <c r="O163" s="103">
        <v>0.4</v>
      </c>
      <c r="P163" s="103">
        <v>0.41</v>
      </c>
      <c r="Q163" s="103">
        <v>0.4</v>
      </c>
      <c r="R163" s="103">
        <v>0.36</v>
      </c>
      <c r="S163" s="56">
        <v>2079.0</v>
      </c>
      <c r="T163" s="102">
        <f t="shared" si="13"/>
        <v>0.6</v>
      </c>
      <c r="U163" s="54">
        <v>3062.0</v>
      </c>
      <c r="V163" s="50" t="s">
        <v>23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36"/>
      <c r="C164" s="133">
        <v>6.0</v>
      </c>
      <c r="D164" s="50">
        <v>0.85</v>
      </c>
      <c r="E164" s="50">
        <v>0.72</v>
      </c>
      <c r="F164" s="50">
        <v>0.85</v>
      </c>
      <c r="G164" s="51">
        <v>0.78</v>
      </c>
      <c r="H164" s="52">
        <v>1712.0</v>
      </c>
      <c r="I164" s="53">
        <f t="shared" si="12"/>
        <v>0.15</v>
      </c>
      <c r="J164" s="54">
        <v>306.0</v>
      </c>
      <c r="K164" s="50" t="s">
        <v>23</v>
      </c>
      <c r="L164" s="7"/>
      <c r="M164" s="36"/>
      <c r="N164" s="74">
        <v>6.0</v>
      </c>
      <c r="O164" s="103">
        <v>0.44</v>
      </c>
      <c r="P164" s="103">
        <v>0.44</v>
      </c>
      <c r="Q164" s="103">
        <v>0.44</v>
      </c>
      <c r="R164" s="103">
        <v>0.41</v>
      </c>
      <c r="S164" s="56">
        <v>2257.0</v>
      </c>
      <c r="T164" s="102">
        <f t="shared" si="13"/>
        <v>0.56</v>
      </c>
      <c r="U164" s="54">
        <v>2884.0</v>
      </c>
      <c r="V164" s="50" t="s">
        <v>23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36"/>
      <c r="C165" s="133">
        <v>7.0</v>
      </c>
      <c r="D165" s="50">
        <v>0.85</v>
      </c>
      <c r="E165" s="50">
        <v>0.72</v>
      </c>
      <c r="F165" s="50">
        <v>0.85</v>
      </c>
      <c r="G165" s="51">
        <v>0.78</v>
      </c>
      <c r="H165" s="52">
        <v>1712.0</v>
      </c>
      <c r="I165" s="53">
        <f t="shared" si="12"/>
        <v>0.15</v>
      </c>
      <c r="J165" s="54">
        <v>306.0</v>
      </c>
      <c r="K165" s="50" t="s">
        <v>23</v>
      </c>
      <c r="L165" s="7"/>
      <c r="M165" s="36"/>
      <c r="N165" s="74">
        <v>7.0</v>
      </c>
      <c r="O165" s="103">
        <v>0.44</v>
      </c>
      <c r="P165" s="119" t="s">
        <v>42</v>
      </c>
      <c r="Q165" s="103">
        <v>0.44</v>
      </c>
      <c r="R165" s="103">
        <v>0.4</v>
      </c>
      <c r="S165" s="56">
        <v>2245.0</v>
      </c>
      <c r="T165" s="102">
        <f t="shared" si="13"/>
        <v>0.56</v>
      </c>
      <c r="U165" s="54">
        <v>2896.0</v>
      </c>
      <c r="V165" s="50" t="s">
        <v>23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36"/>
      <c r="C166" s="133">
        <v>8.0</v>
      </c>
      <c r="D166" s="50">
        <v>0.85</v>
      </c>
      <c r="E166" s="50">
        <v>0.72</v>
      </c>
      <c r="F166" s="50">
        <v>0.85</v>
      </c>
      <c r="G166" s="51">
        <v>0.78</v>
      </c>
      <c r="H166" s="52">
        <v>1712.0</v>
      </c>
      <c r="I166" s="53">
        <f t="shared" si="12"/>
        <v>0.15</v>
      </c>
      <c r="J166" s="54">
        <v>306.0</v>
      </c>
      <c r="K166" s="50" t="s">
        <v>23</v>
      </c>
      <c r="L166" s="7"/>
      <c r="M166" s="36"/>
      <c r="N166" s="74">
        <v>8.0</v>
      </c>
      <c r="O166" s="103">
        <v>0.46</v>
      </c>
      <c r="P166" s="103">
        <v>0.46</v>
      </c>
      <c r="Q166" s="103">
        <v>0.46</v>
      </c>
      <c r="R166" s="103">
        <v>0.42</v>
      </c>
      <c r="S166" s="56">
        <v>2385.0</v>
      </c>
      <c r="T166" s="102">
        <f t="shared" si="13"/>
        <v>0.54</v>
      </c>
      <c r="U166" s="54">
        <v>2756.0</v>
      </c>
      <c r="V166" s="50" t="s">
        <v>23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36"/>
      <c r="C167" s="133">
        <v>9.0</v>
      </c>
      <c r="D167" s="50">
        <v>0.85</v>
      </c>
      <c r="E167" s="50">
        <v>0.72</v>
      </c>
      <c r="F167" s="50">
        <v>0.85</v>
      </c>
      <c r="G167" s="51">
        <v>0.78</v>
      </c>
      <c r="H167" s="52">
        <v>1712.0</v>
      </c>
      <c r="I167" s="53">
        <f t="shared" si="12"/>
        <v>0.15</v>
      </c>
      <c r="J167" s="54">
        <v>306.0</v>
      </c>
      <c r="K167" s="50" t="s">
        <v>23</v>
      </c>
      <c r="L167" s="7"/>
      <c r="M167" s="36"/>
      <c r="N167" s="165">
        <v>9.0</v>
      </c>
      <c r="O167" s="166">
        <v>0.48</v>
      </c>
      <c r="P167" s="166">
        <v>0.48</v>
      </c>
      <c r="Q167" s="166">
        <v>0.48</v>
      </c>
      <c r="R167" s="166">
        <v>0.43</v>
      </c>
      <c r="S167" s="167">
        <v>2447.0</v>
      </c>
      <c r="T167" s="200">
        <f t="shared" si="13"/>
        <v>0.52</v>
      </c>
      <c r="U167" s="87">
        <v>2694.0</v>
      </c>
      <c r="V167" s="82" t="s">
        <v>23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36"/>
      <c r="C168" s="140">
        <v>10.0</v>
      </c>
      <c r="D168" s="82">
        <v>0.85</v>
      </c>
      <c r="E168" s="82">
        <v>0.72</v>
      </c>
      <c r="F168" s="82">
        <v>0.85</v>
      </c>
      <c r="G168" s="201">
        <v>0.78</v>
      </c>
      <c r="H168" s="85">
        <v>1712.0</v>
      </c>
      <c r="I168" s="177">
        <f t="shared" si="12"/>
        <v>0.15</v>
      </c>
      <c r="J168" s="87">
        <v>306.0</v>
      </c>
      <c r="K168" s="82" t="s">
        <v>23</v>
      </c>
      <c r="L168" s="7"/>
      <c r="M168" s="36"/>
      <c r="N168" s="74">
        <v>10.0</v>
      </c>
      <c r="O168" s="103">
        <v>0.45</v>
      </c>
      <c r="P168" s="103">
        <v>0.43</v>
      </c>
      <c r="Q168" s="103">
        <v>0.45</v>
      </c>
      <c r="R168" s="103">
        <v>0.39</v>
      </c>
      <c r="S168" s="56">
        <v>2305.0</v>
      </c>
      <c r="T168" s="102">
        <f t="shared" si="13"/>
        <v>0.55</v>
      </c>
      <c r="U168" s="54">
        <v>2836.0</v>
      </c>
      <c r="V168" s="50" t="s">
        <v>23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59"/>
      <c r="C169" s="168">
        <v>11.0</v>
      </c>
      <c r="D169" s="50">
        <v>0.84</v>
      </c>
      <c r="E169" s="50">
        <v>0.75</v>
      </c>
      <c r="F169" s="50">
        <v>0.84</v>
      </c>
      <c r="G169" s="51">
        <v>0.78</v>
      </c>
      <c r="H169" s="104">
        <v>1702.0</v>
      </c>
      <c r="I169" s="105">
        <f t="shared" si="12"/>
        <v>0.16</v>
      </c>
      <c r="J169" s="106">
        <v>316.0</v>
      </c>
      <c r="K169" s="179" t="s">
        <v>23</v>
      </c>
      <c r="L169" s="7"/>
      <c r="M169" s="91"/>
      <c r="N169" s="149">
        <v>11.0</v>
      </c>
      <c r="O169" s="169">
        <v>0.44</v>
      </c>
      <c r="P169" s="169">
        <v>0.46</v>
      </c>
      <c r="Q169" s="169">
        <v>0.44</v>
      </c>
      <c r="R169" s="169">
        <v>0.39</v>
      </c>
      <c r="S169" s="182">
        <v>2277.0</v>
      </c>
      <c r="T169" s="202">
        <f t="shared" si="13"/>
        <v>0.56</v>
      </c>
      <c r="U169" s="106">
        <v>2864.0</v>
      </c>
      <c r="V169" s="49" t="s">
        <v>23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151" t="s">
        <v>24</v>
      </c>
      <c r="C170" s="152">
        <v>1.0</v>
      </c>
      <c r="D170" s="153">
        <v>0.85</v>
      </c>
      <c r="E170" s="153">
        <v>0.72</v>
      </c>
      <c r="F170" s="153">
        <v>0.85</v>
      </c>
      <c r="G170" s="154">
        <v>0.78</v>
      </c>
      <c r="H170" s="26">
        <v>1712.0</v>
      </c>
      <c r="I170" s="132">
        <f t="shared" si="12"/>
        <v>0.15</v>
      </c>
      <c r="J170" s="28">
        <v>306.0</v>
      </c>
      <c r="K170" s="29" t="s">
        <v>23</v>
      </c>
      <c r="L170" s="7"/>
      <c r="M170" s="73" t="s">
        <v>24</v>
      </c>
      <c r="N170" s="74">
        <v>1.0</v>
      </c>
      <c r="O170" s="103">
        <v>0.35</v>
      </c>
      <c r="P170" s="103">
        <v>0.23</v>
      </c>
      <c r="Q170" s="103">
        <v>0.35</v>
      </c>
      <c r="R170" s="103">
        <v>0.27</v>
      </c>
      <c r="S170" s="134">
        <f>1244+544</f>
        <v>1788</v>
      </c>
      <c r="T170" s="100">
        <f t="shared" si="13"/>
        <v>0.65</v>
      </c>
      <c r="U170" s="133">
        <f t="shared" ref="U170:U180" si="14">5141-S170</f>
        <v>3353</v>
      </c>
      <c r="V170" s="24" t="s">
        <v>23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36"/>
      <c r="C171" s="133">
        <v>2.0</v>
      </c>
      <c r="D171" s="155">
        <v>0.85</v>
      </c>
      <c r="E171" s="155">
        <v>0.72</v>
      </c>
      <c r="F171" s="155">
        <v>0.85</v>
      </c>
      <c r="G171" s="156">
        <v>0.78</v>
      </c>
      <c r="H171" s="26">
        <v>1712.0</v>
      </c>
      <c r="I171" s="53">
        <f t="shared" si="12"/>
        <v>0.15</v>
      </c>
      <c r="J171" s="28">
        <v>306.0</v>
      </c>
      <c r="K171" s="50" t="s">
        <v>23</v>
      </c>
      <c r="L171" s="7"/>
      <c r="M171" s="36"/>
      <c r="N171" s="74">
        <v>2.0</v>
      </c>
      <c r="O171" s="103">
        <v>0.35</v>
      </c>
      <c r="P171" s="103">
        <v>0.35</v>
      </c>
      <c r="Q171" s="103">
        <v>0.35</v>
      </c>
      <c r="R171" s="103">
        <v>0.28</v>
      </c>
      <c r="S171" s="137">
        <f>1244+79+457</f>
        <v>1780</v>
      </c>
      <c r="T171" s="102">
        <f t="shared" si="13"/>
        <v>0.65</v>
      </c>
      <c r="U171" s="136">
        <f t="shared" si="14"/>
        <v>3361</v>
      </c>
      <c r="V171" s="50" t="s">
        <v>23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36"/>
      <c r="C172" s="133">
        <v>3.0</v>
      </c>
      <c r="D172" s="155">
        <v>0.85</v>
      </c>
      <c r="E172" s="155">
        <v>0.72</v>
      </c>
      <c r="F172" s="155">
        <v>0.85</v>
      </c>
      <c r="G172" s="156">
        <v>0.78</v>
      </c>
      <c r="H172" s="26">
        <v>1712.0</v>
      </c>
      <c r="I172" s="53">
        <f t="shared" si="12"/>
        <v>0.15</v>
      </c>
      <c r="J172" s="28">
        <v>306.0</v>
      </c>
      <c r="K172" s="50" t="s">
        <v>23</v>
      </c>
      <c r="L172" s="7"/>
      <c r="M172" s="36"/>
      <c r="N172" s="74">
        <v>3.0</v>
      </c>
      <c r="O172" s="103">
        <v>0.36</v>
      </c>
      <c r="P172" s="103">
        <v>0.35</v>
      </c>
      <c r="Q172" s="103">
        <v>0.36</v>
      </c>
      <c r="R172" s="103">
        <v>0.35</v>
      </c>
      <c r="S172" s="137">
        <f>961+429+471</f>
        <v>1861</v>
      </c>
      <c r="T172" s="102">
        <f t="shared" si="13"/>
        <v>0.64</v>
      </c>
      <c r="U172" s="136">
        <f t="shared" si="14"/>
        <v>3280</v>
      </c>
      <c r="V172" s="50" t="s">
        <v>23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36"/>
      <c r="C173" s="133">
        <v>4.0</v>
      </c>
      <c r="D173" s="155">
        <v>0.85</v>
      </c>
      <c r="E173" s="155">
        <v>0.72</v>
      </c>
      <c r="F173" s="155">
        <v>0.85</v>
      </c>
      <c r="G173" s="156">
        <v>0.78</v>
      </c>
      <c r="H173" s="26">
        <v>1712.0</v>
      </c>
      <c r="I173" s="53">
        <f t="shared" si="12"/>
        <v>0.15</v>
      </c>
      <c r="J173" s="28">
        <v>306.0</v>
      </c>
      <c r="K173" s="50" t="s">
        <v>23</v>
      </c>
      <c r="L173" s="7"/>
      <c r="M173" s="36"/>
      <c r="N173" s="74">
        <v>4.0</v>
      </c>
      <c r="O173" s="103">
        <v>0.38</v>
      </c>
      <c r="P173" s="103">
        <v>0.38</v>
      </c>
      <c r="Q173" s="103">
        <v>0.38</v>
      </c>
      <c r="R173" s="103">
        <v>0.37</v>
      </c>
      <c r="S173" s="137">
        <f>997+520+458</f>
        <v>1975</v>
      </c>
      <c r="T173" s="102">
        <f t="shared" si="13"/>
        <v>0.62</v>
      </c>
      <c r="U173" s="136">
        <f t="shared" si="14"/>
        <v>3166</v>
      </c>
      <c r="V173" s="50" t="s">
        <v>23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36"/>
      <c r="C174" s="133">
        <v>5.0</v>
      </c>
      <c r="D174" s="155">
        <v>0.85</v>
      </c>
      <c r="E174" s="155">
        <v>0.72</v>
      </c>
      <c r="F174" s="155">
        <v>0.85</v>
      </c>
      <c r="G174" s="156">
        <v>0.78</v>
      </c>
      <c r="H174" s="26">
        <v>1712.0</v>
      </c>
      <c r="I174" s="53">
        <f t="shared" si="12"/>
        <v>0.15</v>
      </c>
      <c r="J174" s="28">
        <v>306.0</v>
      </c>
      <c r="K174" s="50" t="s">
        <v>23</v>
      </c>
      <c r="L174" s="7"/>
      <c r="M174" s="36"/>
      <c r="N174" s="74">
        <v>5.0</v>
      </c>
      <c r="O174" s="103">
        <v>0.4</v>
      </c>
      <c r="P174" s="103">
        <v>0.39</v>
      </c>
      <c r="Q174" s="103">
        <v>0.4</v>
      </c>
      <c r="R174" s="103">
        <v>0.38</v>
      </c>
      <c r="S174" s="137">
        <f>1070+411+569</f>
        <v>2050</v>
      </c>
      <c r="T174" s="102">
        <f t="shared" si="13"/>
        <v>0.6</v>
      </c>
      <c r="U174" s="136">
        <f t="shared" si="14"/>
        <v>3091</v>
      </c>
      <c r="V174" s="50" t="s">
        <v>23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36"/>
      <c r="C175" s="133">
        <v>6.0</v>
      </c>
      <c r="D175" s="155">
        <v>0.85</v>
      </c>
      <c r="E175" s="155">
        <v>0.72</v>
      </c>
      <c r="F175" s="155">
        <v>0.85</v>
      </c>
      <c r="G175" s="156">
        <v>0.78</v>
      </c>
      <c r="H175" s="26">
        <v>1712.0</v>
      </c>
      <c r="I175" s="53">
        <f t="shared" si="12"/>
        <v>0.15</v>
      </c>
      <c r="J175" s="28">
        <v>306.0</v>
      </c>
      <c r="K175" s="50" t="s">
        <v>23</v>
      </c>
      <c r="L175" s="7"/>
      <c r="M175" s="36"/>
      <c r="N175" s="74">
        <v>6.0</v>
      </c>
      <c r="O175" s="103">
        <v>0.41</v>
      </c>
      <c r="P175" s="103">
        <v>0.4</v>
      </c>
      <c r="Q175" s="103">
        <v>0.41</v>
      </c>
      <c r="R175" s="103">
        <v>0.39</v>
      </c>
      <c r="S175" s="137">
        <f>1083+389+614</f>
        <v>2086</v>
      </c>
      <c r="T175" s="102">
        <f t="shared" si="13"/>
        <v>0.59</v>
      </c>
      <c r="U175" s="136">
        <f t="shared" si="14"/>
        <v>3055</v>
      </c>
      <c r="V175" s="50" t="s">
        <v>23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36"/>
      <c r="C176" s="133">
        <v>7.0</v>
      </c>
      <c r="D176" s="155">
        <v>0.85</v>
      </c>
      <c r="E176" s="155">
        <v>0.72</v>
      </c>
      <c r="F176" s="155">
        <v>0.85</v>
      </c>
      <c r="G176" s="156">
        <v>0.78</v>
      </c>
      <c r="H176" s="26">
        <v>1712.0</v>
      </c>
      <c r="I176" s="53">
        <f t="shared" si="12"/>
        <v>0.15</v>
      </c>
      <c r="J176" s="28">
        <v>306.0</v>
      </c>
      <c r="K176" s="50" t="s">
        <v>23</v>
      </c>
      <c r="L176" s="7"/>
      <c r="M176" s="36"/>
      <c r="N176" s="74">
        <v>7.0</v>
      </c>
      <c r="O176" s="103">
        <v>0.45</v>
      </c>
      <c r="P176" s="103">
        <v>0.44</v>
      </c>
      <c r="Q176" s="103">
        <v>0.45</v>
      </c>
      <c r="R176" s="103">
        <v>0.43</v>
      </c>
      <c r="S176" s="137">
        <f>1172+423+705</f>
        <v>2300</v>
      </c>
      <c r="T176" s="102">
        <f t="shared" si="13"/>
        <v>0.55</v>
      </c>
      <c r="U176" s="136">
        <f t="shared" si="14"/>
        <v>2841</v>
      </c>
      <c r="V176" s="50" t="s">
        <v>23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36"/>
      <c r="C177" s="133">
        <v>8.0</v>
      </c>
      <c r="D177" s="155">
        <v>0.85</v>
      </c>
      <c r="E177" s="155">
        <v>0.72</v>
      </c>
      <c r="F177" s="155">
        <v>0.85</v>
      </c>
      <c r="G177" s="156">
        <v>0.78</v>
      </c>
      <c r="H177" s="26">
        <v>1712.0</v>
      </c>
      <c r="I177" s="53">
        <f t="shared" si="12"/>
        <v>0.15</v>
      </c>
      <c r="J177" s="28">
        <v>306.0</v>
      </c>
      <c r="K177" s="50" t="s">
        <v>23</v>
      </c>
      <c r="L177" s="7"/>
      <c r="M177" s="36"/>
      <c r="N177" s="74">
        <v>8.0</v>
      </c>
      <c r="O177" s="103">
        <v>0.45</v>
      </c>
      <c r="P177" s="103">
        <v>0.43</v>
      </c>
      <c r="Q177" s="103">
        <v>0.45</v>
      </c>
      <c r="R177" s="103">
        <v>0.43</v>
      </c>
      <c r="S177" s="137">
        <f>1142+425+727</f>
        <v>2294</v>
      </c>
      <c r="T177" s="102">
        <f t="shared" si="13"/>
        <v>0.55</v>
      </c>
      <c r="U177" s="136">
        <f t="shared" si="14"/>
        <v>2847</v>
      </c>
      <c r="V177" s="50" t="s">
        <v>23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36"/>
      <c r="C178" s="133">
        <v>9.0</v>
      </c>
      <c r="D178" s="155">
        <v>0.85</v>
      </c>
      <c r="E178" s="155">
        <v>0.72</v>
      </c>
      <c r="F178" s="155">
        <v>0.85</v>
      </c>
      <c r="G178" s="156">
        <v>0.78</v>
      </c>
      <c r="H178" s="26">
        <v>1712.0</v>
      </c>
      <c r="I178" s="53">
        <f t="shared" si="12"/>
        <v>0.15</v>
      </c>
      <c r="J178" s="28">
        <v>306.0</v>
      </c>
      <c r="K178" s="50" t="s">
        <v>23</v>
      </c>
      <c r="L178" s="7"/>
      <c r="M178" s="36"/>
      <c r="N178" s="74">
        <v>9.0</v>
      </c>
      <c r="O178" s="103">
        <v>0.46</v>
      </c>
      <c r="P178" s="103">
        <v>0.45</v>
      </c>
      <c r="Q178" s="103">
        <v>0.46</v>
      </c>
      <c r="R178" s="103">
        <v>0.45</v>
      </c>
      <c r="S178" s="137">
        <f>1115+467+773</f>
        <v>2355</v>
      </c>
      <c r="T178" s="102">
        <f t="shared" si="13"/>
        <v>0.54</v>
      </c>
      <c r="U178" s="136">
        <f t="shared" si="14"/>
        <v>2786</v>
      </c>
      <c r="V178" s="50" t="s">
        <v>23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36"/>
      <c r="C179" s="133">
        <v>10.0</v>
      </c>
      <c r="D179" s="155">
        <v>0.85</v>
      </c>
      <c r="E179" s="155">
        <v>0.72</v>
      </c>
      <c r="F179" s="155">
        <v>0.85</v>
      </c>
      <c r="G179" s="156">
        <v>0.78</v>
      </c>
      <c r="H179" s="26">
        <v>1712.0</v>
      </c>
      <c r="I179" s="53">
        <f t="shared" si="12"/>
        <v>0.15</v>
      </c>
      <c r="J179" s="28">
        <v>306.0</v>
      </c>
      <c r="K179" s="50" t="s">
        <v>23</v>
      </c>
      <c r="L179" s="7"/>
      <c r="M179" s="36"/>
      <c r="N179" s="165">
        <v>10.0</v>
      </c>
      <c r="O179" s="166">
        <v>0.47</v>
      </c>
      <c r="P179" s="166">
        <v>0.46</v>
      </c>
      <c r="Q179" s="166">
        <v>0.47</v>
      </c>
      <c r="R179" s="166">
        <v>0.46</v>
      </c>
      <c r="S179" s="203">
        <f>1091+505+810</f>
        <v>2406</v>
      </c>
      <c r="T179" s="200">
        <f t="shared" si="13"/>
        <v>0.53</v>
      </c>
      <c r="U179" s="204">
        <f t="shared" si="14"/>
        <v>2735</v>
      </c>
      <c r="V179" s="82" t="s">
        <v>23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59"/>
      <c r="C180" s="188">
        <v>11.0</v>
      </c>
      <c r="D180" s="163">
        <v>0.85</v>
      </c>
      <c r="E180" s="163">
        <v>0.72</v>
      </c>
      <c r="F180" s="163">
        <v>0.85</v>
      </c>
      <c r="G180" s="162">
        <v>0.78</v>
      </c>
      <c r="H180" s="205">
        <v>1712.0</v>
      </c>
      <c r="I180" s="206">
        <f t="shared" si="12"/>
        <v>0.15</v>
      </c>
      <c r="J180" s="207">
        <v>306.0</v>
      </c>
      <c r="K180" s="96" t="s">
        <v>23</v>
      </c>
      <c r="L180" s="7"/>
      <c r="M180" s="91"/>
      <c r="N180" s="149">
        <v>11.0</v>
      </c>
      <c r="O180" s="181">
        <v>0.45</v>
      </c>
      <c r="P180" s="169">
        <v>0.44</v>
      </c>
      <c r="Q180" s="181">
        <v>0.45</v>
      </c>
      <c r="R180" s="181">
        <v>0.43</v>
      </c>
      <c r="S180" s="208">
        <f>1129+549+846</f>
        <v>2524</v>
      </c>
      <c r="T180" s="209">
        <f t="shared" si="13"/>
        <v>0.55</v>
      </c>
      <c r="U180" s="210">
        <f t="shared" si="14"/>
        <v>2617</v>
      </c>
      <c r="V180" s="179" t="s">
        <v>23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11"/>
      <c r="C181" s="211"/>
      <c r="D181" s="211"/>
      <c r="E181" s="211"/>
      <c r="F181" s="211"/>
      <c r="G181" s="211"/>
      <c r="H181" s="3"/>
      <c r="I181" s="2"/>
      <c r="J181" s="3"/>
      <c r="K181" s="3"/>
      <c r="L181" s="2"/>
      <c r="M181" s="2"/>
      <c r="N181" s="2"/>
      <c r="O181" s="2"/>
      <c r="P181" s="2"/>
      <c r="Q181" s="2"/>
      <c r="R181" s="2"/>
      <c r="S181" s="3"/>
      <c r="T181" s="2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H182" s="3"/>
      <c r="I182" s="2"/>
      <c r="J182" s="3"/>
      <c r="K182" s="3"/>
      <c r="L182" s="2"/>
      <c r="M182" s="2"/>
      <c r="N182" s="2"/>
      <c r="O182" s="2"/>
      <c r="P182" s="2"/>
      <c r="Q182" s="2"/>
      <c r="R182" s="2"/>
      <c r="S182" s="3"/>
      <c r="T182" s="2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H183" s="3"/>
      <c r="I183" s="2"/>
      <c r="J183" s="3"/>
      <c r="K183" s="3"/>
      <c r="L183" s="2"/>
      <c r="M183" s="2"/>
      <c r="N183" s="2"/>
      <c r="O183" s="2"/>
      <c r="P183" s="2"/>
      <c r="Q183" s="2"/>
      <c r="R183" s="2"/>
      <c r="S183" s="3"/>
      <c r="T183" s="2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H184" s="3"/>
      <c r="I184" s="2"/>
      <c r="J184" s="3"/>
      <c r="K184" s="3"/>
      <c r="L184" s="2"/>
      <c r="M184" s="2"/>
      <c r="N184" s="2"/>
      <c r="O184" s="2"/>
      <c r="P184" s="2"/>
      <c r="Q184" s="2"/>
      <c r="R184" s="2"/>
      <c r="S184" s="3"/>
      <c r="T184" s="2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H185" s="3"/>
      <c r="I185" s="2"/>
      <c r="J185" s="3"/>
      <c r="K185" s="3"/>
      <c r="L185" s="2"/>
      <c r="M185" s="2"/>
      <c r="N185" s="2"/>
      <c r="O185" s="2"/>
      <c r="P185" s="2"/>
      <c r="Q185" s="2"/>
      <c r="R185" s="2"/>
      <c r="S185" s="3"/>
      <c r="T185" s="2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H186" s="3"/>
      <c r="I186" s="2"/>
      <c r="J186" s="3"/>
      <c r="K186" s="3"/>
      <c r="L186" s="2"/>
      <c r="M186" s="2"/>
      <c r="N186" s="2"/>
      <c r="O186" s="2"/>
      <c r="P186" s="2"/>
      <c r="Q186" s="2"/>
      <c r="R186" s="2"/>
      <c r="S186" s="3"/>
      <c r="T186" s="2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H187" s="3"/>
      <c r="I187" s="2"/>
      <c r="J187" s="3"/>
      <c r="K187" s="3"/>
      <c r="L187" s="2"/>
      <c r="M187" s="2"/>
      <c r="N187" s="2"/>
      <c r="O187" s="2"/>
      <c r="P187" s="2"/>
      <c r="Q187" s="2"/>
      <c r="R187" s="2"/>
      <c r="S187" s="3"/>
      <c r="T187" s="2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H188" s="3"/>
      <c r="I188" s="2"/>
      <c r="J188" s="3"/>
      <c r="K188" s="3"/>
      <c r="L188" s="2"/>
      <c r="M188" s="2"/>
      <c r="N188" s="2"/>
      <c r="O188" s="2"/>
      <c r="P188" s="2"/>
      <c r="Q188" s="2"/>
      <c r="R188" s="2"/>
      <c r="S188" s="3"/>
      <c r="T188" s="2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H189" s="3"/>
      <c r="I189" s="2"/>
      <c r="J189" s="3"/>
      <c r="K189" s="3"/>
      <c r="L189" s="2"/>
      <c r="M189" s="2"/>
      <c r="N189" s="2"/>
      <c r="O189" s="2"/>
      <c r="P189" s="2"/>
      <c r="Q189" s="2"/>
      <c r="R189" s="2"/>
      <c r="S189" s="3"/>
      <c r="T189" s="2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H190" s="3"/>
      <c r="I190" s="2"/>
      <c r="J190" s="3"/>
      <c r="K190" s="3"/>
      <c r="L190" s="2"/>
      <c r="M190" s="2"/>
      <c r="N190" s="2"/>
      <c r="O190" s="2"/>
      <c r="P190" s="2"/>
      <c r="Q190" s="2"/>
      <c r="R190" s="2"/>
      <c r="S190" s="3"/>
      <c r="T190" s="2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H191" s="3"/>
      <c r="I191" s="2"/>
      <c r="J191" s="3"/>
      <c r="K191" s="3"/>
      <c r="L191" s="2"/>
      <c r="M191" s="2"/>
      <c r="N191" s="2"/>
      <c r="O191" s="2"/>
      <c r="P191" s="2"/>
      <c r="Q191" s="2"/>
      <c r="R191" s="2"/>
      <c r="S191" s="3"/>
      <c r="T191" s="2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H192" s="3"/>
      <c r="I192" s="2"/>
      <c r="J192" s="3"/>
      <c r="K192" s="3"/>
      <c r="L192" s="2"/>
      <c r="M192" s="2"/>
      <c r="N192" s="2"/>
      <c r="O192" s="2"/>
      <c r="P192" s="2"/>
      <c r="Q192" s="2"/>
      <c r="R192" s="2"/>
      <c r="S192" s="3"/>
      <c r="T192" s="2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H193" s="3"/>
      <c r="I193" s="2"/>
      <c r="J193" s="3"/>
      <c r="K193" s="3"/>
      <c r="L193" s="2"/>
      <c r="M193" s="2"/>
      <c r="N193" s="2"/>
      <c r="O193" s="2"/>
      <c r="P193" s="2"/>
      <c r="Q193" s="2"/>
      <c r="R193" s="2"/>
      <c r="S193" s="3"/>
      <c r="T193" s="2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H194" s="3"/>
      <c r="I194" s="2"/>
      <c r="J194" s="3"/>
      <c r="K194" s="3"/>
      <c r="L194" s="2"/>
      <c r="M194" s="2"/>
      <c r="N194" s="2"/>
      <c r="O194" s="2"/>
      <c r="P194" s="2"/>
      <c r="Q194" s="2"/>
      <c r="R194" s="2"/>
      <c r="S194" s="3"/>
      <c r="T194" s="2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H195" s="3"/>
      <c r="I195" s="2"/>
      <c r="J195" s="3"/>
      <c r="K195" s="3"/>
      <c r="L195" s="2"/>
      <c r="M195" s="2"/>
      <c r="N195" s="2"/>
      <c r="O195" s="2"/>
      <c r="P195" s="2"/>
      <c r="Q195" s="2"/>
      <c r="R195" s="2"/>
      <c r="S195" s="3"/>
      <c r="T195" s="2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H196" s="3"/>
      <c r="I196" s="2"/>
      <c r="J196" s="3"/>
      <c r="K196" s="3"/>
      <c r="L196" s="2"/>
      <c r="M196" s="2"/>
      <c r="N196" s="2"/>
      <c r="O196" s="2"/>
      <c r="P196" s="2"/>
      <c r="Q196" s="2"/>
      <c r="R196" s="2"/>
      <c r="S196" s="3"/>
      <c r="T196" s="2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H197" s="3"/>
      <c r="I197" s="2"/>
      <c r="J197" s="3"/>
      <c r="K197" s="3"/>
      <c r="L197" s="2"/>
      <c r="M197" s="2"/>
      <c r="N197" s="2"/>
      <c r="O197" s="2"/>
      <c r="P197" s="2"/>
      <c r="Q197" s="2"/>
      <c r="R197" s="2"/>
      <c r="S197" s="3"/>
      <c r="T197" s="2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H198" s="3"/>
      <c r="I198" s="2"/>
      <c r="J198" s="3"/>
      <c r="K198" s="3"/>
      <c r="L198" s="2"/>
      <c r="M198" s="2"/>
      <c r="N198" s="2"/>
      <c r="O198" s="2"/>
      <c r="P198" s="2"/>
      <c r="Q198" s="2"/>
      <c r="R198" s="2"/>
      <c r="S198" s="3"/>
      <c r="T198" s="2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H199" s="3"/>
      <c r="I199" s="2"/>
      <c r="J199" s="3"/>
      <c r="K199" s="3"/>
      <c r="L199" s="2"/>
      <c r="M199" s="2"/>
      <c r="N199" s="2"/>
      <c r="O199" s="2"/>
      <c r="P199" s="2"/>
      <c r="Q199" s="2"/>
      <c r="R199" s="2"/>
      <c r="S199" s="3"/>
      <c r="T199" s="2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H200" s="3"/>
      <c r="I200" s="2"/>
      <c r="J200" s="3"/>
      <c r="K200" s="3"/>
      <c r="L200" s="2"/>
      <c r="M200" s="2"/>
      <c r="N200" s="2"/>
      <c r="O200" s="2"/>
      <c r="P200" s="2"/>
      <c r="Q200" s="2"/>
      <c r="R200" s="2"/>
      <c r="S200" s="3"/>
      <c r="T200" s="2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H201" s="3"/>
      <c r="I201" s="2"/>
      <c r="J201" s="3"/>
      <c r="K201" s="3"/>
      <c r="L201" s="2"/>
      <c r="M201" s="2"/>
      <c r="N201" s="2"/>
      <c r="O201" s="2"/>
      <c r="P201" s="2"/>
      <c r="Q201" s="2"/>
      <c r="R201" s="2"/>
      <c r="S201" s="3"/>
      <c r="T201" s="2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H202" s="3"/>
      <c r="I202" s="2"/>
      <c r="J202" s="3"/>
      <c r="K202" s="3"/>
      <c r="L202" s="2"/>
      <c r="M202" s="2"/>
      <c r="N202" s="2"/>
      <c r="O202" s="2"/>
      <c r="P202" s="2"/>
      <c r="Q202" s="2"/>
      <c r="R202" s="2"/>
      <c r="S202" s="3"/>
      <c r="T202" s="2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H203" s="3"/>
      <c r="I203" s="2"/>
      <c r="J203" s="3"/>
      <c r="K203" s="3"/>
      <c r="L203" s="2"/>
      <c r="M203" s="2"/>
      <c r="N203" s="2"/>
      <c r="O203" s="2"/>
      <c r="P203" s="2"/>
      <c r="Q203" s="2"/>
      <c r="R203" s="2"/>
      <c r="S203" s="3"/>
      <c r="T203" s="2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H204" s="3"/>
      <c r="I204" s="2"/>
      <c r="J204" s="3"/>
      <c r="K204" s="3"/>
      <c r="L204" s="2"/>
      <c r="M204" s="2"/>
      <c r="N204" s="2"/>
      <c r="O204" s="2"/>
      <c r="P204" s="2"/>
      <c r="Q204" s="2"/>
      <c r="R204" s="2"/>
      <c r="S204" s="3"/>
      <c r="T204" s="2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H205" s="3"/>
      <c r="I205" s="2"/>
      <c r="J205" s="3"/>
      <c r="K205" s="3"/>
      <c r="L205" s="2"/>
      <c r="M205" s="2"/>
      <c r="N205" s="2"/>
      <c r="O205" s="2"/>
      <c r="P205" s="2"/>
      <c r="Q205" s="2"/>
      <c r="R205" s="2"/>
      <c r="S205" s="3"/>
      <c r="T205" s="2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H206" s="3"/>
      <c r="I206" s="2"/>
      <c r="J206" s="3"/>
      <c r="K206" s="3"/>
      <c r="L206" s="2"/>
      <c r="M206" s="2"/>
      <c r="N206" s="2"/>
      <c r="O206" s="2"/>
      <c r="P206" s="2"/>
      <c r="Q206" s="2"/>
      <c r="R206" s="2"/>
      <c r="S206" s="3"/>
      <c r="T206" s="2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H207" s="3"/>
      <c r="I207" s="2"/>
      <c r="J207" s="3"/>
      <c r="K207" s="3"/>
      <c r="L207" s="2"/>
      <c r="M207" s="2"/>
      <c r="N207" s="2"/>
      <c r="O207" s="2"/>
      <c r="P207" s="2"/>
      <c r="Q207" s="2"/>
      <c r="R207" s="2"/>
      <c r="S207" s="3"/>
      <c r="T207" s="2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H208" s="3"/>
      <c r="I208" s="2"/>
      <c r="J208" s="3"/>
      <c r="K208" s="3"/>
      <c r="L208" s="2"/>
      <c r="M208" s="2"/>
      <c r="N208" s="2"/>
      <c r="O208" s="2"/>
      <c r="P208" s="2"/>
      <c r="Q208" s="2"/>
      <c r="R208" s="2"/>
      <c r="S208" s="3"/>
      <c r="T208" s="2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H209" s="3"/>
      <c r="I209" s="2"/>
      <c r="J209" s="3"/>
      <c r="K209" s="3"/>
      <c r="L209" s="2"/>
      <c r="M209" s="2"/>
      <c r="N209" s="2"/>
      <c r="O209" s="2"/>
      <c r="P209" s="2"/>
      <c r="Q209" s="2"/>
      <c r="R209" s="2"/>
      <c r="S209" s="3"/>
      <c r="T209" s="2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H210" s="3"/>
      <c r="I210" s="2"/>
      <c r="J210" s="3"/>
      <c r="K210" s="3"/>
      <c r="L210" s="2"/>
      <c r="M210" s="2"/>
      <c r="N210" s="2"/>
      <c r="O210" s="2"/>
      <c r="P210" s="2"/>
      <c r="Q210" s="2"/>
      <c r="R210" s="2"/>
      <c r="S210" s="3"/>
      <c r="T210" s="2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H211" s="3"/>
      <c r="I211" s="2"/>
      <c r="J211" s="3"/>
      <c r="K211" s="3"/>
      <c r="L211" s="2"/>
      <c r="M211" s="2"/>
      <c r="N211" s="2"/>
      <c r="O211" s="2"/>
      <c r="P211" s="2"/>
      <c r="Q211" s="2"/>
      <c r="R211" s="2"/>
      <c r="S211" s="3"/>
      <c r="T211" s="2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H212" s="3"/>
      <c r="I212" s="2"/>
      <c r="J212" s="3"/>
      <c r="K212" s="3"/>
      <c r="L212" s="2"/>
      <c r="M212" s="2"/>
      <c r="N212" s="2"/>
      <c r="O212" s="2"/>
      <c r="P212" s="2"/>
      <c r="Q212" s="2"/>
      <c r="R212" s="2"/>
      <c r="S212" s="3"/>
      <c r="T212" s="2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H213" s="3"/>
      <c r="I213" s="2"/>
      <c r="J213" s="3"/>
      <c r="K213" s="3"/>
      <c r="L213" s="2"/>
      <c r="M213" s="2"/>
      <c r="N213" s="2"/>
      <c r="O213" s="2"/>
      <c r="P213" s="2"/>
      <c r="Q213" s="2"/>
      <c r="R213" s="2"/>
      <c r="S213" s="3"/>
      <c r="T213" s="2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H214" s="3"/>
      <c r="I214" s="2"/>
      <c r="J214" s="3"/>
      <c r="K214" s="3"/>
      <c r="L214" s="2"/>
      <c r="M214" s="2"/>
      <c r="N214" s="2"/>
      <c r="O214" s="2"/>
      <c r="P214" s="2"/>
      <c r="Q214" s="2"/>
      <c r="R214" s="2"/>
      <c r="S214" s="3"/>
      <c r="T214" s="2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H215" s="3"/>
      <c r="I215" s="2"/>
      <c r="J215" s="3"/>
      <c r="K215" s="3"/>
      <c r="L215" s="2"/>
      <c r="M215" s="2"/>
      <c r="N215" s="2"/>
      <c r="O215" s="2"/>
      <c r="P215" s="2"/>
      <c r="Q215" s="2"/>
      <c r="R215" s="2"/>
      <c r="S215" s="3"/>
      <c r="T215" s="2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H216" s="3"/>
      <c r="I216" s="2"/>
      <c r="J216" s="3"/>
      <c r="K216" s="3"/>
      <c r="L216" s="2"/>
      <c r="M216" s="2"/>
      <c r="N216" s="2"/>
      <c r="O216" s="2"/>
      <c r="P216" s="2"/>
      <c r="Q216" s="2"/>
      <c r="R216" s="2"/>
      <c r="S216" s="3"/>
      <c r="T216" s="2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H217" s="3"/>
      <c r="I217" s="2"/>
      <c r="J217" s="3"/>
      <c r="K217" s="3"/>
      <c r="L217" s="2"/>
      <c r="M217" s="2"/>
      <c r="N217" s="2"/>
      <c r="O217" s="2"/>
      <c r="P217" s="2"/>
      <c r="Q217" s="2"/>
      <c r="R217" s="2"/>
      <c r="S217" s="3"/>
      <c r="T217" s="2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H218" s="3"/>
      <c r="I218" s="2"/>
      <c r="J218" s="3"/>
      <c r="K218" s="3"/>
      <c r="L218" s="2"/>
      <c r="M218" s="2"/>
      <c r="N218" s="2"/>
      <c r="O218" s="2"/>
      <c r="P218" s="2"/>
      <c r="Q218" s="2"/>
      <c r="R218" s="2"/>
      <c r="S218" s="3"/>
      <c r="T218" s="2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H219" s="3"/>
      <c r="I219" s="2"/>
      <c r="J219" s="3"/>
      <c r="K219" s="3"/>
      <c r="L219" s="2"/>
      <c r="M219" s="2"/>
      <c r="N219" s="2"/>
      <c r="O219" s="2"/>
      <c r="P219" s="2"/>
      <c r="Q219" s="2"/>
      <c r="R219" s="2"/>
      <c r="S219" s="3"/>
      <c r="T219" s="2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H220" s="3"/>
      <c r="I220" s="2"/>
      <c r="J220" s="3"/>
      <c r="K220" s="3"/>
      <c r="L220" s="2"/>
      <c r="M220" s="2"/>
      <c r="N220" s="2"/>
      <c r="O220" s="2"/>
      <c r="P220" s="2"/>
      <c r="Q220" s="2"/>
      <c r="R220" s="2"/>
      <c r="S220" s="3"/>
      <c r="T220" s="2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H221" s="3"/>
      <c r="I221" s="2"/>
      <c r="J221" s="3"/>
      <c r="K221" s="3"/>
      <c r="L221" s="2"/>
      <c r="M221" s="2"/>
      <c r="N221" s="2"/>
      <c r="O221" s="2"/>
      <c r="P221" s="2"/>
      <c r="Q221" s="2"/>
      <c r="R221" s="2"/>
      <c r="S221" s="3"/>
      <c r="T221" s="2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H222" s="3"/>
      <c r="I222" s="2"/>
      <c r="J222" s="3"/>
      <c r="K222" s="3"/>
      <c r="L222" s="2"/>
      <c r="M222" s="2"/>
      <c r="N222" s="2"/>
      <c r="O222" s="2"/>
      <c r="P222" s="2"/>
      <c r="Q222" s="2"/>
      <c r="R222" s="2"/>
      <c r="S222" s="3"/>
      <c r="T222" s="2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H223" s="3"/>
      <c r="I223" s="2"/>
      <c r="J223" s="3"/>
      <c r="K223" s="3"/>
      <c r="L223" s="2"/>
      <c r="M223" s="2"/>
      <c r="N223" s="2"/>
      <c r="O223" s="2"/>
      <c r="P223" s="2"/>
      <c r="Q223" s="2"/>
      <c r="R223" s="2"/>
      <c r="S223" s="3"/>
      <c r="T223" s="2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H224" s="3"/>
      <c r="I224" s="2"/>
      <c r="J224" s="3"/>
      <c r="K224" s="3"/>
      <c r="L224" s="2"/>
      <c r="M224" s="2"/>
      <c r="N224" s="2"/>
      <c r="O224" s="2"/>
      <c r="P224" s="2"/>
      <c r="Q224" s="2"/>
      <c r="R224" s="2"/>
      <c r="S224" s="3"/>
      <c r="T224" s="2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H225" s="3"/>
      <c r="I225" s="2"/>
      <c r="J225" s="3"/>
      <c r="K225" s="3"/>
      <c r="L225" s="2"/>
      <c r="M225" s="2"/>
      <c r="N225" s="2"/>
      <c r="O225" s="2"/>
      <c r="P225" s="2"/>
      <c r="Q225" s="2"/>
      <c r="R225" s="2"/>
      <c r="S225" s="3"/>
      <c r="T225" s="2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H226" s="3"/>
      <c r="I226" s="2"/>
      <c r="J226" s="3"/>
      <c r="K226" s="3"/>
      <c r="L226" s="2"/>
      <c r="M226" s="2"/>
      <c r="N226" s="2"/>
      <c r="O226" s="2"/>
      <c r="P226" s="2"/>
      <c r="Q226" s="2"/>
      <c r="R226" s="2"/>
      <c r="S226" s="3"/>
      <c r="T226" s="2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H227" s="3"/>
      <c r="I227" s="2"/>
      <c r="J227" s="3"/>
      <c r="K227" s="3"/>
      <c r="L227" s="2"/>
      <c r="M227" s="2"/>
      <c r="N227" s="2"/>
      <c r="O227" s="2"/>
      <c r="P227" s="2"/>
      <c r="Q227" s="2"/>
      <c r="R227" s="2"/>
      <c r="S227" s="3"/>
      <c r="T227" s="2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H228" s="3"/>
      <c r="I228" s="2"/>
      <c r="J228" s="3"/>
      <c r="K228" s="3"/>
      <c r="L228" s="2"/>
      <c r="M228" s="2"/>
      <c r="N228" s="2"/>
      <c r="O228" s="2"/>
      <c r="P228" s="2"/>
      <c r="Q228" s="2"/>
      <c r="R228" s="2"/>
      <c r="S228" s="3"/>
      <c r="T228" s="2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H229" s="3"/>
      <c r="I229" s="2"/>
      <c r="J229" s="3"/>
      <c r="K229" s="3"/>
      <c r="L229" s="2"/>
      <c r="M229" s="2"/>
      <c r="N229" s="2"/>
      <c r="O229" s="2"/>
      <c r="P229" s="2"/>
      <c r="Q229" s="2"/>
      <c r="R229" s="2"/>
      <c r="S229" s="3"/>
      <c r="T229" s="2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H230" s="3"/>
      <c r="I230" s="2"/>
      <c r="J230" s="3"/>
      <c r="K230" s="3"/>
      <c r="L230" s="2"/>
      <c r="M230" s="2"/>
      <c r="N230" s="2"/>
      <c r="O230" s="2"/>
      <c r="P230" s="2"/>
      <c r="Q230" s="2"/>
      <c r="R230" s="2"/>
      <c r="S230" s="3"/>
      <c r="T230" s="2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H231" s="3"/>
      <c r="I231" s="2"/>
      <c r="J231" s="3"/>
      <c r="K231" s="3"/>
      <c r="L231" s="2"/>
      <c r="M231" s="2"/>
      <c r="N231" s="2"/>
      <c r="O231" s="2"/>
      <c r="P231" s="2"/>
      <c r="Q231" s="2"/>
      <c r="R231" s="2"/>
      <c r="S231" s="3"/>
      <c r="T231" s="2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H232" s="3"/>
      <c r="I232" s="2"/>
      <c r="J232" s="3"/>
      <c r="K232" s="3"/>
      <c r="L232" s="2"/>
      <c r="M232" s="2"/>
      <c r="N232" s="2"/>
      <c r="O232" s="2"/>
      <c r="P232" s="2"/>
      <c r="Q232" s="2"/>
      <c r="R232" s="2"/>
      <c r="S232" s="3"/>
      <c r="T232" s="2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H233" s="3"/>
      <c r="I233" s="2"/>
      <c r="J233" s="3"/>
      <c r="K233" s="3"/>
      <c r="L233" s="2"/>
      <c r="M233" s="2"/>
      <c r="N233" s="2"/>
      <c r="O233" s="2"/>
      <c r="P233" s="2"/>
      <c r="Q233" s="2"/>
      <c r="R233" s="2"/>
      <c r="S233" s="3"/>
      <c r="T233" s="2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H234" s="3"/>
      <c r="I234" s="2"/>
      <c r="J234" s="3"/>
      <c r="K234" s="3"/>
      <c r="L234" s="2"/>
      <c r="M234" s="2"/>
      <c r="N234" s="2"/>
      <c r="O234" s="2"/>
      <c r="P234" s="2"/>
      <c r="Q234" s="2"/>
      <c r="R234" s="2"/>
      <c r="S234" s="3"/>
      <c r="T234" s="2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H235" s="3"/>
      <c r="I235" s="2"/>
      <c r="J235" s="3"/>
      <c r="K235" s="3"/>
      <c r="L235" s="2"/>
      <c r="M235" s="2"/>
      <c r="N235" s="2"/>
      <c r="O235" s="2"/>
      <c r="P235" s="2"/>
      <c r="Q235" s="2"/>
      <c r="R235" s="2"/>
      <c r="S235" s="3"/>
      <c r="T235" s="2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H236" s="3"/>
      <c r="I236" s="2"/>
      <c r="J236" s="3"/>
      <c r="K236" s="3"/>
      <c r="L236" s="2"/>
      <c r="M236" s="2"/>
      <c r="N236" s="2"/>
      <c r="O236" s="2"/>
      <c r="P236" s="2"/>
      <c r="Q236" s="2"/>
      <c r="R236" s="2"/>
      <c r="S236" s="3"/>
      <c r="T236" s="2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H237" s="3"/>
      <c r="I237" s="2"/>
      <c r="J237" s="3"/>
      <c r="K237" s="3"/>
      <c r="L237" s="2"/>
      <c r="M237" s="2"/>
      <c r="N237" s="2"/>
      <c r="O237" s="2"/>
      <c r="P237" s="2"/>
      <c r="Q237" s="2"/>
      <c r="R237" s="2"/>
      <c r="S237" s="3"/>
      <c r="T237" s="2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H238" s="3"/>
      <c r="I238" s="2"/>
      <c r="J238" s="3"/>
      <c r="K238" s="3"/>
      <c r="L238" s="2"/>
      <c r="M238" s="2"/>
      <c r="N238" s="2"/>
      <c r="O238" s="2"/>
      <c r="P238" s="2"/>
      <c r="Q238" s="2"/>
      <c r="R238" s="2"/>
      <c r="S238" s="3"/>
      <c r="T238" s="2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H239" s="3"/>
      <c r="I239" s="2"/>
      <c r="J239" s="3"/>
      <c r="K239" s="3"/>
      <c r="L239" s="2"/>
      <c r="M239" s="2"/>
      <c r="N239" s="2"/>
      <c r="O239" s="2"/>
      <c r="P239" s="2"/>
      <c r="Q239" s="2"/>
      <c r="R239" s="2"/>
      <c r="S239" s="3"/>
      <c r="T239" s="2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H240" s="3"/>
      <c r="I240" s="2"/>
      <c r="J240" s="3"/>
      <c r="K240" s="3"/>
      <c r="L240" s="2"/>
      <c r="M240" s="2"/>
      <c r="N240" s="2"/>
      <c r="O240" s="2"/>
      <c r="P240" s="2"/>
      <c r="Q240" s="2"/>
      <c r="R240" s="2"/>
      <c r="S240" s="3"/>
      <c r="T240" s="2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H241" s="3"/>
      <c r="I241" s="2"/>
      <c r="J241" s="3"/>
      <c r="K241" s="3"/>
      <c r="L241" s="2"/>
      <c r="M241" s="2"/>
      <c r="N241" s="2"/>
      <c r="O241" s="2"/>
      <c r="P241" s="2"/>
      <c r="Q241" s="2"/>
      <c r="R241" s="2"/>
      <c r="S241" s="3"/>
      <c r="T241" s="2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H242" s="3"/>
      <c r="I242" s="2"/>
      <c r="J242" s="3"/>
      <c r="K242" s="3"/>
      <c r="L242" s="2"/>
      <c r="M242" s="2"/>
      <c r="N242" s="2"/>
      <c r="O242" s="2"/>
      <c r="P242" s="2"/>
      <c r="Q242" s="2"/>
      <c r="R242" s="2"/>
      <c r="S242" s="3"/>
      <c r="T242" s="2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H243" s="3"/>
      <c r="I243" s="2"/>
      <c r="J243" s="3"/>
      <c r="K243" s="3"/>
      <c r="L243" s="2"/>
      <c r="M243" s="2"/>
      <c r="N243" s="2"/>
      <c r="O243" s="2"/>
      <c r="P243" s="2"/>
      <c r="Q243" s="2"/>
      <c r="R243" s="2"/>
      <c r="S243" s="3"/>
      <c r="T243" s="2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H244" s="3"/>
      <c r="I244" s="2"/>
      <c r="J244" s="3"/>
      <c r="K244" s="3"/>
      <c r="L244" s="2"/>
      <c r="M244" s="2"/>
      <c r="N244" s="2"/>
      <c r="O244" s="2"/>
      <c r="P244" s="2"/>
      <c r="Q244" s="2"/>
      <c r="R244" s="2"/>
      <c r="S244" s="3"/>
      <c r="T244" s="2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H245" s="3"/>
      <c r="I245" s="2"/>
      <c r="J245" s="3"/>
      <c r="K245" s="3"/>
      <c r="L245" s="2"/>
      <c r="M245" s="2"/>
      <c r="N245" s="2"/>
      <c r="O245" s="2"/>
      <c r="P245" s="2"/>
      <c r="Q245" s="2"/>
      <c r="R245" s="2"/>
      <c r="S245" s="3"/>
      <c r="T245" s="2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H246" s="3"/>
      <c r="I246" s="2"/>
      <c r="J246" s="3"/>
      <c r="K246" s="3"/>
      <c r="L246" s="2"/>
      <c r="M246" s="2"/>
      <c r="N246" s="2"/>
      <c r="O246" s="2"/>
      <c r="P246" s="2"/>
      <c r="Q246" s="2"/>
      <c r="R246" s="2"/>
      <c r="S246" s="3"/>
      <c r="T246" s="2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H247" s="3"/>
      <c r="I247" s="2"/>
      <c r="J247" s="3"/>
      <c r="K247" s="3"/>
      <c r="L247" s="2"/>
      <c r="M247" s="2"/>
      <c r="N247" s="2"/>
      <c r="O247" s="2"/>
      <c r="P247" s="2"/>
      <c r="Q247" s="2"/>
      <c r="R247" s="2"/>
      <c r="S247" s="3"/>
      <c r="T247" s="2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H248" s="3"/>
      <c r="I248" s="2"/>
      <c r="J248" s="3"/>
      <c r="K248" s="3"/>
      <c r="L248" s="2"/>
      <c r="M248" s="2"/>
      <c r="N248" s="2"/>
      <c r="O248" s="2"/>
      <c r="P248" s="2"/>
      <c r="Q248" s="2"/>
      <c r="R248" s="2"/>
      <c r="S248" s="3"/>
      <c r="T248" s="2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H249" s="3"/>
      <c r="I249" s="2"/>
      <c r="J249" s="3"/>
      <c r="K249" s="3"/>
      <c r="L249" s="2"/>
      <c r="M249" s="2"/>
      <c r="N249" s="2"/>
      <c r="O249" s="2"/>
      <c r="P249" s="2"/>
      <c r="Q249" s="2"/>
      <c r="R249" s="2"/>
      <c r="S249" s="3"/>
      <c r="T249" s="2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H250" s="3"/>
      <c r="I250" s="2"/>
      <c r="J250" s="3"/>
      <c r="K250" s="3"/>
      <c r="L250" s="2"/>
      <c r="M250" s="2"/>
      <c r="N250" s="2"/>
      <c r="O250" s="2"/>
      <c r="P250" s="2"/>
      <c r="Q250" s="2"/>
      <c r="R250" s="2"/>
      <c r="S250" s="3"/>
      <c r="T250" s="2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H251" s="3"/>
      <c r="I251" s="2"/>
      <c r="J251" s="3"/>
      <c r="K251" s="3"/>
      <c r="L251" s="2"/>
      <c r="M251" s="2"/>
      <c r="N251" s="2"/>
      <c r="O251" s="2"/>
      <c r="P251" s="2"/>
      <c r="Q251" s="2"/>
      <c r="R251" s="2"/>
      <c r="S251" s="3"/>
      <c r="T251" s="2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H252" s="3"/>
      <c r="I252" s="2"/>
      <c r="J252" s="3"/>
      <c r="K252" s="3"/>
      <c r="L252" s="2"/>
      <c r="M252" s="2"/>
      <c r="N252" s="2"/>
      <c r="O252" s="2"/>
      <c r="P252" s="2"/>
      <c r="Q252" s="2"/>
      <c r="R252" s="2"/>
      <c r="S252" s="3"/>
      <c r="T252" s="2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H253" s="3"/>
      <c r="I253" s="2"/>
      <c r="J253" s="3"/>
      <c r="K253" s="3"/>
      <c r="L253" s="2"/>
      <c r="M253" s="2"/>
      <c r="N253" s="2"/>
      <c r="O253" s="2"/>
      <c r="P253" s="2"/>
      <c r="Q253" s="2"/>
      <c r="R253" s="2"/>
      <c r="S253" s="3"/>
      <c r="T253" s="2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H254" s="3"/>
      <c r="I254" s="2"/>
      <c r="J254" s="3"/>
      <c r="K254" s="3"/>
      <c r="L254" s="2"/>
      <c r="M254" s="2"/>
      <c r="N254" s="2"/>
      <c r="O254" s="2"/>
      <c r="P254" s="2"/>
      <c r="Q254" s="2"/>
      <c r="R254" s="2"/>
      <c r="S254" s="3"/>
      <c r="T254" s="2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H255" s="3"/>
      <c r="I255" s="2"/>
      <c r="J255" s="3"/>
      <c r="K255" s="3"/>
      <c r="L255" s="2"/>
      <c r="M255" s="2"/>
      <c r="N255" s="2"/>
      <c r="O255" s="2"/>
      <c r="P255" s="2"/>
      <c r="Q255" s="2"/>
      <c r="R255" s="2"/>
      <c r="S255" s="3"/>
      <c r="T255" s="2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H256" s="3"/>
      <c r="I256" s="2"/>
      <c r="J256" s="3"/>
      <c r="K256" s="3"/>
      <c r="L256" s="2"/>
      <c r="M256" s="2"/>
      <c r="N256" s="2"/>
      <c r="O256" s="2"/>
      <c r="P256" s="2"/>
      <c r="Q256" s="2"/>
      <c r="R256" s="2"/>
      <c r="S256" s="3"/>
      <c r="T256" s="2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H257" s="3"/>
      <c r="I257" s="2"/>
      <c r="J257" s="3"/>
      <c r="K257" s="3"/>
      <c r="L257" s="2"/>
      <c r="M257" s="2"/>
      <c r="N257" s="2"/>
      <c r="O257" s="2"/>
      <c r="P257" s="2"/>
      <c r="Q257" s="2"/>
      <c r="R257" s="2"/>
      <c r="S257" s="3"/>
      <c r="T257" s="2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H258" s="3"/>
      <c r="I258" s="2"/>
      <c r="J258" s="3"/>
      <c r="K258" s="3"/>
      <c r="L258" s="2"/>
      <c r="M258" s="2"/>
      <c r="N258" s="2"/>
      <c r="O258" s="2"/>
      <c r="P258" s="2"/>
      <c r="Q258" s="2"/>
      <c r="R258" s="2"/>
      <c r="S258" s="3"/>
      <c r="T258" s="2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H259" s="3"/>
      <c r="I259" s="2"/>
      <c r="J259" s="3"/>
      <c r="K259" s="3"/>
      <c r="L259" s="2"/>
      <c r="M259" s="2"/>
      <c r="N259" s="2"/>
      <c r="O259" s="2"/>
      <c r="P259" s="2"/>
      <c r="Q259" s="2"/>
      <c r="R259" s="2"/>
      <c r="S259" s="3"/>
      <c r="T259" s="2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H260" s="3"/>
      <c r="I260" s="2"/>
      <c r="J260" s="3"/>
      <c r="K260" s="3"/>
      <c r="L260" s="2"/>
      <c r="M260" s="2"/>
      <c r="N260" s="2"/>
      <c r="O260" s="2"/>
      <c r="P260" s="2"/>
      <c r="Q260" s="2"/>
      <c r="R260" s="2"/>
      <c r="S260" s="3"/>
      <c r="T260" s="2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H261" s="3"/>
      <c r="I261" s="2"/>
      <c r="J261" s="3"/>
      <c r="K261" s="3"/>
      <c r="L261" s="2"/>
      <c r="M261" s="2"/>
      <c r="N261" s="2"/>
      <c r="O261" s="2"/>
      <c r="P261" s="2"/>
      <c r="Q261" s="2"/>
      <c r="R261" s="2"/>
      <c r="S261" s="3"/>
      <c r="T261" s="2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H262" s="3"/>
      <c r="I262" s="2"/>
      <c r="J262" s="3"/>
      <c r="K262" s="3"/>
      <c r="L262" s="2"/>
      <c r="M262" s="2"/>
      <c r="N262" s="2"/>
      <c r="O262" s="2"/>
      <c r="P262" s="2"/>
      <c r="Q262" s="2"/>
      <c r="R262" s="2"/>
      <c r="S262" s="3"/>
      <c r="T262" s="2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H263" s="3"/>
      <c r="I263" s="2"/>
      <c r="J263" s="3"/>
      <c r="K263" s="3"/>
      <c r="L263" s="2"/>
      <c r="M263" s="2"/>
      <c r="N263" s="2"/>
      <c r="O263" s="2"/>
      <c r="P263" s="2"/>
      <c r="Q263" s="2"/>
      <c r="R263" s="2"/>
      <c r="S263" s="3"/>
      <c r="T263" s="2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H264" s="3"/>
      <c r="I264" s="2"/>
      <c r="J264" s="3"/>
      <c r="K264" s="3"/>
      <c r="L264" s="2"/>
      <c r="M264" s="2"/>
      <c r="N264" s="2"/>
      <c r="O264" s="2"/>
      <c r="P264" s="2"/>
      <c r="Q264" s="2"/>
      <c r="R264" s="2"/>
      <c r="S264" s="3"/>
      <c r="T264" s="2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H265" s="3"/>
      <c r="I265" s="2"/>
      <c r="J265" s="3"/>
      <c r="K265" s="3"/>
      <c r="L265" s="2"/>
      <c r="M265" s="2"/>
      <c r="N265" s="2"/>
      <c r="O265" s="2"/>
      <c r="P265" s="2"/>
      <c r="Q265" s="2"/>
      <c r="R265" s="2"/>
      <c r="S265" s="3"/>
      <c r="T265" s="2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H266" s="3"/>
      <c r="I266" s="2"/>
      <c r="J266" s="3"/>
      <c r="K266" s="3"/>
      <c r="L266" s="2"/>
      <c r="M266" s="2"/>
      <c r="N266" s="2"/>
      <c r="O266" s="2"/>
      <c r="P266" s="2"/>
      <c r="Q266" s="2"/>
      <c r="R266" s="2"/>
      <c r="S266" s="3"/>
      <c r="T266" s="2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H267" s="3"/>
      <c r="I267" s="2"/>
      <c r="J267" s="3"/>
      <c r="K267" s="3"/>
      <c r="L267" s="2"/>
      <c r="M267" s="2"/>
      <c r="N267" s="2"/>
      <c r="O267" s="2"/>
      <c r="P267" s="2"/>
      <c r="Q267" s="2"/>
      <c r="R267" s="2"/>
      <c r="S267" s="3"/>
      <c r="T267" s="2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H268" s="3"/>
      <c r="I268" s="2"/>
      <c r="J268" s="3"/>
      <c r="K268" s="3"/>
      <c r="L268" s="2"/>
      <c r="M268" s="2"/>
      <c r="N268" s="2"/>
      <c r="O268" s="2"/>
      <c r="P268" s="2"/>
      <c r="Q268" s="2"/>
      <c r="R268" s="2"/>
      <c r="S268" s="3"/>
      <c r="T268" s="2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H269" s="3"/>
      <c r="I269" s="2"/>
      <c r="J269" s="3"/>
      <c r="K269" s="3"/>
      <c r="L269" s="2"/>
      <c r="M269" s="2"/>
      <c r="N269" s="2"/>
      <c r="O269" s="2"/>
      <c r="P269" s="2"/>
      <c r="Q269" s="2"/>
      <c r="R269" s="2"/>
      <c r="S269" s="3"/>
      <c r="T269" s="2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H270" s="3"/>
      <c r="I270" s="2"/>
      <c r="J270" s="3"/>
      <c r="K270" s="3"/>
      <c r="L270" s="2"/>
      <c r="M270" s="2"/>
      <c r="N270" s="2"/>
      <c r="O270" s="2"/>
      <c r="P270" s="2"/>
      <c r="Q270" s="2"/>
      <c r="R270" s="2"/>
      <c r="S270" s="3"/>
      <c r="T270" s="2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H271" s="3"/>
      <c r="I271" s="2"/>
      <c r="J271" s="3"/>
      <c r="K271" s="3"/>
      <c r="L271" s="2"/>
      <c r="M271" s="2"/>
      <c r="N271" s="2"/>
      <c r="O271" s="2"/>
      <c r="P271" s="2"/>
      <c r="Q271" s="2"/>
      <c r="R271" s="2"/>
      <c r="S271" s="3"/>
      <c r="T271" s="2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H272" s="212"/>
      <c r="I272" s="1"/>
      <c r="J272" s="212"/>
      <c r="K272" s="3"/>
      <c r="L272" s="2"/>
      <c r="M272" s="2"/>
      <c r="N272" s="2"/>
      <c r="O272" s="2"/>
      <c r="P272" s="2"/>
      <c r="Q272" s="2"/>
      <c r="R272" s="2"/>
      <c r="S272" s="3"/>
      <c r="T272" s="2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H273" s="3"/>
      <c r="I273" s="2"/>
      <c r="J273" s="3"/>
      <c r="K273" s="3"/>
      <c r="L273" s="2"/>
      <c r="M273" s="2"/>
      <c r="N273" s="2"/>
      <c r="O273" s="2"/>
      <c r="P273" s="2"/>
      <c r="Q273" s="2"/>
      <c r="R273" s="2"/>
      <c r="S273" s="3"/>
      <c r="T273" s="2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H274" s="3"/>
      <c r="I274" s="2"/>
      <c r="J274" s="3"/>
      <c r="K274" s="3"/>
      <c r="L274" s="2"/>
      <c r="M274" s="2"/>
      <c r="N274" s="2"/>
      <c r="O274" s="2"/>
      <c r="P274" s="2"/>
      <c r="Q274" s="2"/>
      <c r="R274" s="2"/>
      <c r="S274" s="3"/>
      <c r="T274" s="2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H275" s="3"/>
      <c r="I275" s="2"/>
      <c r="J275" s="3"/>
      <c r="K275" s="3"/>
      <c r="L275" s="2"/>
      <c r="M275" s="2"/>
      <c r="N275" s="2"/>
      <c r="O275" s="2"/>
      <c r="P275" s="2"/>
      <c r="Q275" s="2"/>
      <c r="R275" s="2"/>
      <c r="S275" s="3"/>
      <c r="T275" s="2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H276" s="3"/>
      <c r="I276" s="2"/>
      <c r="J276" s="3"/>
      <c r="K276" s="3"/>
      <c r="L276" s="2"/>
      <c r="M276" s="2"/>
      <c r="N276" s="2"/>
      <c r="O276" s="2"/>
      <c r="P276" s="2"/>
      <c r="Q276" s="2"/>
      <c r="R276" s="2"/>
      <c r="S276" s="3"/>
      <c r="T276" s="2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H277" s="3"/>
      <c r="I277" s="2"/>
      <c r="J277" s="3"/>
      <c r="K277" s="3"/>
      <c r="L277" s="2"/>
      <c r="M277" s="2"/>
      <c r="N277" s="2"/>
      <c r="O277" s="2"/>
      <c r="P277" s="2"/>
      <c r="Q277" s="2"/>
      <c r="R277" s="2"/>
      <c r="S277" s="3"/>
      <c r="T277" s="2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H278" s="3"/>
      <c r="I278" s="2"/>
      <c r="J278" s="3"/>
      <c r="K278" s="3"/>
      <c r="L278" s="2"/>
      <c r="M278" s="2"/>
      <c r="N278" s="2"/>
      <c r="O278" s="2"/>
      <c r="P278" s="2"/>
      <c r="Q278" s="2"/>
      <c r="R278" s="2"/>
      <c r="S278" s="3"/>
      <c r="T278" s="2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H279" s="3"/>
      <c r="I279" s="2"/>
      <c r="J279" s="3"/>
      <c r="K279" s="3"/>
      <c r="L279" s="2"/>
      <c r="M279" s="2"/>
      <c r="N279" s="2"/>
      <c r="O279" s="2"/>
      <c r="P279" s="2"/>
      <c r="Q279" s="2"/>
      <c r="R279" s="2"/>
      <c r="S279" s="3"/>
      <c r="T279" s="2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H280" s="3"/>
      <c r="I280" s="2"/>
      <c r="J280" s="3"/>
      <c r="K280" s="3"/>
      <c r="L280" s="2"/>
      <c r="M280" s="2"/>
      <c r="N280" s="2"/>
      <c r="O280" s="2"/>
      <c r="P280" s="2"/>
      <c r="Q280" s="2"/>
      <c r="R280" s="2"/>
      <c r="S280" s="3"/>
      <c r="T280" s="2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H281" s="3"/>
      <c r="I281" s="2"/>
      <c r="J281" s="3"/>
      <c r="K281" s="3"/>
      <c r="L281" s="2"/>
      <c r="M281" s="2"/>
      <c r="N281" s="2"/>
      <c r="O281" s="2"/>
      <c r="P281" s="2"/>
      <c r="Q281" s="2"/>
      <c r="R281" s="2"/>
      <c r="S281" s="3"/>
      <c r="T281" s="2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H282" s="3"/>
      <c r="I282" s="2"/>
      <c r="J282" s="3"/>
      <c r="K282" s="3"/>
      <c r="L282" s="2"/>
      <c r="M282" s="2"/>
      <c r="N282" s="2"/>
      <c r="O282" s="2"/>
      <c r="P282" s="2"/>
      <c r="Q282" s="2"/>
      <c r="R282" s="2"/>
      <c r="S282" s="3"/>
      <c r="T282" s="2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H283" s="3"/>
      <c r="I283" s="2"/>
      <c r="J283" s="3"/>
      <c r="K283" s="3"/>
      <c r="L283" s="2"/>
      <c r="M283" s="2"/>
      <c r="N283" s="2"/>
      <c r="O283" s="2"/>
      <c r="P283" s="2"/>
      <c r="Q283" s="2"/>
      <c r="R283" s="2"/>
      <c r="S283" s="3"/>
      <c r="T283" s="2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H284" s="3"/>
      <c r="I284" s="2"/>
      <c r="J284" s="3"/>
      <c r="K284" s="3"/>
      <c r="L284" s="2"/>
      <c r="M284" s="2"/>
      <c r="N284" s="2"/>
      <c r="O284" s="2"/>
      <c r="P284" s="2"/>
      <c r="Q284" s="2"/>
      <c r="R284" s="2"/>
      <c r="S284" s="3"/>
      <c r="T284" s="2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H285" s="3"/>
      <c r="I285" s="2"/>
      <c r="J285" s="3"/>
      <c r="K285" s="3"/>
      <c r="L285" s="2"/>
      <c r="M285" s="2"/>
      <c r="N285" s="2"/>
      <c r="O285" s="2"/>
      <c r="P285" s="2"/>
      <c r="Q285" s="2"/>
      <c r="R285" s="2"/>
      <c r="S285" s="3"/>
      <c r="T285" s="2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H286" s="3"/>
      <c r="I286" s="2"/>
      <c r="J286" s="3"/>
      <c r="K286" s="3"/>
      <c r="L286" s="2"/>
      <c r="M286" s="2"/>
      <c r="N286" s="2"/>
      <c r="O286" s="2"/>
      <c r="P286" s="2"/>
      <c r="Q286" s="2"/>
      <c r="R286" s="2"/>
      <c r="S286" s="3"/>
      <c r="T286" s="2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H287" s="3"/>
      <c r="I287" s="2"/>
      <c r="J287" s="3"/>
      <c r="K287" s="3"/>
      <c r="L287" s="2"/>
      <c r="M287" s="2"/>
      <c r="N287" s="2"/>
      <c r="O287" s="2"/>
      <c r="P287" s="2"/>
      <c r="Q287" s="2"/>
      <c r="R287" s="2"/>
      <c r="S287" s="3"/>
      <c r="T287" s="2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H288" s="3"/>
      <c r="I288" s="2"/>
      <c r="J288" s="3"/>
      <c r="K288" s="3"/>
      <c r="L288" s="2"/>
      <c r="M288" s="2"/>
      <c r="N288" s="2"/>
      <c r="O288" s="2"/>
      <c r="P288" s="2"/>
      <c r="Q288" s="2"/>
      <c r="R288" s="2"/>
      <c r="S288" s="3"/>
      <c r="T288" s="2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H289" s="3"/>
      <c r="I289" s="2"/>
      <c r="J289" s="3"/>
      <c r="K289" s="3"/>
      <c r="L289" s="2"/>
      <c r="M289" s="2"/>
      <c r="N289" s="2"/>
      <c r="O289" s="2"/>
      <c r="P289" s="2"/>
      <c r="Q289" s="2"/>
      <c r="R289" s="2"/>
      <c r="S289" s="3"/>
      <c r="T289" s="2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H290" s="3"/>
      <c r="I290" s="2"/>
      <c r="J290" s="3"/>
      <c r="K290" s="3"/>
      <c r="L290" s="2"/>
      <c r="M290" s="2"/>
      <c r="N290" s="2"/>
      <c r="O290" s="2"/>
      <c r="P290" s="2"/>
      <c r="Q290" s="2"/>
      <c r="R290" s="2"/>
      <c r="S290" s="3"/>
      <c r="T290" s="2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H291" s="3"/>
      <c r="I291" s="2"/>
      <c r="J291" s="3"/>
      <c r="K291" s="3"/>
      <c r="L291" s="2"/>
      <c r="M291" s="2"/>
      <c r="N291" s="2"/>
      <c r="O291" s="2"/>
      <c r="P291" s="2"/>
      <c r="Q291" s="2"/>
      <c r="R291" s="2"/>
      <c r="S291" s="3"/>
      <c r="T291" s="2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H292" s="3"/>
      <c r="I292" s="2"/>
      <c r="J292" s="3"/>
      <c r="K292" s="3"/>
      <c r="L292" s="2"/>
      <c r="M292" s="2"/>
      <c r="N292" s="2"/>
      <c r="O292" s="2"/>
      <c r="P292" s="2"/>
      <c r="Q292" s="2"/>
      <c r="R292" s="2"/>
      <c r="S292" s="3"/>
      <c r="T292" s="2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H293" s="3"/>
      <c r="I293" s="2"/>
      <c r="J293" s="3"/>
      <c r="K293" s="3"/>
      <c r="L293" s="2"/>
      <c r="M293" s="2"/>
      <c r="N293" s="2"/>
      <c r="O293" s="2"/>
      <c r="P293" s="2"/>
      <c r="Q293" s="2"/>
      <c r="R293" s="2"/>
      <c r="S293" s="3"/>
      <c r="T293" s="2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H294" s="3"/>
      <c r="I294" s="2"/>
      <c r="J294" s="3"/>
      <c r="K294" s="3"/>
      <c r="L294" s="2"/>
      <c r="M294" s="2"/>
      <c r="N294" s="2"/>
      <c r="O294" s="2"/>
      <c r="P294" s="2"/>
      <c r="Q294" s="2"/>
      <c r="R294" s="2"/>
      <c r="S294" s="3"/>
      <c r="T294" s="2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H295" s="3"/>
      <c r="I295" s="2"/>
      <c r="J295" s="3"/>
      <c r="K295" s="3"/>
      <c r="L295" s="2"/>
      <c r="M295" s="2"/>
      <c r="N295" s="2"/>
      <c r="O295" s="2"/>
      <c r="P295" s="2"/>
      <c r="Q295" s="2"/>
      <c r="R295" s="2"/>
      <c r="S295" s="3"/>
      <c r="T295" s="2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H296" s="3"/>
      <c r="I296" s="2"/>
      <c r="J296" s="3"/>
      <c r="K296" s="3"/>
      <c r="L296" s="2"/>
      <c r="M296" s="2"/>
      <c r="N296" s="2"/>
      <c r="O296" s="2"/>
      <c r="P296" s="2"/>
      <c r="Q296" s="2"/>
      <c r="R296" s="2"/>
      <c r="S296" s="3"/>
      <c r="T296" s="2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H297" s="3"/>
      <c r="I297" s="2"/>
      <c r="J297" s="3"/>
      <c r="K297" s="3"/>
      <c r="L297" s="2"/>
      <c r="M297" s="2"/>
      <c r="N297" s="2"/>
      <c r="O297" s="2"/>
      <c r="P297" s="2"/>
      <c r="Q297" s="2"/>
      <c r="R297" s="2"/>
      <c r="S297" s="3"/>
      <c r="T297" s="2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H298" s="3"/>
      <c r="I298" s="2"/>
      <c r="J298" s="3"/>
      <c r="K298" s="3"/>
      <c r="L298" s="2"/>
      <c r="M298" s="2"/>
      <c r="N298" s="2"/>
      <c r="O298" s="2"/>
      <c r="P298" s="2"/>
      <c r="Q298" s="2"/>
      <c r="R298" s="2"/>
      <c r="S298" s="3"/>
      <c r="T298" s="2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H299" s="3"/>
      <c r="I299" s="2"/>
      <c r="J299" s="3"/>
      <c r="K299" s="3"/>
      <c r="L299" s="2"/>
      <c r="M299" s="2"/>
      <c r="N299" s="2"/>
      <c r="O299" s="2"/>
      <c r="P299" s="2"/>
      <c r="Q299" s="2"/>
      <c r="R299" s="2"/>
      <c r="S299" s="3"/>
      <c r="T299" s="2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H300" s="3"/>
      <c r="I300" s="2"/>
      <c r="J300" s="3"/>
      <c r="K300" s="3"/>
      <c r="L300" s="2"/>
      <c r="M300" s="2"/>
      <c r="N300" s="2"/>
      <c r="O300" s="2"/>
      <c r="P300" s="2"/>
      <c r="Q300" s="2"/>
      <c r="R300" s="2"/>
      <c r="S300" s="3"/>
      <c r="T300" s="2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H301" s="3"/>
      <c r="I301" s="2"/>
      <c r="J301" s="3"/>
      <c r="K301" s="3"/>
      <c r="L301" s="2"/>
      <c r="M301" s="2"/>
      <c r="N301" s="2"/>
      <c r="O301" s="2"/>
      <c r="P301" s="2"/>
      <c r="Q301" s="2"/>
      <c r="R301" s="2"/>
      <c r="S301" s="3"/>
      <c r="T301" s="2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H302" s="3"/>
      <c r="I302" s="2"/>
      <c r="J302" s="3"/>
      <c r="K302" s="3"/>
      <c r="L302" s="2"/>
      <c r="M302" s="2"/>
      <c r="N302" s="2"/>
      <c r="O302" s="2"/>
      <c r="P302" s="2"/>
      <c r="Q302" s="2"/>
      <c r="R302" s="2"/>
      <c r="S302" s="3"/>
      <c r="T302" s="2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H303" s="3"/>
      <c r="I303" s="2"/>
      <c r="J303" s="3"/>
      <c r="K303" s="3"/>
      <c r="L303" s="2"/>
      <c r="M303" s="2"/>
      <c r="N303" s="2"/>
      <c r="O303" s="2"/>
      <c r="P303" s="2"/>
      <c r="Q303" s="2"/>
      <c r="R303" s="2"/>
      <c r="S303" s="3"/>
      <c r="T303" s="2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H304" s="3"/>
      <c r="I304" s="2"/>
      <c r="J304" s="3"/>
      <c r="K304" s="3"/>
      <c r="L304" s="2"/>
      <c r="M304" s="2"/>
      <c r="N304" s="2"/>
      <c r="O304" s="2"/>
      <c r="P304" s="2"/>
      <c r="Q304" s="2"/>
      <c r="R304" s="2"/>
      <c r="S304" s="3"/>
      <c r="T304" s="2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H305" s="3"/>
      <c r="I305" s="2"/>
      <c r="J305" s="3"/>
      <c r="K305" s="3"/>
      <c r="L305" s="2"/>
      <c r="M305" s="2"/>
      <c r="N305" s="2"/>
      <c r="O305" s="2"/>
      <c r="P305" s="2"/>
      <c r="Q305" s="2"/>
      <c r="R305" s="2"/>
      <c r="S305" s="3"/>
      <c r="T305" s="2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H306" s="3"/>
      <c r="I306" s="2"/>
      <c r="J306" s="3"/>
      <c r="K306" s="3"/>
      <c r="L306" s="2"/>
      <c r="M306" s="2"/>
      <c r="N306" s="2"/>
      <c r="O306" s="2"/>
      <c r="P306" s="2"/>
      <c r="Q306" s="2"/>
      <c r="R306" s="2"/>
      <c r="S306" s="3"/>
      <c r="T306" s="2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H307" s="3"/>
      <c r="I307" s="2"/>
      <c r="J307" s="3"/>
      <c r="K307" s="3"/>
      <c r="L307" s="2"/>
      <c r="M307" s="2"/>
      <c r="N307" s="2"/>
      <c r="O307" s="2"/>
      <c r="P307" s="2"/>
      <c r="Q307" s="2"/>
      <c r="R307" s="2"/>
      <c r="S307" s="3"/>
      <c r="T307" s="2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H308" s="3"/>
      <c r="I308" s="2"/>
      <c r="J308" s="3"/>
      <c r="K308" s="3"/>
      <c r="L308" s="2"/>
      <c r="M308" s="2"/>
      <c r="N308" s="2"/>
      <c r="O308" s="2"/>
      <c r="P308" s="2"/>
      <c r="Q308" s="2"/>
      <c r="R308" s="2"/>
      <c r="S308" s="3"/>
      <c r="T308" s="2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H309" s="3"/>
      <c r="I309" s="2"/>
      <c r="J309" s="3"/>
      <c r="K309" s="3"/>
      <c r="L309" s="2"/>
      <c r="M309" s="2"/>
      <c r="N309" s="2"/>
      <c r="O309" s="2"/>
      <c r="P309" s="2"/>
      <c r="Q309" s="2"/>
      <c r="R309" s="2"/>
      <c r="S309" s="3"/>
      <c r="T309" s="2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H310" s="3"/>
      <c r="I310" s="2"/>
      <c r="J310" s="3"/>
      <c r="K310" s="3"/>
      <c r="L310" s="2"/>
      <c r="M310" s="2"/>
      <c r="N310" s="2"/>
      <c r="O310" s="2"/>
      <c r="P310" s="2"/>
      <c r="Q310" s="2"/>
      <c r="R310" s="2"/>
      <c r="S310" s="3"/>
      <c r="T310" s="2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H311" s="3"/>
      <c r="I311" s="2"/>
      <c r="J311" s="3"/>
      <c r="K311" s="3"/>
      <c r="L311" s="2"/>
      <c r="M311" s="2"/>
      <c r="N311" s="2"/>
      <c r="O311" s="2"/>
      <c r="P311" s="2"/>
      <c r="Q311" s="2"/>
      <c r="R311" s="2"/>
      <c r="S311" s="3"/>
      <c r="T311" s="2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H312" s="3"/>
      <c r="I312" s="2"/>
      <c r="J312" s="3"/>
      <c r="K312" s="3"/>
      <c r="L312" s="2"/>
      <c r="M312" s="2"/>
      <c r="N312" s="2"/>
      <c r="O312" s="2"/>
      <c r="P312" s="2"/>
      <c r="Q312" s="2"/>
      <c r="R312" s="2"/>
      <c r="S312" s="3"/>
      <c r="T312" s="2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H313" s="3"/>
      <c r="I313" s="2"/>
      <c r="J313" s="3"/>
      <c r="K313" s="3"/>
      <c r="L313" s="2"/>
      <c r="M313" s="2"/>
      <c r="N313" s="2"/>
      <c r="O313" s="2"/>
      <c r="P313" s="2"/>
      <c r="Q313" s="2"/>
      <c r="R313" s="2"/>
      <c r="S313" s="3"/>
      <c r="T313" s="2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H314" s="3"/>
      <c r="I314" s="2"/>
      <c r="J314" s="3"/>
      <c r="K314" s="3"/>
      <c r="L314" s="2"/>
      <c r="M314" s="2"/>
      <c r="N314" s="2"/>
      <c r="O314" s="2"/>
      <c r="P314" s="2"/>
      <c r="Q314" s="2"/>
      <c r="R314" s="2"/>
      <c r="S314" s="3"/>
      <c r="T314" s="2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H315" s="3"/>
      <c r="I315" s="2"/>
      <c r="J315" s="3"/>
      <c r="K315" s="3"/>
      <c r="L315" s="2"/>
      <c r="M315" s="2"/>
      <c r="N315" s="2"/>
      <c r="O315" s="2"/>
      <c r="P315" s="2"/>
      <c r="Q315" s="2"/>
      <c r="R315" s="2"/>
      <c r="S315" s="3"/>
      <c r="T315" s="2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H316" s="3"/>
      <c r="I316" s="2"/>
      <c r="J316" s="3"/>
      <c r="K316" s="3"/>
      <c r="L316" s="2"/>
      <c r="M316" s="2"/>
      <c r="N316" s="2"/>
      <c r="O316" s="2"/>
      <c r="P316" s="2"/>
      <c r="Q316" s="2"/>
      <c r="R316" s="2"/>
      <c r="S316" s="3"/>
      <c r="T316" s="2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H317" s="3"/>
      <c r="I317" s="2"/>
      <c r="J317" s="3"/>
      <c r="K317" s="3"/>
      <c r="L317" s="2"/>
      <c r="M317" s="2"/>
      <c r="N317" s="2"/>
      <c r="O317" s="2"/>
      <c r="P317" s="2"/>
      <c r="Q317" s="2"/>
      <c r="R317" s="2"/>
      <c r="S317" s="3"/>
      <c r="T317" s="2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H318" s="3"/>
      <c r="I318" s="2"/>
      <c r="J318" s="3"/>
      <c r="K318" s="3"/>
      <c r="L318" s="2"/>
      <c r="M318" s="2"/>
      <c r="N318" s="2"/>
      <c r="O318" s="2"/>
      <c r="P318" s="2"/>
      <c r="Q318" s="2"/>
      <c r="R318" s="2"/>
      <c r="S318" s="3"/>
      <c r="T318" s="2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H319" s="3"/>
      <c r="I319" s="2"/>
      <c r="J319" s="3"/>
      <c r="K319" s="3"/>
      <c r="L319" s="2"/>
      <c r="M319" s="2"/>
      <c r="N319" s="2"/>
      <c r="O319" s="2"/>
      <c r="P319" s="2"/>
      <c r="Q319" s="2"/>
      <c r="R319" s="2"/>
      <c r="S319" s="3"/>
      <c r="T319" s="2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H320" s="3"/>
      <c r="I320" s="2"/>
      <c r="J320" s="3"/>
      <c r="K320" s="3"/>
      <c r="L320" s="2"/>
      <c r="M320" s="2"/>
      <c r="N320" s="2"/>
      <c r="O320" s="2"/>
      <c r="P320" s="2"/>
      <c r="Q320" s="2"/>
      <c r="R320" s="2"/>
      <c r="S320" s="3"/>
      <c r="T320" s="2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H321" s="3"/>
      <c r="I321" s="2"/>
      <c r="J321" s="3"/>
      <c r="K321" s="3"/>
      <c r="L321" s="2"/>
      <c r="M321" s="2"/>
      <c r="N321" s="2"/>
      <c r="O321" s="2"/>
      <c r="P321" s="2"/>
      <c r="Q321" s="2"/>
      <c r="R321" s="2"/>
      <c r="S321" s="3"/>
      <c r="T321" s="2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H322" s="3"/>
      <c r="I322" s="2"/>
      <c r="J322" s="3"/>
      <c r="K322" s="3"/>
      <c r="L322" s="2"/>
      <c r="M322" s="2"/>
      <c r="N322" s="2"/>
      <c r="O322" s="2"/>
      <c r="P322" s="2"/>
      <c r="Q322" s="2"/>
      <c r="R322" s="2"/>
      <c r="S322" s="3"/>
      <c r="T322" s="2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H323" s="3"/>
      <c r="I323" s="2"/>
      <c r="J323" s="3"/>
      <c r="K323" s="3"/>
      <c r="L323" s="2"/>
      <c r="M323" s="2"/>
      <c r="N323" s="2"/>
      <c r="O323" s="2"/>
      <c r="P323" s="2"/>
      <c r="Q323" s="2"/>
      <c r="R323" s="2"/>
      <c r="S323" s="3"/>
      <c r="T323" s="2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H324" s="3"/>
      <c r="I324" s="2"/>
      <c r="J324" s="3"/>
      <c r="K324" s="3"/>
      <c r="L324" s="2"/>
      <c r="M324" s="2"/>
      <c r="N324" s="2"/>
      <c r="O324" s="2"/>
      <c r="P324" s="2"/>
      <c r="Q324" s="2"/>
      <c r="R324" s="2"/>
      <c r="S324" s="3"/>
      <c r="T324" s="2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H325" s="3"/>
      <c r="I325" s="2"/>
      <c r="J325" s="3"/>
      <c r="K325" s="3"/>
      <c r="L325" s="2"/>
      <c r="M325" s="2"/>
      <c r="N325" s="2"/>
      <c r="O325" s="2"/>
      <c r="P325" s="2"/>
      <c r="Q325" s="2"/>
      <c r="R325" s="2"/>
      <c r="S325" s="3"/>
      <c r="T325" s="2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H326" s="3"/>
      <c r="I326" s="2"/>
      <c r="J326" s="3"/>
      <c r="K326" s="3"/>
      <c r="L326" s="2"/>
      <c r="M326" s="2"/>
      <c r="N326" s="2"/>
      <c r="O326" s="2"/>
      <c r="P326" s="2"/>
      <c r="Q326" s="2"/>
      <c r="R326" s="2"/>
      <c r="S326" s="3"/>
      <c r="T326" s="2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H327" s="3"/>
      <c r="I327" s="2"/>
      <c r="J327" s="3"/>
      <c r="K327" s="3"/>
      <c r="L327" s="2"/>
      <c r="M327" s="2"/>
      <c r="N327" s="2"/>
      <c r="O327" s="2"/>
      <c r="P327" s="2"/>
      <c r="Q327" s="2"/>
      <c r="R327" s="2"/>
      <c r="S327" s="3"/>
      <c r="T327" s="2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H328" s="3"/>
      <c r="I328" s="2"/>
      <c r="J328" s="3"/>
      <c r="K328" s="3"/>
      <c r="L328" s="2"/>
      <c r="M328" s="2"/>
      <c r="N328" s="2"/>
      <c r="O328" s="2"/>
      <c r="P328" s="2"/>
      <c r="Q328" s="2"/>
      <c r="R328" s="2"/>
      <c r="S328" s="3"/>
      <c r="T328" s="2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H329" s="3"/>
      <c r="I329" s="2"/>
      <c r="J329" s="3"/>
      <c r="K329" s="3"/>
      <c r="L329" s="2"/>
      <c r="M329" s="2"/>
      <c r="N329" s="2"/>
      <c r="O329" s="2"/>
      <c r="P329" s="2"/>
      <c r="Q329" s="2"/>
      <c r="R329" s="2"/>
      <c r="S329" s="3"/>
      <c r="T329" s="2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H330" s="3"/>
      <c r="I330" s="2"/>
      <c r="J330" s="3"/>
      <c r="K330" s="3"/>
      <c r="L330" s="2"/>
      <c r="M330" s="2"/>
      <c r="N330" s="2"/>
      <c r="O330" s="2"/>
      <c r="P330" s="2"/>
      <c r="Q330" s="2"/>
      <c r="R330" s="2"/>
      <c r="S330" s="3"/>
      <c r="T330" s="2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H331" s="3"/>
      <c r="I331" s="2"/>
      <c r="J331" s="3"/>
      <c r="K331" s="3"/>
      <c r="L331" s="2"/>
      <c r="M331" s="2"/>
      <c r="N331" s="2"/>
      <c r="O331" s="2"/>
      <c r="P331" s="2"/>
      <c r="Q331" s="2"/>
      <c r="R331" s="2"/>
      <c r="S331" s="3"/>
      <c r="T331" s="2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H332" s="3"/>
      <c r="I332" s="2"/>
      <c r="J332" s="3"/>
      <c r="K332" s="3"/>
      <c r="L332" s="2"/>
      <c r="M332" s="2"/>
      <c r="N332" s="2"/>
      <c r="O332" s="2"/>
      <c r="P332" s="2"/>
      <c r="Q332" s="2"/>
      <c r="R332" s="2"/>
      <c r="S332" s="3"/>
      <c r="T332" s="2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H333" s="3"/>
      <c r="I333" s="2"/>
      <c r="J333" s="3"/>
      <c r="K333" s="3"/>
      <c r="L333" s="2"/>
      <c r="M333" s="2"/>
      <c r="N333" s="2"/>
      <c r="O333" s="2"/>
      <c r="P333" s="2"/>
      <c r="Q333" s="2"/>
      <c r="R333" s="2"/>
      <c r="S333" s="3"/>
      <c r="T333" s="2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H334" s="3"/>
      <c r="I334" s="2"/>
      <c r="J334" s="3"/>
      <c r="K334" s="3"/>
      <c r="L334" s="2"/>
      <c r="M334" s="2"/>
      <c r="N334" s="2"/>
      <c r="O334" s="2"/>
      <c r="P334" s="2"/>
      <c r="Q334" s="2"/>
      <c r="R334" s="2"/>
      <c r="S334" s="3"/>
      <c r="T334" s="2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H335" s="3"/>
      <c r="I335" s="2"/>
      <c r="J335" s="3"/>
      <c r="K335" s="3"/>
      <c r="L335" s="2"/>
      <c r="M335" s="2"/>
      <c r="N335" s="2"/>
      <c r="O335" s="2"/>
      <c r="P335" s="2"/>
      <c r="Q335" s="2"/>
      <c r="R335" s="2"/>
      <c r="S335" s="3"/>
      <c r="T335" s="2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H336" s="3"/>
      <c r="I336" s="2"/>
      <c r="J336" s="3"/>
      <c r="K336" s="3"/>
      <c r="L336" s="2"/>
      <c r="M336" s="2"/>
      <c r="N336" s="2"/>
      <c r="O336" s="2"/>
      <c r="P336" s="2"/>
      <c r="Q336" s="2"/>
      <c r="R336" s="2"/>
      <c r="S336" s="3"/>
      <c r="T336" s="2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H337" s="3"/>
      <c r="I337" s="2"/>
      <c r="J337" s="3"/>
      <c r="K337" s="3"/>
      <c r="L337" s="2"/>
      <c r="M337" s="2"/>
      <c r="N337" s="2"/>
      <c r="O337" s="2"/>
      <c r="P337" s="2"/>
      <c r="Q337" s="2"/>
      <c r="R337" s="2"/>
      <c r="S337" s="3"/>
      <c r="T337" s="2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H338" s="3"/>
      <c r="I338" s="2"/>
      <c r="J338" s="3"/>
      <c r="K338" s="3"/>
      <c r="L338" s="2"/>
      <c r="M338" s="2"/>
      <c r="N338" s="2"/>
      <c r="O338" s="2"/>
      <c r="P338" s="2"/>
      <c r="Q338" s="2"/>
      <c r="R338" s="2"/>
      <c r="S338" s="3"/>
      <c r="T338" s="2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H339" s="3"/>
      <c r="I339" s="2"/>
      <c r="J339" s="3"/>
      <c r="K339" s="3"/>
      <c r="L339" s="2"/>
      <c r="M339" s="2"/>
      <c r="N339" s="2"/>
      <c r="O339" s="2"/>
      <c r="P339" s="2"/>
      <c r="Q339" s="2"/>
      <c r="R339" s="2"/>
      <c r="S339" s="3"/>
      <c r="T339" s="2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H340" s="3"/>
      <c r="I340" s="2"/>
      <c r="J340" s="3"/>
      <c r="K340" s="3"/>
      <c r="L340" s="2"/>
      <c r="M340" s="2"/>
      <c r="N340" s="2"/>
      <c r="O340" s="2"/>
      <c r="P340" s="2"/>
      <c r="Q340" s="2"/>
      <c r="R340" s="2"/>
      <c r="S340" s="3"/>
      <c r="T340" s="2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H341" s="3"/>
      <c r="I341" s="2"/>
      <c r="J341" s="3"/>
      <c r="K341" s="3"/>
      <c r="L341" s="2"/>
      <c r="M341" s="2"/>
      <c r="N341" s="2"/>
      <c r="O341" s="2"/>
      <c r="P341" s="2"/>
      <c r="Q341" s="2"/>
      <c r="R341" s="2"/>
      <c r="S341" s="3"/>
      <c r="T341" s="2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H342" s="3"/>
      <c r="I342" s="2"/>
      <c r="J342" s="3"/>
      <c r="K342" s="3"/>
      <c r="L342" s="2"/>
      <c r="M342" s="2"/>
      <c r="N342" s="2"/>
      <c r="O342" s="2"/>
      <c r="P342" s="2"/>
      <c r="Q342" s="2"/>
      <c r="R342" s="2"/>
      <c r="S342" s="3"/>
      <c r="T342" s="2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H343" s="3"/>
      <c r="I343" s="2"/>
      <c r="J343" s="3"/>
      <c r="K343" s="3"/>
      <c r="L343" s="2"/>
      <c r="M343" s="2"/>
      <c r="N343" s="2"/>
      <c r="O343" s="2"/>
      <c r="P343" s="2"/>
      <c r="Q343" s="2"/>
      <c r="R343" s="2"/>
      <c r="S343" s="3"/>
      <c r="T343" s="2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H344" s="3"/>
      <c r="I344" s="2"/>
      <c r="J344" s="3"/>
      <c r="K344" s="3"/>
      <c r="L344" s="2"/>
      <c r="M344" s="2"/>
      <c r="N344" s="2"/>
      <c r="O344" s="2"/>
      <c r="P344" s="2"/>
      <c r="Q344" s="2"/>
      <c r="R344" s="2"/>
      <c r="S344" s="3"/>
      <c r="T344" s="2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H345" s="3"/>
      <c r="I345" s="2"/>
      <c r="J345" s="3"/>
      <c r="K345" s="3"/>
      <c r="L345" s="2"/>
      <c r="M345" s="2"/>
      <c r="N345" s="2"/>
      <c r="O345" s="2"/>
      <c r="P345" s="2"/>
      <c r="Q345" s="2"/>
      <c r="R345" s="2"/>
      <c r="S345" s="3"/>
      <c r="T345" s="2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H346" s="3"/>
      <c r="I346" s="2"/>
      <c r="J346" s="3"/>
      <c r="K346" s="3"/>
      <c r="L346" s="2"/>
      <c r="M346" s="2"/>
      <c r="N346" s="2"/>
      <c r="O346" s="2"/>
      <c r="P346" s="2"/>
      <c r="Q346" s="2"/>
      <c r="R346" s="2"/>
      <c r="S346" s="3"/>
      <c r="T346" s="2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H347" s="3"/>
      <c r="I347" s="2"/>
      <c r="J347" s="3"/>
      <c r="K347" s="3"/>
      <c r="L347" s="2"/>
      <c r="M347" s="2"/>
      <c r="N347" s="2"/>
      <c r="O347" s="2"/>
      <c r="P347" s="2"/>
      <c r="Q347" s="2"/>
      <c r="R347" s="2"/>
      <c r="S347" s="3"/>
      <c r="T347" s="2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H348" s="3"/>
      <c r="I348" s="2"/>
      <c r="J348" s="3"/>
      <c r="K348" s="3"/>
      <c r="L348" s="2"/>
      <c r="M348" s="2"/>
      <c r="N348" s="2"/>
      <c r="O348" s="2"/>
      <c r="P348" s="2"/>
      <c r="Q348" s="2"/>
      <c r="R348" s="2"/>
      <c r="S348" s="3"/>
      <c r="T348" s="2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H349" s="3"/>
      <c r="I349" s="2"/>
      <c r="J349" s="3"/>
      <c r="K349" s="3"/>
      <c r="L349" s="2"/>
      <c r="M349" s="2"/>
      <c r="N349" s="2"/>
      <c r="O349" s="2"/>
      <c r="P349" s="2"/>
      <c r="Q349" s="2"/>
      <c r="R349" s="2"/>
      <c r="S349" s="3"/>
      <c r="T349" s="2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H350" s="3"/>
      <c r="I350" s="2"/>
      <c r="J350" s="3"/>
      <c r="K350" s="3"/>
      <c r="L350" s="2"/>
      <c r="M350" s="2"/>
      <c r="N350" s="2"/>
      <c r="O350" s="2"/>
      <c r="P350" s="2"/>
      <c r="Q350" s="2"/>
      <c r="R350" s="2"/>
      <c r="S350" s="3"/>
      <c r="T350" s="2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H351" s="3"/>
      <c r="I351" s="2"/>
      <c r="J351" s="3"/>
      <c r="K351" s="3"/>
      <c r="L351" s="2"/>
      <c r="M351" s="2"/>
      <c r="N351" s="2"/>
      <c r="O351" s="2"/>
      <c r="P351" s="2"/>
      <c r="Q351" s="2"/>
      <c r="R351" s="2"/>
      <c r="S351" s="3"/>
      <c r="T351" s="2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H352" s="3"/>
      <c r="I352" s="2"/>
      <c r="J352" s="3"/>
      <c r="K352" s="3"/>
      <c r="L352" s="2"/>
      <c r="M352" s="2"/>
      <c r="N352" s="2"/>
      <c r="O352" s="2"/>
      <c r="P352" s="2"/>
      <c r="Q352" s="2"/>
      <c r="R352" s="2"/>
      <c r="S352" s="3"/>
      <c r="T352" s="2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H353" s="3"/>
      <c r="I353" s="2"/>
      <c r="J353" s="3"/>
      <c r="K353" s="3"/>
      <c r="L353" s="2"/>
      <c r="M353" s="2"/>
      <c r="N353" s="2"/>
      <c r="O353" s="2"/>
      <c r="P353" s="2"/>
      <c r="Q353" s="2"/>
      <c r="R353" s="2"/>
      <c r="S353" s="3"/>
      <c r="T353" s="2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H354" s="3"/>
      <c r="I354" s="2"/>
      <c r="J354" s="3"/>
      <c r="K354" s="3"/>
      <c r="L354" s="2"/>
      <c r="M354" s="2"/>
      <c r="N354" s="2"/>
      <c r="O354" s="2"/>
      <c r="P354" s="2"/>
      <c r="Q354" s="2"/>
      <c r="R354" s="2"/>
      <c r="S354" s="3"/>
      <c r="T354" s="2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H355" s="3"/>
      <c r="I355" s="2"/>
      <c r="J355" s="3"/>
      <c r="K355" s="3"/>
      <c r="L355" s="2"/>
      <c r="M355" s="2"/>
      <c r="N355" s="2"/>
      <c r="O355" s="2"/>
      <c r="P355" s="2"/>
      <c r="Q355" s="2"/>
      <c r="R355" s="2"/>
      <c r="S355" s="3"/>
      <c r="T355" s="2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H356" s="3"/>
      <c r="I356" s="2"/>
      <c r="J356" s="3"/>
      <c r="K356" s="3"/>
      <c r="L356" s="2"/>
      <c r="M356" s="2"/>
      <c r="N356" s="2"/>
      <c r="O356" s="2"/>
      <c r="P356" s="2"/>
      <c r="Q356" s="2"/>
      <c r="R356" s="2"/>
      <c r="S356" s="3"/>
      <c r="T356" s="2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H357" s="3"/>
      <c r="I357" s="2"/>
      <c r="J357" s="3"/>
      <c r="K357" s="3"/>
      <c r="L357" s="2"/>
      <c r="M357" s="2"/>
      <c r="N357" s="2"/>
      <c r="O357" s="2"/>
      <c r="P357" s="2"/>
      <c r="Q357" s="2"/>
      <c r="R357" s="2"/>
      <c r="S357" s="3"/>
      <c r="T357" s="2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H358" s="3"/>
      <c r="I358" s="2"/>
      <c r="J358" s="3"/>
      <c r="K358" s="3"/>
      <c r="L358" s="2"/>
      <c r="M358" s="2"/>
      <c r="N358" s="2"/>
      <c r="O358" s="2"/>
      <c r="P358" s="2"/>
      <c r="Q358" s="2"/>
      <c r="R358" s="2"/>
      <c r="S358" s="3"/>
      <c r="T358" s="2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H359" s="3"/>
      <c r="I359" s="2"/>
      <c r="J359" s="3"/>
      <c r="K359" s="3"/>
      <c r="L359" s="2"/>
      <c r="M359" s="2"/>
      <c r="N359" s="2"/>
      <c r="O359" s="2"/>
      <c r="P359" s="2"/>
      <c r="Q359" s="2"/>
      <c r="R359" s="2"/>
      <c r="S359" s="3"/>
      <c r="T359" s="2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H360" s="3"/>
      <c r="I360" s="2"/>
      <c r="J360" s="3"/>
      <c r="K360" s="3"/>
      <c r="L360" s="2"/>
      <c r="M360" s="2"/>
      <c r="N360" s="2"/>
      <c r="O360" s="2"/>
      <c r="P360" s="2"/>
      <c r="Q360" s="2"/>
      <c r="R360" s="2"/>
      <c r="S360" s="3"/>
      <c r="T360" s="2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3"/>
      <c r="I361" s="2"/>
      <c r="J361" s="3"/>
      <c r="K361" s="3"/>
      <c r="L361" s="2"/>
      <c r="M361" s="2"/>
      <c r="N361" s="2"/>
      <c r="O361" s="2"/>
      <c r="P361" s="2"/>
      <c r="Q361" s="2"/>
      <c r="R361" s="2"/>
      <c r="S361" s="3"/>
      <c r="T361" s="2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3"/>
      <c r="I362" s="2"/>
      <c r="J362" s="3"/>
      <c r="K362" s="3"/>
      <c r="L362" s="2"/>
      <c r="M362" s="2"/>
      <c r="N362" s="2"/>
      <c r="O362" s="2"/>
      <c r="P362" s="2"/>
      <c r="Q362" s="2"/>
      <c r="R362" s="2"/>
      <c r="S362" s="3"/>
      <c r="T362" s="2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3"/>
      <c r="I363" s="2"/>
      <c r="J363" s="3"/>
      <c r="K363" s="3"/>
      <c r="L363" s="2"/>
      <c r="M363" s="2"/>
      <c r="N363" s="2"/>
      <c r="O363" s="2"/>
      <c r="P363" s="2"/>
      <c r="Q363" s="2"/>
      <c r="R363" s="2"/>
      <c r="S363" s="3"/>
      <c r="T363" s="2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3"/>
      <c r="I364" s="2"/>
      <c r="J364" s="3"/>
      <c r="K364" s="3"/>
      <c r="L364" s="2"/>
      <c r="M364" s="2"/>
      <c r="N364" s="2"/>
      <c r="O364" s="2"/>
      <c r="P364" s="2"/>
      <c r="Q364" s="2"/>
      <c r="R364" s="2"/>
      <c r="S364" s="3"/>
      <c r="T364" s="2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3"/>
      <c r="I365" s="2"/>
      <c r="J365" s="3"/>
      <c r="K365" s="3"/>
      <c r="L365" s="2"/>
      <c r="M365" s="2"/>
      <c r="N365" s="2"/>
      <c r="O365" s="2"/>
      <c r="P365" s="2"/>
      <c r="Q365" s="2"/>
      <c r="R365" s="2"/>
      <c r="S365" s="3"/>
      <c r="T365" s="2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3"/>
      <c r="I366" s="2"/>
      <c r="J366" s="3"/>
      <c r="K366" s="3"/>
      <c r="L366" s="2"/>
      <c r="M366" s="2"/>
      <c r="N366" s="2"/>
      <c r="O366" s="2"/>
      <c r="P366" s="2"/>
      <c r="Q366" s="2"/>
      <c r="R366" s="2"/>
      <c r="S366" s="3"/>
      <c r="T366" s="2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3"/>
      <c r="I367" s="2"/>
      <c r="J367" s="3"/>
      <c r="K367" s="3"/>
      <c r="L367" s="2"/>
      <c r="M367" s="2"/>
      <c r="N367" s="2"/>
      <c r="O367" s="2"/>
      <c r="P367" s="2"/>
      <c r="Q367" s="2"/>
      <c r="R367" s="2"/>
      <c r="S367" s="3"/>
      <c r="T367" s="2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3"/>
      <c r="I368" s="2"/>
      <c r="J368" s="3"/>
      <c r="K368" s="3"/>
      <c r="L368" s="2"/>
      <c r="M368" s="2"/>
      <c r="N368" s="2"/>
      <c r="O368" s="2"/>
      <c r="P368" s="2"/>
      <c r="Q368" s="2"/>
      <c r="R368" s="2"/>
      <c r="S368" s="3"/>
      <c r="T368" s="2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3"/>
      <c r="I369" s="2"/>
      <c r="J369" s="3"/>
      <c r="K369" s="3"/>
      <c r="L369" s="2"/>
      <c r="M369" s="2"/>
      <c r="N369" s="2"/>
      <c r="O369" s="2"/>
      <c r="P369" s="2"/>
      <c r="Q369" s="2"/>
      <c r="R369" s="2"/>
      <c r="S369" s="3"/>
      <c r="T369" s="2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3"/>
      <c r="I370" s="2"/>
      <c r="J370" s="3"/>
      <c r="K370" s="3"/>
      <c r="L370" s="2"/>
      <c r="M370" s="2"/>
      <c r="N370" s="2"/>
      <c r="O370" s="2"/>
      <c r="P370" s="2"/>
      <c r="Q370" s="2"/>
      <c r="R370" s="2"/>
      <c r="S370" s="3"/>
      <c r="T370" s="2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3"/>
      <c r="I371" s="2"/>
      <c r="J371" s="3"/>
      <c r="K371" s="3"/>
      <c r="L371" s="2"/>
      <c r="M371" s="2"/>
      <c r="N371" s="2"/>
      <c r="O371" s="2"/>
      <c r="P371" s="2"/>
      <c r="Q371" s="2"/>
      <c r="R371" s="2"/>
      <c r="S371" s="3"/>
      <c r="T371" s="2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3"/>
      <c r="I372" s="2"/>
      <c r="J372" s="3"/>
      <c r="K372" s="3"/>
      <c r="L372" s="2"/>
      <c r="M372" s="2"/>
      <c r="N372" s="2"/>
      <c r="O372" s="2"/>
      <c r="P372" s="2"/>
      <c r="Q372" s="2"/>
      <c r="R372" s="2"/>
      <c r="S372" s="3"/>
      <c r="T372" s="2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3"/>
      <c r="I373" s="2"/>
      <c r="J373" s="3"/>
      <c r="K373" s="3"/>
      <c r="L373" s="2"/>
      <c r="M373" s="2"/>
      <c r="N373" s="2"/>
      <c r="O373" s="2"/>
      <c r="P373" s="2"/>
      <c r="Q373" s="2"/>
      <c r="R373" s="2"/>
      <c r="S373" s="3"/>
      <c r="T373" s="2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3"/>
      <c r="I374" s="2"/>
      <c r="J374" s="3"/>
      <c r="K374" s="3"/>
      <c r="L374" s="2"/>
      <c r="M374" s="2"/>
      <c r="N374" s="2"/>
      <c r="O374" s="2"/>
      <c r="P374" s="2"/>
      <c r="Q374" s="2"/>
      <c r="R374" s="2"/>
      <c r="S374" s="3"/>
      <c r="T374" s="2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3"/>
      <c r="I375" s="2"/>
      <c r="J375" s="3"/>
      <c r="K375" s="3"/>
      <c r="L375" s="2"/>
      <c r="M375" s="2"/>
      <c r="N375" s="2"/>
      <c r="O375" s="2"/>
      <c r="P375" s="2"/>
      <c r="Q375" s="2"/>
      <c r="R375" s="2"/>
      <c r="S375" s="3"/>
      <c r="T375" s="2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3"/>
      <c r="I376" s="2"/>
      <c r="J376" s="3"/>
      <c r="K376" s="3"/>
      <c r="L376" s="2"/>
      <c r="M376" s="2"/>
      <c r="N376" s="2"/>
      <c r="O376" s="2"/>
      <c r="P376" s="2"/>
      <c r="Q376" s="2"/>
      <c r="R376" s="2"/>
      <c r="S376" s="3"/>
      <c r="T376" s="2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3"/>
      <c r="I377" s="2"/>
      <c r="J377" s="3"/>
      <c r="K377" s="3"/>
      <c r="L377" s="2"/>
      <c r="M377" s="2"/>
      <c r="N377" s="2"/>
      <c r="O377" s="2"/>
      <c r="P377" s="2"/>
      <c r="Q377" s="2"/>
      <c r="R377" s="2"/>
      <c r="S377" s="3"/>
      <c r="T377" s="2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3"/>
      <c r="I378" s="2"/>
      <c r="J378" s="3"/>
      <c r="K378" s="3"/>
      <c r="L378" s="2"/>
      <c r="M378" s="2"/>
      <c r="N378" s="2"/>
      <c r="O378" s="2"/>
      <c r="P378" s="2"/>
      <c r="Q378" s="2"/>
      <c r="R378" s="2"/>
      <c r="S378" s="3"/>
      <c r="T378" s="2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3"/>
      <c r="I379" s="2"/>
      <c r="J379" s="3"/>
      <c r="K379" s="3"/>
      <c r="L379" s="2"/>
      <c r="M379" s="2"/>
      <c r="N379" s="2"/>
      <c r="O379" s="2"/>
      <c r="P379" s="2"/>
      <c r="Q379" s="2"/>
      <c r="R379" s="2"/>
      <c r="S379" s="3"/>
      <c r="T379" s="2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3"/>
      <c r="I380" s="2"/>
      <c r="J380" s="3"/>
      <c r="K380" s="3"/>
      <c r="L380" s="2"/>
      <c r="M380" s="2"/>
      <c r="N380" s="2"/>
      <c r="O380" s="2"/>
      <c r="P380" s="2"/>
      <c r="Q380" s="2"/>
      <c r="R380" s="2"/>
      <c r="S380" s="3"/>
      <c r="T380" s="2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3"/>
      <c r="I381" s="2"/>
      <c r="J381" s="3"/>
      <c r="K381" s="3"/>
      <c r="L381" s="2"/>
      <c r="M381" s="2"/>
      <c r="N381" s="2"/>
      <c r="O381" s="2"/>
      <c r="P381" s="2"/>
      <c r="Q381" s="2"/>
      <c r="R381" s="2"/>
      <c r="S381" s="3"/>
      <c r="T381" s="2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3"/>
      <c r="I382" s="2"/>
      <c r="J382" s="3"/>
      <c r="K382" s="3"/>
      <c r="L382" s="2"/>
      <c r="M382" s="2"/>
      <c r="N382" s="2"/>
      <c r="O382" s="2"/>
      <c r="P382" s="2"/>
      <c r="Q382" s="2"/>
      <c r="R382" s="2"/>
      <c r="S382" s="3"/>
      <c r="T382" s="2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3"/>
      <c r="I383" s="2"/>
      <c r="J383" s="3"/>
      <c r="K383" s="3"/>
      <c r="L383" s="2"/>
      <c r="M383" s="2"/>
      <c r="N383" s="2"/>
      <c r="O383" s="2"/>
      <c r="P383" s="2"/>
      <c r="Q383" s="2"/>
      <c r="R383" s="2"/>
      <c r="S383" s="3"/>
      <c r="T383" s="2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3"/>
      <c r="I384" s="2"/>
      <c r="J384" s="3"/>
      <c r="K384" s="3"/>
      <c r="L384" s="2"/>
      <c r="M384" s="2"/>
      <c r="N384" s="2"/>
      <c r="O384" s="2"/>
      <c r="P384" s="2"/>
      <c r="Q384" s="2"/>
      <c r="R384" s="2"/>
      <c r="S384" s="3"/>
      <c r="T384" s="2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3"/>
      <c r="I385" s="2"/>
      <c r="J385" s="3"/>
      <c r="K385" s="3"/>
      <c r="L385" s="2"/>
      <c r="M385" s="2"/>
      <c r="N385" s="2"/>
      <c r="O385" s="2"/>
      <c r="P385" s="2"/>
      <c r="Q385" s="2"/>
      <c r="R385" s="2"/>
      <c r="S385" s="3"/>
      <c r="T385" s="2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3"/>
      <c r="I386" s="2"/>
      <c r="J386" s="3"/>
      <c r="K386" s="3"/>
      <c r="L386" s="2"/>
      <c r="M386" s="2"/>
      <c r="N386" s="2"/>
      <c r="O386" s="2"/>
      <c r="P386" s="2"/>
      <c r="Q386" s="2"/>
      <c r="R386" s="2"/>
      <c r="S386" s="3"/>
      <c r="T386" s="2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3"/>
      <c r="I387" s="2"/>
      <c r="J387" s="3"/>
      <c r="K387" s="3"/>
      <c r="L387" s="2"/>
      <c r="M387" s="2"/>
      <c r="N387" s="2"/>
      <c r="O387" s="2"/>
      <c r="P387" s="2"/>
      <c r="Q387" s="2"/>
      <c r="R387" s="2"/>
      <c r="S387" s="3"/>
      <c r="T387" s="2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3"/>
      <c r="I388" s="2"/>
      <c r="J388" s="3"/>
      <c r="K388" s="3"/>
      <c r="L388" s="2"/>
      <c r="M388" s="2"/>
      <c r="N388" s="2"/>
      <c r="O388" s="2"/>
      <c r="P388" s="2"/>
      <c r="Q388" s="2"/>
      <c r="R388" s="2"/>
      <c r="S388" s="3"/>
      <c r="T388" s="2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3"/>
      <c r="I389" s="2"/>
      <c r="J389" s="3"/>
      <c r="K389" s="3"/>
      <c r="L389" s="2"/>
      <c r="M389" s="2"/>
      <c r="N389" s="2"/>
      <c r="O389" s="2"/>
      <c r="P389" s="2"/>
      <c r="Q389" s="2"/>
      <c r="R389" s="2"/>
      <c r="S389" s="3"/>
      <c r="T389" s="2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3"/>
      <c r="I390" s="2"/>
      <c r="J390" s="3"/>
      <c r="K390" s="3"/>
      <c r="L390" s="2"/>
      <c r="M390" s="2"/>
      <c r="N390" s="2"/>
      <c r="O390" s="2"/>
      <c r="P390" s="2"/>
      <c r="Q390" s="2"/>
      <c r="R390" s="2"/>
      <c r="S390" s="3"/>
      <c r="T390" s="2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3"/>
      <c r="I391" s="2"/>
      <c r="J391" s="3"/>
      <c r="K391" s="3"/>
      <c r="L391" s="2"/>
      <c r="M391" s="2"/>
      <c r="N391" s="2"/>
      <c r="O391" s="2"/>
      <c r="P391" s="2"/>
      <c r="Q391" s="2"/>
      <c r="R391" s="2"/>
      <c r="S391" s="3"/>
      <c r="T391" s="2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3"/>
      <c r="I392" s="2"/>
      <c r="J392" s="3"/>
      <c r="K392" s="3"/>
      <c r="L392" s="2"/>
      <c r="M392" s="2"/>
      <c r="N392" s="2"/>
      <c r="O392" s="2"/>
      <c r="P392" s="2"/>
      <c r="Q392" s="2"/>
      <c r="R392" s="2"/>
      <c r="S392" s="3"/>
      <c r="T392" s="2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3"/>
      <c r="I393" s="2"/>
      <c r="J393" s="3"/>
      <c r="K393" s="3"/>
      <c r="L393" s="2"/>
      <c r="M393" s="2"/>
      <c r="N393" s="2"/>
      <c r="O393" s="2"/>
      <c r="P393" s="2"/>
      <c r="Q393" s="2"/>
      <c r="R393" s="2"/>
      <c r="S393" s="3"/>
      <c r="T393" s="2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3"/>
      <c r="I394" s="2"/>
      <c r="J394" s="3"/>
      <c r="K394" s="3"/>
      <c r="L394" s="2"/>
      <c r="M394" s="2"/>
      <c r="N394" s="2"/>
      <c r="O394" s="2"/>
      <c r="P394" s="2"/>
      <c r="Q394" s="2"/>
      <c r="R394" s="2"/>
      <c r="S394" s="3"/>
      <c r="T394" s="2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3"/>
      <c r="I395" s="2"/>
      <c r="J395" s="3"/>
      <c r="K395" s="3"/>
      <c r="L395" s="2"/>
      <c r="M395" s="2"/>
      <c r="N395" s="2"/>
      <c r="O395" s="2"/>
      <c r="P395" s="2"/>
      <c r="Q395" s="2"/>
      <c r="R395" s="2"/>
      <c r="S395" s="3"/>
      <c r="T395" s="2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3"/>
      <c r="I396" s="2"/>
      <c r="J396" s="3"/>
      <c r="K396" s="3"/>
      <c r="L396" s="2"/>
      <c r="M396" s="2"/>
      <c r="N396" s="2"/>
      <c r="O396" s="2"/>
      <c r="P396" s="2"/>
      <c r="Q396" s="2"/>
      <c r="R396" s="2"/>
      <c r="S396" s="3"/>
      <c r="T396" s="2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3"/>
      <c r="I397" s="2"/>
      <c r="J397" s="3"/>
      <c r="K397" s="3"/>
      <c r="L397" s="2"/>
      <c r="M397" s="2"/>
      <c r="N397" s="2"/>
      <c r="O397" s="2"/>
      <c r="P397" s="2"/>
      <c r="Q397" s="2"/>
      <c r="R397" s="2"/>
      <c r="S397" s="3"/>
      <c r="T397" s="2"/>
      <c r="U397" s="3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3"/>
      <c r="I398" s="2"/>
      <c r="J398" s="3"/>
      <c r="K398" s="3"/>
      <c r="L398" s="2"/>
      <c r="M398" s="2"/>
      <c r="N398" s="2"/>
      <c r="O398" s="2"/>
      <c r="P398" s="2"/>
      <c r="Q398" s="2"/>
      <c r="R398" s="2"/>
      <c r="S398" s="3"/>
      <c r="T398" s="2"/>
      <c r="U398" s="3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3"/>
      <c r="I399" s="2"/>
      <c r="J399" s="3"/>
      <c r="K399" s="3"/>
      <c r="L399" s="2"/>
      <c r="M399" s="2"/>
      <c r="N399" s="2"/>
      <c r="O399" s="2"/>
      <c r="P399" s="2"/>
      <c r="Q399" s="2"/>
      <c r="R399" s="2"/>
      <c r="S399" s="3"/>
      <c r="T399" s="2"/>
      <c r="U399" s="3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3"/>
      <c r="I400" s="2"/>
      <c r="J400" s="3"/>
      <c r="K400" s="3"/>
      <c r="L400" s="2"/>
      <c r="M400" s="2"/>
      <c r="N400" s="2"/>
      <c r="O400" s="2"/>
      <c r="P400" s="2"/>
      <c r="Q400" s="2"/>
      <c r="R400" s="2"/>
      <c r="S400" s="3"/>
      <c r="T400" s="2"/>
      <c r="U400" s="3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3"/>
      <c r="I401" s="2"/>
      <c r="J401" s="3"/>
      <c r="K401" s="3"/>
      <c r="L401" s="2"/>
      <c r="M401" s="2"/>
      <c r="N401" s="2"/>
      <c r="O401" s="2"/>
      <c r="P401" s="2"/>
      <c r="Q401" s="2"/>
      <c r="R401" s="2"/>
      <c r="S401" s="3"/>
      <c r="T401" s="2"/>
      <c r="U401" s="3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3"/>
      <c r="I402" s="2"/>
      <c r="J402" s="3"/>
      <c r="K402" s="3"/>
      <c r="L402" s="2"/>
      <c r="M402" s="2"/>
      <c r="N402" s="2"/>
      <c r="O402" s="2"/>
      <c r="P402" s="2"/>
      <c r="Q402" s="2"/>
      <c r="R402" s="2"/>
      <c r="S402" s="3"/>
      <c r="T402" s="2"/>
      <c r="U402" s="3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3"/>
      <c r="I403" s="2"/>
      <c r="J403" s="3"/>
      <c r="K403" s="3"/>
      <c r="L403" s="2"/>
      <c r="M403" s="2"/>
      <c r="N403" s="2"/>
      <c r="O403" s="2"/>
      <c r="P403" s="2"/>
      <c r="Q403" s="2"/>
      <c r="R403" s="2"/>
      <c r="S403" s="3"/>
      <c r="T403" s="2"/>
      <c r="U403" s="3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3"/>
      <c r="I404" s="2"/>
      <c r="J404" s="3"/>
      <c r="K404" s="3"/>
      <c r="L404" s="2"/>
      <c r="M404" s="2"/>
      <c r="N404" s="2"/>
      <c r="O404" s="2"/>
      <c r="P404" s="2"/>
      <c r="Q404" s="2"/>
      <c r="R404" s="2"/>
      <c r="S404" s="3"/>
      <c r="T404" s="2"/>
      <c r="U404" s="3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3"/>
      <c r="I405" s="2"/>
      <c r="J405" s="3"/>
      <c r="K405" s="3"/>
      <c r="L405" s="2"/>
      <c r="M405" s="2"/>
      <c r="N405" s="2"/>
      <c r="O405" s="2"/>
      <c r="P405" s="2"/>
      <c r="Q405" s="2"/>
      <c r="R405" s="2"/>
      <c r="S405" s="3"/>
      <c r="T405" s="2"/>
      <c r="U405" s="3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3"/>
      <c r="I406" s="2"/>
      <c r="J406" s="3"/>
      <c r="K406" s="3"/>
      <c r="L406" s="2"/>
      <c r="M406" s="2"/>
      <c r="N406" s="2"/>
      <c r="O406" s="2"/>
      <c r="P406" s="2"/>
      <c r="Q406" s="2"/>
      <c r="R406" s="2"/>
      <c r="S406" s="3"/>
      <c r="T406" s="2"/>
      <c r="U406" s="3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3"/>
      <c r="I407" s="2"/>
      <c r="J407" s="3"/>
      <c r="K407" s="3"/>
      <c r="L407" s="2"/>
      <c r="M407" s="2"/>
      <c r="N407" s="2"/>
      <c r="O407" s="2"/>
      <c r="P407" s="2"/>
      <c r="Q407" s="2"/>
      <c r="R407" s="2"/>
      <c r="S407" s="3"/>
      <c r="T407" s="2"/>
      <c r="U407" s="3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3"/>
      <c r="I408" s="2"/>
      <c r="J408" s="3"/>
      <c r="K408" s="3"/>
      <c r="L408" s="2"/>
      <c r="M408" s="2"/>
      <c r="N408" s="2"/>
      <c r="O408" s="2"/>
      <c r="P408" s="2"/>
      <c r="Q408" s="2"/>
      <c r="R408" s="2"/>
      <c r="S408" s="3"/>
      <c r="T408" s="2"/>
      <c r="U408" s="3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3"/>
      <c r="I409" s="2"/>
      <c r="J409" s="3"/>
      <c r="K409" s="3"/>
      <c r="L409" s="2"/>
      <c r="M409" s="2"/>
      <c r="N409" s="2"/>
      <c r="O409" s="2"/>
      <c r="P409" s="2"/>
      <c r="Q409" s="2"/>
      <c r="R409" s="2"/>
      <c r="S409" s="3"/>
      <c r="T409" s="2"/>
      <c r="U409" s="3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3"/>
      <c r="I410" s="2"/>
      <c r="J410" s="3"/>
      <c r="K410" s="3"/>
      <c r="L410" s="2"/>
      <c r="M410" s="2"/>
      <c r="N410" s="2"/>
      <c r="O410" s="2"/>
      <c r="P410" s="2"/>
      <c r="Q410" s="2"/>
      <c r="R410" s="2"/>
      <c r="S410" s="3"/>
      <c r="T410" s="2"/>
      <c r="U410" s="3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3"/>
      <c r="I411" s="2"/>
      <c r="J411" s="3"/>
      <c r="K411" s="3"/>
      <c r="L411" s="2"/>
      <c r="M411" s="2"/>
      <c r="N411" s="2"/>
      <c r="O411" s="2"/>
      <c r="P411" s="2"/>
      <c r="Q411" s="2"/>
      <c r="R411" s="2"/>
      <c r="S411" s="3"/>
      <c r="T411" s="2"/>
      <c r="U411" s="3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3"/>
      <c r="I412" s="2"/>
      <c r="J412" s="3"/>
      <c r="K412" s="3"/>
      <c r="L412" s="2"/>
      <c r="M412" s="2"/>
      <c r="N412" s="2"/>
      <c r="O412" s="2"/>
      <c r="P412" s="2"/>
      <c r="Q412" s="2"/>
      <c r="R412" s="2"/>
      <c r="S412" s="3"/>
      <c r="T412" s="2"/>
      <c r="U412" s="3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3"/>
      <c r="I413" s="2"/>
      <c r="J413" s="3"/>
      <c r="K413" s="3"/>
      <c r="L413" s="2"/>
      <c r="M413" s="2"/>
      <c r="N413" s="2"/>
      <c r="O413" s="2"/>
      <c r="P413" s="2"/>
      <c r="Q413" s="2"/>
      <c r="R413" s="2"/>
      <c r="S413" s="3"/>
      <c r="T413" s="2"/>
      <c r="U413" s="3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3"/>
      <c r="I414" s="2"/>
      <c r="J414" s="3"/>
      <c r="K414" s="3"/>
      <c r="L414" s="2"/>
      <c r="M414" s="2"/>
      <c r="N414" s="2"/>
      <c r="O414" s="2"/>
      <c r="P414" s="2"/>
      <c r="Q414" s="2"/>
      <c r="R414" s="2"/>
      <c r="S414" s="3"/>
      <c r="T414" s="2"/>
      <c r="U414" s="3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3"/>
      <c r="I415" s="2"/>
      <c r="J415" s="3"/>
      <c r="K415" s="3"/>
      <c r="L415" s="2"/>
      <c r="M415" s="2"/>
      <c r="N415" s="2"/>
      <c r="O415" s="2"/>
      <c r="P415" s="2"/>
      <c r="Q415" s="2"/>
      <c r="R415" s="2"/>
      <c r="S415" s="3"/>
      <c r="T415" s="2"/>
      <c r="U415" s="3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3"/>
      <c r="I416" s="2"/>
      <c r="J416" s="3"/>
      <c r="K416" s="3"/>
      <c r="L416" s="2"/>
      <c r="M416" s="2"/>
      <c r="N416" s="2"/>
      <c r="O416" s="2"/>
      <c r="P416" s="2"/>
      <c r="Q416" s="2"/>
      <c r="R416" s="2"/>
      <c r="S416" s="3"/>
      <c r="T416" s="2"/>
      <c r="U416" s="3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3"/>
      <c r="I417" s="2"/>
      <c r="J417" s="3"/>
      <c r="K417" s="3"/>
      <c r="L417" s="2"/>
      <c r="M417" s="2"/>
      <c r="N417" s="2"/>
      <c r="O417" s="2"/>
      <c r="P417" s="2"/>
      <c r="Q417" s="2"/>
      <c r="R417" s="2"/>
      <c r="S417" s="3"/>
      <c r="T417" s="2"/>
      <c r="U417" s="3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3"/>
      <c r="I418" s="2"/>
      <c r="J418" s="3"/>
      <c r="K418" s="3"/>
      <c r="L418" s="2"/>
      <c r="M418" s="2"/>
      <c r="N418" s="2"/>
      <c r="O418" s="2"/>
      <c r="P418" s="2"/>
      <c r="Q418" s="2"/>
      <c r="R418" s="2"/>
      <c r="S418" s="3"/>
      <c r="T418" s="2"/>
      <c r="U418" s="3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3"/>
      <c r="I419" s="2"/>
      <c r="J419" s="3"/>
      <c r="K419" s="3"/>
      <c r="L419" s="2"/>
      <c r="M419" s="2"/>
      <c r="N419" s="2"/>
      <c r="O419" s="2"/>
      <c r="P419" s="2"/>
      <c r="Q419" s="2"/>
      <c r="R419" s="2"/>
      <c r="S419" s="3"/>
      <c r="T419" s="2"/>
      <c r="U419" s="3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3"/>
      <c r="I420" s="2"/>
      <c r="J420" s="3"/>
      <c r="K420" s="3"/>
      <c r="L420" s="2"/>
      <c r="M420" s="2"/>
      <c r="N420" s="2"/>
      <c r="O420" s="2"/>
      <c r="P420" s="2"/>
      <c r="Q420" s="2"/>
      <c r="R420" s="2"/>
      <c r="S420" s="3"/>
      <c r="T420" s="2"/>
      <c r="U420" s="3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3"/>
      <c r="I421" s="2"/>
      <c r="J421" s="3"/>
      <c r="K421" s="3"/>
      <c r="L421" s="2"/>
      <c r="M421" s="2"/>
      <c r="N421" s="2"/>
      <c r="O421" s="2"/>
      <c r="P421" s="2"/>
      <c r="Q421" s="2"/>
      <c r="R421" s="2"/>
      <c r="S421" s="3"/>
      <c r="T421" s="2"/>
      <c r="U421" s="3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3"/>
      <c r="I422" s="2"/>
      <c r="J422" s="3"/>
      <c r="K422" s="3"/>
      <c r="L422" s="2"/>
      <c r="M422" s="2"/>
      <c r="N422" s="2"/>
      <c r="O422" s="2"/>
      <c r="P422" s="2"/>
      <c r="Q422" s="2"/>
      <c r="R422" s="2"/>
      <c r="S422" s="3"/>
      <c r="T422" s="2"/>
      <c r="U422" s="3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3"/>
      <c r="I423" s="2"/>
      <c r="J423" s="3"/>
      <c r="K423" s="3"/>
      <c r="L423" s="2"/>
      <c r="M423" s="2"/>
      <c r="N423" s="2"/>
      <c r="O423" s="2"/>
      <c r="P423" s="2"/>
      <c r="Q423" s="2"/>
      <c r="R423" s="2"/>
      <c r="S423" s="3"/>
      <c r="T423" s="2"/>
      <c r="U423" s="3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3"/>
      <c r="I424" s="2"/>
      <c r="J424" s="3"/>
      <c r="K424" s="3"/>
      <c r="L424" s="2"/>
      <c r="M424" s="2"/>
      <c r="N424" s="2"/>
      <c r="O424" s="2"/>
      <c r="P424" s="2"/>
      <c r="Q424" s="2"/>
      <c r="R424" s="2"/>
      <c r="S424" s="3"/>
      <c r="T424" s="2"/>
      <c r="U424" s="3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3"/>
      <c r="I425" s="2"/>
      <c r="J425" s="3"/>
      <c r="K425" s="3"/>
      <c r="L425" s="2"/>
      <c r="M425" s="2"/>
      <c r="N425" s="2"/>
      <c r="O425" s="2"/>
      <c r="P425" s="2"/>
      <c r="Q425" s="2"/>
      <c r="R425" s="2"/>
      <c r="S425" s="3"/>
      <c r="T425" s="2"/>
      <c r="U425" s="3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3"/>
      <c r="I426" s="2"/>
      <c r="J426" s="3"/>
      <c r="K426" s="3"/>
      <c r="L426" s="2"/>
      <c r="M426" s="2"/>
      <c r="N426" s="2"/>
      <c r="O426" s="2"/>
      <c r="P426" s="2"/>
      <c r="Q426" s="2"/>
      <c r="R426" s="2"/>
      <c r="S426" s="3"/>
      <c r="T426" s="2"/>
      <c r="U426" s="3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3"/>
      <c r="I427" s="2"/>
      <c r="J427" s="3"/>
      <c r="K427" s="3"/>
      <c r="L427" s="2"/>
      <c r="M427" s="2"/>
      <c r="N427" s="2"/>
      <c r="O427" s="2"/>
      <c r="P427" s="2"/>
      <c r="Q427" s="2"/>
      <c r="R427" s="2"/>
      <c r="S427" s="3"/>
      <c r="T427" s="2"/>
      <c r="U427" s="3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3"/>
      <c r="I428" s="2"/>
      <c r="J428" s="3"/>
      <c r="K428" s="3"/>
      <c r="L428" s="2"/>
      <c r="M428" s="2"/>
      <c r="N428" s="2"/>
      <c r="O428" s="2"/>
      <c r="P428" s="2"/>
      <c r="Q428" s="2"/>
      <c r="R428" s="2"/>
      <c r="S428" s="3"/>
      <c r="T428" s="2"/>
      <c r="U428" s="3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3"/>
      <c r="I429" s="2"/>
      <c r="J429" s="3"/>
      <c r="K429" s="3"/>
      <c r="L429" s="2"/>
      <c r="M429" s="2"/>
      <c r="N429" s="2"/>
      <c r="O429" s="2"/>
      <c r="P429" s="2"/>
      <c r="Q429" s="2"/>
      <c r="R429" s="2"/>
      <c r="S429" s="3"/>
      <c r="T429" s="2"/>
      <c r="U429" s="3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3"/>
      <c r="I430" s="2"/>
      <c r="J430" s="3"/>
      <c r="K430" s="3"/>
      <c r="L430" s="2"/>
      <c r="M430" s="2"/>
      <c r="N430" s="2"/>
      <c r="O430" s="2"/>
      <c r="P430" s="2"/>
      <c r="Q430" s="2"/>
      <c r="R430" s="2"/>
      <c r="S430" s="3"/>
      <c r="T430" s="2"/>
      <c r="U430" s="3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3"/>
      <c r="I431" s="2"/>
      <c r="J431" s="3"/>
      <c r="K431" s="3"/>
      <c r="L431" s="2"/>
      <c r="M431" s="2"/>
      <c r="N431" s="2"/>
      <c r="O431" s="2"/>
      <c r="P431" s="2"/>
      <c r="Q431" s="2"/>
      <c r="R431" s="2"/>
      <c r="S431" s="3"/>
      <c r="T431" s="2"/>
      <c r="U431" s="3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3"/>
      <c r="I432" s="2"/>
      <c r="J432" s="3"/>
      <c r="K432" s="3"/>
      <c r="L432" s="2"/>
      <c r="M432" s="2"/>
      <c r="N432" s="2"/>
      <c r="O432" s="2"/>
      <c r="P432" s="2"/>
      <c r="Q432" s="2"/>
      <c r="R432" s="2"/>
      <c r="S432" s="3"/>
      <c r="T432" s="2"/>
      <c r="U432" s="3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3"/>
      <c r="I433" s="2"/>
      <c r="J433" s="3"/>
      <c r="K433" s="3"/>
      <c r="L433" s="2"/>
      <c r="M433" s="2"/>
      <c r="N433" s="2"/>
      <c r="O433" s="2"/>
      <c r="P433" s="2"/>
      <c r="Q433" s="2"/>
      <c r="R433" s="2"/>
      <c r="S433" s="3"/>
      <c r="T433" s="2"/>
      <c r="U433" s="3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3"/>
      <c r="I434" s="2"/>
      <c r="J434" s="3"/>
      <c r="K434" s="3"/>
      <c r="L434" s="2"/>
      <c r="M434" s="2"/>
      <c r="N434" s="2"/>
      <c r="O434" s="2"/>
      <c r="P434" s="2"/>
      <c r="Q434" s="2"/>
      <c r="R434" s="2"/>
      <c r="S434" s="3"/>
      <c r="T434" s="2"/>
      <c r="U434" s="3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3"/>
      <c r="I435" s="2"/>
      <c r="J435" s="3"/>
      <c r="K435" s="3"/>
      <c r="L435" s="2"/>
      <c r="M435" s="2"/>
      <c r="N435" s="2"/>
      <c r="O435" s="2"/>
      <c r="P435" s="2"/>
      <c r="Q435" s="2"/>
      <c r="R435" s="2"/>
      <c r="S435" s="3"/>
      <c r="T435" s="2"/>
      <c r="U435" s="3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3"/>
      <c r="I436" s="2"/>
      <c r="J436" s="3"/>
      <c r="K436" s="3"/>
      <c r="L436" s="2"/>
      <c r="M436" s="2"/>
      <c r="N436" s="2"/>
      <c r="O436" s="2"/>
      <c r="P436" s="2"/>
      <c r="Q436" s="2"/>
      <c r="R436" s="2"/>
      <c r="S436" s="3"/>
      <c r="T436" s="2"/>
      <c r="U436" s="3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3"/>
      <c r="I437" s="2"/>
      <c r="J437" s="3"/>
      <c r="K437" s="3"/>
      <c r="L437" s="2"/>
      <c r="M437" s="2"/>
      <c r="N437" s="2"/>
      <c r="O437" s="2"/>
      <c r="P437" s="2"/>
      <c r="Q437" s="2"/>
      <c r="R437" s="2"/>
      <c r="S437" s="3"/>
      <c r="T437" s="2"/>
      <c r="U437" s="3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3"/>
      <c r="I438" s="2"/>
      <c r="J438" s="3"/>
      <c r="K438" s="3"/>
      <c r="L438" s="2"/>
      <c r="M438" s="2"/>
      <c r="N438" s="2"/>
      <c r="O438" s="2"/>
      <c r="P438" s="2"/>
      <c r="Q438" s="2"/>
      <c r="R438" s="2"/>
      <c r="S438" s="3"/>
      <c r="T438" s="2"/>
      <c r="U438" s="3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3"/>
      <c r="I439" s="2"/>
      <c r="J439" s="3"/>
      <c r="K439" s="3"/>
      <c r="L439" s="2"/>
      <c r="M439" s="2"/>
      <c r="N439" s="2"/>
      <c r="O439" s="2"/>
      <c r="P439" s="2"/>
      <c r="Q439" s="2"/>
      <c r="R439" s="2"/>
      <c r="S439" s="3"/>
      <c r="T439" s="2"/>
      <c r="U439" s="3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3"/>
      <c r="I440" s="2"/>
      <c r="J440" s="3"/>
      <c r="K440" s="3"/>
      <c r="L440" s="2"/>
      <c r="M440" s="2"/>
      <c r="N440" s="2"/>
      <c r="O440" s="2"/>
      <c r="P440" s="2"/>
      <c r="Q440" s="2"/>
      <c r="R440" s="2"/>
      <c r="S440" s="3"/>
      <c r="T440" s="2"/>
      <c r="U440" s="3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3"/>
      <c r="I441" s="2"/>
      <c r="J441" s="3"/>
      <c r="K441" s="3"/>
      <c r="L441" s="2"/>
      <c r="M441" s="2"/>
      <c r="N441" s="2"/>
      <c r="O441" s="2"/>
      <c r="P441" s="2"/>
      <c r="Q441" s="2"/>
      <c r="R441" s="2"/>
      <c r="S441" s="3"/>
      <c r="T441" s="2"/>
      <c r="U441" s="3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3"/>
      <c r="I442" s="2"/>
      <c r="J442" s="3"/>
      <c r="K442" s="3"/>
      <c r="L442" s="2"/>
      <c r="M442" s="2"/>
      <c r="N442" s="2"/>
      <c r="O442" s="2"/>
      <c r="P442" s="2"/>
      <c r="Q442" s="2"/>
      <c r="R442" s="2"/>
      <c r="S442" s="3"/>
      <c r="T442" s="2"/>
      <c r="U442" s="3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3"/>
      <c r="I443" s="2"/>
      <c r="J443" s="3"/>
      <c r="K443" s="3"/>
      <c r="L443" s="2"/>
      <c r="M443" s="2"/>
      <c r="N443" s="2"/>
      <c r="O443" s="2"/>
      <c r="P443" s="2"/>
      <c r="Q443" s="2"/>
      <c r="R443" s="2"/>
      <c r="S443" s="3"/>
      <c r="T443" s="2"/>
      <c r="U443" s="3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3"/>
      <c r="I444" s="2"/>
      <c r="J444" s="3"/>
      <c r="K444" s="3"/>
      <c r="L444" s="2"/>
      <c r="M444" s="2"/>
      <c r="N444" s="2"/>
      <c r="O444" s="2"/>
      <c r="P444" s="2"/>
      <c r="Q444" s="2"/>
      <c r="R444" s="2"/>
      <c r="S444" s="3"/>
      <c r="T444" s="2"/>
      <c r="U444" s="3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3"/>
      <c r="I445" s="2"/>
      <c r="J445" s="3"/>
      <c r="K445" s="3"/>
      <c r="L445" s="2"/>
      <c r="M445" s="2"/>
      <c r="N445" s="2"/>
      <c r="O445" s="2"/>
      <c r="P445" s="2"/>
      <c r="Q445" s="2"/>
      <c r="R445" s="2"/>
      <c r="S445" s="3"/>
      <c r="T445" s="2"/>
      <c r="U445" s="3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3"/>
      <c r="I446" s="2"/>
      <c r="J446" s="3"/>
      <c r="K446" s="3"/>
      <c r="L446" s="2"/>
      <c r="M446" s="2"/>
      <c r="N446" s="2"/>
      <c r="O446" s="2"/>
      <c r="P446" s="2"/>
      <c r="Q446" s="2"/>
      <c r="R446" s="2"/>
      <c r="S446" s="3"/>
      <c r="T446" s="2"/>
      <c r="U446" s="3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3"/>
      <c r="I447" s="2"/>
      <c r="J447" s="3"/>
      <c r="K447" s="3"/>
      <c r="L447" s="2"/>
      <c r="M447" s="2"/>
      <c r="N447" s="2"/>
      <c r="O447" s="2"/>
      <c r="P447" s="2"/>
      <c r="Q447" s="2"/>
      <c r="R447" s="2"/>
      <c r="S447" s="3"/>
      <c r="T447" s="2"/>
      <c r="U447" s="3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3"/>
      <c r="I448" s="2"/>
      <c r="J448" s="3"/>
      <c r="K448" s="3"/>
      <c r="L448" s="2"/>
      <c r="M448" s="2"/>
      <c r="N448" s="2"/>
      <c r="O448" s="2"/>
      <c r="P448" s="2"/>
      <c r="Q448" s="2"/>
      <c r="R448" s="2"/>
      <c r="S448" s="3"/>
      <c r="T448" s="2"/>
      <c r="U448" s="3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3"/>
      <c r="I449" s="2"/>
      <c r="J449" s="3"/>
      <c r="K449" s="3"/>
      <c r="L449" s="2"/>
      <c r="M449" s="2"/>
      <c r="N449" s="2"/>
      <c r="O449" s="2"/>
      <c r="P449" s="2"/>
      <c r="Q449" s="2"/>
      <c r="R449" s="2"/>
      <c r="S449" s="3"/>
      <c r="T449" s="2"/>
      <c r="U449" s="3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3"/>
      <c r="I450" s="2"/>
      <c r="J450" s="3"/>
      <c r="K450" s="3"/>
      <c r="L450" s="2"/>
      <c r="M450" s="2"/>
      <c r="N450" s="2"/>
      <c r="O450" s="2"/>
      <c r="P450" s="2"/>
      <c r="Q450" s="2"/>
      <c r="R450" s="2"/>
      <c r="S450" s="3"/>
      <c r="T450" s="2"/>
      <c r="U450" s="3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3"/>
      <c r="I451" s="2"/>
      <c r="J451" s="3"/>
      <c r="K451" s="3"/>
      <c r="L451" s="2"/>
      <c r="M451" s="2"/>
      <c r="N451" s="2"/>
      <c r="O451" s="2"/>
      <c r="P451" s="2"/>
      <c r="Q451" s="2"/>
      <c r="R451" s="2"/>
      <c r="S451" s="3"/>
      <c r="T451" s="2"/>
      <c r="U451" s="3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3"/>
      <c r="I452" s="2"/>
      <c r="J452" s="3"/>
      <c r="K452" s="3"/>
      <c r="L452" s="2"/>
      <c r="M452" s="2"/>
      <c r="N452" s="2"/>
      <c r="O452" s="2"/>
      <c r="P452" s="2"/>
      <c r="Q452" s="2"/>
      <c r="R452" s="2"/>
      <c r="S452" s="3"/>
      <c r="T452" s="2"/>
      <c r="U452" s="3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3"/>
      <c r="I453" s="2"/>
      <c r="J453" s="3"/>
      <c r="K453" s="3"/>
      <c r="L453" s="2"/>
      <c r="M453" s="2"/>
      <c r="N453" s="2"/>
      <c r="O453" s="2"/>
      <c r="P453" s="2"/>
      <c r="Q453" s="2"/>
      <c r="R453" s="2"/>
      <c r="S453" s="3"/>
      <c r="T453" s="2"/>
      <c r="U453" s="3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3"/>
      <c r="I454" s="2"/>
      <c r="J454" s="3"/>
      <c r="K454" s="3"/>
      <c r="L454" s="2"/>
      <c r="M454" s="2"/>
      <c r="N454" s="2"/>
      <c r="O454" s="2"/>
      <c r="P454" s="2"/>
      <c r="Q454" s="2"/>
      <c r="R454" s="2"/>
      <c r="S454" s="3"/>
      <c r="T454" s="2"/>
      <c r="U454" s="3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3"/>
      <c r="I455" s="2"/>
      <c r="J455" s="3"/>
      <c r="K455" s="3"/>
      <c r="L455" s="2"/>
      <c r="M455" s="2"/>
      <c r="N455" s="2"/>
      <c r="O455" s="2"/>
      <c r="P455" s="2"/>
      <c r="Q455" s="2"/>
      <c r="R455" s="2"/>
      <c r="S455" s="3"/>
      <c r="T455" s="2"/>
      <c r="U455" s="3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3"/>
      <c r="I456" s="2"/>
      <c r="J456" s="3"/>
      <c r="K456" s="3"/>
      <c r="L456" s="2"/>
      <c r="M456" s="2"/>
      <c r="N456" s="2"/>
      <c r="O456" s="2"/>
      <c r="P456" s="2"/>
      <c r="Q456" s="2"/>
      <c r="R456" s="2"/>
      <c r="S456" s="3"/>
      <c r="T456" s="2"/>
      <c r="U456" s="3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3"/>
      <c r="I457" s="2"/>
      <c r="J457" s="3"/>
      <c r="K457" s="3"/>
      <c r="L457" s="2"/>
      <c r="M457" s="2"/>
      <c r="N457" s="2"/>
      <c r="O457" s="2"/>
      <c r="P457" s="2"/>
      <c r="Q457" s="2"/>
      <c r="R457" s="2"/>
      <c r="S457" s="3"/>
      <c r="T457" s="2"/>
      <c r="U457" s="3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3"/>
      <c r="I458" s="2"/>
      <c r="J458" s="3"/>
      <c r="K458" s="3"/>
      <c r="L458" s="2"/>
      <c r="M458" s="2"/>
      <c r="N458" s="2"/>
      <c r="O458" s="2"/>
      <c r="P458" s="2"/>
      <c r="Q458" s="2"/>
      <c r="R458" s="2"/>
      <c r="S458" s="3"/>
      <c r="T458" s="2"/>
      <c r="U458" s="3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3"/>
      <c r="I459" s="2"/>
      <c r="J459" s="3"/>
      <c r="K459" s="3"/>
      <c r="L459" s="2"/>
      <c r="M459" s="2"/>
      <c r="N459" s="2"/>
      <c r="O459" s="2"/>
      <c r="P459" s="2"/>
      <c r="Q459" s="2"/>
      <c r="R459" s="2"/>
      <c r="S459" s="3"/>
      <c r="T459" s="2"/>
      <c r="U459" s="3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3"/>
      <c r="I460" s="2"/>
      <c r="J460" s="3"/>
      <c r="K460" s="3"/>
      <c r="L460" s="2"/>
      <c r="M460" s="2"/>
      <c r="N460" s="2"/>
      <c r="O460" s="2"/>
      <c r="P460" s="2"/>
      <c r="Q460" s="2"/>
      <c r="R460" s="2"/>
      <c r="S460" s="3"/>
      <c r="T460" s="2"/>
      <c r="U460" s="3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3"/>
      <c r="I461" s="2"/>
      <c r="J461" s="3"/>
      <c r="K461" s="3"/>
      <c r="L461" s="2"/>
      <c r="M461" s="2"/>
      <c r="N461" s="2"/>
      <c r="O461" s="2"/>
      <c r="P461" s="2"/>
      <c r="Q461" s="2"/>
      <c r="R461" s="2"/>
      <c r="S461" s="3"/>
      <c r="T461" s="2"/>
      <c r="U461" s="3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3"/>
      <c r="I462" s="2"/>
      <c r="J462" s="3"/>
      <c r="K462" s="3"/>
      <c r="L462" s="2"/>
      <c r="M462" s="2"/>
      <c r="N462" s="2"/>
      <c r="O462" s="2"/>
      <c r="P462" s="2"/>
      <c r="Q462" s="2"/>
      <c r="R462" s="2"/>
      <c r="S462" s="3"/>
      <c r="T462" s="2"/>
      <c r="U462" s="3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3"/>
      <c r="I463" s="2"/>
      <c r="J463" s="3"/>
      <c r="K463" s="3"/>
      <c r="L463" s="2"/>
      <c r="M463" s="2"/>
      <c r="N463" s="2"/>
      <c r="O463" s="2"/>
      <c r="P463" s="2"/>
      <c r="Q463" s="2"/>
      <c r="R463" s="2"/>
      <c r="S463" s="3"/>
      <c r="T463" s="2"/>
      <c r="U463" s="3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3"/>
      <c r="I464" s="2"/>
      <c r="J464" s="3"/>
      <c r="K464" s="3"/>
      <c r="L464" s="2"/>
      <c r="M464" s="2"/>
      <c r="N464" s="2"/>
      <c r="O464" s="2"/>
      <c r="P464" s="2"/>
      <c r="Q464" s="2"/>
      <c r="R464" s="2"/>
      <c r="S464" s="3"/>
      <c r="T464" s="2"/>
      <c r="U464" s="3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3"/>
      <c r="I465" s="2"/>
      <c r="J465" s="3"/>
      <c r="K465" s="3"/>
      <c r="L465" s="2"/>
      <c r="M465" s="2"/>
      <c r="N465" s="2"/>
      <c r="O465" s="2"/>
      <c r="P465" s="2"/>
      <c r="Q465" s="2"/>
      <c r="R465" s="2"/>
      <c r="S465" s="3"/>
      <c r="T465" s="2"/>
      <c r="U465" s="3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3"/>
      <c r="I466" s="2"/>
      <c r="J466" s="3"/>
      <c r="K466" s="3"/>
      <c r="L466" s="2"/>
      <c r="M466" s="2"/>
      <c r="N466" s="2"/>
      <c r="O466" s="2"/>
      <c r="P466" s="2"/>
      <c r="Q466" s="2"/>
      <c r="R466" s="2"/>
      <c r="S466" s="3"/>
      <c r="T466" s="2"/>
      <c r="U466" s="3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3"/>
      <c r="I467" s="2"/>
      <c r="J467" s="3"/>
      <c r="K467" s="3"/>
      <c r="L467" s="2"/>
      <c r="M467" s="2"/>
      <c r="N467" s="2"/>
      <c r="O467" s="2"/>
      <c r="P467" s="2"/>
      <c r="Q467" s="2"/>
      <c r="R467" s="2"/>
      <c r="S467" s="3"/>
      <c r="T467" s="2"/>
      <c r="U467" s="3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3"/>
      <c r="I468" s="2"/>
      <c r="J468" s="3"/>
      <c r="K468" s="3"/>
      <c r="L468" s="2"/>
      <c r="M468" s="2"/>
      <c r="N468" s="2"/>
      <c r="O468" s="2"/>
      <c r="P468" s="2"/>
      <c r="Q468" s="2"/>
      <c r="R468" s="2"/>
      <c r="S468" s="3"/>
      <c r="T468" s="2"/>
      <c r="U468" s="3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3"/>
      <c r="I469" s="2"/>
      <c r="J469" s="3"/>
      <c r="K469" s="3"/>
      <c r="L469" s="2"/>
      <c r="M469" s="2"/>
      <c r="N469" s="2"/>
      <c r="O469" s="2"/>
      <c r="P469" s="2"/>
      <c r="Q469" s="2"/>
      <c r="R469" s="2"/>
      <c r="S469" s="3"/>
      <c r="T469" s="2"/>
      <c r="U469" s="3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3"/>
      <c r="I470" s="2"/>
      <c r="J470" s="3"/>
      <c r="K470" s="3"/>
      <c r="L470" s="2"/>
      <c r="M470" s="2"/>
      <c r="N470" s="2"/>
      <c r="O470" s="2"/>
      <c r="P470" s="2"/>
      <c r="Q470" s="2"/>
      <c r="R470" s="2"/>
      <c r="S470" s="3"/>
      <c r="T470" s="2"/>
      <c r="U470" s="3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3"/>
      <c r="I471" s="2"/>
      <c r="J471" s="3"/>
      <c r="K471" s="3"/>
      <c r="L471" s="2"/>
      <c r="M471" s="2"/>
      <c r="N471" s="2"/>
      <c r="O471" s="2"/>
      <c r="P471" s="2"/>
      <c r="Q471" s="2"/>
      <c r="R471" s="2"/>
      <c r="S471" s="3"/>
      <c r="T471" s="2"/>
      <c r="U471" s="3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3"/>
      <c r="I472" s="2"/>
      <c r="J472" s="3"/>
      <c r="K472" s="3"/>
      <c r="L472" s="2"/>
      <c r="M472" s="2"/>
      <c r="N472" s="2"/>
      <c r="O472" s="2"/>
      <c r="P472" s="2"/>
      <c r="Q472" s="2"/>
      <c r="R472" s="2"/>
      <c r="S472" s="3"/>
      <c r="T472" s="2"/>
      <c r="U472" s="3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3"/>
      <c r="I473" s="2"/>
      <c r="J473" s="3"/>
      <c r="K473" s="3"/>
      <c r="L473" s="2"/>
      <c r="M473" s="2"/>
      <c r="N473" s="2"/>
      <c r="O473" s="2"/>
      <c r="P473" s="2"/>
      <c r="Q473" s="2"/>
      <c r="R473" s="2"/>
      <c r="S473" s="3"/>
      <c r="T473" s="2"/>
      <c r="U473" s="3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3"/>
      <c r="I474" s="2"/>
      <c r="J474" s="3"/>
      <c r="K474" s="3"/>
      <c r="L474" s="2"/>
      <c r="M474" s="2"/>
      <c r="N474" s="2"/>
      <c r="O474" s="2"/>
      <c r="P474" s="2"/>
      <c r="Q474" s="2"/>
      <c r="R474" s="2"/>
      <c r="S474" s="3"/>
      <c r="T474" s="2"/>
      <c r="U474" s="3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3"/>
      <c r="I475" s="2"/>
      <c r="J475" s="3"/>
      <c r="K475" s="3"/>
      <c r="L475" s="2"/>
      <c r="M475" s="2"/>
      <c r="N475" s="2"/>
      <c r="O475" s="2"/>
      <c r="P475" s="2"/>
      <c r="Q475" s="2"/>
      <c r="R475" s="2"/>
      <c r="S475" s="3"/>
      <c r="T475" s="2"/>
      <c r="U475" s="3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3"/>
      <c r="I476" s="2"/>
      <c r="J476" s="3"/>
      <c r="K476" s="3"/>
      <c r="L476" s="2"/>
      <c r="M476" s="2"/>
      <c r="N476" s="2"/>
      <c r="O476" s="2"/>
      <c r="P476" s="2"/>
      <c r="Q476" s="2"/>
      <c r="R476" s="2"/>
      <c r="S476" s="3"/>
      <c r="T476" s="2"/>
      <c r="U476" s="3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3"/>
      <c r="I477" s="2"/>
      <c r="J477" s="3"/>
      <c r="K477" s="3"/>
      <c r="L477" s="2"/>
      <c r="M477" s="2"/>
      <c r="N477" s="2"/>
      <c r="O477" s="2"/>
      <c r="P477" s="2"/>
      <c r="Q477" s="2"/>
      <c r="R477" s="2"/>
      <c r="S477" s="3"/>
      <c r="T477" s="2"/>
      <c r="U477" s="3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3"/>
      <c r="I478" s="2"/>
      <c r="J478" s="3"/>
      <c r="K478" s="3"/>
      <c r="L478" s="2"/>
      <c r="M478" s="2"/>
      <c r="N478" s="2"/>
      <c r="O478" s="2"/>
      <c r="P478" s="2"/>
      <c r="Q478" s="2"/>
      <c r="R478" s="2"/>
      <c r="S478" s="3"/>
      <c r="T478" s="2"/>
      <c r="U478" s="3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3"/>
      <c r="I479" s="2"/>
      <c r="J479" s="3"/>
      <c r="K479" s="3"/>
      <c r="L479" s="2"/>
      <c r="M479" s="2"/>
      <c r="N479" s="2"/>
      <c r="O479" s="2"/>
      <c r="P479" s="2"/>
      <c r="Q479" s="2"/>
      <c r="R479" s="2"/>
      <c r="S479" s="3"/>
      <c r="T479" s="2"/>
      <c r="U479" s="3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3"/>
      <c r="I480" s="2"/>
      <c r="J480" s="3"/>
      <c r="K480" s="3"/>
      <c r="L480" s="2"/>
      <c r="M480" s="2"/>
      <c r="N480" s="2"/>
      <c r="O480" s="2"/>
      <c r="P480" s="2"/>
      <c r="Q480" s="2"/>
      <c r="R480" s="2"/>
      <c r="S480" s="3"/>
      <c r="T480" s="2"/>
      <c r="U480" s="3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3"/>
      <c r="I481" s="2"/>
      <c r="J481" s="3"/>
      <c r="K481" s="3"/>
      <c r="L481" s="2"/>
      <c r="M481" s="2"/>
      <c r="N481" s="2"/>
      <c r="O481" s="2"/>
      <c r="P481" s="2"/>
      <c r="Q481" s="2"/>
      <c r="R481" s="2"/>
      <c r="S481" s="3"/>
      <c r="T481" s="2"/>
      <c r="U481" s="3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3"/>
      <c r="I482" s="2"/>
      <c r="J482" s="3"/>
      <c r="K482" s="3"/>
      <c r="L482" s="2"/>
      <c r="M482" s="2"/>
      <c r="N482" s="2"/>
      <c r="O482" s="2"/>
      <c r="P482" s="2"/>
      <c r="Q482" s="2"/>
      <c r="R482" s="2"/>
      <c r="S482" s="3"/>
      <c r="T482" s="2"/>
      <c r="U482" s="3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3"/>
      <c r="I483" s="2"/>
      <c r="J483" s="3"/>
      <c r="K483" s="3"/>
      <c r="L483" s="2"/>
      <c r="M483" s="2"/>
      <c r="N483" s="2"/>
      <c r="O483" s="2"/>
      <c r="P483" s="2"/>
      <c r="Q483" s="2"/>
      <c r="R483" s="2"/>
      <c r="S483" s="3"/>
      <c r="T483" s="2"/>
      <c r="U483" s="3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3"/>
      <c r="I484" s="2"/>
      <c r="J484" s="3"/>
      <c r="K484" s="3"/>
      <c r="L484" s="2"/>
      <c r="M484" s="2"/>
      <c r="N484" s="2"/>
      <c r="O484" s="2"/>
      <c r="P484" s="2"/>
      <c r="Q484" s="2"/>
      <c r="R484" s="2"/>
      <c r="S484" s="3"/>
      <c r="T484" s="2"/>
      <c r="U484" s="3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3"/>
      <c r="I485" s="2"/>
      <c r="J485" s="3"/>
      <c r="K485" s="3"/>
      <c r="L485" s="2"/>
      <c r="M485" s="2"/>
      <c r="N485" s="2"/>
      <c r="O485" s="2"/>
      <c r="P485" s="2"/>
      <c r="Q485" s="2"/>
      <c r="R485" s="2"/>
      <c r="S485" s="3"/>
      <c r="T485" s="2"/>
      <c r="U485" s="3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3"/>
      <c r="I486" s="2"/>
      <c r="J486" s="3"/>
      <c r="K486" s="3"/>
      <c r="L486" s="2"/>
      <c r="M486" s="2"/>
      <c r="N486" s="2"/>
      <c r="O486" s="2"/>
      <c r="P486" s="2"/>
      <c r="Q486" s="2"/>
      <c r="R486" s="2"/>
      <c r="S486" s="3"/>
      <c r="T486" s="2"/>
      <c r="U486" s="3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3"/>
      <c r="I487" s="2"/>
      <c r="J487" s="3"/>
      <c r="K487" s="3"/>
      <c r="L487" s="2"/>
      <c r="M487" s="2"/>
      <c r="N487" s="2"/>
      <c r="O487" s="2"/>
      <c r="P487" s="2"/>
      <c r="Q487" s="2"/>
      <c r="R487" s="2"/>
      <c r="S487" s="3"/>
      <c r="T487" s="2"/>
      <c r="U487" s="3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3"/>
      <c r="I488" s="2"/>
      <c r="J488" s="3"/>
      <c r="K488" s="3"/>
      <c r="L488" s="2"/>
      <c r="M488" s="2"/>
      <c r="N488" s="2"/>
      <c r="O488" s="2"/>
      <c r="P488" s="2"/>
      <c r="Q488" s="2"/>
      <c r="R488" s="2"/>
      <c r="S488" s="3"/>
      <c r="T488" s="2"/>
      <c r="U488" s="3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3"/>
      <c r="I489" s="2"/>
      <c r="J489" s="3"/>
      <c r="K489" s="3"/>
      <c r="L489" s="2"/>
      <c r="M489" s="2"/>
      <c r="N489" s="2"/>
      <c r="O489" s="2"/>
      <c r="P489" s="2"/>
      <c r="Q489" s="2"/>
      <c r="R489" s="2"/>
      <c r="S489" s="3"/>
      <c r="T489" s="2"/>
      <c r="U489" s="3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3"/>
      <c r="I490" s="2"/>
      <c r="J490" s="3"/>
      <c r="K490" s="3"/>
      <c r="L490" s="2"/>
      <c r="M490" s="2"/>
      <c r="N490" s="2"/>
      <c r="O490" s="2"/>
      <c r="P490" s="2"/>
      <c r="Q490" s="2"/>
      <c r="R490" s="2"/>
      <c r="S490" s="3"/>
      <c r="T490" s="2"/>
      <c r="U490" s="3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3"/>
      <c r="I491" s="2"/>
      <c r="J491" s="3"/>
      <c r="K491" s="3"/>
      <c r="L491" s="2"/>
      <c r="M491" s="2"/>
      <c r="N491" s="2"/>
      <c r="O491" s="2"/>
      <c r="P491" s="2"/>
      <c r="Q491" s="2"/>
      <c r="R491" s="2"/>
      <c r="S491" s="3"/>
      <c r="T491" s="2"/>
      <c r="U491" s="3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3"/>
      <c r="I492" s="2"/>
      <c r="J492" s="3"/>
      <c r="K492" s="3"/>
      <c r="L492" s="2"/>
      <c r="M492" s="2"/>
      <c r="N492" s="2"/>
      <c r="O492" s="2"/>
      <c r="P492" s="2"/>
      <c r="Q492" s="2"/>
      <c r="R492" s="2"/>
      <c r="S492" s="3"/>
      <c r="T492" s="2"/>
      <c r="U492" s="3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3"/>
      <c r="I493" s="2"/>
      <c r="J493" s="3"/>
      <c r="K493" s="3"/>
      <c r="L493" s="2"/>
      <c r="M493" s="2"/>
      <c r="N493" s="2"/>
      <c r="O493" s="2"/>
      <c r="P493" s="2"/>
      <c r="Q493" s="2"/>
      <c r="R493" s="2"/>
      <c r="S493" s="3"/>
      <c r="T493" s="2"/>
      <c r="U493" s="3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3"/>
      <c r="I494" s="2"/>
      <c r="J494" s="3"/>
      <c r="K494" s="3"/>
      <c r="L494" s="2"/>
      <c r="M494" s="2"/>
      <c r="N494" s="2"/>
      <c r="O494" s="2"/>
      <c r="P494" s="2"/>
      <c r="Q494" s="2"/>
      <c r="R494" s="2"/>
      <c r="S494" s="3"/>
      <c r="T494" s="2"/>
      <c r="U494" s="3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3"/>
      <c r="I495" s="2"/>
      <c r="J495" s="3"/>
      <c r="K495" s="3"/>
      <c r="L495" s="2"/>
      <c r="M495" s="2"/>
      <c r="N495" s="2"/>
      <c r="O495" s="2"/>
      <c r="P495" s="2"/>
      <c r="Q495" s="2"/>
      <c r="R495" s="2"/>
      <c r="S495" s="3"/>
      <c r="T495" s="2"/>
      <c r="U495" s="3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3"/>
      <c r="I496" s="2"/>
      <c r="J496" s="3"/>
      <c r="K496" s="3"/>
      <c r="L496" s="2"/>
      <c r="M496" s="2"/>
      <c r="N496" s="2"/>
      <c r="O496" s="2"/>
      <c r="P496" s="2"/>
      <c r="Q496" s="2"/>
      <c r="R496" s="2"/>
      <c r="S496" s="3"/>
      <c r="T496" s="2"/>
      <c r="U496" s="3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3"/>
      <c r="I497" s="2"/>
      <c r="J497" s="3"/>
      <c r="K497" s="3"/>
      <c r="L497" s="2"/>
      <c r="M497" s="2"/>
      <c r="N497" s="2"/>
      <c r="O497" s="2"/>
      <c r="P497" s="2"/>
      <c r="Q497" s="2"/>
      <c r="R497" s="2"/>
      <c r="S497" s="3"/>
      <c r="T497" s="2"/>
      <c r="U497" s="3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3"/>
      <c r="I498" s="2"/>
      <c r="J498" s="3"/>
      <c r="K498" s="3"/>
      <c r="L498" s="2"/>
      <c r="M498" s="2"/>
      <c r="N498" s="2"/>
      <c r="O498" s="2"/>
      <c r="P498" s="2"/>
      <c r="Q498" s="2"/>
      <c r="R498" s="2"/>
      <c r="S498" s="3"/>
      <c r="T498" s="2"/>
      <c r="U498" s="3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3"/>
      <c r="I499" s="2"/>
      <c r="J499" s="3"/>
      <c r="K499" s="3"/>
      <c r="L499" s="2"/>
      <c r="M499" s="2"/>
      <c r="N499" s="2"/>
      <c r="O499" s="2"/>
      <c r="P499" s="2"/>
      <c r="Q499" s="2"/>
      <c r="R499" s="2"/>
      <c r="S499" s="3"/>
      <c r="T499" s="2"/>
      <c r="U499" s="3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3"/>
      <c r="I500" s="2"/>
      <c r="J500" s="3"/>
      <c r="K500" s="3"/>
      <c r="L500" s="2"/>
      <c r="M500" s="2"/>
      <c r="N500" s="2"/>
      <c r="O500" s="2"/>
      <c r="P500" s="2"/>
      <c r="Q500" s="2"/>
      <c r="R500" s="2"/>
      <c r="S500" s="3"/>
      <c r="T500" s="2"/>
      <c r="U500" s="3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3"/>
      <c r="I501" s="2"/>
      <c r="J501" s="3"/>
      <c r="K501" s="3"/>
      <c r="L501" s="2"/>
      <c r="M501" s="2"/>
      <c r="N501" s="2"/>
      <c r="O501" s="2"/>
      <c r="P501" s="2"/>
      <c r="Q501" s="2"/>
      <c r="R501" s="2"/>
      <c r="S501" s="3"/>
      <c r="T501" s="2"/>
      <c r="U501" s="3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3"/>
      <c r="I502" s="2"/>
      <c r="J502" s="3"/>
      <c r="K502" s="3"/>
      <c r="L502" s="2"/>
      <c r="M502" s="2"/>
      <c r="N502" s="2"/>
      <c r="O502" s="2"/>
      <c r="P502" s="2"/>
      <c r="Q502" s="2"/>
      <c r="R502" s="2"/>
      <c r="S502" s="3"/>
      <c r="T502" s="2"/>
      <c r="U502" s="3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3"/>
      <c r="I503" s="2"/>
      <c r="J503" s="3"/>
      <c r="K503" s="3"/>
      <c r="L503" s="2"/>
      <c r="M503" s="2"/>
      <c r="N503" s="2"/>
      <c r="O503" s="2"/>
      <c r="P503" s="2"/>
      <c r="Q503" s="2"/>
      <c r="R503" s="2"/>
      <c r="S503" s="3"/>
      <c r="T503" s="2"/>
      <c r="U503" s="3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3"/>
      <c r="I504" s="2"/>
      <c r="J504" s="3"/>
      <c r="K504" s="3"/>
      <c r="L504" s="2"/>
      <c r="M504" s="2"/>
      <c r="N504" s="2"/>
      <c r="O504" s="2"/>
      <c r="P504" s="2"/>
      <c r="Q504" s="2"/>
      <c r="R504" s="2"/>
      <c r="S504" s="3"/>
      <c r="T504" s="2"/>
      <c r="U504" s="3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3"/>
      <c r="I505" s="2"/>
      <c r="J505" s="3"/>
      <c r="K505" s="3"/>
      <c r="L505" s="2"/>
      <c r="M505" s="2"/>
      <c r="N505" s="2"/>
      <c r="O505" s="2"/>
      <c r="P505" s="2"/>
      <c r="Q505" s="2"/>
      <c r="R505" s="2"/>
      <c r="S505" s="3"/>
      <c r="T505" s="2"/>
      <c r="U505" s="3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3"/>
      <c r="I506" s="2"/>
      <c r="J506" s="3"/>
      <c r="K506" s="3"/>
      <c r="L506" s="2"/>
      <c r="M506" s="2"/>
      <c r="N506" s="2"/>
      <c r="O506" s="2"/>
      <c r="P506" s="2"/>
      <c r="Q506" s="2"/>
      <c r="R506" s="2"/>
      <c r="S506" s="3"/>
      <c r="T506" s="2"/>
      <c r="U506" s="3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3"/>
      <c r="I507" s="2"/>
      <c r="J507" s="3"/>
      <c r="K507" s="3"/>
      <c r="L507" s="2"/>
      <c r="M507" s="2"/>
      <c r="N507" s="2"/>
      <c r="O507" s="2"/>
      <c r="P507" s="2"/>
      <c r="Q507" s="2"/>
      <c r="R507" s="2"/>
      <c r="S507" s="3"/>
      <c r="T507" s="2"/>
      <c r="U507" s="3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3"/>
      <c r="I508" s="2"/>
      <c r="J508" s="3"/>
      <c r="K508" s="3"/>
      <c r="L508" s="2"/>
      <c r="M508" s="2"/>
      <c r="N508" s="2"/>
      <c r="O508" s="2"/>
      <c r="P508" s="2"/>
      <c r="Q508" s="2"/>
      <c r="R508" s="2"/>
      <c r="S508" s="3"/>
      <c r="T508" s="2"/>
      <c r="U508" s="3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3"/>
      <c r="I509" s="2"/>
      <c r="J509" s="3"/>
      <c r="K509" s="3"/>
      <c r="L509" s="2"/>
      <c r="M509" s="2"/>
      <c r="N509" s="2"/>
      <c r="O509" s="2"/>
      <c r="P509" s="2"/>
      <c r="Q509" s="2"/>
      <c r="R509" s="2"/>
      <c r="S509" s="3"/>
      <c r="T509" s="2"/>
      <c r="U509" s="3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3"/>
      <c r="I510" s="2"/>
      <c r="J510" s="3"/>
      <c r="K510" s="3"/>
      <c r="L510" s="2"/>
      <c r="M510" s="2"/>
      <c r="N510" s="2"/>
      <c r="O510" s="2"/>
      <c r="P510" s="2"/>
      <c r="Q510" s="2"/>
      <c r="R510" s="2"/>
      <c r="S510" s="3"/>
      <c r="T510" s="2"/>
      <c r="U510" s="3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3"/>
      <c r="I511" s="2"/>
      <c r="J511" s="3"/>
      <c r="K511" s="3"/>
      <c r="L511" s="2"/>
      <c r="M511" s="2"/>
      <c r="N511" s="2"/>
      <c r="O511" s="2"/>
      <c r="P511" s="2"/>
      <c r="Q511" s="2"/>
      <c r="R511" s="2"/>
      <c r="S511" s="3"/>
      <c r="T511" s="2"/>
      <c r="U511" s="3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3"/>
      <c r="I512" s="2"/>
      <c r="J512" s="3"/>
      <c r="K512" s="3"/>
      <c r="L512" s="2"/>
      <c r="M512" s="2"/>
      <c r="N512" s="2"/>
      <c r="O512" s="2"/>
      <c r="P512" s="2"/>
      <c r="Q512" s="2"/>
      <c r="R512" s="2"/>
      <c r="S512" s="3"/>
      <c r="T512" s="2"/>
      <c r="U512" s="3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3"/>
      <c r="I513" s="2"/>
      <c r="J513" s="3"/>
      <c r="K513" s="3"/>
      <c r="L513" s="2"/>
      <c r="M513" s="2"/>
      <c r="N513" s="2"/>
      <c r="O513" s="2"/>
      <c r="P513" s="2"/>
      <c r="Q513" s="2"/>
      <c r="R513" s="2"/>
      <c r="S513" s="3"/>
      <c r="T513" s="2"/>
      <c r="U513" s="3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3"/>
      <c r="I514" s="2"/>
      <c r="J514" s="3"/>
      <c r="K514" s="3"/>
      <c r="L514" s="2"/>
      <c r="M514" s="2"/>
      <c r="N514" s="2"/>
      <c r="O514" s="2"/>
      <c r="P514" s="2"/>
      <c r="Q514" s="2"/>
      <c r="R514" s="2"/>
      <c r="S514" s="3"/>
      <c r="T514" s="2"/>
      <c r="U514" s="3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3"/>
      <c r="I515" s="2"/>
      <c r="J515" s="3"/>
      <c r="K515" s="3"/>
      <c r="L515" s="2"/>
      <c r="M515" s="2"/>
      <c r="N515" s="2"/>
      <c r="O515" s="2"/>
      <c r="P515" s="2"/>
      <c r="Q515" s="2"/>
      <c r="R515" s="2"/>
      <c r="S515" s="3"/>
      <c r="T515" s="2"/>
      <c r="U515" s="3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3"/>
      <c r="I516" s="2"/>
      <c r="J516" s="3"/>
      <c r="K516" s="3"/>
      <c r="L516" s="2"/>
      <c r="M516" s="2"/>
      <c r="N516" s="2"/>
      <c r="O516" s="2"/>
      <c r="P516" s="2"/>
      <c r="Q516" s="2"/>
      <c r="R516" s="2"/>
      <c r="S516" s="3"/>
      <c r="T516" s="2"/>
      <c r="U516" s="3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3"/>
      <c r="I517" s="2"/>
      <c r="J517" s="3"/>
      <c r="K517" s="3"/>
      <c r="L517" s="2"/>
      <c r="M517" s="2"/>
      <c r="N517" s="2"/>
      <c r="O517" s="2"/>
      <c r="P517" s="2"/>
      <c r="Q517" s="2"/>
      <c r="R517" s="2"/>
      <c r="S517" s="3"/>
      <c r="T517" s="2"/>
      <c r="U517" s="3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3"/>
      <c r="I518" s="2"/>
      <c r="J518" s="3"/>
      <c r="K518" s="3"/>
      <c r="L518" s="2"/>
      <c r="M518" s="2"/>
      <c r="N518" s="2"/>
      <c r="O518" s="2"/>
      <c r="P518" s="2"/>
      <c r="Q518" s="2"/>
      <c r="R518" s="2"/>
      <c r="S518" s="3"/>
      <c r="T518" s="2"/>
      <c r="U518" s="3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3"/>
      <c r="I519" s="2"/>
      <c r="J519" s="3"/>
      <c r="K519" s="3"/>
      <c r="L519" s="2"/>
      <c r="M519" s="2"/>
      <c r="N519" s="2"/>
      <c r="O519" s="2"/>
      <c r="P519" s="2"/>
      <c r="Q519" s="2"/>
      <c r="R519" s="2"/>
      <c r="S519" s="3"/>
      <c r="T519" s="2"/>
      <c r="U519" s="3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3"/>
      <c r="I520" s="2"/>
      <c r="J520" s="3"/>
      <c r="K520" s="3"/>
      <c r="L520" s="2"/>
      <c r="M520" s="2"/>
      <c r="N520" s="2"/>
      <c r="O520" s="2"/>
      <c r="P520" s="2"/>
      <c r="Q520" s="2"/>
      <c r="R520" s="2"/>
      <c r="S520" s="3"/>
      <c r="T520" s="2"/>
      <c r="U520" s="3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3"/>
      <c r="I521" s="2"/>
      <c r="J521" s="3"/>
      <c r="K521" s="3"/>
      <c r="L521" s="2"/>
      <c r="M521" s="2"/>
      <c r="N521" s="2"/>
      <c r="O521" s="2"/>
      <c r="P521" s="2"/>
      <c r="Q521" s="2"/>
      <c r="R521" s="2"/>
      <c r="S521" s="3"/>
      <c r="T521" s="2"/>
      <c r="U521" s="3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3"/>
      <c r="I522" s="2"/>
      <c r="J522" s="3"/>
      <c r="K522" s="3"/>
      <c r="L522" s="2"/>
      <c r="M522" s="2"/>
      <c r="N522" s="2"/>
      <c r="O522" s="2"/>
      <c r="P522" s="2"/>
      <c r="Q522" s="2"/>
      <c r="R522" s="2"/>
      <c r="S522" s="3"/>
      <c r="T522" s="2"/>
      <c r="U522" s="3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3"/>
      <c r="I523" s="2"/>
      <c r="J523" s="3"/>
      <c r="K523" s="3"/>
      <c r="L523" s="2"/>
      <c r="M523" s="2"/>
      <c r="N523" s="2"/>
      <c r="O523" s="2"/>
      <c r="P523" s="2"/>
      <c r="Q523" s="2"/>
      <c r="R523" s="2"/>
      <c r="S523" s="3"/>
      <c r="T523" s="2"/>
      <c r="U523" s="3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3"/>
      <c r="I524" s="2"/>
      <c r="J524" s="3"/>
      <c r="K524" s="3"/>
      <c r="L524" s="2"/>
      <c r="M524" s="2"/>
      <c r="N524" s="2"/>
      <c r="O524" s="2"/>
      <c r="P524" s="2"/>
      <c r="Q524" s="2"/>
      <c r="R524" s="2"/>
      <c r="S524" s="3"/>
      <c r="T524" s="2"/>
      <c r="U524" s="3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3"/>
      <c r="I525" s="2"/>
      <c r="J525" s="3"/>
      <c r="K525" s="3"/>
      <c r="L525" s="2"/>
      <c r="M525" s="2"/>
      <c r="N525" s="2"/>
      <c r="O525" s="2"/>
      <c r="P525" s="2"/>
      <c r="Q525" s="2"/>
      <c r="R525" s="2"/>
      <c r="S525" s="3"/>
      <c r="T525" s="2"/>
      <c r="U525" s="3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3"/>
      <c r="I526" s="2"/>
      <c r="J526" s="3"/>
      <c r="K526" s="3"/>
      <c r="L526" s="2"/>
      <c r="M526" s="2"/>
      <c r="N526" s="2"/>
      <c r="O526" s="2"/>
      <c r="P526" s="2"/>
      <c r="Q526" s="2"/>
      <c r="R526" s="2"/>
      <c r="S526" s="3"/>
      <c r="T526" s="2"/>
      <c r="U526" s="3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3"/>
      <c r="I527" s="2"/>
      <c r="J527" s="3"/>
      <c r="K527" s="3"/>
      <c r="L527" s="2"/>
      <c r="M527" s="2"/>
      <c r="N527" s="2"/>
      <c r="O527" s="2"/>
      <c r="P527" s="2"/>
      <c r="Q527" s="2"/>
      <c r="R527" s="2"/>
      <c r="S527" s="3"/>
      <c r="T527" s="2"/>
      <c r="U527" s="3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3"/>
      <c r="I528" s="2"/>
      <c r="J528" s="3"/>
      <c r="K528" s="3"/>
      <c r="L528" s="2"/>
      <c r="M528" s="2"/>
      <c r="N528" s="2"/>
      <c r="O528" s="2"/>
      <c r="P528" s="2"/>
      <c r="Q528" s="2"/>
      <c r="R528" s="2"/>
      <c r="S528" s="3"/>
      <c r="T528" s="2"/>
      <c r="U528" s="3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3"/>
      <c r="I529" s="2"/>
      <c r="J529" s="3"/>
      <c r="K529" s="3"/>
      <c r="L529" s="2"/>
      <c r="M529" s="2"/>
      <c r="N529" s="2"/>
      <c r="O529" s="2"/>
      <c r="P529" s="2"/>
      <c r="Q529" s="2"/>
      <c r="R529" s="2"/>
      <c r="S529" s="3"/>
      <c r="T529" s="2"/>
      <c r="U529" s="3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3"/>
      <c r="I530" s="2"/>
      <c r="J530" s="3"/>
      <c r="K530" s="3"/>
      <c r="L530" s="2"/>
      <c r="M530" s="2"/>
      <c r="N530" s="2"/>
      <c r="O530" s="2"/>
      <c r="P530" s="2"/>
      <c r="Q530" s="2"/>
      <c r="R530" s="2"/>
      <c r="S530" s="3"/>
      <c r="T530" s="2"/>
      <c r="U530" s="3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3"/>
      <c r="I531" s="2"/>
      <c r="J531" s="3"/>
      <c r="K531" s="3"/>
      <c r="L531" s="2"/>
      <c r="M531" s="2"/>
      <c r="N531" s="2"/>
      <c r="O531" s="2"/>
      <c r="P531" s="2"/>
      <c r="Q531" s="2"/>
      <c r="R531" s="2"/>
      <c r="S531" s="3"/>
      <c r="T531" s="2"/>
      <c r="U531" s="3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3"/>
      <c r="I532" s="2"/>
      <c r="J532" s="3"/>
      <c r="K532" s="3"/>
      <c r="L532" s="2"/>
      <c r="M532" s="2"/>
      <c r="N532" s="2"/>
      <c r="O532" s="2"/>
      <c r="P532" s="2"/>
      <c r="Q532" s="2"/>
      <c r="R532" s="2"/>
      <c r="S532" s="3"/>
      <c r="T532" s="2"/>
      <c r="U532" s="3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3"/>
      <c r="I533" s="2"/>
      <c r="J533" s="3"/>
      <c r="K533" s="3"/>
      <c r="L533" s="2"/>
      <c r="M533" s="2"/>
      <c r="N533" s="2"/>
      <c r="O533" s="2"/>
      <c r="P533" s="2"/>
      <c r="Q533" s="2"/>
      <c r="R533" s="2"/>
      <c r="S533" s="3"/>
      <c r="T533" s="2"/>
      <c r="U533" s="3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3"/>
      <c r="I534" s="2"/>
      <c r="J534" s="3"/>
      <c r="K534" s="3"/>
      <c r="L534" s="2"/>
      <c r="M534" s="2"/>
      <c r="N534" s="2"/>
      <c r="O534" s="2"/>
      <c r="P534" s="2"/>
      <c r="Q534" s="2"/>
      <c r="R534" s="2"/>
      <c r="S534" s="3"/>
      <c r="T534" s="2"/>
      <c r="U534" s="3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3"/>
      <c r="I535" s="2"/>
      <c r="J535" s="3"/>
      <c r="K535" s="3"/>
      <c r="L535" s="2"/>
      <c r="M535" s="2"/>
      <c r="N535" s="2"/>
      <c r="O535" s="2"/>
      <c r="P535" s="2"/>
      <c r="Q535" s="2"/>
      <c r="R535" s="2"/>
      <c r="S535" s="3"/>
      <c r="T535" s="2"/>
      <c r="U535" s="3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3"/>
      <c r="I536" s="2"/>
      <c r="J536" s="3"/>
      <c r="K536" s="3"/>
      <c r="L536" s="2"/>
      <c r="M536" s="2"/>
      <c r="N536" s="2"/>
      <c r="O536" s="2"/>
      <c r="P536" s="2"/>
      <c r="Q536" s="2"/>
      <c r="R536" s="2"/>
      <c r="S536" s="3"/>
      <c r="T536" s="2"/>
      <c r="U536" s="3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3"/>
      <c r="I537" s="2"/>
      <c r="J537" s="3"/>
      <c r="K537" s="3"/>
      <c r="L537" s="2"/>
      <c r="M537" s="2"/>
      <c r="N537" s="2"/>
      <c r="O537" s="2"/>
      <c r="P537" s="2"/>
      <c r="Q537" s="2"/>
      <c r="R537" s="2"/>
      <c r="S537" s="3"/>
      <c r="T537" s="2"/>
      <c r="U537" s="3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3"/>
      <c r="I538" s="2"/>
      <c r="J538" s="3"/>
      <c r="K538" s="3"/>
      <c r="L538" s="2"/>
      <c r="M538" s="2"/>
      <c r="N538" s="2"/>
      <c r="O538" s="2"/>
      <c r="P538" s="2"/>
      <c r="Q538" s="2"/>
      <c r="R538" s="2"/>
      <c r="S538" s="3"/>
      <c r="T538" s="2"/>
      <c r="U538" s="3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3"/>
      <c r="I539" s="2"/>
      <c r="J539" s="3"/>
      <c r="K539" s="3"/>
      <c r="L539" s="2"/>
      <c r="M539" s="2"/>
      <c r="N539" s="2"/>
      <c r="O539" s="2"/>
      <c r="P539" s="2"/>
      <c r="Q539" s="2"/>
      <c r="R539" s="2"/>
      <c r="S539" s="3"/>
      <c r="T539" s="2"/>
      <c r="U539" s="3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3"/>
      <c r="I540" s="2"/>
      <c r="J540" s="3"/>
      <c r="K540" s="3"/>
      <c r="L540" s="2"/>
      <c r="M540" s="2"/>
      <c r="N540" s="2"/>
      <c r="O540" s="2"/>
      <c r="P540" s="2"/>
      <c r="Q540" s="2"/>
      <c r="R540" s="2"/>
      <c r="S540" s="3"/>
      <c r="T540" s="2"/>
      <c r="U540" s="3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3"/>
      <c r="I541" s="2"/>
      <c r="J541" s="3"/>
      <c r="K541" s="3"/>
      <c r="L541" s="2"/>
      <c r="M541" s="2"/>
      <c r="N541" s="2"/>
      <c r="O541" s="2"/>
      <c r="P541" s="2"/>
      <c r="Q541" s="2"/>
      <c r="R541" s="2"/>
      <c r="S541" s="3"/>
      <c r="T541" s="2"/>
      <c r="U541" s="3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3"/>
      <c r="I542" s="2"/>
      <c r="J542" s="3"/>
      <c r="K542" s="3"/>
      <c r="L542" s="2"/>
      <c r="M542" s="2"/>
      <c r="N542" s="2"/>
      <c r="O542" s="2"/>
      <c r="P542" s="2"/>
      <c r="Q542" s="2"/>
      <c r="R542" s="2"/>
      <c r="S542" s="3"/>
      <c r="T542" s="2"/>
      <c r="U542" s="3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3"/>
      <c r="I543" s="2"/>
      <c r="J543" s="3"/>
      <c r="K543" s="3"/>
      <c r="L543" s="2"/>
      <c r="M543" s="2"/>
      <c r="N543" s="2"/>
      <c r="O543" s="2"/>
      <c r="P543" s="2"/>
      <c r="Q543" s="2"/>
      <c r="R543" s="2"/>
      <c r="S543" s="3"/>
      <c r="T543" s="2"/>
      <c r="U543" s="3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3"/>
      <c r="I544" s="2"/>
      <c r="J544" s="3"/>
      <c r="K544" s="3"/>
      <c r="L544" s="2"/>
      <c r="M544" s="2"/>
      <c r="N544" s="2"/>
      <c r="O544" s="2"/>
      <c r="P544" s="2"/>
      <c r="Q544" s="2"/>
      <c r="R544" s="2"/>
      <c r="S544" s="3"/>
      <c r="T544" s="2"/>
      <c r="U544" s="3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3"/>
      <c r="I545" s="2"/>
      <c r="J545" s="3"/>
      <c r="K545" s="3"/>
      <c r="L545" s="2"/>
      <c r="M545" s="2"/>
      <c r="N545" s="2"/>
      <c r="O545" s="2"/>
      <c r="P545" s="2"/>
      <c r="Q545" s="2"/>
      <c r="R545" s="2"/>
      <c r="S545" s="3"/>
      <c r="T545" s="2"/>
      <c r="U545" s="3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3"/>
      <c r="I546" s="2"/>
      <c r="J546" s="3"/>
      <c r="K546" s="3"/>
      <c r="L546" s="2"/>
      <c r="M546" s="2"/>
      <c r="N546" s="2"/>
      <c r="O546" s="2"/>
      <c r="P546" s="2"/>
      <c r="Q546" s="2"/>
      <c r="R546" s="2"/>
      <c r="S546" s="3"/>
      <c r="T546" s="2"/>
      <c r="U546" s="3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3"/>
      <c r="I547" s="2"/>
      <c r="J547" s="3"/>
      <c r="K547" s="3"/>
      <c r="L547" s="2"/>
      <c r="M547" s="2"/>
      <c r="N547" s="2"/>
      <c r="O547" s="2"/>
      <c r="P547" s="2"/>
      <c r="Q547" s="2"/>
      <c r="R547" s="2"/>
      <c r="S547" s="3"/>
      <c r="T547" s="2"/>
      <c r="U547" s="3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3"/>
      <c r="I548" s="2"/>
      <c r="J548" s="3"/>
      <c r="K548" s="3"/>
      <c r="L548" s="2"/>
      <c r="M548" s="2"/>
      <c r="N548" s="2"/>
      <c r="O548" s="2"/>
      <c r="P548" s="2"/>
      <c r="Q548" s="2"/>
      <c r="R548" s="2"/>
      <c r="S548" s="3"/>
      <c r="T548" s="2"/>
      <c r="U548" s="3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3"/>
      <c r="I549" s="2"/>
      <c r="J549" s="3"/>
      <c r="K549" s="3"/>
      <c r="L549" s="2"/>
      <c r="M549" s="2"/>
      <c r="N549" s="2"/>
      <c r="O549" s="2"/>
      <c r="P549" s="2"/>
      <c r="Q549" s="2"/>
      <c r="R549" s="2"/>
      <c r="S549" s="3"/>
      <c r="T549" s="2"/>
      <c r="U549" s="3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3"/>
      <c r="I550" s="2"/>
      <c r="J550" s="3"/>
      <c r="K550" s="3"/>
      <c r="L550" s="2"/>
      <c r="M550" s="2"/>
      <c r="N550" s="2"/>
      <c r="O550" s="2"/>
      <c r="P550" s="2"/>
      <c r="Q550" s="2"/>
      <c r="R550" s="2"/>
      <c r="S550" s="3"/>
      <c r="T550" s="2"/>
      <c r="U550" s="3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3"/>
      <c r="I551" s="2"/>
      <c r="J551" s="3"/>
      <c r="K551" s="3"/>
      <c r="L551" s="2"/>
      <c r="M551" s="2"/>
      <c r="N551" s="2"/>
      <c r="O551" s="2"/>
      <c r="P551" s="2"/>
      <c r="Q551" s="2"/>
      <c r="R551" s="2"/>
      <c r="S551" s="3"/>
      <c r="T551" s="2"/>
      <c r="U551" s="3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3"/>
      <c r="I552" s="2"/>
      <c r="J552" s="3"/>
      <c r="K552" s="3"/>
      <c r="L552" s="2"/>
      <c r="M552" s="2"/>
      <c r="N552" s="2"/>
      <c r="O552" s="2"/>
      <c r="P552" s="2"/>
      <c r="Q552" s="2"/>
      <c r="R552" s="2"/>
      <c r="S552" s="3"/>
      <c r="T552" s="2"/>
      <c r="U552" s="3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3"/>
      <c r="I553" s="2"/>
      <c r="J553" s="3"/>
      <c r="K553" s="3"/>
      <c r="L553" s="2"/>
      <c r="M553" s="2"/>
      <c r="N553" s="2"/>
      <c r="O553" s="2"/>
      <c r="P553" s="2"/>
      <c r="Q553" s="2"/>
      <c r="R553" s="2"/>
      <c r="S553" s="3"/>
      <c r="T553" s="2"/>
      <c r="U553" s="3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3"/>
      <c r="I554" s="2"/>
      <c r="J554" s="3"/>
      <c r="K554" s="3"/>
      <c r="L554" s="2"/>
      <c r="M554" s="2"/>
      <c r="N554" s="2"/>
      <c r="O554" s="2"/>
      <c r="P554" s="2"/>
      <c r="Q554" s="2"/>
      <c r="R554" s="2"/>
      <c r="S554" s="3"/>
      <c r="T554" s="2"/>
      <c r="U554" s="3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3"/>
      <c r="I555" s="2"/>
      <c r="J555" s="3"/>
      <c r="K555" s="3"/>
      <c r="L555" s="2"/>
      <c r="M555" s="2"/>
      <c r="N555" s="2"/>
      <c r="O555" s="2"/>
      <c r="P555" s="2"/>
      <c r="Q555" s="2"/>
      <c r="R555" s="2"/>
      <c r="S555" s="3"/>
      <c r="T555" s="2"/>
      <c r="U555" s="3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3"/>
      <c r="I556" s="2"/>
      <c r="J556" s="3"/>
      <c r="K556" s="3"/>
      <c r="L556" s="2"/>
      <c r="M556" s="2"/>
      <c r="N556" s="2"/>
      <c r="O556" s="2"/>
      <c r="P556" s="2"/>
      <c r="Q556" s="2"/>
      <c r="R556" s="2"/>
      <c r="S556" s="3"/>
      <c r="T556" s="2"/>
      <c r="U556" s="3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3"/>
      <c r="I557" s="2"/>
      <c r="J557" s="3"/>
      <c r="K557" s="3"/>
      <c r="L557" s="2"/>
      <c r="M557" s="2"/>
      <c r="N557" s="2"/>
      <c r="O557" s="2"/>
      <c r="P557" s="2"/>
      <c r="Q557" s="2"/>
      <c r="R557" s="2"/>
      <c r="S557" s="3"/>
      <c r="T557" s="2"/>
      <c r="U557" s="3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3"/>
      <c r="I558" s="2"/>
      <c r="J558" s="3"/>
      <c r="K558" s="3"/>
      <c r="L558" s="2"/>
      <c r="M558" s="2"/>
      <c r="N558" s="2"/>
      <c r="O558" s="2"/>
      <c r="P558" s="2"/>
      <c r="Q558" s="2"/>
      <c r="R558" s="2"/>
      <c r="S558" s="3"/>
      <c r="T558" s="2"/>
      <c r="U558" s="3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3"/>
      <c r="I559" s="2"/>
      <c r="J559" s="3"/>
      <c r="K559" s="3"/>
      <c r="L559" s="2"/>
      <c r="M559" s="2"/>
      <c r="N559" s="2"/>
      <c r="O559" s="2"/>
      <c r="P559" s="2"/>
      <c r="Q559" s="2"/>
      <c r="R559" s="2"/>
      <c r="S559" s="3"/>
      <c r="T559" s="2"/>
      <c r="U559" s="3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3"/>
      <c r="I560" s="2"/>
      <c r="J560" s="3"/>
      <c r="K560" s="3"/>
      <c r="L560" s="2"/>
      <c r="M560" s="2"/>
      <c r="N560" s="2"/>
      <c r="O560" s="2"/>
      <c r="P560" s="2"/>
      <c r="Q560" s="2"/>
      <c r="R560" s="2"/>
      <c r="S560" s="3"/>
      <c r="T560" s="2"/>
      <c r="U560" s="3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3"/>
      <c r="I561" s="2"/>
      <c r="J561" s="3"/>
      <c r="K561" s="3"/>
      <c r="L561" s="2"/>
      <c r="M561" s="2"/>
      <c r="N561" s="2"/>
      <c r="O561" s="2"/>
      <c r="P561" s="2"/>
      <c r="Q561" s="2"/>
      <c r="R561" s="2"/>
      <c r="S561" s="3"/>
      <c r="T561" s="2"/>
      <c r="U561" s="3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3"/>
      <c r="I562" s="2"/>
      <c r="J562" s="3"/>
      <c r="K562" s="3"/>
      <c r="L562" s="2"/>
      <c r="M562" s="2"/>
      <c r="N562" s="2"/>
      <c r="O562" s="2"/>
      <c r="P562" s="2"/>
      <c r="Q562" s="2"/>
      <c r="R562" s="2"/>
      <c r="S562" s="3"/>
      <c r="T562" s="2"/>
      <c r="U562" s="3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3"/>
      <c r="I563" s="2"/>
      <c r="J563" s="3"/>
      <c r="K563" s="3"/>
      <c r="L563" s="2"/>
      <c r="M563" s="2"/>
      <c r="N563" s="2"/>
      <c r="O563" s="2"/>
      <c r="P563" s="2"/>
      <c r="Q563" s="2"/>
      <c r="R563" s="2"/>
      <c r="S563" s="3"/>
      <c r="T563" s="2"/>
      <c r="U563" s="3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3"/>
      <c r="I564" s="2"/>
      <c r="J564" s="3"/>
      <c r="K564" s="3"/>
      <c r="L564" s="2"/>
      <c r="M564" s="2"/>
      <c r="N564" s="2"/>
      <c r="O564" s="2"/>
      <c r="P564" s="2"/>
      <c r="Q564" s="2"/>
      <c r="R564" s="2"/>
      <c r="S564" s="3"/>
      <c r="T564" s="2"/>
      <c r="U564" s="3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3"/>
      <c r="I565" s="2"/>
      <c r="J565" s="3"/>
      <c r="K565" s="3"/>
      <c r="L565" s="2"/>
      <c r="M565" s="2"/>
      <c r="N565" s="2"/>
      <c r="O565" s="2"/>
      <c r="P565" s="2"/>
      <c r="Q565" s="2"/>
      <c r="R565" s="2"/>
      <c r="S565" s="3"/>
      <c r="T565" s="2"/>
      <c r="U565" s="3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3"/>
      <c r="I566" s="2"/>
      <c r="J566" s="3"/>
      <c r="K566" s="3"/>
      <c r="L566" s="2"/>
      <c r="M566" s="2"/>
      <c r="N566" s="2"/>
      <c r="O566" s="2"/>
      <c r="P566" s="2"/>
      <c r="Q566" s="2"/>
      <c r="R566" s="2"/>
      <c r="S566" s="3"/>
      <c r="T566" s="2"/>
      <c r="U566" s="3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3"/>
      <c r="I567" s="2"/>
      <c r="J567" s="3"/>
      <c r="K567" s="3"/>
      <c r="L567" s="2"/>
      <c r="M567" s="2"/>
      <c r="N567" s="2"/>
      <c r="O567" s="2"/>
      <c r="P567" s="2"/>
      <c r="Q567" s="2"/>
      <c r="R567" s="2"/>
      <c r="S567" s="3"/>
      <c r="T567" s="2"/>
      <c r="U567" s="3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3"/>
      <c r="I568" s="2"/>
      <c r="J568" s="3"/>
      <c r="K568" s="3"/>
      <c r="L568" s="2"/>
      <c r="M568" s="2"/>
      <c r="N568" s="2"/>
      <c r="O568" s="2"/>
      <c r="P568" s="2"/>
      <c r="Q568" s="2"/>
      <c r="R568" s="2"/>
      <c r="S568" s="3"/>
      <c r="T568" s="2"/>
      <c r="U568" s="3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3"/>
      <c r="I569" s="2"/>
      <c r="J569" s="3"/>
      <c r="K569" s="3"/>
      <c r="L569" s="2"/>
      <c r="M569" s="2"/>
      <c r="N569" s="2"/>
      <c r="O569" s="2"/>
      <c r="P569" s="2"/>
      <c r="Q569" s="2"/>
      <c r="R569" s="2"/>
      <c r="S569" s="3"/>
      <c r="T569" s="2"/>
      <c r="U569" s="3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3"/>
      <c r="I570" s="2"/>
      <c r="J570" s="3"/>
      <c r="K570" s="3"/>
      <c r="L570" s="2"/>
      <c r="M570" s="2"/>
      <c r="N570" s="2"/>
      <c r="O570" s="2"/>
      <c r="P570" s="2"/>
      <c r="Q570" s="2"/>
      <c r="R570" s="2"/>
      <c r="S570" s="3"/>
      <c r="T570" s="2"/>
      <c r="U570" s="3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3"/>
      <c r="I571" s="2"/>
      <c r="J571" s="3"/>
      <c r="K571" s="3"/>
      <c r="L571" s="2"/>
      <c r="M571" s="2"/>
      <c r="N571" s="2"/>
      <c r="O571" s="2"/>
      <c r="P571" s="2"/>
      <c r="Q571" s="2"/>
      <c r="R571" s="2"/>
      <c r="S571" s="3"/>
      <c r="T571" s="2"/>
      <c r="U571" s="3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3"/>
      <c r="I572" s="2"/>
      <c r="J572" s="3"/>
      <c r="K572" s="3"/>
      <c r="L572" s="2"/>
      <c r="M572" s="2"/>
      <c r="N572" s="2"/>
      <c r="O572" s="2"/>
      <c r="P572" s="2"/>
      <c r="Q572" s="2"/>
      <c r="R572" s="2"/>
      <c r="S572" s="3"/>
      <c r="T572" s="2"/>
      <c r="U572" s="3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3"/>
      <c r="I573" s="2"/>
      <c r="J573" s="3"/>
      <c r="K573" s="3"/>
      <c r="L573" s="2"/>
      <c r="M573" s="2"/>
      <c r="N573" s="2"/>
      <c r="O573" s="2"/>
      <c r="P573" s="2"/>
      <c r="Q573" s="2"/>
      <c r="R573" s="2"/>
      <c r="S573" s="3"/>
      <c r="T573" s="2"/>
      <c r="U573" s="3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3"/>
      <c r="I574" s="2"/>
      <c r="J574" s="3"/>
      <c r="K574" s="3"/>
      <c r="L574" s="2"/>
      <c r="M574" s="2"/>
      <c r="N574" s="2"/>
      <c r="O574" s="2"/>
      <c r="P574" s="2"/>
      <c r="Q574" s="2"/>
      <c r="R574" s="2"/>
      <c r="S574" s="3"/>
      <c r="T574" s="2"/>
      <c r="U574" s="3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3"/>
      <c r="I575" s="2"/>
      <c r="J575" s="3"/>
      <c r="K575" s="3"/>
      <c r="L575" s="2"/>
      <c r="M575" s="2"/>
      <c r="N575" s="2"/>
      <c r="O575" s="2"/>
      <c r="P575" s="2"/>
      <c r="Q575" s="2"/>
      <c r="R575" s="2"/>
      <c r="S575" s="3"/>
      <c r="T575" s="2"/>
      <c r="U575" s="3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3"/>
      <c r="I576" s="2"/>
      <c r="J576" s="3"/>
      <c r="K576" s="3"/>
      <c r="L576" s="2"/>
      <c r="M576" s="2"/>
      <c r="N576" s="2"/>
      <c r="O576" s="2"/>
      <c r="P576" s="2"/>
      <c r="Q576" s="2"/>
      <c r="R576" s="2"/>
      <c r="S576" s="3"/>
      <c r="T576" s="2"/>
      <c r="U576" s="3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3"/>
      <c r="I577" s="2"/>
      <c r="J577" s="3"/>
      <c r="K577" s="3"/>
      <c r="L577" s="2"/>
      <c r="M577" s="2"/>
      <c r="N577" s="2"/>
      <c r="O577" s="2"/>
      <c r="P577" s="2"/>
      <c r="Q577" s="2"/>
      <c r="R577" s="2"/>
      <c r="S577" s="3"/>
      <c r="T577" s="2"/>
      <c r="U577" s="3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3"/>
      <c r="I578" s="2"/>
      <c r="J578" s="3"/>
      <c r="K578" s="3"/>
      <c r="L578" s="2"/>
      <c r="M578" s="2"/>
      <c r="N578" s="2"/>
      <c r="O578" s="2"/>
      <c r="P578" s="2"/>
      <c r="Q578" s="2"/>
      <c r="R578" s="2"/>
      <c r="S578" s="3"/>
      <c r="T578" s="2"/>
      <c r="U578" s="3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3"/>
      <c r="I579" s="2"/>
      <c r="J579" s="3"/>
      <c r="K579" s="3"/>
      <c r="L579" s="2"/>
      <c r="M579" s="2"/>
      <c r="N579" s="2"/>
      <c r="O579" s="2"/>
      <c r="P579" s="2"/>
      <c r="Q579" s="2"/>
      <c r="R579" s="2"/>
      <c r="S579" s="3"/>
      <c r="T579" s="2"/>
      <c r="U579" s="3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3"/>
      <c r="I580" s="2"/>
      <c r="J580" s="3"/>
      <c r="K580" s="3"/>
      <c r="L580" s="2"/>
      <c r="M580" s="2"/>
      <c r="N580" s="2"/>
      <c r="O580" s="2"/>
      <c r="P580" s="2"/>
      <c r="Q580" s="2"/>
      <c r="R580" s="2"/>
      <c r="S580" s="3"/>
      <c r="T580" s="2"/>
      <c r="U580" s="3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3"/>
      <c r="I581" s="2"/>
      <c r="J581" s="3"/>
      <c r="K581" s="3"/>
      <c r="L581" s="2"/>
      <c r="M581" s="2"/>
      <c r="N581" s="2"/>
      <c r="O581" s="2"/>
      <c r="P581" s="2"/>
      <c r="Q581" s="2"/>
      <c r="R581" s="2"/>
      <c r="S581" s="3"/>
      <c r="T581" s="2"/>
      <c r="U581" s="3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3"/>
      <c r="I582" s="2"/>
      <c r="J582" s="3"/>
      <c r="K582" s="3"/>
      <c r="L582" s="2"/>
      <c r="M582" s="2"/>
      <c r="N582" s="2"/>
      <c r="O582" s="2"/>
      <c r="P582" s="2"/>
      <c r="Q582" s="2"/>
      <c r="R582" s="2"/>
      <c r="S582" s="3"/>
      <c r="T582" s="2"/>
      <c r="U582" s="3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3"/>
      <c r="I583" s="2"/>
      <c r="J583" s="3"/>
      <c r="K583" s="3"/>
      <c r="L583" s="2"/>
      <c r="M583" s="2"/>
      <c r="N583" s="2"/>
      <c r="O583" s="2"/>
      <c r="P583" s="2"/>
      <c r="Q583" s="2"/>
      <c r="R583" s="2"/>
      <c r="S583" s="3"/>
      <c r="T583" s="2"/>
      <c r="U583" s="3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3"/>
      <c r="I584" s="2"/>
      <c r="J584" s="3"/>
      <c r="K584" s="3"/>
      <c r="L584" s="2"/>
      <c r="M584" s="2"/>
      <c r="N584" s="2"/>
      <c r="O584" s="2"/>
      <c r="P584" s="2"/>
      <c r="Q584" s="2"/>
      <c r="R584" s="2"/>
      <c r="S584" s="3"/>
      <c r="T584" s="2"/>
      <c r="U584" s="3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3"/>
      <c r="I585" s="2"/>
      <c r="J585" s="3"/>
      <c r="K585" s="3"/>
      <c r="L585" s="2"/>
      <c r="M585" s="2"/>
      <c r="N585" s="2"/>
      <c r="O585" s="2"/>
      <c r="P585" s="2"/>
      <c r="Q585" s="2"/>
      <c r="R585" s="2"/>
      <c r="S585" s="3"/>
      <c r="T585" s="2"/>
      <c r="U585" s="3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3"/>
      <c r="I586" s="2"/>
      <c r="J586" s="3"/>
      <c r="K586" s="3"/>
      <c r="L586" s="2"/>
      <c r="M586" s="2"/>
      <c r="N586" s="2"/>
      <c r="O586" s="2"/>
      <c r="P586" s="2"/>
      <c r="Q586" s="2"/>
      <c r="R586" s="2"/>
      <c r="S586" s="3"/>
      <c r="T586" s="2"/>
      <c r="U586" s="3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3"/>
      <c r="I587" s="2"/>
      <c r="J587" s="3"/>
      <c r="K587" s="3"/>
      <c r="L587" s="2"/>
      <c r="M587" s="2"/>
      <c r="N587" s="2"/>
      <c r="O587" s="2"/>
      <c r="P587" s="2"/>
      <c r="Q587" s="2"/>
      <c r="R587" s="2"/>
      <c r="S587" s="3"/>
      <c r="T587" s="2"/>
      <c r="U587" s="3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3"/>
      <c r="I588" s="2"/>
      <c r="J588" s="3"/>
      <c r="K588" s="3"/>
      <c r="L588" s="2"/>
      <c r="M588" s="2"/>
      <c r="N588" s="2"/>
      <c r="O588" s="2"/>
      <c r="P588" s="2"/>
      <c r="Q588" s="2"/>
      <c r="R588" s="2"/>
      <c r="S588" s="3"/>
      <c r="T588" s="2"/>
      <c r="U588" s="3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3"/>
      <c r="I589" s="2"/>
      <c r="J589" s="3"/>
      <c r="K589" s="3"/>
      <c r="L589" s="2"/>
      <c r="M589" s="2"/>
      <c r="N589" s="2"/>
      <c r="O589" s="2"/>
      <c r="P589" s="2"/>
      <c r="Q589" s="2"/>
      <c r="R589" s="2"/>
      <c r="S589" s="3"/>
      <c r="T589" s="2"/>
      <c r="U589" s="3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3"/>
      <c r="I590" s="2"/>
      <c r="J590" s="3"/>
      <c r="K590" s="3"/>
      <c r="L590" s="2"/>
      <c r="M590" s="2"/>
      <c r="N590" s="2"/>
      <c r="O590" s="2"/>
      <c r="P590" s="2"/>
      <c r="Q590" s="2"/>
      <c r="R590" s="2"/>
      <c r="S590" s="3"/>
      <c r="T590" s="2"/>
      <c r="U590" s="3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3"/>
      <c r="I591" s="2"/>
      <c r="J591" s="3"/>
      <c r="K591" s="3"/>
      <c r="L591" s="2"/>
      <c r="M591" s="2"/>
      <c r="N591" s="2"/>
      <c r="O591" s="2"/>
      <c r="P591" s="2"/>
      <c r="Q591" s="2"/>
      <c r="R591" s="2"/>
      <c r="S591" s="3"/>
      <c r="T591" s="2"/>
      <c r="U591" s="3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3"/>
      <c r="I592" s="2"/>
      <c r="J592" s="3"/>
      <c r="K592" s="3"/>
      <c r="L592" s="2"/>
      <c r="M592" s="2"/>
      <c r="N592" s="2"/>
      <c r="O592" s="2"/>
      <c r="P592" s="2"/>
      <c r="Q592" s="2"/>
      <c r="R592" s="2"/>
      <c r="S592" s="3"/>
      <c r="T592" s="2"/>
      <c r="U592" s="3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3"/>
      <c r="I593" s="2"/>
      <c r="J593" s="3"/>
      <c r="K593" s="3"/>
      <c r="L593" s="2"/>
      <c r="M593" s="2"/>
      <c r="N593" s="2"/>
      <c r="O593" s="2"/>
      <c r="P593" s="2"/>
      <c r="Q593" s="2"/>
      <c r="R593" s="2"/>
      <c r="S593" s="3"/>
      <c r="T593" s="2"/>
      <c r="U593" s="3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3"/>
      <c r="I594" s="2"/>
      <c r="J594" s="3"/>
      <c r="K594" s="3"/>
      <c r="L594" s="2"/>
      <c r="M594" s="2"/>
      <c r="N594" s="2"/>
      <c r="O594" s="2"/>
      <c r="P594" s="2"/>
      <c r="Q594" s="2"/>
      <c r="R594" s="2"/>
      <c r="S594" s="3"/>
      <c r="T594" s="2"/>
      <c r="U594" s="3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3"/>
      <c r="I595" s="2"/>
      <c r="J595" s="3"/>
      <c r="K595" s="3"/>
      <c r="L595" s="2"/>
      <c r="M595" s="2"/>
      <c r="N595" s="2"/>
      <c r="O595" s="2"/>
      <c r="P595" s="2"/>
      <c r="Q595" s="2"/>
      <c r="R595" s="2"/>
      <c r="S595" s="3"/>
      <c r="T595" s="2"/>
      <c r="U595" s="3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3"/>
      <c r="I596" s="2"/>
      <c r="J596" s="3"/>
      <c r="K596" s="3"/>
      <c r="L596" s="2"/>
      <c r="M596" s="2"/>
      <c r="N596" s="2"/>
      <c r="O596" s="2"/>
      <c r="P596" s="2"/>
      <c r="Q596" s="2"/>
      <c r="R596" s="2"/>
      <c r="S596" s="3"/>
      <c r="T596" s="2"/>
      <c r="U596" s="3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3"/>
      <c r="I597" s="2"/>
      <c r="J597" s="3"/>
      <c r="K597" s="3"/>
      <c r="L597" s="2"/>
      <c r="M597" s="2"/>
      <c r="N597" s="2"/>
      <c r="O597" s="2"/>
      <c r="P597" s="2"/>
      <c r="Q597" s="2"/>
      <c r="R597" s="2"/>
      <c r="S597" s="3"/>
      <c r="T597" s="2"/>
      <c r="U597" s="3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3"/>
      <c r="I598" s="2"/>
      <c r="J598" s="3"/>
      <c r="K598" s="3"/>
      <c r="L598" s="2"/>
      <c r="M598" s="2"/>
      <c r="N598" s="2"/>
      <c r="O598" s="2"/>
      <c r="P598" s="2"/>
      <c r="Q598" s="2"/>
      <c r="R598" s="2"/>
      <c r="S598" s="3"/>
      <c r="T598" s="2"/>
      <c r="U598" s="3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3"/>
      <c r="I599" s="2"/>
      <c r="J599" s="3"/>
      <c r="K599" s="3"/>
      <c r="L599" s="2"/>
      <c r="M599" s="2"/>
      <c r="N599" s="2"/>
      <c r="O599" s="2"/>
      <c r="P599" s="2"/>
      <c r="Q599" s="2"/>
      <c r="R599" s="2"/>
      <c r="S599" s="3"/>
      <c r="T599" s="2"/>
      <c r="U599" s="3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3"/>
      <c r="I600" s="2"/>
      <c r="J600" s="3"/>
      <c r="K600" s="3"/>
      <c r="L600" s="2"/>
      <c r="M600" s="2"/>
      <c r="N600" s="2"/>
      <c r="O600" s="2"/>
      <c r="P600" s="2"/>
      <c r="Q600" s="2"/>
      <c r="R600" s="2"/>
      <c r="S600" s="3"/>
      <c r="T600" s="2"/>
      <c r="U600" s="3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3"/>
      <c r="I601" s="2"/>
      <c r="J601" s="3"/>
      <c r="K601" s="3"/>
      <c r="L601" s="2"/>
      <c r="M601" s="2"/>
      <c r="N601" s="2"/>
      <c r="O601" s="2"/>
      <c r="P601" s="2"/>
      <c r="Q601" s="2"/>
      <c r="R601" s="2"/>
      <c r="S601" s="3"/>
      <c r="T601" s="2"/>
      <c r="U601" s="3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3"/>
      <c r="I602" s="2"/>
      <c r="J602" s="3"/>
      <c r="K602" s="3"/>
      <c r="L602" s="2"/>
      <c r="M602" s="2"/>
      <c r="N602" s="2"/>
      <c r="O602" s="2"/>
      <c r="P602" s="2"/>
      <c r="Q602" s="2"/>
      <c r="R602" s="2"/>
      <c r="S602" s="3"/>
      <c r="T602" s="2"/>
      <c r="U602" s="3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3"/>
      <c r="I603" s="2"/>
      <c r="J603" s="3"/>
      <c r="K603" s="3"/>
      <c r="L603" s="2"/>
      <c r="M603" s="2"/>
      <c r="N603" s="2"/>
      <c r="O603" s="2"/>
      <c r="P603" s="2"/>
      <c r="Q603" s="2"/>
      <c r="R603" s="2"/>
      <c r="S603" s="3"/>
      <c r="T603" s="2"/>
      <c r="U603" s="3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3"/>
      <c r="I604" s="2"/>
      <c r="J604" s="3"/>
      <c r="K604" s="3"/>
      <c r="L604" s="2"/>
      <c r="M604" s="2"/>
      <c r="N604" s="2"/>
      <c r="O604" s="2"/>
      <c r="P604" s="2"/>
      <c r="Q604" s="2"/>
      <c r="R604" s="2"/>
      <c r="S604" s="3"/>
      <c r="T604" s="2"/>
      <c r="U604" s="3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3"/>
      <c r="I605" s="2"/>
      <c r="J605" s="3"/>
      <c r="K605" s="3"/>
      <c r="L605" s="2"/>
      <c r="M605" s="2"/>
      <c r="N605" s="2"/>
      <c r="O605" s="2"/>
      <c r="P605" s="2"/>
      <c r="Q605" s="2"/>
      <c r="R605" s="2"/>
      <c r="S605" s="3"/>
      <c r="T605" s="2"/>
      <c r="U605" s="3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3"/>
      <c r="I606" s="2"/>
      <c r="J606" s="3"/>
      <c r="K606" s="3"/>
      <c r="L606" s="2"/>
      <c r="M606" s="2"/>
      <c r="N606" s="2"/>
      <c r="O606" s="2"/>
      <c r="P606" s="2"/>
      <c r="Q606" s="2"/>
      <c r="R606" s="2"/>
      <c r="S606" s="3"/>
      <c r="T606" s="2"/>
      <c r="U606" s="3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3"/>
      <c r="I607" s="2"/>
      <c r="J607" s="3"/>
      <c r="K607" s="3"/>
      <c r="L607" s="2"/>
      <c r="M607" s="2"/>
      <c r="N607" s="2"/>
      <c r="O607" s="2"/>
      <c r="P607" s="2"/>
      <c r="Q607" s="2"/>
      <c r="R607" s="2"/>
      <c r="S607" s="3"/>
      <c r="T607" s="2"/>
      <c r="U607" s="3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3"/>
      <c r="I608" s="2"/>
      <c r="J608" s="3"/>
      <c r="K608" s="3"/>
      <c r="L608" s="2"/>
      <c r="M608" s="2"/>
      <c r="N608" s="2"/>
      <c r="O608" s="2"/>
      <c r="P608" s="2"/>
      <c r="Q608" s="2"/>
      <c r="R608" s="2"/>
      <c r="S608" s="3"/>
      <c r="T608" s="2"/>
      <c r="U608" s="3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3"/>
      <c r="I609" s="2"/>
      <c r="J609" s="3"/>
      <c r="K609" s="3"/>
      <c r="L609" s="2"/>
      <c r="M609" s="2"/>
      <c r="N609" s="2"/>
      <c r="O609" s="2"/>
      <c r="P609" s="2"/>
      <c r="Q609" s="2"/>
      <c r="R609" s="2"/>
      <c r="S609" s="3"/>
      <c r="T609" s="2"/>
      <c r="U609" s="3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3"/>
      <c r="I610" s="2"/>
      <c r="J610" s="3"/>
      <c r="K610" s="3"/>
      <c r="L610" s="2"/>
      <c r="M610" s="2"/>
      <c r="N610" s="2"/>
      <c r="O610" s="2"/>
      <c r="P610" s="2"/>
      <c r="Q610" s="2"/>
      <c r="R610" s="2"/>
      <c r="S610" s="3"/>
      <c r="T610" s="2"/>
      <c r="U610" s="3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3"/>
      <c r="I611" s="2"/>
      <c r="J611" s="3"/>
      <c r="K611" s="3"/>
      <c r="L611" s="2"/>
      <c r="M611" s="2"/>
      <c r="N611" s="2"/>
      <c r="O611" s="2"/>
      <c r="P611" s="2"/>
      <c r="Q611" s="2"/>
      <c r="R611" s="2"/>
      <c r="S611" s="3"/>
      <c r="T611" s="2"/>
      <c r="U611" s="3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3"/>
      <c r="I612" s="2"/>
      <c r="J612" s="3"/>
      <c r="K612" s="3"/>
      <c r="L612" s="2"/>
      <c r="M612" s="2"/>
      <c r="N612" s="2"/>
      <c r="O612" s="2"/>
      <c r="P612" s="2"/>
      <c r="Q612" s="2"/>
      <c r="R612" s="2"/>
      <c r="S612" s="3"/>
      <c r="T612" s="2"/>
      <c r="U612" s="3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3"/>
      <c r="I613" s="2"/>
      <c r="J613" s="3"/>
      <c r="K613" s="3"/>
      <c r="L613" s="2"/>
      <c r="M613" s="2"/>
      <c r="N613" s="2"/>
      <c r="O613" s="2"/>
      <c r="P613" s="2"/>
      <c r="Q613" s="2"/>
      <c r="R613" s="2"/>
      <c r="S613" s="3"/>
      <c r="T613" s="2"/>
      <c r="U613" s="3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3"/>
      <c r="I614" s="2"/>
      <c r="J614" s="3"/>
      <c r="K614" s="3"/>
      <c r="L614" s="2"/>
      <c r="M614" s="2"/>
      <c r="N614" s="2"/>
      <c r="O614" s="2"/>
      <c r="P614" s="2"/>
      <c r="Q614" s="2"/>
      <c r="R614" s="2"/>
      <c r="S614" s="3"/>
      <c r="T614" s="2"/>
      <c r="U614" s="3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3"/>
      <c r="I615" s="2"/>
      <c r="J615" s="3"/>
      <c r="K615" s="3"/>
      <c r="L615" s="2"/>
      <c r="M615" s="2"/>
      <c r="N615" s="2"/>
      <c r="O615" s="2"/>
      <c r="P615" s="2"/>
      <c r="Q615" s="2"/>
      <c r="R615" s="2"/>
      <c r="S615" s="3"/>
      <c r="T615" s="2"/>
      <c r="U615" s="3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3"/>
      <c r="I616" s="2"/>
      <c r="J616" s="3"/>
      <c r="K616" s="3"/>
      <c r="L616" s="2"/>
      <c r="M616" s="2"/>
      <c r="N616" s="2"/>
      <c r="O616" s="2"/>
      <c r="P616" s="2"/>
      <c r="Q616" s="2"/>
      <c r="R616" s="2"/>
      <c r="S616" s="3"/>
      <c r="T616" s="2"/>
      <c r="U616" s="3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3"/>
      <c r="I617" s="2"/>
      <c r="J617" s="3"/>
      <c r="K617" s="3"/>
      <c r="L617" s="2"/>
      <c r="M617" s="2"/>
      <c r="N617" s="2"/>
      <c r="O617" s="2"/>
      <c r="P617" s="2"/>
      <c r="Q617" s="2"/>
      <c r="R617" s="2"/>
      <c r="S617" s="3"/>
      <c r="T617" s="2"/>
      <c r="U617" s="3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3"/>
      <c r="I618" s="2"/>
      <c r="J618" s="3"/>
      <c r="K618" s="3"/>
      <c r="L618" s="2"/>
      <c r="M618" s="2"/>
      <c r="N618" s="2"/>
      <c r="O618" s="2"/>
      <c r="P618" s="2"/>
      <c r="Q618" s="2"/>
      <c r="R618" s="2"/>
      <c r="S618" s="3"/>
      <c r="T618" s="2"/>
      <c r="U618" s="3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3"/>
      <c r="I619" s="2"/>
      <c r="J619" s="3"/>
      <c r="K619" s="3"/>
      <c r="L619" s="2"/>
      <c r="M619" s="2"/>
      <c r="N619" s="2"/>
      <c r="O619" s="2"/>
      <c r="P619" s="2"/>
      <c r="Q619" s="2"/>
      <c r="R619" s="2"/>
      <c r="S619" s="3"/>
      <c r="T619" s="2"/>
      <c r="U619" s="3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3"/>
      <c r="I620" s="2"/>
      <c r="J620" s="3"/>
      <c r="K620" s="3"/>
      <c r="L620" s="2"/>
      <c r="M620" s="2"/>
      <c r="N620" s="2"/>
      <c r="O620" s="2"/>
      <c r="P620" s="2"/>
      <c r="Q620" s="2"/>
      <c r="R620" s="2"/>
      <c r="S620" s="3"/>
      <c r="T620" s="2"/>
      <c r="U620" s="3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3"/>
      <c r="I621" s="2"/>
      <c r="J621" s="3"/>
      <c r="K621" s="3"/>
      <c r="L621" s="2"/>
      <c r="M621" s="2"/>
      <c r="N621" s="2"/>
      <c r="O621" s="2"/>
      <c r="P621" s="2"/>
      <c r="Q621" s="2"/>
      <c r="R621" s="2"/>
      <c r="S621" s="3"/>
      <c r="T621" s="2"/>
      <c r="U621" s="3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3"/>
      <c r="I622" s="2"/>
      <c r="J622" s="3"/>
      <c r="K622" s="3"/>
      <c r="L622" s="2"/>
      <c r="M622" s="2"/>
      <c r="N622" s="2"/>
      <c r="O622" s="2"/>
      <c r="P622" s="2"/>
      <c r="Q622" s="2"/>
      <c r="R622" s="2"/>
      <c r="S622" s="3"/>
      <c r="T622" s="2"/>
      <c r="U622" s="3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3"/>
      <c r="I623" s="2"/>
      <c r="J623" s="3"/>
      <c r="K623" s="3"/>
      <c r="L623" s="2"/>
      <c r="M623" s="2"/>
      <c r="N623" s="2"/>
      <c r="O623" s="2"/>
      <c r="P623" s="2"/>
      <c r="Q623" s="2"/>
      <c r="R623" s="2"/>
      <c r="S623" s="3"/>
      <c r="T623" s="2"/>
      <c r="U623" s="3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3"/>
      <c r="I624" s="2"/>
      <c r="J624" s="3"/>
      <c r="K624" s="3"/>
      <c r="L624" s="2"/>
      <c r="M624" s="2"/>
      <c r="N624" s="2"/>
      <c r="O624" s="2"/>
      <c r="P624" s="2"/>
      <c r="Q624" s="2"/>
      <c r="R624" s="2"/>
      <c r="S624" s="3"/>
      <c r="T624" s="2"/>
      <c r="U624" s="3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3"/>
      <c r="I625" s="2"/>
      <c r="J625" s="3"/>
      <c r="K625" s="3"/>
      <c r="L625" s="2"/>
      <c r="M625" s="2"/>
      <c r="N625" s="2"/>
      <c r="O625" s="2"/>
      <c r="P625" s="2"/>
      <c r="Q625" s="2"/>
      <c r="R625" s="2"/>
      <c r="S625" s="3"/>
      <c r="T625" s="2"/>
      <c r="U625" s="3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3"/>
      <c r="I626" s="2"/>
      <c r="J626" s="3"/>
      <c r="K626" s="3"/>
      <c r="L626" s="2"/>
      <c r="M626" s="2"/>
      <c r="N626" s="2"/>
      <c r="O626" s="2"/>
      <c r="P626" s="2"/>
      <c r="Q626" s="2"/>
      <c r="R626" s="2"/>
      <c r="S626" s="3"/>
      <c r="T626" s="2"/>
      <c r="U626" s="3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3"/>
      <c r="I627" s="2"/>
      <c r="J627" s="3"/>
      <c r="K627" s="3"/>
      <c r="L627" s="2"/>
      <c r="M627" s="2"/>
      <c r="N627" s="2"/>
      <c r="O627" s="2"/>
      <c r="P627" s="2"/>
      <c r="Q627" s="2"/>
      <c r="R627" s="2"/>
      <c r="S627" s="3"/>
      <c r="T627" s="2"/>
      <c r="U627" s="3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3"/>
      <c r="I628" s="2"/>
      <c r="J628" s="3"/>
      <c r="K628" s="3"/>
      <c r="L628" s="2"/>
      <c r="M628" s="2"/>
      <c r="N628" s="2"/>
      <c r="O628" s="2"/>
      <c r="P628" s="2"/>
      <c r="Q628" s="2"/>
      <c r="R628" s="2"/>
      <c r="S628" s="3"/>
      <c r="T628" s="2"/>
      <c r="U628" s="3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3"/>
      <c r="I629" s="2"/>
      <c r="J629" s="3"/>
      <c r="K629" s="3"/>
      <c r="L629" s="2"/>
      <c r="M629" s="2"/>
      <c r="N629" s="2"/>
      <c r="O629" s="2"/>
      <c r="P629" s="2"/>
      <c r="Q629" s="2"/>
      <c r="R629" s="2"/>
      <c r="S629" s="3"/>
      <c r="T629" s="2"/>
      <c r="U629" s="3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3"/>
      <c r="I630" s="2"/>
      <c r="J630" s="3"/>
      <c r="K630" s="3"/>
      <c r="L630" s="2"/>
      <c r="M630" s="2"/>
      <c r="N630" s="2"/>
      <c r="O630" s="2"/>
      <c r="P630" s="2"/>
      <c r="Q630" s="2"/>
      <c r="R630" s="2"/>
      <c r="S630" s="3"/>
      <c r="T630" s="2"/>
      <c r="U630" s="3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3"/>
      <c r="I631" s="2"/>
      <c r="J631" s="3"/>
      <c r="K631" s="3"/>
      <c r="L631" s="2"/>
      <c r="M631" s="2"/>
      <c r="N631" s="2"/>
      <c r="O631" s="2"/>
      <c r="P631" s="2"/>
      <c r="Q631" s="2"/>
      <c r="R631" s="2"/>
      <c r="S631" s="3"/>
      <c r="T631" s="2"/>
      <c r="U631" s="3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3"/>
      <c r="I632" s="2"/>
      <c r="J632" s="3"/>
      <c r="K632" s="3"/>
      <c r="L632" s="2"/>
      <c r="M632" s="2"/>
      <c r="N632" s="2"/>
      <c r="O632" s="2"/>
      <c r="P632" s="2"/>
      <c r="Q632" s="2"/>
      <c r="R632" s="2"/>
      <c r="S632" s="3"/>
      <c r="T632" s="2"/>
      <c r="U632" s="3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3"/>
      <c r="I633" s="2"/>
      <c r="J633" s="3"/>
      <c r="K633" s="3"/>
      <c r="L633" s="2"/>
      <c r="M633" s="2"/>
      <c r="N633" s="2"/>
      <c r="O633" s="2"/>
      <c r="P633" s="2"/>
      <c r="Q633" s="2"/>
      <c r="R633" s="2"/>
      <c r="S633" s="3"/>
      <c r="T633" s="2"/>
      <c r="U633" s="3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3"/>
      <c r="I634" s="2"/>
      <c r="J634" s="3"/>
      <c r="K634" s="3"/>
      <c r="L634" s="2"/>
      <c r="M634" s="2"/>
      <c r="N634" s="2"/>
      <c r="O634" s="2"/>
      <c r="P634" s="2"/>
      <c r="Q634" s="2"/>
      <c r="R634" s="2"/>
      <c r="S634" s="3"/>
      <c r="T634" s="2"/>
      <c r="U634" s="3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3"/>
      <c r="I635" s="2"/>
      <c r="J635" s="3"/>
      <c r="K635" s="3"/>
      <c r="L635" s="2"/>
      <c r="M635" s="2"/>
      <c r="N635" s="2"/>
      <c r="O635" s="2"/>
      <c r="P635" s="2"/>
      <c r="Q635" s="2"/>
      <c r="R635" s="2"/>
      <c r="S635" s="3"/>
      <c r="T635" s="2"/>
      <c r="U635" s="3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3"/>
      <c r="I636" s="2"/>
      <c r="J636" s="3"/>
      <c r="K636" s="3"/>
      <c r="L636" s="2"/>
      <c r="M636" s="2"/>
      <c r="N636" s="2"/>
      <c r="O636" s="2"/>
      <c r="P636" s="2"/>
      <c r="Q636" s="2"/>
      <c r="R636" s="2"/>
      <c r="S636" s="3"/>
      <c r="T636" s="2"/>
      <c r="U636" s="3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3"/>
      <c r="I637" s="2"/>
      <c r="J637" s="3"/>
      <c r="K637" s="3"/>
      <c r="L637" s="2"/>
      <c r="M637" s="2"/>
      <c r="N637" s="2"/>
      <c r="O637" s="2"/>
      <c r="P637" s="2"/>
      <c r="Q637" s="2"/>
      <c r="R637" s="2"/>
      <c r="S637" s="3"/>
      <c r="T637" s="2"/>
      <c r="U637" s="3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3"/>
      <c r="I638" s="2"/>
      <c r="J638" s="3"/>
      <c r="K638" s="3"/>
      <c r="L638" s="2"/>
      <c r="M638" s="2"/>
      <c r="N638" s="2"/>
      <c r="O638" s="2"/>
      <c r="P638" s="2"/>
      <c r="Q638" s="2"/>
      <c r="R638" s="2"/>
      <c r="S638" s="3"/>
      <c r="T638" s="2"/>
      <c r="U638" s="3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3"/>
      <c r="I639" s="2"/>
      <c r="J639" s="3"/>
      <c r="K639" s="3"/>
      <c r="L639" s="2"/>
      <c r="M639" s="2"/>
      <c r="N639" s="2"/>
      <c r="O639" s="2"/>
      <c r="P639" s="2"/>
      <c r="Q639" s="2"/>
      <c r="R639" s="2"/>
      <c r="S639" s="3"/>
      <c r="T639" s="2"/>
      <c r="U639" s="3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3"/>
      <c r="I640" s="2"/>
      <c r="J640" s="3"/>
      <c r="K640" s="3"/>
      <c r="L640" s="2"/>
      <c r="M640" s="2"/>
      <c r="N640" s="2"/>
      <c r="O640" s="2"/>
      <c r="P640" s="2"/>
      <c r="Q640" s="2"/>
      <c r="R640" s="2"/>
      <c r="S640" s="3"/>
      <c r="T640" s="2"/>
      <c r="U640" s="3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3"/>
      <c r="I641" s="2"/>
      <c r="J641" s="3"/>
      <c r="K641" s="3"/>
      <c r="L641" s="2"/>
      <c r="M641" s="2"/>
      <c r="N641" s="2"/>
      <c r="O641" s="2"/>
      <c r="P641" s="2"/>
      <c r="Q641" s="2"/>
      <c r="R641" s="2"/>
      <c r="S641" s="3"/>
      <c r="T641" s="2"/>
      <c r="U641" s="3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3"/>
      <c r="I642" s="2"/>
      <c r="J642" s="3"/>
      <c r="K642" s="3"/>
      <c r="L642" s="2"/>
      <c r="M642" s="2"/>
      <c r="N642" s="2"/>
      <c r="O642" s="2"/>
      <c r="P642" s="2"/>
      <c r="Q642" s="2"/>
      <c r="R642" s="2"/>
      <c r="S642" s="3"/>
      <c r="T642" s="2"/>
      <c r="U642" s="3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3"/>
      <c r="I643" s="2"/>
      <c r="J643" s="3"/>
      <c r="K643" s="3"/>
      <c r="L643" s="2"/>
      <c r="M643" s="2"/>
      <c r="N643" s="2"/>
      <c r="O643" s="2"/>
      <c r="P643" s="2"/>
      <c r="Q643" s="2"/>
      <c r="R643" s="2"/>
      <c r="S643" s="3"/>
      <c r="T643" s="2"/>
      <c r="U643" s="3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3"/>
      <c r="I644" s="2"/>
      <c r="J644" s="3"/>
      <c r="K644" s="3"/>
      <c r="L644" s="2"/>
      <c r="M644" s="2"/>
      <c r="N644" s="2"/>
      <c r="O644" s="2"/>
      <c r="P644" s="2"/>
      <c r="Q644" s="2"/>
      <c r="R644" s="2"/>
      <c r="S644" s="3"/>
      <c r="T644" s="2"/>
      <c r="U644" s="3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3"/>
      <c r="I645" s="2"/>
      <c r="J645" s="3"/>
      <c r="K645" s="3"/>
      <c r="L645" s="2"/>
      <c r="M645" s="2"/>
      <c r="N645" s="2"/>
      <c r="O645" s="2"/>
      <c r="P645" s="2"/>
      <c r="Q645" s="2"/>
      <c r="R645" s="2"/>
      <c r="S645" s="3"/>
      <c r="T645" s="2"/>
      <c r="U645" s="3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3"/>
      <c r="I646" s="2"/>
      <c r="J646" s="3"/>
      <c r="K646" s="3"/>
      <c r="L646" s="2"/>
      <c r="M646" s="2"/>
      <c r="N646" s="2"/>
      <c r="O646" s="2"/>
      <c r="P646" s="2"/>
      <c r="Q646" s="2"/>
      <c r="R646" s="2"/>
      <c r="S646" s="3"/>
      <c r="T646" s="2"/>
      <c r="U646" s="3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3"/>
      <c r="I647" s="2"/>
      <c r="J647" s="3"/>
      <c r="K647" s="3"/>
      <c r="L647" s="2"/>
      <c r="M647" s="2"/>
      <c r="N647" s="2"/>
      <c r="O647" s="2"/>
      <c r="P647" s="2"/>
      <c r="Q647" s="2"/>
      <c r="R647" s="2"/>
      <c r="S647" s="3"/>
      <c r="T647" s="2"/>
      <c r="U647" s="3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3"/>
      <c r="I648" s="2"/>
      <c r="J648" s="3"/>
      <c r="K648" s="3"/>
      <c r="L648" s="2"/>
      <c r="M648" s="2"/>
      <c r="N648" s="2"/>
      <c r="O648" s="2"/>
      <c r="P648" s="2"/>
      <c r="Q648" s="2"/>
      <c r="R648" s="2"/>
      <c r="S648" s="3"/>
      <c r="T648" s="2"/>
      <c r="U648" s="3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3"/>
      <c r="I649" s="2"/>
      <c r="J649" s="3"/>
      <c r="K649" s="3"/>
      <c r="L649" s="2"/>
      <c r="M649" s="2"/>
      <c r="N649" s="2"/>
      <c r="O649" s="2"/>
      <c r="P649" s="2"/>
      <c r="Q649" s="2"/>
      <c r="R649" s="2"/>
      <c r="S649" s="3"/>
      <c r="T649" s="2"/>
      <c r="U649" s="3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3"/>
      <c r="I650" s="2"/>
      <c r="J650" s="3"/>
      <c r="K650" s="3"/>
      <c r="L650" s="2"/>
      <c r="M650" s="2"/>
      <c r="N650" s="2"/>
      <c r="O650" s="2"/>
      <c r="P650" s="2"/>
      <c r="Q650" s="2"/>
      <c r="R650" s="2"/>
      <c r="S650" s="3"/>
      <c r="T650" s="2"/>
      <c r="U650" s="3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3"/>
      <c r="I651" s="2"/>
      <c r="J651" s="3"/>
      <c r="K651" s="3"/>
      <c r="L651" s="2"/>
      <c r="M651" s="2"/>
      <c r="N651" s="2"/>
      <c r="O651" s="2"/>
      <c r="P651" s="2"/>
      <c r="Q651" s="2"/>
      <c r="R651" s="2"/>
      <c r="S651" s="3"/>
      <c r="T651" s="2"/>
      <c r="U651" s="3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3"/>
      <c r="I652" s="2"/>
      <c r="J652" s="3"/>
      <c r="K652" s="3"/>
      <c r="L652" s="2"/>
      <c r="M652" s="2"/>
      <c r="N652" s="2"/>
      <c r="O652" s="2"/>
      <c r="P652" s="2"/>
      <c r="Q652" s="2"/>
      <c r="R652" s="2"/>
      <c r="S652" s="3"/>
      <c r="T652" s="2"/>
      <c r="U652" s="3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3"/>
      <c r="I653" s="2"/>
      <c r="J653" s="3"/>
      <c r="K653" s="3"/>
      <c r="L653" s="2"/>
      <c r="M653" s="2"/>
      <c r="N653" s="2"/>
      <c r="O653" s="2"/>
      <c r="P653" s="2"/>
      <c r="Q653" s="2"/>
      <c r="R653" s="2"/>
      <c r="S653" s="3"/>
      <c r="T653" s="2"/>
      <c r="U653" s="3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3"/>
      <c r="I654" s="2"/>
      <c r="J654" s="3"/>
      <c r="K654" s="3"/>
      <c r="L654" s="2"/>
      <c r="M654" s="2"/>
      <c r="N654" s="2"/>
      <c r="O654" s="2"/>
      <c r="P654" s="2"/>
      <c r="Q654" s="2"/>
      <c r="R654" s="2"/>
      <c r="S654" s="3"/>
      <c r="T654" s="2"/>
      <c r="U654" s="3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3"/>
      <c r="I655" s="2"/>
      <c r="J655" s="3"/>
      <c r="K655" s="3"/>
      <c r="L655" s="2"/>
      <c r="M655" s="2"/>
      <c r="N655" s="2"/>
      <c r="O655" s="2"/>
      <c r="P655" s="2"/>
      <c r="Q655" s="2"/>
      <c r="R655" s="2"/>
      <c r="S655" s="3"/>
      <c r="T655" s="2"/>
      <c r="U655" s="3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3"/>
      <c r="I656" s="2"/>
      <c r="J656" s="3"/>
      <c r="K656" s="3"/>
      <c r="L656" s="2"/>
      <c r="M656" s="2"/>
      <c r="N656" s="2"/>
      <c r="O656" s="2"/>
      <c r="P656" s="2"/>
      <c r="Q656" s="2"/>
      <c r="R656" s="2"/>
      <c r="S656" s="3"/>
      <c r="T656" s="2"/>
      <c r="U656" s="3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3"/>
      <c r="I657" s="2"/>
      <c r="J657" s="3"/>
      <c r="K657" s="3"/>
      <c r="L657" s="2"/>
      <c r="M657" s="2"/>
      <c r="N657" s="2"/>
      <c r="O657" s="2"/>
      <c r="P657" s="2"/>
      <c r="Q657" s="2"/>
      <c r="R657" s="2"/>
      <c r="S657" s="3"/>
      <c r="T657" s="2"/>
      <c r="U657" s="3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3"/>
      <c r="I658" s="2"/>
      <c r="J658" s="3"/>
      <c r="K658" s="3"/>
      <c r="L658" s="2"/>
      <c r="M658" s="2"/>
      <c r="N658" s="2"/>
      <c r="O658" s="2"/>
      <c r="P658" s="2"/>
      <c r="Q658" s="2"/>
      <c r="R658" s="2"/>
      <c r="S658" s="3"/>
      <c r="T658" s="2"/>
      <c r="U658" s="3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3"/>
      <c r="I659" s="2"/>
      <c r="J659" s="3"/>
      <c r="K659" s="3"/>
      <c r="L659" s="2"/>
      <c r="M659" s="2"/>
      <c r="N659" s="2"/>
      <c r="O659" s="2"/>
      <c r="P659" s="2"/>
      <c r="Q659" s="2"/>
      <c r="R659" s="2"/>
      <c r="S659" s="3"/>
      <c r="T659" s="2"/>
      <c r="U659" s="3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3"/>
      <c r="I660" s="2"/>
      <c r="J660" s="3"/>
      <c r="K660" s="3"/>
      <c r="L660" s="2"/>
      <c r="M660" s="2"/>
      <c r="N660" s="2"/>
      <c r="O660" s="2"/>
      <c r="P660" s="2"/>
      <c r="Q660" s="2"/>
      <c r="R660" s="2"/>
      <c r="S660" s="3"/>
      <c r="T660" s="2"/>
      <c r="U660" s="3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3"/>
      <c r="I661" s="2"/>
      <c r="J661" s="3"/>
      <c r="K661" s="3"/>
      <c r="L661" s="2"/>
      <c r="M661" s="2"/>
      <c r="N661" s="2"/>
      <c r="O661" s="2"/>
      <c r="P661" s="2"/>
      <c r="Q661" s="2"/>
      <c r="R661" s="2"/>
      <c r="S661" s="3"/>
      <c r="T661" s="2"/>
      <c r="U661" s="3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3"/>
      <c r="I662" s="2"/>
      <c r="J662" s="3"/>
      <c r="K662" s="3"/>
      <c r="L662" s="2"/>
      <c r="M662" s="2"/>
      <c r="N662" s="2"/>
      <c r="O662" s="2"/>
      <c r="P662" s="2"/>
      <c r="Q662" s="2"/>
      <c r="R662" s="2"/>
      <c r="S662" s="3"/>
      <c r="T662" s="2"/>
      <c r="U662" s="3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3"/>
      <c r="I663" s="2"/>
      <c r="J663" s="3"/>
      <c r="K663" s="3"/>
      <c r="L663" s="2"/>
      <c r="M663" s="2"/>
      <c r="N663" s="2"/>
      <c r="O663" s="2"/>
      <c r="P663" s="2"/>
      <c r="Q663" s="2"/>
      <c r="R663" s="2"/>
      <c r="S663" s="3"/>
      <c r="T663" s="2"/>
      <c r="U663" s="3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3"/>
      <c r="I664" s="2"/>
      <c r="J664" s="3"/>
      <c r="K664" s="3"/>
      <c r="L664" s="2"/>
      <c r="M664" s="2"/>
      <c r="N664" s="2"/>
      <c r="O664" s="2"/>
      <c r="P664" s="2"/>
      <c r="Q664" s="2"/>
      <c r="R664" s="2"/>
      <c r="S664" s="3"/>
      <c r="T664" s="2"/>
      <c r="U664" s="3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3"/>
      <c r="I665" s="2"/>
      <c r="J665" s="3"/>
      <c r="K665" s="3"/>
      <c r="L665" s="2"/>
      <c r="M665" s="2"/>
      <c r="N665" s="2"/>
      <c r="O665" s="2"/>
      <c r="P665" s="2"/>
      <c r="Q665" s="2"/>
      <c r="R665" s="2"/>
      <c r="S665" s="3"/>
      <c r="T665" s="2"/>
      <c r="U665" s="3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3"/>
      <c r="I666" s="2"/>
      <c r="J666" s="3"/>
      <c r="K666" s="3"/>
      <c r="L666" s="2"/>
      <c r="M666" s="2"/>
      <c r="N666" s="2"/>
      <c r="O666" s="2"/>
      <c r="P666" s="2"/>
      <c r="Q666" s="2"/>
      <c r="R666" s="2"/>
      <c r="S666" s="3"/>
      <c r="T666" s="2"/>
      <c r="U666" s="3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3"/>
      <c r="I667" s="2"/>
      <c r="J667" s="3"/>
      <c r="K667" s="3"/>
      <c r="L667" s="2"/>
      <c r="M667" s="2"/>
      <c r="N667" s="2"/>
      <c r="O667" s="2"/>
      <c r="P667" s="2"/>
      <c r="Q667" s="2"/>
      <c r="R667" s="2"/>
      <c r="S667" s="3"/>
      <c r="T667" s="2"/>
      <c r="U667" s="3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3"/>
      <c r="I668" s="2"/>
      <c r="J668" s="3"/>
      <c r="K668" s="3"/>
      <c r="L668" s="2"/>
      <c r="M668" s="2"/>
      <c r="N668" s="2"/>
      <c r="O668" s="2"/>
      <c r="P668" s="2"/>
      <c r="Q668" s="2"/>
      <c r="R668" s="2"/>
      <c r="S668" s="3"/>
      <c r="T668" s="2"/>
      <c r="U668" s="3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3"/>
      <c r="I669" s="2"/>
      <c r="J669" s="3"/>
      <c r="K669" s="3"/>
      <c r="L669" s="2"/>
      <c r="M669" s="2"/>
      <c r="N669" s="2"/>
      <c r="O669" s="2"/>
      <c r="P669" s="2"/>
      <c r="Q669" s="2"/>
      <c r="R669" s="2"/>
      <c r="S669" s="3"/>
      <c r="T669" s="2"/>
      <c r="U669" s="3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3"/>
      <c r="I670" s="2"/>
      <c r="J670" s="3"/>
      <c r="K670" s="3"/>
      <c r="L670" s="2"/>
      <c r="M670" s="2"/>
      <c r="N670" s="2"/>
      <c r="O670" s="2"/>
      <c r="P670" s="2"/>
      <c r="Q670" s="2"/>
      <c r="R670" s="2"/>
      <c r="S670" s="3"/>
      <c r="T670" s="2"/>
      <c r="U670" s="3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3"/>
      <c r="I671" s="2"/>
      <c r="J671" s="3"/>
      <c r="K671" s="3"/>
      <c r="L671" s="2"/>
      <c r="M671" s="2"/>
      <c r="N671" s="2"/>
      <c r="O671" s="2"/>
      <c r="P671" s="2"/>
      <c r="Q671" s="2"/>
      <c r="R671" s="2"/>
      <c r="S671" s="3"/>
      <c r="T671" s="2"/>
      <c r="U671" s="3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3"/>
      <c r="I672" s="2"/>
      <c r="J672" s="3"/>
      <c r="K672" s="3"/>
      <c r="L672" s="2"/>
      <c r="M672" s="2"/>
      <c r="N672" s="2"/>
      <c r="O672" s="2"/>
      <c r="P672" s="2"/>
      <c r="Q672" s="2"/>
      <c r="R672" s="2"/>
      <c r="S672" s="3"/>
      <c r="T672" s="2"/>
      <c r="U672" s="3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3"/>
      <c r="I673" s="2"/>
      <c r="J673" s="3"/>
      <c r="K673" s="3"/>
      <c r="L673" s="2"/>
      <c r="M673" s="2"/>
      <c r="N673" s="2"/>
      <c r="O673" s="2"/>
      <c r="P673" s="2"/>
      <c r="Q673" s="2"/>
      <c r="R673" s="2"/>
      <c r="S673" s="3"/>
      <c r="T673" s="2"/>
      <c r="U673" s="3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3"/>
      <c r="I674" s="2"/>
      <c r="J674" s="3"/>
      <c r="K674" s="3"/>
      <c r="L674" s="2"/>
      <c r="M674" s="2"/>
      <c r="N674" s="2"/>
      <c r="O674" s="2"/>
      <c r="P674" s="2"/>
      <c r="Q674" s="2"/>
      <c r="R674" s="2"/>
      <c r="S674" s="3"/>
      <c r="T674" s="2"/>
      <c r="U674" s="3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3"/>
      <c r="I675" s="2"/>
      <c r="J675" s="3"/>
      <c r="K675" s="3"/>
      <c r="L675" s="2"/>
      <c r="M675" s="2"/>
      <c r="N675" s="2"/>
      <c r="O675" s="2"/>
      <c r="P675" s="2"/>
      <c r="Q675" s="2"/>
      <c r="R675" s="2"/>
      <c r="S675" s="3"/>
      <c r="T675" s="2"/>
      <c r="U675" s="3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3"/>
      <c r="I676" s="2"/>
      <c r="J676" s="3"/>
      <c r="K676" s="3"/>
      <c r="L676" s="2"/>
      <c r="M676" s="2"/>
      <c r="N676" s="2"/>
      <c r="O676" s="2"/>
      <c r="P676" s="2"/>
      <c r="Q676" s="2"/>
      <c r="R676" s="2"/>
      <c r="S676" s="3"/>
      <c r="T676" s="2"/>
      <c r="U676" s="3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3"/>
      <c r="I677" s="2"/>
      <c r="J677" s="3"/>
      <c r="K677" s="3"/>
      <c r="L677" s="2"/>
      <c r="M677" s="2"/>
      <c r="N677" s="2"/>
      <c r="O677" s="2"/>
      <c r="P677" s="2"/>
      <c r="Q677" s="2"/>
      <c r="R677" s="2"/>
      <c r="S677" s="3"/>
      <c r="T677" s="2"/>
      <c r="U677" s="3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3"/>
      <c r="I678" s="2"/>
      <c r="J678" s="3"/>
      <c r="K678" s="3"/>
      <c r="L678" s="2"/>
      <c r="M678" s="2"/>
      <c r="N678" s="2"/>
      <c r="O678" s="2"/>
      <c r="P678" s="2"/>
      <c r="Q678" s="2"/>
      <c r="R678" s="2"/>
      <c r="S678" s="3"/>
      <c r="T678" s="2"/>
      <c r="U678" s="3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3"/>
      <c r="I679" s="2"/>
      <c r="J679" s="3"/>
      <c r="K679" s="3"/>
      <c r="L679" s="2"/>
      <c r="M679" s="2"/>
      <c r="N679" s="2"/>
      <c r="O679" s="2"/>
      <c r="P679" s="2"/>
      <c r="Q679" s="2"/>
      <c r="R679" s="2"/>
      <c r="S679" s="3"/>
      <c r="T679" s="2"/>
      <c r="U679" s="3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3"/>
      <c r="I680" s="2"/>
      <c r="J680" s="3"/>
      <c r="K680" s="3"/>
      <c r="L680" s="2"/>
      <c r="M680" s="2"/>
      <c r="N680" s="2"/>
      <c r="O680" s="2"/>
      <c r="P680" s="2"/>
      <c r="Q680" s="2"/>
      <c r="R680" s="2"/>
      <c r="S680" s="3"/>
      <c r="T680" s="2"/>
      <c r="U680" s="3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3"/>
      <c r="I681" s="2"/>
      <c r="J681" s="3"/>
      <c r="K681" s="3"/>
      <c r="L681" s="2"/>
      <c r="M681" s="2"/>
      <c r="N681" s="2"/>
      <c r="O681" s="2"/>
      <c r="P681" s="2"/>
      <c r="Q681" s="2"/>
      <c r="R681" s="2"/>
      <c r="S681" s="3"/>
      <c r="T681" s="2"/>
      <c r="U681" s="3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3"/>
      <c r="I682" s="2"/>
      <c r="J682" s="3"/>
      <c r="K682" s="3"/>
      <c r="L682" s="2"/>
      <c r="M682" s="2"/>
      <c r="N682" s="2"/>
      <c r="O682" s="2"/>
      <c r="P682" s="2"/>
      <c r="Q682" s="2"/>
      <c r="R682" s="2"/>
      <c r="S682" s="3"/>
      <c r="T682" s="2"/>
      <c r="U682" s="3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3"/>
      <c r="I683" s="2"/>
      <c r="J683" s="3"/>
      <c r="K683" s="3"/>
      <c r="L683" s="2"/>
      <c r="M683" s="2"/>
      <c r="N683" s="2"/>
      <c r="O683" s="2"/>
      <c r="P683" s="2"/>
      <c r="Q683" s="2"/>
      <c r="R683" s="2"/>
      <c r="S683" s="3"/>
      <c r="T683" s="2"/>
      <c r="U683" s="3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3"/>
      <c r="I684" s="2"/>
      <c r="J684" s="3"/>
      <c r="K684" s="3"/>
      <c r="L684" s="2"/>
      <c r="M684" s="2"/>
      <c r="N684" s="2"/>
      <c r="O684" s="2"/>
      <c r="P684" s="2"/>
      <c r="Q684" s="2"/>
      <c r="R684" s="2"/>
      <c r="S684" s="3"/>
      <c r="T684" s="2"/>
      <c r="U684" s="3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3"/>
      <c r="I685" s="2"/>
      <c r="J685" s="3"/>
      <c r="K685" s="3"/>
      <c r="L685" s="2"/>
      <c r="M685" s="2"/>
      <c r="N685" s="2"/>
      <c r="O685" s="2"/>
      <c r="P685" s="2"/>
      <c r="Q685" s="2"/>
      <c r="R685" s="2"/>
      <c r="S685" s="3"/>
      <c r="T685" s="2"/>
      <c r="U685" s="3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3"/>
      <c r="I686" s="2"/>
      <c r="J686" s="3"/>
      <c r="K686" s="3"/>
      <c r="L686" s="2"/>
      <c r="M686" s="2"/>
      <c r="N686" s="2"/>
      <c r="O686" s="2"/>
      <c r="P686" s="2"/>
      <c r="Q686" s="2"/>
      <c r="R686" s="2"/>
      <c r="S686" s="3"/>
      <c r="T686" s="2"/>
      <c r="U686" s="3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3"/>
      <c r="I687" s="2"/>
      <c r="J687" s="3"/>
      <c r="K687" s="3"/>
      <c r="L687" s="2"/>
      <c r="M687" s="2"/>
      <c r="N687" s="2"/>
      <c r="O687" s="2"/>
      <c r="P687" s="2"/>
      <c r="Q687" s="2"/>
      <c r="R687" s="2"/>
      <c r="S687" s="3"/>
      <c r="T687" s="2"/>
      <c r="U687" s="3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3"/>
      <c r="I688" s="2"/>
      <c r="J688" s="3"/>
      <c r="K688" s="3"/>
      <c r="L688" s="2"/>
      <c r="M688" s="2"/>
      <c r="N688" s="2"/>
      <c r="O688" s="2"/>
      <c r="P688" s="2"/>
      <c r="Q688" s="2"/>
      <c r="R688" s="2"/>
      <c r="S688" s="3"/>
      <c r="T688" s="2"/>
      <c r="U688" s="3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3"/>
      <c r="I689" s="2"/>
      <c r="J689" s="3"/>
      <c r="K689" s="3"/>
      <c r="L689" s="2"/>
      <c r="M689" s="2"/>
      <c r="N689" s="2"/>
      <c r="O689" s="2"/>
      <c r="P689" s="2"/>
      <c r="Q689" s="2"/>
      <c r="R689" s="2"/>
      <c r="S689" s="3"/>
      <c r="T689" s="2"/>
      <c r="U689" s="3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3"/>
      <c r="I690" s="2"/>
      <c r="J690" s="3"/>
      <c r="K690" s="3"/>
      <c r="L690" s="2"/>
      <c r="M690" s="2"/>
      <c r="N690" s="2"/>
      <c r="O690" s="2"/>
      <c r="P690" s="2"/>
      <c r="Q690" s="2"/>
      <c r="R690" s="2"/>
      <c r="S690" s="3"/>
      <c r="T690" s="2"/>
      <c r="U690" s="3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3"/>
      <c r="I691" s="2"/>
      <c r="J691" s="3"/>
      <c r="K691" s="3"/>
      <c r="L691" s="2"/>
      <c r="M691" s="2"/>
      <c r="N691" s="2"/>
      <c r="O691" s="2"/>
      <c r="P691" s="2"/>
      <c r="Q691" s="2"/>
      <c r="R691" s="2"/>
      <c r="S691" s="3"/>
      <c r="T691" s="2"/>
      <c r="U691" s="3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3"/>
      <c r="I692" s="2"/>
      <c r="J692" s="3"/>
      <c r="K692" s="3"/>
      <c r="L692" s="2"/>
      <c r="M692" s="2"/>
      <c r="N692" s="2"/>
      <c r="O692" s="2"/>
      <c r="P692" s="2"/>
      <c r="Q692" s="2"/>
      <c r="R692" s="2"/>
      <c r="S692" s="3"/>
      <c r="T692" s="2"/>
      <c r="U692" s="3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3"/>
      <c r="I693" s="2"/>
      <c r="J693" s="3"/>
      <c r="K693" s="3"/>
      <c r="L693" s="2"/>
      <c r="M693" s="2"/>
      <c r="N693" s="2"/>
      <c r="O693" s="2"/>
      <c r="P693" s="2"/>
      <c r="Q693" s="2"/>
      <c r="R693" s="2"/>
      <c r="S693" s="3"/>
      <c r="T693" s="2"/>
      <c r="U693" s="3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3"/>
      <c r="I694" s="2"/>
      <c r="J694" s="3"/>
      <c r="K694" s="3"/>
      <c r="L694" s="2"/>
      <c r="M694" s="2"/>
      <c r="N694" s="2"/>
      <c r="O694" s="2"/>
      <c r="P694" s="2"/>
      <c r="Q694" s="2"/>
      <c r="R694" s="2"/>
      <c r="S694" s="3"/>
      <c r="T694" s="2"/>
      <c r="U694" s="3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3"/>
      <c r="I695" s="2"/>
      <c r="J695" s="3"/>
      <c r="K695" s="3"/>
      <c r="L695" s="2"/>
      <c r="M695" s="2"/>
      <c r="N695" s="2"/>
      <c r="O695" s="2"/>
      <c r="P695" s="2"/>
      <c r="Q695" s="2"/>
      <c r="R695" s="2"/>
      <c r="S695" s="3"/>
      <c r="T695" s="2"/>
      <c r="U695" s="3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3"/>
      <c r="I696" s="2"/>
      <c r="J696" s="3"/>
      <c r="K696" s="3"/>
      <c r="L696" s="2"/>
      <c r="M696" s="2"/>
      <c r="N696" s="2"/>
      <c r="O696" s="2"/>
      <c r="P696" s="2"/>
      <c r="Q696" s="2"/>
      <c r="R696" s="2"/>
      <c r="S696" s="3"/>
      <c r="T696" s="2"/>
      <c r="U696" s="3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3"/>
      <c r="I697" s="2"/>
      <c r="J697" s="3"/>
      <c r="K697" s="3"/>
      <c r="L697" s="2"/>
      <c r="M697" s="2"/>
      <c r="N697" s="2"/>
      <c r="O697" s="2"/>
      <c r="P697" s="2"/>
      <c r="Q697" s="2"/>
      <c r="R697" s="2"/>
      <c r="S697" s="3"/>
      <c r="T697" s="2"/>
      <c r="U697" s="3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3"/>
      <c r="I698" s="2"/>
      <c r="J698" s="3"/>
      <c r="K698" s="3"/>
      <c r="L698" s="2"/>
      <c r="M698" s="2"/>
      <c r="N698" s="2"/>
      <c r="O698" s="2"/>
      <c r="P698" s="2"/>
      <c r="Q698" s="2"/>
      <c r="R698" s="2"/>
      <c r="S698" s="3"/>
      <c r="T698" s="2"/>
      <c r="U698" s="3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3"/>
      <c r="I699" s="2"/>
      <c r="J699" s="3"/>
      <c r="K699" s="3"/>
      <c r="L699" s="2"/>
      <c r="M699" s="2"/>
      <c r="N699" s="2"/>
      <c r="O699" s="2"/>
      <c r="P699" s="2"/>
      <c r="Q699" s="2"/>
      <c r="R699" s="2"/>
      <c r="S699" s="3"/>
      <c r="T699" s="2"/>
      <c r="U699" s="3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3"/>
      <c r="I700" s="2"/>
      <c r="J700" s="3"/>
      <c r="K700" s="3"/>
      <c r="L700" s="2"/>
      <c r="M700" s="2"/>
      <c r="N700" s="2"/>
      <c r="O700" s="2"/>
      <c r="P700" s="2"/>
      <c r="Q700" s="2"/>
      <c r="R700" s="2"/>
      <c r="S700" s="3"/>
      <c r="T700" s="2"/>
      <c r="U700" s="3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3"/>
      <c r="I701" s="2"/>
      <c r="J701" s="3"/>
      <c r="K701" s="3"/>
      <c r="L701" s="2"/>
      <c r="M701" s="2"/>
      <c r="N701" s="2"/>
      <c r="O701" s="2"/>
      <c r="P701" s="2"/>
      <c r="Q701" s="2"/>
      <c r="R701" s="2"/>
      <c r="S701" s="3"/>
      <c r="T701" s="2"/>
      <c r="U701" s="3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3"/>
      <c r="I702" s="2"/>
      <c r="J702" s="3"/>
      <c r="K702" s="3"/>
      <c r="L702" s="2"/>
      <c r="M702" s="2"/>
      <c r="N702" s="2"/>
      <c r="O702" s="2"/>
      <c r="P702" s="2"/>
      <c r="Q702" s="2"/>
      <c r="R702" s="2"/>
      <c r="S702" s="3"/>
      <c r="T702" s="2"/>
      <c r="U702" s="3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3"/>
      <c r="I703" s="2"/>
      <c r="J703" s="3"/>
      <c r="K703" s="3"/>
      <c r="L703" s="2"/>
      <c r="M703" s="2"/>
      <c r="N703" s="2"/>
      <c r="O703" s="2"/>
      <c r="P703" s="2"/>
      <c r="Q703" s="2"/>
      <c r="R703" s="2"/>
      <c r="S703" s="3"/>
      <c r="T703" s="2"/>
      <c r="U703" s="3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3"/>
      <c r="I704" s="2"/>
      <c r="J704" s="3"/>
      <c r="K704" s="3"/>
      <c r="L704" s="2"/>
      <c r="M704" s="2"/>
      <c r="N704" s="2"/>
      <c r="O704" s="2"/>
      <c r="P704" s="2"/>
      <c r="Q704" s="2"/>
      <c r="R704" s="2"/>
      <c r="S704" s="3"/>
      <c r="T704" s="2"/>
      <c r="U704" s="3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3"/>
      <c r="I705" s="2"/>
      <c r="J705" s="3"/>
      <c r="K705" s="3"/>
      <c r="L705" s="2"/>
      <c r="M705" s="2"/>
      <c r="N705" s="2"/>
      <c r="O705" s="2"/>
      <c r="P705" s="2"/>
      <c r="Q705" s="2"/>
      <c r="R705" s="2"/>
      <c r="S705" s="3"/>
      <c r="T705" s="2"/>
      <c r="U705" s="3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3"/>
      <c r="I706" s="2"/>
      <c r="J706" s="3"/>
      <c r="K706" s="3"/>
      <c r="L706" s="2"/>
      <c r="M706" s="2"/>
      <c r="N706" s="2"/>
      <c r="O706" s="2"/>
      <c r="P706" s="2"/>
      <c r="Q706" s="2"/>
      <c r="R706" s="2"/>
      <c r="S706" s="3"/>
      <c r="T706" s="2"/>
      <c r="U706" s="3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3"/>
      <c r="I707" s="2"/>
      <c r="J707" s="3"/>
      <c r="K707" s="3"/>
      <c r="L707" s="2"/>
      <c r="M707" s="2"/>
      <c r="N707" s="2"/>
      <c r="O707" s="2"/>
      <c r="P707" s="2"/>
      <c r="Q707" s="2"/>
      <c r="R707" s="2"/>
      <c r="S707" s="3"/>
      <c r="T707" s="2"/>
      <c r="U707" s="3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3"/>
      <c r="I708" s="2"/>
      <c r="J708" s="3"/>
      <c r="K708" s="3"/>
      <c r="L708" s="2"/>
      <c r="M708" s="2"/>
      <c r="N708" s="2"/>
      <c r="O708" s="2"/>
      <c r="P708" s="2"/>
      <c r="Q708" s="2"/>
      <c r="R708" s="2"/>
      <c r="S708" s="3"/>
      <c r="T708" s="2"/>
      <c r="U708" s="3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3"/>
      <c r="I709" s="2"/>
      <c r="J709" s="3"/>
      <c r="K709" s="3"/>
      <c r="L709" s="2"/>
      <c r="M709" s="2"/>
      <c r="N709" s="2"/>
      <c r="O709" s="2"/>
      <c r="P709" s="2"/>
      <c r="Q709" s="2"/>
      <c r="R709" s="2"/>
      <c r="S709" s="3"/>
      <c r="T709" s="2"/>
      <c r="U709" s="3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3"/>
      <c r="I710" s="2"/>
      <c r="J710" s="3"/>
      <c r="K710" s="3"/>
      <c r="L710" s="2"/>
      <c r="M710" s="2"/>
      <c r="N710" s="2"/>
      <c r="O710" s="2"/>
      <c r="P710" s="2"/>
      <c r="Q710" s="2"/>
      <c r="R710" s="2"/>
      <c r="S710" s="3"/>
      <c r="T710" s="2"/>
      <c r="U710" s="3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3"/>
      <c r="I711" s="2"/>
      <c r="J711" s="3"/>
      <c r="K711" s="3"/>
      <c r="L711" s="2"/>
      <c r="M711" s="2"/>
      <c r="N711" s="2"/>
      <c r="O711" s="2"/>
      <c r="P711" s="2"/>
      <c r="Q711" s="2"/>
      <c r="R711" s="2"/>
      <c r="S711" s="3"/>
      <c r="T711" s="2"/>
      <c r="U711" s="3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3"/>
      <c r="I712" s="2"/>
      <c r="J712" s="3"/>
      <c r="K712" s="3"/>
      <c r="L712" s="2"/>
      <c r="M712" s="2"/>
      <c r="N712" s="2"/>
      <c r="O712" s="2"/>
      <c r="P712" s="2"/>
      <c r="Q712" s="2"/>
      <c r="R712" s="2"/>
      <c r="S712" s="3"/>
      <c r="T712" s="2"/>
      <c r="U712" s="3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3"/>
      <c r="I713" s="2"/>
      <c r="J713" s="3"/>
      <c r="K713" s="3"/>
      <c r="L713" s="2"/>
      <c r="M713" s="2"/>
      <c r="N713" s="2"/>
      <c r="O713" s="2"/>
      <c r="P713" s="2"/>
      <c r="Q713" s="2"/>
      <c r="R713" s="2"/>
      <c r="S713" s="3"/>
      <c r="T713" s="2"/>
      <c r="U713" s="3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3"/>
      <c r="I714" s="2"/>
      <c r="J714" s="3"/>
      <c r="K714" s="3"/>
      <c r="L714" s="2"/>
      <c r="M714" s="2"/>
      <c r="N714" s="2"/>
      <c r="O714" s="2"/>
      <c r="P714" s="2"/>
      <c r="Q714" s="2"/>
      <c r="R714" s="2"/>
      <c r="S714" s="3"/>
      <c r="T714" s="2"/>
      <c r="U714" s="3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3"/>
      <c r="I715" s="2"/>
      <c r="J715" s="3"/>
      <c r="K715" s="3"/>
      <c r="L715" s="2"/>
      <c r="M715" s="2"/>
      <c r="N715" s="2"/>
      <c r="O715" s="2"/>
      <c r="P715" s="2"/>
      <c r="Q715" s="2"/>
      <c r="R715" s="2"/>
      <c r="S715" s="3"/>
      <c r="T715" s="2"/>
      <c r="U715" s="3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3"/>
      <c r="I716" s="2"/>
      <c r="J716" s="3"/>
      <c r="K716" s="3"/>
      <c r="L716" s="2"/>
      <c r="M716" s="2"/>
      <c r="N716" s="2"/>
      <c r="O716" s="2"/>
      <c r="P716" s="2"/>
      <c r="Q716" s="2"/>
      <c r="R716" s="2"/>
      <c r="S716" s="3"/>
      <c r="T716" s="2"/>
      <c r="U716" s="3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3"/>
      <c r="I717" s="2"/>
      <c r="J717" s="3"/>
      <c r="K717" s="3"/>
      <c r="L717" s="2"/>
      <c r="M717" s="2"/>
      <c r="N717" s="2"/>
      <c r="O717" s="2"/>
      <c r="P717" s="2"/>
      <c r="Q717" s="2"/>
      <c r="R717" s="2"/>
      <c r="S717" s="3"/>
      <c r="T717" s="2"/>
      <c r="U717" s="3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3"/>
      <c r="I718" s="2"/>
      <c r="J718" s="3"/>
      <c r="K718" s="3"/>
      <c r="L718" s="2"/>
      <c r="M718" s="2"/>
      <c r="N718" s="2"/>
      <c r="O718" s="2"/>
      <c r="P718" s="2"/>
      <c r="Q718" s="2"/>
      <c r="R718" s="2"/>
      <c r="S718" s="3"/>
      <c r="T718" s="2"/>
      <c r="U718" s="3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3"/>
      <c r="I719" s="2"/>
      <c r="J719" s="3"/>
      <c r="K719" s="3"/>
      <c r="L719" s="2"/>
      <c r="M719" s="2"/>
      <c r="N719" s="2"/>
      <c r="O719" s="2"/>
      <c r="P719" s="2"/>
      <c r="Q719" s="2"/>
      <c r="R719" s="2"/>
      <c r="S719" s="3"/>
      <c r="T719" s="2"/>
      <c r="U719" s="3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3"/>
      <c r="I720" s="2"/>
      <c r="J720" s="3"/>
      <c r="K720" s="3"/>
      <c r="L720" s="2"/>
      <c r="M720" s="2"/>
      <c r="N720" s="2"/>
      <c r="O720" s="2"/>
      <c r="P720" s="2"/>
      <c r="Q720" s="2"/>
      <c r="R720" s="2"/>
      <c r="S720" s="3"/>
      <c r="T720" s="2"/>
      <c r="U720" s="3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3"/>
      <c r="I721" s="2"/>
      <c r="J721" s="3"/>
      <c r="K721" s="3"/>
      <c r="L721" s="2"/>
      <c r="M721" s="2"/>
      <c r="N721" s="2"/>
      <c r="O721" s="2"/>
      <c r="P721" s="2"/>
      <c r="Q721" s="2"/>
      <c r="R721" s="2"/>
      <c r="S721" s="3"/>
      <c r="T721" s="2"/>
      <c r="U721" s="3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3"/>
      <c r="I722" s="2"/>
      <c r="J722" s="3"/>
      <c r="K722" s="3"/>
      <c r="L722" s="2"/>
      <c r="M722" s="2"/>
      <c r="N722" s="2"/>
      <c r="O722" s="2"/>
      <c r="P722" s="2"/>
      <c r="Q722" s="2"/>
      <c r="R722" s="2"/>
      <c r="S722" s="3"/>
      <c r="T722" s="2"/>
      <c r="U722" s="3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3"/>
      <c r="I723" s="2"/>
      <c r="J723" s="3"/>
      <c r="K723" s="3"/>
      <c r="L723" s="2"/>
      <c r="M723" s="2"/>
      <c r="N723" s="2"/>
      <c r="O723" s="2"/>
      <c r="P723" s="2"/>
      <c r="Q723" s="2"/>
      <c r="R723" s="2"/>
      <c r="S723" s="3"/>
      <c r="T723" s="2"/>
      <c r="U723" s="3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3"/>
      <c r="I724" s="2"/>
      <c r="J724" s="3"/>
      <c r="K724" s="3"/>
      <c r="L724" s="2"/>
      <c r="M724" s="2"/>
      <c r="N724" s="2"/>
      <c r="O724" s="2"/>
      <c r="P724" s="2"/>
      <c r="Q724" s="2"/>
      <c r="R724" s="2"/>
      <c r="S724" s="3"/>
      <c r="T724" s="2"/>
      <c r="U724" s="3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3"/>
      <c r="I725" s="2"/>
      <c r="J725" s="3"/>
      <c r="K725" s="3"/>
      <c r="L725" s="2"/>
      <c r="M725" s="2"/>
      <c r="N725" s="2"/>
      <c r="O725" s="2"/>
      <c r="P725" s="2"/>
      <c r="Q725" s="2"/>
      <c r="R725" s="2"/>
      <c r="S725" s="3"/>
      <c r="T725" s="2"/>
      <c r="U725" s="3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3"/>
      <c r="I726" s="2"/>
      <c r="J726" s="3"/>
      <c r="K726" s="3"/>
      <c r="L726" s="2"/>
      <c r="M726" s="2"/>
      <c r="N726" s="2"/>
      <c r="O726" s="2"/>
      <c r="P726" s="2"/>
      <c r="Q726" s="2"/>
      <c r="R726" s="2"/>
      <c r="S726" s="3"/>
      <c r="T726" s="2"/>
      <c r="U726" s="3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3"/>
      <c r="I727" s="2"/>
      <c r="J727" s="3"/>
      <c r="K727" s="3"/>
      <c r="L727" s="2"/>
      <c r="M727" s="2"/>
      <c r="N727" s="2"/>
      <c r="O727" s="2"/>
      <c r="P727" s="2"/>
      <c r="Q727" s="2"/>
      <c r="R727" s="2"/>
      <c r="S727" s="3"/>
      <c r="T727" s="2"/>
      <c r="U727" s="3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3"/>
      <c r="I728" s="2"/>
      <c r="J728" s="3"/>
      <c r="K728" s="3"/>
      <c r="L728" s="2"/>
      <c r="M728" s="2"/>
      <c r="N728" s="2"/>
      <c r="O728" s="2"/>
      <c r="P728" s="2"/>
      <c r="Q728" s="2"/>
      <c r="R728" s="2"/>
      <c r="S728" s="3"/>
      <c r="T728" s="2"/>
      <c r="U728" s="3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3"/>
      <c r="I729" s="2"/>
      <c r="J729" s="3"/>
      <c r="K729" s="3"/>
      <c r="L729" s="2"/>
      <c r="M729" s="2"/>
      <c r="N729" s="2"/>
      <c r="O729" s="2"/>
      <c r="P729" s="2"/>
      <c r="Q729" s="2"/>
      <c r="R729" s="2"/>
      <c r="S729" s="3"/>
      <c r="T729" s="2"/>
      <c r="U729" s="3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3"/>
      <c r="I730" s="2"/>
      <c r="J730" s="3"/>
      <c r="K730" s="3"/>
      <c r="L730" s="2"/>
      <c r="M730" s="2"/>
      <c r="N730" s="2"/>
      <c r="O730" s="2"/>
      <c r="P730" s="2"/>
      <c r="Q730" s="2"/>
      <c r="R730" s="2"/>
      <c r="S730" s="3"/>
      <c r="T730" s="2"/>
      <c r="U730" s="3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3"/>
      <c r="I731" s="2"/>
      <c r="J731" s="3"/>
      <c r="K731" s="3"/>
      <c r="L731" s="2"/>
      <c r="M731" s="2"/>
      <c r="N731" s="2"/>
      <c r="O731" s="2"/>
      <c r="P731" s="2"/>
      <c r="Q731" s="2"/>
      <c r="R731" s="2"/>
      <c r="S731" s="3"/>
      <c r="T731" s="2"/>
      <c r="U731" s="3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3"/>
      <c r="I732" s="2"/>
      <c r="J732" s="3"/>
      <c r="K732" s="3"/>
      <c r="L732" s="2"/>
      <c r="M732" s="2"/>
      <c r="N732" s="2"/>
      <c r="O732" s="2"/>
      <c r="P732" s="2"/>
      <c r="Q732" s="2"/>
      <c r="R732" s="2"/>
      <c r="S732" s="3"/>
      <c r="T732" s="2"/>
      <c r="U732" s="3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3"/>
      <c r="I733" s="2"/>
      <c r="J733" s="3"/>
      <c r="K733" s="3"/>
      <c r="L733" s="2"/>
      <c r="M733" s="2"/>
      <c r="N733" s="2"/>
      <c r="O733" s="2"/>
      <c r="P733" s="2"/>
      <c r="Q733" s="2"/>
      <c r="R733" s="2"/>
      <c r="S733" s="3"/>
      <c r="T733" s="2"/>
      <c r="U733" s="3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3"/>
      <c r="I734" s="2"/>
      <c r="J734" s="3"/>
      <c r="K734" s="3"/>
      <c r="L734" s="2"/>
      <c r="M734" s="2"/>
      <c r="N734" s="2"/>
      <c r="O734" s="2"/>
      <c r="P734" s="2"/>
      <c r="Q734" s="2"/>
      <c r="R734" s="2"/>
      <c r="S734" s="3"/>
      <c r="T734" s="2"/>
      <c r="U734" s="3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3"/>
      <c r="I735" s="2"/>
      <c r="J735" s="3"/>
      <c r="K735" s="3"/>
      <c r="L735" s="2"/>
      <c r="M735" s="2"/>
      <c r="N735" s="2"/>
      <c r="O735" s="2"/>
      <c r="P735" s="2"/>
      <c r="Q735" s="2"/>
      <c r="R735" s="2"/>
      <c r="S735" s="3"/>
      <c r="T735" s="2"/>
      <c r="U735" s="3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3"/>
      <c r="I736" s="2"/>
      <c r="J736" s="3"/>
      <c r="K736" s="3"/>
      <c r="L736" s="2"/>
      <c r="M736" s="2"/>
      <c r="N736" s="2"/>
      <c r="O736" s="2"/>
      <c r="P736" s="2"/>
      <c r="Q736" s="2"/>
      <c r="R736" s="2"/>
      <c r="S736" s="3"/>
      <c r="T736" s="2"/>
      <c r="U736" s="3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3"/>
      <c r="I737" s="2"/>
      <c r="J737" s="3"/>
      <c r="K737" s="3"/>
      <c r="L737" s="2"/>
      <c r="M737" s="2"/>
      <c r="N737" s="2"/>
      <c r="O737" s="2"/>
      <c r="P737" s="2"/>
      <c r="Q737" s="2"/>
      <c r="R737" s="2"/>
      <c r="S737" s="3"/>
      <c r="T737" s="2"/>
      <c r="U737" s="3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3"/>
      <c r="I738" s="2"/>
      <c r="J738" s="3"/>
      <c r="K738" s="3"/>
      <c r="L738" s="2"/>
      <c r="M738" s="2"/>
      <c r="N738" s="2"/>
      <c r="O738" s="2"/>
      <c r="P738" s="2"/>
      <c r="Q738" s="2"/>
      <c r="R738" s="2"/>
      <c r="S738" s="3"/>
      <c r="T738" s="2"/>
      <c r="U738" s="3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3"/>
      <c r="I739" s="2"/>
      <c r="J739" s="3"/>
      <c r="K739" s="3"/>
      <c r="L739" s="2"/>
      <c r="M739" s="2"/>
      <c r="N739" s="2"/>
      <c r="O739" s="2"/>
      <c r="P739" s="2"/>
      <c r="Q739" s="2"/>
      <c r="R739" s="2"/>
      <c r="S739" s="3"/>
      <c r="T739" s="2"/>
      <c r="U739" s="3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3"/>
      <c r="I740" s="2"/>
      <c r="J740" s="3"/>
      <c r="K740" s="3"/>
      <c r="L740" s="2"/>
      <c r="M740" s="2"/>
      <c r="N740" s="2"/>
      <c r="O740" s="2"/>
      <c r="P740" s="2"/>
      <c r="Q740" s="2"/>
      <c r="R740" s="2"/>
      <c r="S740" s="3"/>
      <c r="T740" s="2"/>
      <c r="U740" s="3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3"/>
      <c r="I741" s="2"/>
      <c r="J741" s="3"/>
      <c r="K741" s="3"/>
      <c r="L741" s="2"/>
      <c r="M741" s="2"/>
      <c r="N741" s="2"/>
      <c r="O741" s="2"/>
      <c r="P741" s="2"/>
      <c r="Q741" s="2"/>
      <c r="R741" s="2"/>
      <c r="S741" s="3"/>
      <c r="T741" s="2"/>
      <c r="U741" s="3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3"/>
      <c r="I742" s="2"/>
      <c r="J742" s="3"/>
      <c r="K742" s="3"/>
      <c r="L742" s="2"/>
      <c r="M742" s="2"/>
      <c r="N742" s="2"/>
      <c r="O742" s="2"/>
      <c r="P742" s="2"/>
      <c r="Q742" s="2"/>
      <c r="R742" s="2"/>
      <c r="S742" s="3"/>
      <c r="T742" s="2"/>
      <c r="U742" s="3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3"/>
      <c r="I743" s="2"/>
      <c r="J743" s="3"/>
      <c r="K743" s="3"/>
      <c r="L743" s="2"/>
      <c r="M743" s="2"/>
      <c r="N743" s="2"/>
      <c r="O743" s="2"/>
      <c r="P743" s="2"/>
      <c r="Q743" s="2"/>
      <c r="R743" s="2"/>
      <c r="S743" s="3"/>
      <c r="T743" s="2"/>
      <c r="U743" s="3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3"/>
      <c r="I744" s="2"/>
      <c r="J744" s="3"/>
      <c r="K744" s="3"/>
      <c r="L744" s="2"/>
      <c r="M744" s="2"/>
      <c r="N744" s="2"/>
      <c r="O744" s="2"/>
      <c r="P744" s="2"/>
      <c r="Q744" s="2"/>
      <c r="R744" s="2"/>
      <c r="S744" s="3"/>
      <c r="T744" s="2"/>
      <c r="U744" s="3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3"/>
      <c r="I745" s="2"/>
      <c r="J745" s="3"/>
      <c r="K745" s="3"/>
      <c r="L745" s="2"/>
      <c r="M745" s="2"/>
      <c r="N745" s="2"/>
      <c r="O745" s="2"/>
      <c r="P745" s="2"/>
      <c r="Q745" s="2"/>
      <c r="R745" s="2"/>
      <c r="S745" s="3"/>
      <c r="T745" s="2"/>
      <c r="U745" s="3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3"/>
      <c r="I746" s="2"/>
      <c r="J746" s="3"/>
      <c r="K746" s="3"/>
      <c r="L746" s="2"/>
      <c r="M746" s="2"/>
      <c r="N746" s="2"/>
      <c r="O746" s="2"/>
      <c r="P746" s="2"/>
      <c r="Q746" s="2"/>
      <c r="R746" s="2"/>
      <c r="S746" s="3"/>
      <c r="T746" s="2"/>
      <c r="U746" s="3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3"/>
      <c r="I747" s="2"/>
      <c r="J747" s="3"/>
      <c r="K747" s="3"/>
      <c r="L747" s="2"/>
      <c r="M747" s="2"/>
      <c r="N747" s="2"/>
      <c r="O747" s="2"/>
      <c r="P747" s="2"/>
      <c r="Q747" s="2"/>
      <c r="R747" s="2"/>
      <c r="S747" s="3"/>
      <c r="T747" s="2"/>
      <c r="U747" s="3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3"/>
      <c r="I748" s="2"/>
      <c r="J748" s="3"/>
      <c r="K748" s="3"/>
      <c r="L748" s="2"/>
      <c r="M748" s="2"/>
      <c r="N748" s="2"/>
      <c r="O748" s="2"/>
      <c r="P748" s="2"/>
      <c r="Q748" s="2"/>
      <c r="R748" s="2"/>
      <c r="S748" s="3"/>
      <c r="T748" s="2"/>
      <c r="U748" s="3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3"/>
      <c r="I749" s="2"/>
      <c r="J749" s="3"/>
      <c r="K749" s="3"/>
      <c r="L749" s="2"/>
      <c r="M749" s="2"/>
      <c r="N749" s="2"/>
      <c r="O749" s="2"/>
      <c r="P749" s="2"/>
      <c r="Q749" s="2"/>
      <c r="R749" s="2"/>
      <c r="S749" s="3"/>
      <c r="T749" s="2"/>
      <c r="U749" s="3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3"/>
      <c r="I750" s="2"/>
      <c r="J750" s="3"/>
      <c r="K750" s="3"/>
      <c r="L750" s="2"/>
      <c r="M750" s="2"/>
      <c r="N750" s="2"/>
      <c r="O750" s="2"/>
      <c r="P750" s="2"/>
      <c r="Q750" s="2"/>
      <c r="R750" s="2"/>
      <c r="S750" s="3"/>
      <c r="T750" s="2"/>
      <c r="U750" s="3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3"/>
      <c r="I751" s="2"/>
      <c r="J751" s="3"/>
      <c r="K751" s="3"/>
      <c r="L751" s="2"/>
      <c r="M751" s="2"/>
      <c r="N751" s="2"/>
      <c r="O751" s="2"/>
      <c r="P751" s="2"/>
      <c r="Q751" s="2"/>
      <c r="R751" s="2"/>
      <c r="S751" s="3"/>
      <c r="T751" s="2"/>
      <c r="U751" s="3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3"/>
      <c r="I752" s="2"/>
      <c r="J752" s="3"/>
      <c r="K752" s="3"/>
      <c r="L752" s="2"/>
      <c r="M752" s="2"/>
      <c r="N752" s="2"/>
      <c r="O752" s="2"/>
      <c r="P752" s="2"/>
      <c r="Q752" s="2"/>
      <c r="R752" s="2"/>
      <c r="S752" s="3"/>
      <c r="T752" s="2"/>
      <c r="U752" s="3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3"/>
      <c r="I753" s="2"/>
      <c r="J753" s="3"/>
      <c r="K753" s="3"/>
      <c r="L753" s="2"/>
      <c r="M753" s="2"/>
      <c r="N753" s="2"/>
      <c r="O753" s="2"/>
      <c r="P753" s="2"/>
      <c r="Q753" s="2"/>
      <c r="R753" s="2"/>
      <c r="S753" s="3"/>
      <c r="T753" s="2"/>
      <c r="U753" s="3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3"/>
      <c r="I754" s="2"/>
      <c r="J754" s="3"/>
      <c r="K754" s="3"/>
      <c r="L754" s="2"/>
      <c r="M754" s="2"/>
      <c r="N754" s="2"/>
      <c r="O754" s="2"/>
      <c r="P754" s="2"/>
      <c r="Q754" s="2"/>
      <c r="R754" s="2"/>
      <c r="S754" s="3"/>
      <c r="T754" s="2"/>
      <c r="U754" s="3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3"/>
      <c r="I755" s="2"/>
      <c r="J755" s="3"/>
      <c r="K755" s="3"/>
      <c r="L755" s="2"/>
      <c r="M755" s="2"/>
      <c r="N755" s="2"/>
      <c r="O755" s="2"/>
      <c r="P755" s="2"/>
      <c r="Q755" s="2"/>
      <c r="R755" s="2"/>
      <c r="S755" s="3"/>
      <c r="T755" s="2"/>
      <c r="U755" s="3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3"/>
      <c r="I756" s="2"/>
      <c r="J756" s="3"/>
      <c r="K756" s="3"/>
      <c r="L756" s="2"/>
      <c r="M756" s="2"/>
      <c r="N756" s="2"/>
      <c r="O756" s="2"/>
      <c r="P756" s="2"/>
      <c r="Q756" s="2"/>
      <c r="R756" s="2"/>
      <c r="S756" s="3"/>
      <c r="T756" s="2"/>
      <c r="U756" s="3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3"/>
      <c r="I757" s="2"/>
      <c r="J757" s="3"/>
      <c r="K757" s="3"/>
      <c r="L757" s="2"/>
      <c r="M757" s="2"/>
      <c r="N757" s="2"/>
      <c r="O757" s="2"/>
      <c r="P757" s="2"/>
      <c r="Q757" s="2"/>
      <c r="R757" s="2"/>
      <c r="S757" s="3"/>
      <c r="T757" s="2"/>
      <c r="U757" s="3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3"/>
      <c r="I758" s="2"/>
      <c r="J758" s="3"/>
      <c r="K758" s="3"/>
      <c r="L758" s="2"/>
      <c r="M758" s="2"/>
      <c r="N758" s="2"/>
      <c r="O758" s="2"/>
      <c r="P758" s="2"/>
      <c r="Q758" s="2"/>
      <c r="R758" s="2"/>
      <c r="S758" s="3"/>
      <c r="T758" s="2"/>
      <c r="U758" s="3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3"/>
      <c r="I759" s="2"/>
      <c r="J759" s="3"/>
      <c r="K759" s="3"/>
      <c r="L759" s="2"/>
      <c r="M759" s="2"/>
      <c r="N759" s="2"/>
      <c r="O759" s="2"/>
      <c r="P759" s="2"/>
      <c r="Q759" s="2"/>
      <c r="R759" s="2"/>
      <c r="S759" s="3"/>
      <c r="T759" s="2"/>
      <c r="U759" s="3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3"/>
      <c r="I760" s="2"/>
      <c r="J760" s="3"/>
      <c r="K760" s="3"/>
      <c r="L760" s="2"/>
      <c r="M760" s="2"/>
      <c r="N760" s="2"/>
      <c r="O760" s="2"/>
      <c r="P760" s="2"/>
      <c r="Q760" s="2"/>
      <c r="R760" s="2"/>
      <c r="S760" s="3"/>
      <c r="T760" s="2"/>
      <c r="U760" s="3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3"/>
      <c r="I761" s="2"/>
      <c r="J761" s="3"/>
      <c r="K761" s="3"/>
      <c r="L761" s="2"/>
      <c r="M761" s="2"/>
      <c r="N761" s="2"/>
      <c r="O761" s="2"/>
      <c r="P761" s="2"/>
      <c r="Q761" s="2"/>
      <c r="R761" s="2"/>
      <c r="S761" s="3"/>
      <c r="T761" s="2"/>
      <c r="U761" s="3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3"/>
      <c r="I762" s="2"/>
      <c r="J762" s="3"/>
      <c r="K762" s="3"/>
      <c r="L762" s="2"/>
      <c r="M762" s="2"/>
      <c r="N762" s="2"/>
      <c r="O762" s="2"/>
      <c r="P762" s="2"/>
      <c r="Q762" s="2"/>
      <c r="R762" s="2"/>
      <c r="S762" s="3"/>
      <c r="T762" s="2"/>
      <c r="U762" s="3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3"/>
      <c r="I763" s="2"/>
      <c r="J763" s="3"/>
      <c r="K763" s="3"/>
      <c r="L763" s="2"/>
      <c r="M763" s="2"/>
      <c r="N763" s="2"/>
      <c r="O763" s="2"/>
      <c r="P763" s="2"/>
      <c r="Q763" s="2"/>
      <c r="R763" s="2"/>
      <c r="S763" s="3"/>
      <c r="T763" s="2"/>
      <c r="U763" s="3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3"/>
      <c r="I764" s="2"/>
      <c r="J764" s="3"/>
      <c r="K764" s="3"/>
      <c r="L764" s="2"/>
      <c r="M764" s="2"/>
      <c r="N764" s="2"/>
      <c r="O764" s="2"/>
      <c r="P764" s="2"/>
      <c r="Q764" s="2"/>
      <c r="R764" s="2"/>
      <c r="S764" s="3"/>
      <c r="T764" s="2"/>
      <c r="U764" s="3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3"/>
      <c r="I765" s="2"/>
      <c r="J765" s="3"/>
      <c r="K765" s="3"/>
      <c r="L765" s="2"/>
      <c r="M765" s="2"/>
      <c r="N765" s="2"/>
      <c r="O765" s="2"/>
      <c r="P765" s="2"/>
      <c r="Q765" s="2"/>
      <c r="R765" s="2"/>
      <c r="S765" s="3"/>
      <c r="T765" s="2"/>
      <c r="U765" s="3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3"/>
      <c r="I766" s="2"/>
      <c r="J766" s="3"/>
      <c r="K766" s="3"/>
      <c r="L766" s="2"/>
      <c r="M766" s="2"/>
      <c r="N766" s="2"/>
      <c r="O766" s="2"/>
      <c r="P766" s="2"/>
      <c r="Q766" s="2"/>
      <c r="R766" s="2"/>
      <c r="S766" s="3"/>
      <c r="T766" s="2"/>
      <c r="U766" s="3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3"/>
      <c r="I767" s="2"/>
      <c r="J767" s="3"/>
      <c r="K767" s="3"/>
      <c r="L767" s="2"/>
      <c r="M767" s="2"/>
      <c r="N767" s="2"/>
      <c r="O767" s="2"/>
      <c r="P767" s="2"/>
      <c r="Q767" s="2"/>
      <c r="R767" s="2"/>
      <c r="S767" s="3"/>
      <c r="T767" s="2"/>
      <c r="U767" s="3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3"/>
      <c r="I768" s="2"/>
      <c r="J768" s="3"/>
      <c r="K768" s="3"/>
      <c r="L768" s="2"/>
      <c r="M768" s="2"/>
      <c r="N768" s="2"/>
      <c r="O768" s="2"/>
      <c r="P768" s="2"/>
      <c r="Q768" s="2"/>
      <c r="R768" s="2"/>
      <c r="S768" s="3"/>
      <c r="T768" s="2"/>
      <c r="U768" s="3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3"/>
      <c r="I769" s="2"/>
      <c r="J769" s="3"/>
      <c r="K769" s="3"/>
      <c r="L769" s="2"/>
      <c r="M769" s="2"/>
      <c r="N769" s="2"/>
      <c r="O769" s="2"/>
      <c r="P769" s="2"/>
      <c r="Q769" s="2"/>
      <c r="R769" s="2"/>
      <c r="S769" s="3"/>
      <c r="T769" s="2"/>
      <c r="U769" s="3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3"/>
      <c r="I770" s="2"/>
      <c r="J770" s="3"/>
      <c r="K770" s="3"/>
      <c r="L770" s="2"/>
      <c r="M770" s="2"/>
      <c r="N770" s="2"/>
      <c r="O770" s="2"/>
      <c r="P770" s="2"/>
      <c r="Q770" s="2"/>
      <c r="R770" s="2"/>
      <c r="S770" s="3"/>
      <c r="T770" s="2"/>
      <c r="U770" s="3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3"/>
      <c r="I771" s="2"/>
      <c r="J771" s="3"/>
      <c r="K771" s="3"/>
      <c r="L771" s="2"/>
      <c r="M771" s="2"/>
      <c r="N771" s="2"/>
      <c r="O771" s="2"/>
      <c r="P771" s="2"/>
      <c r="Q771" s="2"/>
      <c r="R771" s="2"/>
      <c r="S771" s="3"/>
      <c r="T771" s="2"/>
      <c r="U771" s="3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3"/>
      <c r="I772" s="2"/>
      <c r="J772" s="3"/>
      <c r="K772" s="3"/>
      <c r="L772" s="2"/>
      <c r="M772" s="2"/>
      <c r="N772" s="2"/>
      <c r="O772" s="2"/>
      <c r="P772" s="2"/>
      <c r="Q772" s="2"/>
      <c r="R772" s="2"/>
      <c r="S772" s="3"/>
      <c r="T772" s="2"/>
      <c r="U772" s="3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3"/>
      <c r="I773" s="2"/>
      <c r="J773" s="3"/>
      <c r="K773" s="3"/>
      <c r="L773" s="2"/>
      <c r="M773" s="2"/>
      <c r="N773" s="2"/>
      <c r="O773" s="2"/>
      <c r="P773" s="2"/>
      <c r="Q773" s="2"/>
      <c r="R773" s="2"/>
      <c r="S773" s="3"/>
      <c r="T773" s="2"/>
      <c r="U773" s="3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3"/>
      <c r="I774" s="2"/>
      <c r="J774" s="3"/>
      <c r="K774" s="3"/>
      <c r="L774" s="2"/>
      <c r="M774" s="2"/>
      <c r="N774" s="2"/>
      <c r="O774" s="2"/>
      <c r="P774" s="2"/>
      <c r="Q774" s="2"/>
      <c r="R774" s="2"/>
      <c r="S774" s="3"/>
      <c r="T774" s="2"/>
      <c r="U774" s="3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3"/>
      <c r="I775" s="2"/>
      <c r="J775" s="3"/>
      <c r="K775" s="3"/>
      <c r="L775" s="2"/>
      <c r="M775" s="2"/>
      <c r="N775" s="2"/>
      <c r="O775" s="2"/>
      <c r="P775" s="2"/>
      <c r="Q775" s="2"/>
      <c r="R775" s="2"/>
      <c r="S775" s="3"/>
      <c r="T775" s="2"/>
      <c r="U775" s="3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3"/>
      <c r="I776" s="2"/>
      <c r="J776" s="3"/>
      <c r="K776" s="3"/>
      <c r="L776" s="2"/>
      <c r="M776" s="2"/>
      <c r="N776" s="2"/>
      <c r="O776" s="2"/>
      <c r="P776" s="2"/>
      <c r="Q776" s="2"/>
      <c r="R776" s="2"/>
      <c r="S776" s="3"/>
      <c r="T776" s="2"/>
      <c r="U776" s="3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3"/>
      <c r="I777" s="2"/>
      <c r="J777" s="3"/>
      <c r="K777" s="3"/>
      <c r="L777" s="2"/>
      <c r="M777" s="2"/>
      <c r="N777" s="2"/>
      <c r="O777" s="2"/>
      <c r="P777" s="2"/>
      <c r="Q777" s="2"/>
      <c r="R777" s="2"/>
      <c r="S777" s="3"/>
      <c r="T777" s="2"/>
      <c r="U777" s="3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3"/>
      <c r="I778" s="2"/>
      <c r="J778" s="3"/>
      <c r="K778" s="3"/>
      <c r="L778" s="2"/>
      <c r="M778" s="2"/>
      <c r="N778" s="2"/>
      <c r="O778" s="2"/>
      <c r="P778" s="2"/>
      <c r="Q778" s="2"/>
      <c r="R778" s="2"/>
      <c r="S778" s="3"/>
      <c r="T778" s="2"/>
      <c r="U778" s="3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3"/>
      <c r="I779" s="2"/>
      <c r="J779" s="3"/>
      <c r="K779" s="3"/>
      <c r="L779" s="2"/>
      <c r="M779" s="2"/>
      <c r="N779" s="2"/>
      <c r="O779" s="2"/>
      <c r="P779" s="2"/>
      <c r="Q779" s="2"/>
      <c r="R779" s="2"/>
      <c r="S779" s="3"/>
      <c r="T779" s="2"/>
      <c r="U779" s="3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3"/>
      <c r="I780" s="2"/>
      <c r="J780" s="3"/>
      <c r="K780" s="3"/>
      <c r="L780" s="2"/>
      <c r="M780" s="2"/>
      <c r="N780" s="2"/>
      <c r="O780" s="2"/>
      <c r="P780" s="2"/>
      <c r="Q780" s="2"/>
      <c r="R780" s="2"/>
      <c r="S780" s="3"/>
      <c r="T780" s="2"/>
      <c r="U780" s="3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3"/>
      <c r="I781" s="2"/>
      <c r="J781" s="3"/>
      <c r="K781" s="3"/>
      <c r="L781" s="2"/>
      <c r="M781" s="2"/>
      <c r="N781" s="2"/>
      <c r="O781" s="2"/>
      <c r="P781" s="2"/>
      <c r="Q781" s="2"/>
      <c r="R781" s="2"/>
      <c r="S781" s="3"/>
      <c r="T781" s="2"/>
      <c r="U781" s="3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3"/>
      <c r="I782" s="2"/>
      <c r="J782" s="3"/>
      <c r="K782" s="3"/>
      <c r="L782" s="2"/>
      <c r="M782" s="2"/>
      <c r="N782" s="2"/>
      <c r="O782" s="2"/>
      <c r="P782" s="2"/>
      <c r="Q782" s="2"/>
      <c r="R782" s="2"/>
      <c r="S782" s="3"/>
      <c r="T782" s="2"/>
      <c r="U782" s="3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3"/>
      <c r="I783" s="2"/>
      <c r="J783" s="3"/>
      <c r="K783" s="3"/>
      <c r="L783" s="2"/>
      <c r="M783" s="2"/>
      <c r="N783" s="2"/>
      <c r="O783" s="2"/>
      <c r="P783" s="2"/>
      <c r="Q783" s="2"/>
      <c r="R783" s="2"/>
      <c r="S783" s="3"/>
      <c r="T783" s="2"/>
      <c r="U783" s="3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3"/>
      <c r="I784" s="2"/>
      <c r="J784" s="3"/>
      <c r="K784" s="3"/>
      <c r="L784" s="2"/>
      <c r="M784" s="2"/>
      <c r="N784" s="2"/>
      <c r="O784" s="2"/>
      <c r="P784" s="2"/>
      <c r="Q784" s="2"/>
      <c r="R784" s="2"/>
      <c r="S784" s="3"/>
      <c r="T784" s="2"/>
      <c r="U784" s="3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3"/>
      <c r="I785" s="2"/>
      <c r="J785" s="3"/>
      <c r="K785" s="3"/>
      <c r="L785" s="2"/>
      <c r="M785" s="2"/>
      <c r="N785" s="2"/>
      <c r="O785" s="2"/>
      <c r="P785" s="2"/>
      <c r="Q785" s="2"/>
      <c r="R785" s="2"/>
      <c r="S785" s="3"/>
      <c r="T785" s="2"/>
      <c r="U785" s="3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3"/>
      <c r="I786" s="2"/>
      <c r="J786" s="3"/>
      <c r="K786" s="3"/>
      <c r="L786" s="2"/>
      <c r="M786" s="2"/>
      <c r="N786" s="2"/>
      <c r="O786" s="2"/>
      <c r="P786" s="2"/>
      <c r="Q786" s="2"/>
      <c r="R786" s="2"/>
      <c r="S786" s="3"/>
      <c r="T786" s="2"/>
      <c r="U786" s="3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3"/>
      <c r="I787" s="2"/>
      <c r="J787" s="3"/>
      <c r="K787" s="3"/>
      <c r="L787" s="2"/>
      <c r="M787" s="2"/>
      <c r="N787" s="2"/>
      <c r="O787" s="2"/>
      <c r="P787" s="2"/>
      <c r="Q787" s="2"/>
      <c r="R787" s="2"/>
      <c r="S787" s="3"/>
      <c r="T787" s="2"/>
      <c r="U787" s="3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3"/>
      <c r="I788" s="2"/>
      <c r="J788" s="3"/>
      <c r="K788" s="3"/>
      <c r="L788" s="2"/>
      <c r="M788" s="2"/>
      <c r="N788" s="2"/>
      <c r="O788" s="2"/>
      <c r="P788" s="2"/>
      <c r="Q788" s="2"/>
      <c r="R788" s="2"/>
      <c r="S788" s="3"/>
      <c r="T788" s="2"/>
      <c r="U788" s="3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3"/>
      <c r="I789" s="2"/>
      <c r="J789" s="3"/>
      <c r="K789" s="3"/>
      <c r="L789" s="2"/>
      <c r="M789" s="2"/>
      <c r="N789" s="2"/>
      <c r="O789" s="2"/>
      <c r="P789" s="2"/>
      <c r="Q789" s="2"/>
      <c r="R789" s="2"/>
      <c r="S789" s="3"/>
      <c r="T789" s="2"/>
      <c r="U789" s="3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3"/>
      <c r="I790" s="2"/>
      <c r="J790" s="3"/>
      <c r="K790" s="3"/>
      <c r="L790" s="2"/>
      <c r="M790" s="2"/>
      <c r="N790" s="2"/>
      <c r="O790" s="2"/>
      <c r="P790" s="2"/>
      <c r="Q790" s="2"/>
      <c r="R790" s="2"/>
      <c r="S790" s="3"/>
      <c r="T790" s="2"/>
      <c r="U790" s="3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3"/>
      <c r="I791" s="2"/>
      <c r="J791" s="3"/>
      <c r="K791" s="3"/>
      <c r="L791" s="2"/>
      <c r="M791" s="2"/>
      <c r="N791" s="2"/>
      <c r="O791" s="2"/>
      <c r="P791" s="2"/>
      <c r="Q791" s="2"/>
      <c r="R791" s="2"/>
      <c r="S791" s="3"/>
      <c r="T791" s="2"/>
      <c r="U791" s="3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3"/>
      <c r="I792" s="2"/>
      <c r="J792" s="3"/>
      <c r="K792" s="3"/>
      <c r="L792" s="2"/>
      <c r="M792" s="2"/>
      <c r="N792" s="2"/>
      <c r="O792" s="2"/>
      <c r="P792" s="2"/>
      <c r="Q792" s="2"/>
      <c r="R792" s="2"/>
      <c r="S792" s="3"/>
      <c r="T792" s="2"/>
      <c r="U792" s="3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3"/>
      <c r="I793" s="2"/>
      <c r="J793" s="3"/>
      <c r="K793" s="3"/>
      <c r="L793" s="2"/>
      <c r="M793" s="2"/>
      <c r="N793" s="2"/>
      <c r="O793" s="2"/>
      <c r="P793" s="2"/>
      <c r="Q793" s="2"/>
      <c r="R793" s="2"/>
      <c r="S793" s="3"/>
      <c r="T793" s="2"/>
      <c r="U793" s="3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3"/>
      <c r="I794" s="2"/>
      <c r="J794" s="3"/>
      <c r="K794" s="3"/>
      <c r="L794" s="2"/>
      <c r="M794" s="2"/>
      <c r="N794" s="2"/>
      <c r="O794" s="2"/>
      <c r="P794" s="2"/>
      <c r="Q794" s="2"/>
      <c r="R794" s="2"/>
      <c r="S794" s="3"/>
      <c r="T794" s="2"/>
      <c r="U794" s="3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3"/>
      <c r="I795" s="2"/>
      <c r="J795" s="3"/>
      <c r="K795" s="3"/>
      <c r="L795" s="2"/>
      <c r="M795" s="2"/>
      <c r="N795" s="2"/>
      <c r="O795" s="2"/>
      <c r="P795" s="2"/>
      <c r="Q795" s="2"/>
      <c r="R795" s="2"/>
      <c r="S795" s="3"/>
      <c r="T795" s="2"/>
      <c r="U795" s="3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3"/>
      <c r="I796" s="2"/>
      <c r="J796" s="3"/>
      <c r="K796" s="3"/>
      <c r="L796" s="2"/>
      <c r="M796" s="2"/>
      <c r="N796" s="2"/>
      <c r="O796" s="2"/>
      <c r="P796" s="2"/>
      <c r="Q796" s="2"/>
      <c r="R796" s="2"/>
      <c r="S796" s="3"/>
      <c r="T796" s="2"/>
      <c r="U796" s="3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3"/>
      <c r="I797" s="2"/>
      <c r="J797" s="3"/>
      <c r="K797" s="3"/>
      <c r="L797" s="2"/>
      <c r="M797" s="2"/>
      <c r="N797" s="2"/>
      <c r="O797" s="2"/>
      <c r="P797" s="2"/>
      <c r="Q797" s="2"/>
      <c r="R797" s="2"/>
      <c r="S797" s="3"/>
      <c r="T797" s="2"/>
      <c r="U797" s="3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3"/>
      <c r="I798" s="2"/>
      <c r="J798" s="3"/>
      <c r="K798" s="3"/>
      <c r="L798" s="2"/>
      <c r="M798" s="2"/>
      <c r="N798" s="2"/>
      <c r="O798" s="2"/>
      <c r="P798" s="2"/>
      <c r="Q798" s="2"/>
      <c r="R798" s="2"/>
      <c r="S798" s="3"/>
      <c r="T798" s="2"/>
      <c r="U798" s="3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3"/>
      <c r="I799" s="2"/>
      <c r="J799" s="3"/>
      <c r="K799" s="3"/>
      <c r="L799" s="2"/>
      <c r="M799" s="2"/>
      <c r="N799" s="2"/>
      <c r="O799" s="2"/>
      <c r="P799" s="2"/>
      <c r="Q799" s="2"/>
      <c r="R799" s="2"/>
      <c r="S799" s="3"/>
      <c r="T799" s="2"/>
      <c r="U799" s="3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3"/>
      <c r="I800" s="2"/>
      <c r="J800" s="3"/>
      <c r="K800" s="3"/>
      <c r="L800" s="2"/>
      <c r="M800" s="2"/>
      <c r="N800" s="2"/>
      <c r="O800" s="2"/>
      <c r="P800" s="2"/>
      <c r="Q800" s="2"/>
      <c r="R800" s="2"/>
      <c r="S800" s="3"/>
      <c r="T800" s="2"/>
      <c r="U800" s="3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3"/>
      <c r="I801" s="2"/>
      <c r="J801" s="3"/>
      <c r="K801" s="3"/>
      <c r="L801" s="2"/>
      <c r="M801" s="2"/>
      <c r="N801" s="2"/>
      <c r="O801" s="2"/>
      <c r="P801" s="2"/>
      <c r="Q801" s="2"/>
      <c r="R801" s="2"/>
      <c r="S801" s="3"/>
      <c r="T801" s="2"/>
      <c r="U801" s="3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3"/>
      <c r="I802" s="2"/>
      <c r="J802" s="3"/>
      <c r="K802" s="3"/>
      <c r="L802" s="2"/>
      <c r="M802" s="2"/>
      <c r="N802" s="2"/>
      <c r="O802" s="2"/>
      <c r="P802" s="2"/>
      <c r="Q802" s="2"/>
      <c r="R802" s="2"/>
      <c r="S802" s="3"/>
      <c r="T802" s="2"/>
      <c r="U802" s="3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3"/>
      <c r="I803" s="2"/>
      <c r="J803" s="3"/>
      <c r="K803" s="3"/>
      <c r="L803" s="2"/>
      <c r="M803" s="2"/>
      <c r="N803" s="2"/>
      <c r="O803" s="2"/>
      <c r="P803" s="2"/>
      <c r="Q803" s="2"/>
      <c r="R803" s="2"/>
      <c r="S803" s="3"/>
      <c r="T803" s="2"/>
      <c r="U803" s="3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3"/>
      <c r="I804" s="2"/>
      <c r="J804" s="3"/>
      <c r="K804" s="3"/>
      <c r="L804" s="2"/>
      <c r="M804" s="2"/>
      <c r="N804" s="2"/>
      <c r="O804" s="2"/>
      <c r="P804" s="2"/>
      <c r="Q804" s="2"/>
      <c r="R804" s="2"/>
      <c r="S804" s="3"/>
      <c r="T804" s="2"/>
      <c r="U804" s="3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3"/>
      <c r="I805" s="2"/>
      <c r="J805" s="3"/>
      <c r="K805" s="3"/>
      <c r="L805" s="2"/>
      <c r="M805" s="2"/>
      <c r="N805" s="2"/>
      <c r="O805" s="2"/>
      <c r="P805" s="2"/>
      <c r="Q805" s="2"/>
      <c r="R805" s="2"/>
      <c r="S805" s="3"/>
      <c r="T805" s="2"/>
      <c r="U805" s="3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3"/>
      <c r="I806" s="2"/>
      <c r="J806" s="3"/>
      <c r="K806" s="3"/>
      <c r="L806" s="2"/>
      <c r="M806" s="2"/>
      <c r="N806" s="2"/>
      <c r="O806" s="2"/>
      <c r="P806" s="2"/>
      <c r="Q806" s="2"/>
      <c r="R806" s="2"/>
      <c r="S806" s="3"/>
      <c r="T806" s="2"/>
      <c r="U806" s="3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3"/>
      <c r="I807" s="2"/>
      <c r="J807" s="3"/>
      <c r="K807" s="3"/>
      <c r="L807" s="2"/>
      <c r="M807" s="2"/>
      <c r="N807" s="2"/>
      <c r="O807" s="2"/>
      <c r="P807" s="2"/>
      <c r="Q807" s="2"/>
      <c r="R807" s="2"/>
      <c r="S807" s="3"/>
      <c r="T807" s="2"/>
      <c r="U807" s="3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3"/>
      <c r="I808" s="2"/>
      <c r="J808" s="3"/>
      <c r="K808" s="3"/>
      <c r="L808" s="2"/>
      <c r="M808" s="2"/>
      <c r="N808" s="2"/>
      <c r="O808" s="2"/>
      <c r="P808" s="2"/>
      <c r="Q808" s="2"/>
      <c r="R808" s="2"/>
      <c r="S808" s="3"/>
      <c r="T808" s="2"/>
      <c r="U808" s="3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3"/>
      <c r="I809" s="2"/>
      <c r="J809" s="3"/>
      <c r="K809" s="3"/>
      <c r="L809" s="2"/>
      <c r="M809" s="2"/>
      <c r="N809" s="2"/>
      <c r="O809" s="2"/>
      <c r="P809" s="2"/>
      <c r="Q809" s="2"/>
      <c r="R809" s="2"/>
      <c r="S809" s="3"/>
      <c r="T809" s="2"/>
      <c r="U809" s="3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3"/>
      <c r="I810" s="2"/>
      <c r="J810" s="3"/>
      <c r="K810" s="3"/>
      <c r="L810" s="2"/>
      <c r="M810" s="2"/>
      <c r="N810" s="2"/>
      <c r="O810" s="2"/>
      <c r="P810" s="2"/>
      <c r="Q810" s="2"/>
      <c r="R810" s="2"/>
      <c r="S810" s="3"/>
      <c r="T810" s="2"/>
      <c r="U810" s="3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3"/>
      <c r="I811" s="2"/>
      <c r="J811" s="3"/>
      <c r="K811" s="3"/>
      <c r="L811" s="2"/>
      <c r="M811" s="2"/>
      <c r="N811" s="2"/>
      <c r="O811" s="2"/>
      <c r="P811" s="2"/>
      <c r="Q811" s="2"/>
      <c r="R811" s="2"/>
      <c r="S811" s="3"/>
      <c r="T811" s="2"/>
      <c r="U811" s="3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3"/>
      <c r="I812" s="2"/>
      <c r="J812" s="3"/>
      <c r="K812" s="3"/>
      <c r="L812" s="2"/>
      <c r="M812" s="2"/>
      <c r="N812" s="2"/>
      <c r="O812" s="2"/>
      <c r="P812" s="2"/>
      <c r="Q812" s="2"/>
      <c r="R812" s="2"/>
      <c r="S812" s="3"/>
      <c r="T812" s="2"/>
      <c r="U812" s="3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3"/>
      <c r="I813" s="2"/>
      <c r="J813" s="3"/>
      <c r="K813" s="3"/>
      <c r="L813" s="2"/>
      <c r="M813" s="2"/>
      <c r="N813" s="2"/>
      <c r="O813" s="2"/>
      <c r="P813" s="2"/>
      <c r="Q813" s="2"/>
      <c r="R813" s="2"/>
      <c r="S813" s="3"/>
      <c r="T813" s="2"/>
      <c r="U813" s="3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3"/>
      <c r="I814" s="2"/>
      <c r="J814" s="3"/>
      <c r="K814" s="3"/>
      <c r="L814" s="2"/>
      <c r="M814" s="2"/>
      <c r="N814" s="2"/>
      <c r="O814" s="2"/>
      <c r="P814" s="2"/>
      <c r="Q814" s="2"/>
      <c r="R814" s="2"/>
      <c r="S814" s="3"/>
      <c r="T814" s="2"/>
      <c r="U814" s="3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3"/>
      <c r="I815" s="2"/>
      <c r="J815" s="3"/>
      <c r="K815" s="3"/>
      <c r="L815" s="2"/>
      <c r="M815" s="2"/>
      <c r="N815" s="2"/>
      <c r="O815" s="2"/>
      <c r="P815" s="2"/>
      <c r="Q815" s="2"/>
      <c r="R815" s="2"/>
      <c r="S815" s="3"/>
      <c r="T815" s="2"/>
      <c r="U815" s="3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3"/>
      <c r="I816" s="2"/>
      <c r="J816" s="3"/>
      <c r="K816" s="3"/>
      <c r="L816" s="2"/>
      <c r="M816" s="2"/>
      <c r="N816" s="2"/>
      <c r="O816" s="2"/>
      <c r="P816" s="2"/>
      <c r="Q816" s="2"/>
      <c r="R816" s="2"/>
      <c r="S816" s="3"/>
      <c r="T816" s="2"/>
      <c r="U816" s="3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3"/>
      <c r="I817" s="2"/>
      <c r="J817" s="3"/>
      <c r="K817" s="3"/>
      <c r="L817" s="2"/>
      <c r="M817" s="2"/>
      <c r="N817" s="2"/>
      <c r="O817" s="2"/>
      <c r="P817" s="2"/>
      <c r="Q817" s="2"/>
      <c r="R817" s="2"/>
      <c r="S817" s="3"/>
      <c r="T817" s="2"/>
      <c r="U817" s="3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3"/>
      <c r="I818" s="2"/>
      <c r="J818" s="3"/>
      <c r="K818" s="3"/>
      <c r="L818" s="2"/>
      <c r="M818" s="2"/>
      <c r="N818" s="2"/>
      <c r="O818" s="2"/>
      <c r="P818" s="2"/>
      <c r="Q818" s="2"/>
      <c r="R818" s="2"/>
      <c r="S818" s="3"/>
      <c r="T818" s="2"/>
      <c r="U818" s="3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3"/>
      <c r="I819" s="2"/>
      <c r="J819" s="3"/>
      <c r="K819" s="3"/>
      <c r="L819" s="2"/>
      <c r="M819" s="2"/>
      <c r="N819" s="2"/>
      <c r="O819" s="2"/>
      <c r="P819" s="2"/>
      <c r="Q819" s="2"/>
      <c r="R819" s="2"/>
      <c r="S819" s="3"/>
      <c r="T819" s="2"/>
      <c r="U819" s="3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3"/>
      <c r="I820" s="2"/>
      <c r="J820" s="3"/>
      <c r="K820" s="3"/>
      <c r="L820" s="2"/>
      <c r="M820" s="2"/>
      <c r="N820" s="2"/>
      <c r="O820" s="2"/>
      <c r="P820" s="2"/>
      <c r="Q820" s="2"/>
      <c r="R820" s="2"/>
      <c r="S820" s="3"/>
      <c r="T820" s="2"/>
      <c r="U820" s="3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3"/>
      <c r="I821" s="2"/>
      <c r="J821" s="3"/>
      <c r="K821" s="3"/>
      <c r="L821" s="2"/>
      <c r="M821" s="2"/>
      <c r="N821" s="2"/>
      <c r="O821" s="2"/>
      <c r="P821" s="2"/>
      <c r="Q821" s="2"/>
      <c r="R821" s="2"/>
      <c r="S821" s="3"/>
      <c r="T821" s="2"/>
      <c r="U821" s="3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3"/>
      <c r="I822" s="2"/>
      <c r="J822" s="3"/>
      <c r="K822" s="3"/>
      <c r="L822" s="2"/>
      <c r="M822" s="2"/>
      <c r="N822" s="2"/>
      <c r="O822" s="2"/>
      <c r="P822" s="2"/>
      <c r="Q822" s="2"/>
      <c r="R822" s="2"/>
      <c r="S822" s="3"/>
      <c r="T822" s="2"/>
      <c r="U822" s="3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3"/>
      <c r="I823" s="2"/>
      <c r="J823" s="3"/>
      <c r="K823" s="3"/>
      <c r="L823" s="2"/>
      <c r="M823" s="2"/>
      <c r="N823" s="2"/>
      <c r="O823" s="2"/>
      <c r="P823" s="2"/>
      <c r="Q823" s="2"/>
      <c r="R823" s="2"/>
      <c r="S823" s="3"/>
      <c r="T823" s="2"/>
      <c r="U823" s="3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3"/>
      <c r="I824" s="2"/>
      <c r="J824" s="3"/>
      <c r="K824" s="3"/>
      <c r="L824" s="2"/>
      <c r="M824" s="2"/>
      <c r="N824" s="2"/>
      <c r="O824" s="2"/>
      <c r="P824" s="2"/>
      <c r="Q824" s="2"/>
      <c r="R824" s="2"/>
      <c r="S824" s="3"/>
      <c r="T824" s="2"/>
      <c r="U824" s="3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3"/>
      <c r="I825" s="2"/>
      <c r="J825" s="3"/>
      <c r="K825" s="3"/>
      <c r="L825" s="2"/>
      <c r="M825" s="2"/>
      <c r="N825" s="2"/>
      <c r="O825" s="2"/>
      <c r="P825" s="2"/>
      <c r="Q825" s="2"/>
      <c r="R825" s="2"/>
      <c r="S825" s="3"/>
      <c r="T825" s="2"/>
      <c r="U825" s="3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3"/>
      <c r="I826" s="2"/>
      <c r="J826" s="3"/>
      <c r="K826" s="3"/>
      <c r="L826" s="2"/>
      <c r="M826" s="2"/>
      <c r="N826" s="2"/>
      <c r="O826" s="2"/>
      <c r="P826" s="2"/>
      <c r="Q826" s="2"/>
      <c r="R826" s="2"/>
      <c r="S826" s="3"/>
      <c r="T826" s="2"/>
      <c r="U826" s="3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3"/>
      <c r="I827" s="2"/>
      <c r="J827" s="3"/>
      <c r="K827" s="3"/>
      <c r="L827" s="2"/>
      <c r="M827" s="2"/>
      <c r="N827" s="2"/>
      <c r="O827" s="2"/>
      <c r="P827" s="2"/>
      <c r="Q827" s="2"/>
      <c r="R827" s="2"/>
      <c r="S827" s="3"/>
      <c r="T827" s="2"/>
      <c r="U827" s="3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3"/>
      <c r="I828" s="2"/>
      <c r="J828" s="3"/>
      <c r="K828" s="3"/>
      <c r="L828" s="2"/>
      <c r="M828" s="2"/>
      <c r="N828" s="2"/>
      <c r="O828" s="2"/>
      <c r="P828" s="2"/>
      <c r="Q828" s="2"/>
      <c r="R828" s="2"/>
      <c r="S828" s="3"/>
      <c r="T828" s="2"/>
      <c r="U828" s="3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3"/>
      <c r="I829" s="2"/>
      <c r="J829" s="3"/>
      <c r="K829" s="3"/>
      <c r="L829" s="2"/>
      <c r="M829" s="2"/>
      <c r="N829" s="2"/>
      <c r="O829" s="2"/>
      <c r="P829" s="2"/>
      <c r="Q829" s="2"/>
      <c r="R829" s="2"/>
      <c r="S829" s="3"/>
      <c r="T829" s="2"/>
      <c r="U829" s="3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3"/>
      <c r="I830" s="2"/>
      <c r="J830" s="3"/>
      <c r="K830" s="3"/>
      <c r="L830" s="2"/>
      <c r="M830" s="2"/>
      <c r="N830" s="2"/>
      <c r="O830" s="2"/>
      <c r="P830" s="2"/>
      <c r="Q830" s="2"/>
      <c r="R830" s="2"/>
      <c r="S830" s="3"/>
      <c r="T830" s="2"/>
      <c r="U830" s="3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3"/>
      <c r="I831" s="2"/>
      <c r="J831" s="3"/>
      <c r="K831" s="3"/>
      <c r="L831" s="2"/>
      <c r="M831" s="2"/>
      <c r="N831" s="2"/>
      <c r="O831" s="2"/>
      <c r="P831" s="2"/>
      <c r="Q831" s="2"/>
      <c r="R831" s="2"/>
      <c r="S831" s="3"/>
      <c r="T831" s="2"/>
      <c r="U831" s="3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3"/>
      <c r="I832" s="2"/>
      <c r="J832" s="3"/>
      <c r="K832" s="3"/>
      <c r="L832" s="2"/>
      <c r="M832" s="2"/>
      <c r="N832" s="2"/>
      <c r="O832" s="2"/>
      <c r="P832" s="2"/>
      <c r="Q832" s="2"/>
      <c r="R832" s="2"/>
      <c r="S832" s="3"/>
      <c r="T832" s="2"/>
      <c r="U832" s="3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3"/>
      <c r="I833" s="2"/>
      <c r="J833" s="3"/>
      <c r="K833" s="3"/>
      <c r="L833" s="2"/>
      <c r="M833" s="2"/>
      <c r="N833" s="2"/>
      <c r="O833" s="2"/>
      <c r="P833" s="2"/>
      <c r="Q833" s="2"/>
      <c r="R833" s="2"/>
      <c r="S833" s="3"/>
      <c r="T833" s="2"/>
      <c r="U833" s="3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3"/>
      <c r="I834" s="2"/>
      <c r="J834" s="3"/>
      <c r="K834" s="3"/>
      <c r="L834" s="2"/>
      <c r="M834" s="2"/>
      <c r="N834" s="2"/>
      <c r="O834" s="2"/>
      <c r="P834" s="2"/>
      <c r="Q834" s="2"/>
      <c r="R834" s="2"/>
      <c r="S834" s="3"/>
      <c r="T834" s="2"/>
      <c r="U834" s="3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3"/>
      <c r="I835" s="2"/>
      <c r="J835" s="3"/>
      <c r="K835" s="3"/>
      <c r="L835" s="2"/>
      <c r="M835" s="2"/>
      <c r="N835" s="2"/>
      <c r="O835" s="2"/>
      <c r="P835" s="2"/>
      <c r="Q835" s="2"/>
      <c r="R835" s="2"/>
      <c r="S835" s="3"/>
      <c r="T835" s="2"/>
      <c r="U835" s="3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3"/>
      <c r="I836" s="2"/>
      <c r="J836" s="3"/>
      <c r="K836" s="3"/>
      <c r="L836" s="2"/>
      <c r="M836" s="2"/>
      <c r="N836" s="2"/>
      <c r="O836" s="2"/>
      <c r="P836" s="2"/>
      <c r="Q836" s="2"/>
      <c r="R836" s="2"/>
      <c r="S836" s="3"/>
      <c r="T836" s="2"/>
      <c r="U836" s="3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3"/>
      <c r="I837" s="2"/>
      <c r="J837" s="3"/>
      <c r="K837" s="3"/>
      <c r="L837" s="2"/>
      <c r="M837" s="2"/>
      <c r="N837" s="2"/>
      <c r="O837" s="2"/>
      <c r="P837" s="2"/>
      <c r="Q837" s="2"/>
      <c r="R837" s="2"/>
      <c r="S837" s="3"/>
      <c r="T837" s="2"/>
      <c r="U837" s="3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3"/>
      <c r="I838" s="2"/>
      <c r="J838" s="3"/>
      <c r="K838" s="3"/>
      <c r="L838" s="2"/>
      <c r="M838" s="2"/>
      <c r="N838" s="2"/>
      <c r="O838" s="2"/>
      <c r="P838" s="2"/>
      <c r="Q838" s="2"/>
      <c r="R838" s="2"/>
      <c r="S838" s="3"/>
      <c r="T838" s="2"/>
      <c r="U838" s="3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3"/>
      <c r="I839" s="2"/>
      <c r="J839" s="3"/>
      <c r="K839" s="3"/>
      <c r="L839" s="2"/>
      <c r="M839" s="2"/>
      <c r="N839" s="2"/>
      <c r="O839" s="2"/>
      <c r="P839" s="2"/>
      <c r="Q839" s="2"/>
      <c r="R839" s="2"/>
      <c r="S839" s="3"/>
      <c r="T839" s="2"/>
      <c r="U839" s="3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3"/>
      <c r="I840" s="2"/>
      <c r="J840" s="3"/>
      <c r="K840" s="3"/>
      <c r="L840" s="2"/>
      <c r="M840" s="2"/>
      <c r="N840" s="2"/>
      <c r="O840" s="2"/>
      <c r="P840" s="2"/>
      <c r="Q840" s="2"/>
      <c r="R840" s="2"/>
      <c r="S840" s="3"/>
      <c r="T840" s="2"/>
      <c r="U840" s="3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3"/>
      <c r="I841" s="2"/>
      <c r="J841" s="3"/>
      <c r="K841" s="3"/>
      <c r="L841" s="2"/>
      <c r="M841" s="2"/>
      <c r="N841" s="2"/>
      <c r="O841" s="2"/>
      <c r="P841" s="2"/>
      <c r="Q841" s="2"/>
      <c r="R841" s="2"/>
      <c r="S841" s="3"/>
      <c r="T841" s="2"/>
      <c r="U841" s="3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3"/>
      <c r="I842" s="2"/>
      <c r="J842" s="3"/>
      <c r="K842" s="3"/>
      <c r="L842" s="2"/>
      <c r="M842" s="2"/>
      <c r="N842" s="2"/>
      <c r="O842" s="2"/>
      <c r="P842" s="2"/>
      <c r="Q842" s="2"/>
      <c r="R842" s="2"/>
      <c r="S842" s="3"/>
      <c r="T842" s="2"/>
      <c r="U842" s="3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3"/>
      <c r="I843" s="2"/>
      <c r="J843" s="3"/>
      <c r="K843" s="3"/>
      <c r="L843" s="2"/>
      <c r="M843" s="2"/>
      <c r="N843" s="2"/>
      <c r="O843" s="2"/>
      <c r="P843" s="2"/>
      <c r="Q843" s="2"/>
      <c r="R843" s="2"/>
      <c r="S843" s="3"/>
      <c r="T843" s="2"/>
      <c r="U843" s="3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3"/>
      <c r="I844" s="2"/>
      <c r="J844" s="3"/>
      <c r="K844" s="3"/>
      <c r="L844" s="2"/>
      <c r="M844" s="2"/>
      <c r="N844" s="2"/>
      <c r="O844" s="2"/>
      <c r="P844" s="2"/>
      <c r="Q844" s="2"/>
      <c r="R844" s="2"/>
      <c r="S844" s="3"/>
      <c r="T844" s="2"/>
      <c r="U844" s="3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3"/>
      <c r="I845" s="2"/>
      <c r="J845" s="3"/>
      <c r="K845" s="3"/>
      <c r="L845" s="2"/>
      <c r="M845" s="2"/>
      <c r="N845" s="2"/>
      <c r="O845" s="2"/>
      <c r="P845" s="2"/>
      <c r="Q845" s="2"/>
      <c r="R845" s="2"/>
      <c r="S845" s="3"/>
      <c r="T845" s="2"/>
      <c r="U845" s="3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3"/>
      <c r="I846" s="2"/>
      <c r="J846" s="3"/>
      <c r="K846" s="3"/>
      <c r="L846" s="2"/>
      <c r="M846" s="2"/>
      <c r="N846" s="2"/>
      <c r="O846" s="2"/>
      <c r="P846" s="2"/>
      <c r="Q846" s="2"/>
      <c r="R846" s="2"/>
      <c r="S846" s="3"/>
      <c r="T846" s="2"/>
      <c r="U846" s="3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3"/>
      <c r="I847" s="2"/>
      <c r="J847" s="3"/>
      <c r="K847" s="3"/>
      <c r="L847" s="2"/>
      <c r="M847" s="2"/>
      <c r="N847" s="2"/>
      <c r="O847" s="2"/>
      <c r="P847" s="2"/>
      <c r="Q847" s="2"/>
      <c r="R847" s="2"/>
      <c r="S847" s="3"/>
      <c r="T847" s="2"/>
      <c r="U847" s="3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3"/>
      <c r="I848" s="2"/>
      <c r="J848" s="3"/>
      <c r="K848" s="3"/>
      <c r="L848" s="2"/>
      <c r="M848" s="2"/>
      <c r="N848" s="2"/>
      <c r="O848" s="2"/>
      <c r="P848" s="2"/>
      <c r="Q848" s="2"/>
      <c r="R848" s="2"/>
      <c r="S848" s="3"/>
      <c r="T848" s="2"/>
      <c r="U848" s="3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3"/>
      <c r="I849" s="2"/>
      <c r="J849" s="3"/>
      <c r="K849" s="3"/>
      <c r="L849" s="2"/>
      <c r="M849" s="2"/>
      <c r="N849" s="2"/>
      <c r="O849" s="2"/>
      <c r="P849" s="2"/>
      <c r="Q849" s="2"/>
      <c r="R849" s="2"/>
      <c r="S849" s="3"/>
      <c r="T849" s="2"/>
      <c r="U849" s="3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3"/>
      <c r="I850" s="2"/>
      <c r="J850" s="3"/>
      <c r="K850" s="3"/>
      <c r="L850" s="2"/>
      <c r="M850" s="2"/>
      <c r="N850" s="2"/>
      <c r="O850" s="2"/>
      <c r="P850" s="2"/>
      <c r="Q850" s="2"/>
      <c r="R850" s="2"/>
      <c r="S850" s="3"/>
      <c r="T850" s="2"/>
      <c r="U850" s="3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3"/>
      <c r="I851" s="2"/>
      <c r="J851" s="3"/>
      <c r="K851" s="3"/>
      <c r="L851" s="2"/>
      <c r="M851" s="2"/>
      <c r="N851" s="2"/>
      <c r="O851" s="2"/>
      <c r="P851" s="2"/>
      <c r="Q851" s="2"/>
      <c r="R851" s="2"/>
      <c r="S851" s="3"/>
      <c r="T851" s="2"/>
      <c r="U851" s="3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3"/>
      <c r="I852" s="2"/>
      <c r="J852" s="3"/>
      <c r="K852" s="3"/>
      <c r="L852" s="2"/>
      <c r="M852" s="2"/>
      <c r="N852" s="2"/>
      <c r="O852" s="2"/>
      <c r="P852" s="2"/>
      <c r="Q852" s="2"/>
      <c r="R852" s="2"/>
      <c r="S852" s="3"/>
      <c r="T852" s="2"/>
      <c r="U852" s="3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3"/>
      <c r="I853" s="2"/>
      <c r="J853" s="3"/>
      <c r="K853" s="3"/>
      <c r="L853" s="2"/>
      <c r="M853" s="2"/>
      <c r="N853" s="2"/>
      <c r="O853" s="2"/>
      <c r="P853" s="2"/>
      <c r="Q853" s="2"/>
      <c r="R853" s="2"/>
      <c r="S853" s="3"/>
      <c r="T853" s="2"/>
      <c r="U853" s="3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3"/>
      <c r="I854" s="2"/>
      <c r="J854" s="3"/>
      <c r="K854" s="3"/>
      <c r="L854" s="2"/>
      <c r="M854" s="2"/>
      <c r="N854" s="2"/>
      <c r="O854" s="2"/>
      <c r="P854" s="2"/>
      <c r="Q854" s="2"/>
      <c r="R854" s="2"/>
      <c r="S854" s="3"/>
      <c r="T854" s="2"/>
      <c r="U854" s="3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3"/>
      <c r="I855" s="2"/>
      <c r="J855" s="3"/>
      <c r="K855" s="3"/>
      <c r="L855" s="2"/>
      <c r="M855" s="2"/>
      <c r="N855" s="2"/>
      <c r="O855" s="2"/>
      <c r="P855" s="2"/>
      <c r="Q855" s="2"/>
      <c r="R855" s="2"/>
      <c r="S855" s="3"/>
      <c r="T855" s="2"/>
      <c r="U855" s="3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3"/>
      <c r="I856" s="2"/>
      <c r="J856" s="3"/>
      <c r="K856" s="3"/>
      <c r="L856" s="2"/>
      <c r="M856" s="2"/>
      <c r="N856" s="2"/>
      <c r="O856" s="2"/>
      <c r="P856" s="2"/>
      <c r="Q856" s="2"/>
      <c r="R856" s="2"/>
      <c r="S856" s="3"/>
      <c r="T856" s="2"/>
      <c r="U856" s="3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3"/>
      <c r="I857" s="2"/>
      <c r="J857" s="3"/>
      <c r="K857" s="3"/>
      <c r="L857" s="2"/>
      <c r="M857" s="2"/>
      <c r="N857" s="2"/>
      <c r="O857" s="2"/>
      <c r="P857" s="2"/>
      <c r="Q857" s="2"/>
      <c r="R857" s="2"/>
      <c r="S857" s="3"/>
      <c r="T857" s="2"/>
      <c r="U857" s="3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3"/>
      <c r="I858" s="2"/>
      <c r="J858" s="3"/>
      <c r="K858" s="3"/>
      <c r="L858" s="2"/>
      <c r="M858" s="2"/>
      <c r="N858" s="2"/>
      <c r="O858" s="2"/>
      <c r="P858" s="2"/>
      <c r="Q858" s="2"/>
      <c r="R858" s="2"/>
      <c r="S858" s="3"/>
      <c r="T858" s="2"/>
      <c r="U858" s="3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</sheetData>
  <mergeCells count="42">
    <mergeCell ref="B2:K2"/>
    <mergeCell ref="M2:V2"/>
    <mergeCell ref="B3:K3"/>
    <mergeCell ref="M3:V3"/>
    <mergeCell ref="N5:N9"/>
    <mergeCell ref="B10:K10"/>
    <mergeCell ref="M10:V10"/>
    <mergeCell ref="M34:M44"/>
    <mergeCell ref="M45:M55"/>
    <mergeCell ref="M67:V67"/>
    <mergeCell ref="M124:V124"/>
    <mergeCell ref="C5:C9"/>
    <mergeCell ref="B12:B22"/>
    <mergeCell ref="M12:M22"/>
    <mergeCell ref="B23:B33"/>
    <mergeCell ref="B34:B44"/>
    <mergeCell ref="B45:B55"/>
    <mergeCell ref="B67:K67"/>
    <mergeCell ref="B126:B136"/>
    <mergeCell ref="B137:B147"/>
    <mergeCell ref="B148:B158"/>
    <mergeCell ref="B159:B169"/>
    <mergeCell ref="B170:B180"/>
    <mergeCell ref="B56:B66"/>
    <mergeCell ref="B69:B79"/>
    <mergeCell ref="B80:B90"/>
    <mergeCell ref="B91:B101"/>
    <mergeCell ref="B102:B112"/>
    <mergeCell ref="B113:B123"/>
    <mergeCell ref="B124:K124"/>
    <mergeCell ref="M126:M136"/>
    <mergeCell ref="M137:M147"/>
    <mergeCell ref="M148:M158"/>
    <mergeCell ref="M159:M169"/>
    <mergeCell ref="M170:M180"/>
    <mergeCell ref="M23:M33"/>
    <mergeCell ref="M56:M66"/>
    <mergeCell ref="M69:M79"/>
    <mergeCell ref="M80:M90"/>
    <mergeCell ref="M91:M101"/>
    <mergeCell ref="M102:M112"/>
    <mergeCell ref="M113:M1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88"/>
    <col customWidth="1" min="4" max="4" width="9.63"/>
    <col customWidth="1" min="5" max="5" width="9.88"/>
    <col customWidth="1" min="6" max="6" width="9.5"/>
    <col customWidth="1" min="7" max="7" width="9.63"/>
    <col customWidth="1" min="8" max="8" width="13.5"/>
    <col customWidth="1" min="9" max="9" width="10.88"/>
    <col customWidth="1" min="10" max="10" width="12.5"/>
    <col customWidth="1" min="11" max="11" width="19.25"/>
    <col customWidth="1" min="14" max="14" width="10.5"/>
    <col customWidth="1" min="15" max="15" width="9.75"/>
    <col customWidth="1" min="16" max="17" width="9.5"/>
    <col customWidth="1" min="18" max="18" width="9.88"/>
    <col customWidth="1" min="22" max="22" width="21.88"/>
  </cols>
  <sheetData>
    <row r="2">
      <c r="B2" s="213" t="s">
        <v>43</v>
      </c>
      <c r="C2" s="5"/>
      <c r="D2" s="5"/>
      <c r="E2" s="5"/>
      <c r="F2" s="5"/>
      <c r="G2" s="5"/>
      <c r="H2" s="5"/>
      <c r="I2" s="5"/>
      <c r="J2" s="5"/>
      <c r="K2" s="6"/>
      <c r="L2" s="214"/>
      <c r="M2" s="213" t="s">
        <v>43</v>
      </c>
      <c r="N2" s="5"/>
      <c r="O2" s="5"/>
      <c r="P2" s="5"/>
      <c r="Q2" s="5"/>
      <c r="R2" s="5"/>
      <c r="S2" s="5"/>
      <c r="T2" s="5"/>
      <c r="U2" s="5"/>
      <c r="V2" s="6"/>
    </row>
    <row r="3">
      <c r="B3" s="4" t="s">
        <v>1</v>
      </c>
      <c r="C3" s="5"/>
      <c r="D3" s="5"/>
      <c r="E3" s="5"/>
      <c r="F3" s="5"/>
      <c r="G3" s="5"/>
      <c r="H3" s="5"/>
      <c r="I3" s="5"/>
      <c r="J3" s="5"/>
      <c r="K3" s="6"/>
      <c r="L3" s="214"/>
      <c r="M3" s="4" t="s">
        <v>2</v>
      </c>
      <c r="N3" s="5"/>
      <c r="O3" s="5"/>
      <c r="P3" s="5"/>
      <c r="Q3" s="5"/>
      <c r="R3" s="5"/>
      <c r="S3" s="5"/>
      <c r="T3" s="5"/>
      <c r="U3" s="5"/>
      <c r="V3" s="6"/>
    </row>
    <row r="4">
      <c r="A4" s="3"/>
      <c r="B4" s="215" t="s">
        <v>3</v>
      </c>
      <c r="C4" s="215" t="s">
        <v>4</v>
      </c>
      <c r="D4" s="215" t="s">
        <v>5</v>
      </c>
      <c r="E4" s="215" t="s">
        <v>6</v>
      </c>
      <c r="F4" s="215" t="s">
        <v>7</v>
      </c>
      <c r="G4" s="215" t="s">
        <v>8</v>
      </c>
      <c r="H4" s="216" t="s">
        <v>9</v>
      </c>
      <c r="I4" s="216" t="s">
        <v>10</v>
      </c>
      <c r="J4" s="216" t="s">
        <v>11</v>
      </c>
      <c r="K4" s="215" t="s">
        <v>44</v>
      </c>
      <c r="L4" s="7"/>
      <c r="M4" s="215" t="s">
        <v>3</v>
      </c>
      <c r="N4" s="215" t="s">
        <v>4</v>
      </c>
      <c r="O4" s="215" t="s">
        <v>5</v>
      </c>
      <c r="P4" s="215" t="s">
        <v>6</v>
      </c>
      <c r="Q4" s="215" t="s">
        <v>7</v>
      </c>
      <c r="R4" s="215" t="s">
        <v>8</v>
      </c>
      <c r="S4" s="216" t="s">
        <v>9</v>
      </c>
      <c r="T4" s="216" t="s">
        <v>10</v>
      </c>
      <c r="U4" s="216" t="s">
        <v>11</v>
      </c>
      <c r="V4" s="215" t="s">
        <v>44</v>
      </c>
      <c r="W4" s="3"/>
      <c r="X4" s="3"/>
      <c r="Y4" s="3"/>
      <c r="Z4" s="3"/>
      <c r="AA4" s="3"/>
      <c r="AB4" s="3"/>
    </row>
    <row r="5">
      <c r="B5" s="13" t="s">
        <v>13</v>
      </c>
      <c r="C5" s="23" t="s">
        <v>14</v>
      </c>
      <c r="D5" s="13">
        <v>0.84</v>
      </c>
      <c r="E5" s="13">
        <v>0.77</v>
      </c>
      <c r="F5" s="13">
        <v>0.84</v>
      </c>
      <c r="G5" s="13">
        <v>0.78</v>
      </c>
      <c r="H5" s="146">
        <f>12+1683</f>
        <v>1695</v>
      </c>
      <c r="I5" s="217">
        <f t="shared" ref="I5:I9" si="1">1-D5</f>
        <v>0.16</v>
      </c>
      <c r="J5" s="218">
        <f>294+29</f>
        <v>323</v>
      </c>
      <c r="K5" s="217" t="s">
        <v>18</v>
      </c>
      <c r="L5" s="214"/>
      <c r="M5" s="218" t="s">
        <v>13</v>
      </c>
      <c r="N5" s="219" t="s">
        <v>14</v>
      </c>
      <c r="O5" s="217">
        <v>0.76</v>
      </c>
      <c r="P5" s="217">
        <v>0.76</v>
      </c>
      <c r="Q5" s="217">
        <v>0.76</v>
      </c>
      <c r="R5" s="217">
        <v>0.75</v>
      </c>
      <c r="S5" s="146">
        <f>1373+1217</f>
        <v>2590</v>
      </c>
      <c r="T5" s="146">
        <f t="shared" ref="T5:T9" si="2">1-O5</f>
        <v>0.24</v>
      </c>
      <c r="U5" s="146">
        <f>330+508</f>
        <v>838</v>
      </c>
      <c r="V5" s="217" t="s">
        <v>45</v>
      </c>
    </row>
    <row r="6">
      <c r="B6" s="13" t="s">
        <v>19</v>
      </c>
      <c r="C6" s="36"/>
      <c r="D6" s="220">
        <v>0.83</v>
      </c>
      <c r="E6" s="220">
        <v>0.74</v>
      </c>
      <c r="F6" s="220">
        <v>0.83</v>
      </c>
      <c r="G6" s="220">
        <v>0.77</v>
      </c>
      <c r="H6" s="221">
        <f>9+1659</f>
        <v>1668</v>
      </c>
      <c r="I6" s="222">
        <f t="shared" si="1"/>
        <v>0.17</v>
      </c>
      <c r="J6" s="222">
        <f>297-53</f>
        <v>244</v>
      </c>
      <c r="K6" s="223" t="s">
        <v>46</v>
      </c>
      <c r="L6" s="214"/>
      <c r="M6" s="218" t="s">
        <v>19</v>
      </c>
      <c r="N6" s="36"/>
      <c r="O6" s="223">
        <v>0.83</v>
      </c>
      <c r="P6" s="223">
        <v>0.83</v>
      </c>
      <c r="Q6" s="223">
        <v>0.83</v>
      </c>
      <c r="R6" s="223">
        <v>0.83</v>
      </c>
      <c r="S6" s="221">
        <f>1456+1375</f>
        <v>2831</v>
      </c>
      <c r="T6" s="221">
        <f t="shared" si="2"/>
        <v>0.17</v>
      </c>
      <c r="U6" s="221">
        <f>247+350</f>
        <v>597</v>
      </c>
      <c r="V6" s="223" t="s">
        <v>20</v>
      </c>
    </row>
    <row r="7">
      <c r="B7" s="13" t="s">
        <v>21</v>
      </c>
      <c r="C7" s="36"/>
      <c r="D7" s="13">
        <v>0.74</v>
      </c>
      <c r="E7" s="13">
        <v>0.76</v>
      </c>
      <c r="F7" s="13">
        <v>0.74</v>
      </c>
      <c r="G7" s="13">
        <v>0.75</v>
      </c>
      <c r="H7" s="146">
        <f>75+1415</f>
        <v>1490</v>
      </c>
      <c r="I7" s="218">
        <f t="shared" si="1"/>
        <v>0.26</v>
      </c>
      <c r="J7" s="218">
        <f>231+297</f>
        <v>528</v>
      </c>
      <c r="K7" s="217" t="s">
        <v>46</v>
      </c>
      <c r="L7" s="214"/>
      <c r="M7" s="218" t="s">
        <v>21</v>
      </c>
      <c r="N7" s="36"/>
      <c r="O7" s="217">
        <v>0.78</v>
      </c>
      <c r="P7" s="217">
        <v>0.79</v>
      </c>
      <c r="Q7" s="217">
        <v>0.78</v>
      </c>
      <c r="R7" s="217">
        <v>0.78</v>
      </c>
      <c r="S7" s="146">
        <f>1476+1189</f>
        <v>2665</v>
      </c>
      <c r="T7" s="146">
        <f t="shared" si="2"/>
        <v>0.22</v>
      </c>
      <c r="U7" s="146">
        <f>227+536</f>
        <v>763</v>
      </c>
      <c r="V7" s="217" t="s">
        <v>20</v>
      </c>
    </row>
    <row r="8">
      <c r="B8" s="13" t="s">
        <v>22</v>
      </c>
      <c r="C8" s="36"/>
      <c r="D8" s="13">
        <v>0.85</v>
      </c>
      <c r="E8" s="13">
        <v>0.72</v>
      </c>
      <c r="F8" s="13">
        <v>0.85</v>
      </c>
      <c r="G8" s="13">
        <v>0.78</v>
      </c>
      <c r="H8" s="217">
        <v>1712.0</v>
      </c>
      <c r="I8" s="218">
        <f t="shared" si="1"/>
        <v>0.15</v>
      </c>
      <c r="J8" s="217">
        <v>306.0</v>
      </c>
      <c r="K8" s="217" t="s">
        <v>23</v>
      </c>
      <c r="L8" s="214"/>
      <c r="M8" s="218" t="s">
        <v>22</v>
      </c>
      <c r="N8" s="36"/>
      <c r="O8" s="217">
        <v>0.57</v>
      </c>
      <c r="P8" s="217">
        <v>0.59</v>
      </c>
      <c r="Q8" s="217">
        <v>0.57</v>
      </c>
      <c r="R8" s="217">
        <v>0.54</v>
      </c>
      <c r="S8" s="146">
        <f>1394+549</f>
        <v>1943</v>
      </c>
      <c r="T8" s="146">
        <f t="shared" si="2"/>
        <v>0.43</v>
      </c>
      <c r="U8" s="146">
        <f>309+1176</f>
        <v>1485</v>
      </c>
      <c r="V8" s="217" t="s">
        <v>23</v>
      </c>
    </row>
    <row r="9">
      <c r="B9" s="13" t="s">
        <v>24</v>
      </c>
      <c r="C9" s="91"/>
      <c r="D9" s="13">
        <v>0.85</v>
      </c>
      <c r="E9" s="13">
        <v>0.72</v>
      </c>
      <c r="F9" s="13">
        <v>0.85</v>
      </c>
      <c r="G9" s="13">
        <v>0.78</v>
      </c>
      <c r="H9" s="217">
        <v>1712.0</v>
      </c>
      <c r="I9" s="218">
        <f t="shared" si="1"/>
        <v>0.15</v>
      </c>
      <c r="J9" s="217">
        <v>306.0</v>
      </c>
      <c r="K9" s="217" t="s">
        <v>23</v>
      </c>
      <c r="L9" s="7"/>
      <c r="M9" s="218" t="s">
        <v>24</v>
      </c>
      <c r="N9" s="91"/>
      <c r="O9" s="217">
        <v>0.58</v>
      </c>
      <c r="P9" s="217">
        <v>0.58</v>
      </c>
      <c r="Q9" s="217">
        <v>0.58</v>
      </c>
      <c r="R9" s="217">
        <v>0.58</v>
      </c>
      <c r="S9" s="146">
        <f>1071+912</f>
        <v>1983</v>
      </c>
      <c r="T9" s="146">
        <f t="shared" si="2"/>
        <v>0.42</v>
      </c>
      <c r="U9" s="146">
        <f>632+813</f>
        <v>1445</v>
      </c>
      <c r="V9" s="217" t="s">
        <v>23</v>
      </c>
    </row>
    <row r="10">
      <c r="B10" s="4" t="s">
        <v>25</v>
      </c>
      <c r="C10" s="5"/>
      <c r="D10" s="5"/>
      <c r="E10" s="5"/>
      <c r="F10" s="5"/>
      <c r="G10" s="5"/>
      <c r="H10" s="5"/>
      <c r="I10" s="5"/>
      <c r="J10" s="5"/>
      <c r="K10" s="6"/>
      <c r="L10" s="214"/>
      <c r="M10" s="224" t="s">
        <v>26</v>
      </c>
      <c r="N10" s="5"/>
      <c r="O10" s="5"/>
      <c r="P10" s="5"/>
      <c r="Q10" s="5"/>
      <c r="R10" s="5"/>
      <c r="S10" s="5"/>
      <c r="T10" s="5"/>
      <c r="U10" s="5"/>
      <c r="V10" s="6"/>
    </row>
    <row r="11">
      <c r="B11" s="215" t="s">
        <v>3</v>
      </c>
      <c r="C11" s="215" t="s">
        <v>4</v>
      </c>
      <c r="D11" s="215" t="s">
        <v>5</v>
      </c>
      <c r="E11" s="215" t="s">
        <v>6</v>
      </c>
      <c r="F11" s="215" t="s">
        <v>7</v>
      </c>
      <c r="G11" s="215" t="s">
        <v>8</v>
      </c>
      <c r="H11" s="216" t="s">
        <v>9</v>
      </c>
      <c r="I11" s="216" t="s">
        <v>10</v>
      </c>
      <c r="J11" s="216" t="s">
        <v>11</v>
      </c>
      <c r="K11" s="215" t="s">
        <v>44</v>
      </c>
      <c r="L11" s="214"/>
      <c r="M11" s="215" t="s">
        <v>3</v>
      </c>
      <c r="N11" s="215" t="s">
        <v>4</v>
      </c>
      <c r="O11" s="215" t="s">
        <v>5</v>
      </c>
      <c r="P11" s="215" t="s">
        <v>6</v>
      </c>
      <c r="Q11" s="215" t="s">
        <v>7</v>
      </c>
      <c r="R11" s="215" t="s">
        <v>8</v>
      </c>
      <c r="S11" s="216" t="s">
        <v>9</v>
      </c>
      <c r="T11" s="216" t="s">
        <v>10</v>
      </c>
      <c r="U11" s="216" t="s">
        <v>11</v>
      </c>
      <c r="V11" s="215" t="s">
        <v>44</v>
      </c>
    </row>
    <row r="12">
      <c r="B12" s="23" t="s">
        <v>13</v>
      </c>
      <c r="C12" s="13">
        <v>1.0</v>
      </c>
      <c r="D12" s="13">
        <v>0.85</v>
      </c>
      <c r="E12" s="13">
        <v>0.72</v>
      </c>
      <c r="F12" s="13">
        <v>0.85</v>
      </c>
      <c r="G12" s="13">
        <v>0.78</v>
      </c>
      <c r="H12" s="217">
        <v>1712.0</v>
      </c>
      <c r="I12" s="13">
        <f t="shared" ref="I12:I66" si="3">1-D12</f>
        <v>0.15</v>
      </c>
      <c r="J12" s="13">
        <v>306.0</v>
      </c>
      <c r="K12" s="13" t="s">
        <v>46</v>
      </c>
      <c r="L12" s="214"/>
      <c r="M12" s="219" t="s">
        <v>13</v>
      </c>
      <c r="N12" s="218">
        <v>1.0</v>
      </c>
      <c r="O12" s="217">
        <v>0.54</v>
      </c>
      <c r="P12" s="217">
        <v>0.54</v>
      </c>
      <c r="Q12" s="217">
        <v>0.54</v>
      </c>
      <c r="R12" s="217">
        <v>0.53</v>
      </c>
      <c r="S12" s="146">
        <f>1143+702</f>
        <v>1845</v>
      </c>
      <c r="T12" s="13">
        <f t="shared" ref="T12:T66" si="4">1-O12</f>
        <v>0.46</v>
      </c>
      <c r="U12" s="146">
        <f>560+1023</f>
        <v>1583</v>
      </c>
      <c r="V12" s="217" t="s">
        <v>20</v>
      </c>
    </row>
    <row r="13">
      <c r="B13" s="36"/>
      <c r="C13" s="13">
        <v>2.0</v>
      </c>
      <c r="D13" s="13">
        <v>0.85</v>
      </c>
      <c r="E13" s="13">
        <v>0.75</v>
      </c>
      <c r="F13" s="13">
        <v>0.85</v>
      </c>
      <c r="G13" s="13">
        <v>0.78</v>
      </c>
      <c r="H13" s="217">
        <v>1709.0</v>
      </c>
      <c r="I13" s="13">
        <f t="shared" si="3"/>
        <v>0.15</v>
      </c>
      <c r="J13" s="13">
        <f>305+4</f>
        <v>309</v>
      </c>
      <c r="K13" s="13" t="s">
        <v>18</v>
      </c>
      <c r="L13" s="214"/>
      <c r="M13" s="36"/>
      <c r="N13" s="218">
        <v>2.0</v>
      </c>
      <c r="O13" s="217">
        <v>0.55</v>
      </c>
      <c r="P13" s="217">
        <v>0.55</v>
      </c>
      <c r="Q13" s="217">
        <v>0.55</v>
      </c>
      <c r="R13" s="217">
        <v>0.55</v>
      </c>
      <c r="S13" s="146">
        <f>856+1039</f>
        <v>1895</v>
      </c>
      <c r="T13" s="13">
        <f t="shared" si="4"/>
        <v>0.45</v>
      </c>
      <c r="U13" s="146">
        <f>847+686</f>
        <v>1533</v>
      </c>
      <c r="V13" s="217" t="s">
        <v>20</v>
      </c>
    </row>
    <row r="14">
      <c r="B14" s="36"/>
      <c r="C14" s="225">
        <v>3.0</v>
      </c>
      <c r="D14" s="225">
        <v>0.85</v>
      </c>
      <c r="E14" s="226">
        <v>0.77</v>
      </c>
      <c r="F14" s="225">
        <v>0.85</v>
      </c>
      <c r="G14" s="225">
        <v>0.78</v>
      </c>
      <c r="H14" s="226">
        <f>3+1706</f>
        <v>1709</v>
      </c>
      <c r="I14" s="225">
        <f t="shared" si="3"/>
        <v>0.15</v>
      </c>
      <c r="J14" s="225">
        <f>303+6</f>
        <v>309</v>
      </c>
      <c r="K14" s="225" t="s">
        <v>16</v>
      </c>
      <c r="L14" s="214"/>
      <c r="M14" s="36"/>
      <c r="N14" s="218">
        <v>3.0</v>
      </c>
      <c r="O14" s="217">
        <v>0.59</v>
      </c>
      <c r="P14" s="217">
        <v>0.59</v>
      </c>
      <c r="Q14" s="217">
        <v>0.59</v>
      </c>
      <c r="R14" s="217">
        <v>0.59</v>
      </c>
      <c r="S14" s="146">
        <f>1066+950</f>
        <v>2016</v>
      </c>
      <c r="T14" s="13">
        <f t="shared" si="4"/>
        <v>0.41</v>
      </c>
      <c r="U14" s="146">
        <f>637+775</f>
        <v>1412</v>
      </c>
      <c r="V14" s="217" t="s">
        <v>20</v>
      </c>
    </row>
    <row r="15">
      <c r="B15" s="36"/>
      <c r="C15" s="13">
        <v>4.0</v>
      </c>
      <c r="D15" s="13">
        <v>0.84</v>
      </c>
      <c r="E15" s="13">
        <v>0.74</v>
      </c>
      <c r="F15" s="13" t="s">
        <v>47</v>
      </c>
      <c r="G15" s="13">
        <v>0.78</v>
      </c>
      <c r="H15" s="146">
        <f>3+1695</f>
        <v>1698</v>
      </c>
      <c r="I15" s="13">
        <f t="shared" si="3"/>
        <v>0.16</v>
      </c>
      <c r="J15" s="13">
        <f>303+17</f>
        <v>320</v>
      </c>
      <c r="K15" s="13" t="s">
        <v>16</v>
      </c>
      <c r="L15" s="214"/>
      <c r="M15" s="36"/>
      <c r="N15" s="218">
        <v>4.0</v>
      </c>
      <c r="O15" s="217">
        <v>0.62</v>
      </c>
      <c r="P15" s="217">
        <v>0.62</v>
      </c>
      <c r="Q15" s="217">
        <v>0.62</v>
      </c>
      <c r="R15" s="217">
        <v>0.62</v>
      </c>
      <c r="S15" s="146">
        <f>1058+1074</f>
        <v>2132</v>
      </c>
      <c r="T15" s="13">
        <f t="shared" si="4"/>
        <v>0.38</v>
      </c>
      <c r="U15" s="146">
        <f>645+651</f>
        <v>1296</v>
      </c>
      <c r="V15" s="217" t="s">
        <v>20</v>
      </c>
    </row>
    <row r="16">
      <c r="B16" s="36"/>
      <c r="C16" s="13">
        <v>5.0</v>
      </c>
      <c r="D16" s="13">
        <v>0.85</v>
      </c>
      <c r="E16" s="13">
        <v>0.77</v>
      </c>
      <c r="F16" s="13" t="s">
        <v>39</v>
      </c>
      <c r="G16" s="13">
        <v>0.78</v>
      </c>
      <c r="H16" s="146">
        <f>1699+7</f>
        <v>1706</v>
      </c>
      <c r="I16" s="13">
        <f t="shared" si="3"/>
        <v>0.15</v>
      </c>
      <c r="J16" s="13">
        <f>13+299</f>
        <v>312</v>
      </c>
      <c r="K16" s="13" t="s">
        <v>18</v>
      </c>
      <c r="L16" s="214"/>
      <c r="M16" s="36"/>
      <c r="N16" s="218">
        <v>5.0</v>
      </c>
      <c r="O16" s="217">
        <v>0.67</v>
      </c>
      <c r="P16" s="217">
        <v>0.67</v>
      </c>
      <c r="Q16" s="217">
        <v>0.67</v>
      </c>
      <c r="R16" s="217">
        <v>0.67</v>
      </c>
      <c r="S16" s="146">
        <f>1163+1118</f>
        <v>2281</v>
      </c>
      <c r="T16" s="13">
        <f t="shared" si="4"/>
        <v>0.33</v>
      </c>
      <c r="U16" s="146">
        <f>540+607</f>
        <v>1147</v>
      </c>
      <c r="V16" s="217" t="s">
        <v>16</v>
      </c>
    </row>
    <row r="17">
      <c r="B17" s="36"/>
      <c r="C17" s="13">
        <v>6.0</v>
      </c>
      <c r="D17" s="13">
        <v>0.84</v>
      </c>
      <c r="E17" s="13">
        <v>0.77</v>
      </c>
      <c r="F17" s="13" t="s">
        <v>47</v>
      </c>
      <c r="G17" s="13">
        <v>0.78</v>
      </c>
      <c r="H17" s="146">
        <f>7+1698</f>
        <v>1705</v>
      </c>
      <c r="I17" s="13">
        <f t="shared" si="3"/>
        <v>0.16</v>
      </c>
      <c r="J17" s="13">
        <f>299+14</f>
        <v>313</v>
      </c>
      <c r="K17" s="13" t="s">
        <v>18</v>
      </c>
      <c r="L17" s="214"/>
      <c r="M17" s="36"/>
      <c r="N17" s="218">
        <v>6.0</v>
      </c>
      <c r="O17" s="217">
        <v>0.66</v>
      </c>
      <c r="P17" s="217">
        <v>0.66</v>
      </c>
      <c r="Q17" s="217">
        <v>0.66</v>
      </c>
      <c r="R17" s="217">
        <v>0.66</v>
      </c>
      <c r="S17" s="146">
        <f>1198+1070</f>
        <v>2268</v>
      </c>
      <c r="T17" s="13">
        <f t="shared" si="4"/>
        <v>0.34</v>
      </c>
      <c r="U17" s="146">
        <f>655+505</f>
        <v>1160</v>
      </c>
      <c r="V17" s="217" t="s">
        <v>16</v>
      </c>
    </row>
    <row r="18">
      <c r="B18" s="36"/>
      <c r="C18" s="13">
        <v>7.0</v>
      </c>
      <c r="D18" s="13">
        <v>0.84</v>
      </c>
      <c r="E18" s="13">
        <v>0.75</v>
      </c>
      <c r="F18" s="13" t="s">
        <v>47</v>
      </c>
      <c r="G18" s="13">
        <v>0.78</v>
      </c>
      <c r="H18" s="146">
        <f>5+1688</f>
        <v>1693</v>
      </c>
      <c r="I18" s="13">
        <f t="shared" si="3"/>
        <v>0.16</v>
      </c>
      <c r="J18" s="13">
        <f>301+24</f>
        <v>325</v>
      </c>
      <c r="K18" s="13" t="s">
        <v>18</v>
      </c>
      <c r="L18" s="214"/>
      <c r="M18" s="36"/>
      <c r="N18" s="218">
        <v>7.0</v>
      </c>
      <c r="O18" s="227">
        <v>0.7</v>
      </c>
      <c r="P18" s="227">
        <v>0.7</v>
      </c>
      <c r="Q18" s="227">
        <v>0.7</v>
      </c>
      <c r="R18" s="227">
        <v>0.7</v>
      </c>
      <c r="S18" s="146">
        <f>1227+1172</f>
        <v>2399</v>
      </c>
      <c r="T18" s="228">
        <f t="shared" si="4"/>
        <v>0.3</v>
      </c>
      <c r="U18" s="146">
        <f>476+553</f>
        <v>1029</v>
      </c>
      <c r="V18" s="217" t="s">
        <v>16</v>
      </c>
    </row>
    <row r="19">
      <c r="B19" s="36"/>
      <c r="C19" s="13">
        <v>8.0</v>
      </c>
      <c r="D19" s="13">
        <v>0.84</v>
      </c>
      <c r="E19" s="13">
        <v>0.74</v>
      </c>
      <c r="F19" s="13" t="s">
        <v>47</v>
      </c>
      <c r="G19" s="13">
        <v>0.78</v>
      </c>
      <c r="H19" s="146">
        <f>3+1691</f>
        <v>1694</v>
      </c>
      <c r="I19" s="13">
        <f t="shared" si="3"/>
        <v>0.16</v>
      </c>
      <c r="J19" s="13">
        <f>21+303</f>
        <v>324</v>
      </c>
      <c r="K19" s="13" t="s">
        <v>18</v>
      </c>
      <c r="L19" s="214"/>
      <c r="M19" s="36"/>
      <c r="N19" s="218">
        <v>8.0</v>
      </c>
      <c r="O19" s="217">
        <v>0.72</v>
      </c>
      <c r="P19" s="217">
        <v>0.72</v>
      </c>
      <c r="Q19" s="217">
        <v>0.72</v>
      </c>
      <c r="R19" s="217">
        <v>0.71</v>
      </c>
      <c r="S19" s="146">
        <f>1286+1166</f>
        <v>2452</v>
      </c>
      <c r="T19" s="13">
        <f t="shared" si="4"/>
        <v>0.28</v>
      </c>
      <c r="U19" s="146">
        <f>417+559</f>
        <v>976</v>
      </c>
      <c r="V19" s="217" t="s">
        <v>16</v>
      </c>
    </row>
    <row r="20">
      <c r="B20" s="36"/>
      <c r="C20" s="13">
        <v>9.0</v>
      </c>
      <c r="D20" s="13">
        <v>0.83</v>
      </c>
      <c r="E20" s="13">
        <v>0.74</v>
      </c>
      <c r="F20" s="13" t="s">
        <v>48</v>
      </c>
      <c r="G20" s="13">
        <v>0.78</v>
      </c>
      <c r="H20" s="146">
        <f>7+1676</f>
        <v>1683</v>
      </c>
      <c r="I20" s="13">
        <f t="shared" si="3"/>
        <v>0.17</v>
      </c>
      <c r="J20" s="13">
        <f>36+299</f>
        <v>335</v>
      </c>
      <c r="K20" s="13" t="s">
        <v>18</v>
      </c>
      <c r="L20" s="214"/>
      <c r="M20" s="36"/>
      <c r="N20" s="218">
        <v>9.0</v>
      </c>
      <c r="O20" s="217">
        <v>0.74</v>
      </c>
      <c r="P20" s="217">
        <v>0.74</v>
      </c>
      <c r="Q20" s="217">
        <v>0.74</v>
      </c>
      <c r="R20" s="217">
        <v>0.74</v>
      </c>
      <c r="S20" s="146">
        <f>1341+1203</f>
        <v>2544</v>
      </c>
      <c r="T20" s="13">
        <f t="shared" si="4"/>
        <v>0.26</v>
      </c>
      <c r="U20" s="146">
        <f>362+522</f>
        <v>884</v>
      </c>
      <c r="V20" s="217" t="s">
        <v>16</v>
      </c>
    </row>
    <row r="21">
      <c r="B21" s="36"/>
      <c r="C21" s="13">
        <v>10.0</v>
      </c>
      <c r="D21" s="13">
        <v>0.84</v>
      </c>
      <c r="E21" s="13">
        <v>0.75</v>
      </c>
      <c r="F21" s="13" t="s">
        <v>47</v>
      </c>
      <c r="G21" s="13">
        <v>0.78</v>
      </c>
      <c r="H21" s="146">
        <f>8+1683</f>
        <v>1691</v>
      </c>
      <c r="I21" s="13">
        <f t="shared" si="3"/>
        <v>0.16</v>
      </c>
      <c r="J21" s="13">
        <f>298+29</f>
        <v>327</v>
      </c>
      <c r="K21" s="13" t="s">
        <v>18</v>
      </c>
      <c r="L21" s="214"/>
      <c r="M21" s="36"/>
      <c r="N21" s="218">
        <v>10.0</v>
      </c>
      <c r="O21" s="217">
        <v>0.74</v>
      </c>
      <c r="P21" s="217">
        <v>0.74</v>
      </c>
      <c r="Q21" s="217">
        <v>0.74</v>
      </c>
      <c r="R21" s="217">
        <v>0.74</v>
      </c>
      <c r="S21" s="146">
        <f>1341+1204</f>
        <v>2545</v>
      </c>
      <c r="T21" s="13">
        <f t="shared" si="4"/>
        <v>0.26</v>
      </c>
      <c r="U21" s="146">
        <f>362+521</f>
        <v>883</v>
      </c>
      <c r="V21" s="217" t="s">
        <v>45</v>
      </c>
    </row>
    <row r="22">
      <c r="B22" s="91"/>
      <c r="C22" s="13">
        <v>11.0</v>
      </c>
      <c r="D22" s="13">
        <v>0.84</v>
      </c>
      <c r="E22" s="13">
        <v>0.77</v>
      </c>
      <c r="F22" s="13" t="s">
        <v>47</v>
      </c>
      <c r="G22" s="13">
        <v>0.78</v>
      </c>
      <c r="H22" s="146">
        <f>12+1683</f>
        <v>1695</v>
      </c>
      <c r="I22" s="13">
        <f t="shared" si="3"/>
        <v>0.16</v>
      </c>
      <c r="J22" s="13">
        <f>294+29</f>
        <v>323</v>
      </c>
      <c r="K22" s="13" t="s">
        <v>18</v>
      </c>
      <c r="L22" s="214"/>
      <c r="M22" s="91"/>
      <c r="N22" s="229">
        <v>11.0</v>
      </c>
      <c r="O22" s="226">
        <v>0.76</v>
      </c>
      <c r="P22" s="230">
        <v>0.76</v>
      </c>
      <c r="Q22" s="226">
        <v>0.76</v>
      </c>
      <c r="R22" s="230">
        <v>0.75</v>
      </c>
      <c r="S22" s="231">
        <f>1373+1217</f>
        <v>2590</v>
      </c>
      <c r="T22" s="225">
        <f t="shared" si="4"/>
        <v>0.24</v>
      </c>
      <c r="U22" s="231">
        <f>330+508</f>
        <v>838</v>
      </c>
      <c r="V22" s="226" t="s">
        <v>45</v>
      </c>
    </row>
    <row r="23">
      <c r="B23" s="23" t="s">
        <v>19</v>
      </c>
      <c r="C23" s="13">
        <v>1.0</v>
      </c>
      <c r="D23" s="13">
        <v>0.85</v>
      </c>
      <c r="E23" s="13">
        <v>0.72</v>
      </c>
      <c r="F23" s="13">
        <v>0.85</v>
      </c>
      <c r="G23" s="13">
        <v>0.78</v>
      </c>
      <c r="H23" s="146">
        <f>1712</f>
        <v>1712</v>
      </c>
      <c r="I23" s="13">
        <f t="shared" si="3"/>
        <v>0.15</v>
      </c>
      <c r="J23" s="13">
        <f>306</f>
        <v>306</v>
      </c>
      <c r="K23" s="13" t="s">
        <v>46</v>
      </c>
      <c r="L23" s="214"/>
      <c r="M23" s="219" t="s">
        <v>19</v>
      </c>
      <c r="N23" s="218">
        <v>1.0</v>
      </c>
      <c r="O23" s="217">
        <v>0.54</v>
      </c>
      <c r="P23" s="217">
        <v>0.54</v>
      </c>
      <c r="Q23" s="217">
        <v>0.54</v>
      </c>
      <c r="R23" s="217">
        <v>0.54</v>
      </c>
      <c r="S23" s="146">
        <f>880+959</f>
        <v>1839</v>
      </c>
      <c r="T23" s="13">
        <f t="shared" si="4"/>
        <v>0.46</v>
      </c>
      <c r="U23" s="146">
        <f>823+766</f>
        <v>1589</v>
      </c>
      <c r="V23" s="217" t="s">
        <v>20</v>
      </c>
    </row>
    <row r="24">
      <c r="B24" s="36"/>
      <c r="C24" s="220">
        <v>2.0</v>
      </c>
      <c r="D24" s="220">
        <v>0.85</v>
      </c>
      <c r="E24" s="232">
        <v>0.8</v>
      </c>
      <c r="F24" s="220">
        <v>0.85</v>
      </c>
      <c r="G24" s="220">
        <v>0.78</v>
      </c>
      <c r="H24" s="221">
        <f>2+1710</f>
        <v>1712</v>
      </c>
      <c r="I24" s="220">
        <f t="shared" si="3"/>
        <v>0.15</v>
      </c>
      <c r="J24" s="220">
        <f>2+304</f>
        <v>306</v>
      </c>
      <c r="K24" s="220" t="s">
        <v>46</v>
      </c>
      <c r="L24" s="214"/>
      <c r="M24" s="36"/>
      <c r="N24" s="218">
        <v>2.0</v>
      </c>
      <c r="O24" s="217">
        <v>0.55</v>
      </c>
      <c r="P24" s="217">
        <v>0.55</v>
      </c>
      <c r="Q24" s="217">
        <v>0.55</v>
      </c>
      <c r="R24" s="217">
        <v>0.55</v>
      </c>
      <c r="S24" s="146">
        <f>856+1039</f>
        <v>1895</v>
      </c>
      <c r="T24" s="13">
        <f t="shared" si="4"/>
        <v>0.45</v>
      </c>
      <c r="U24" s="146">
        <f>847+686</f>
        <v>1533</v>
      </c>
      <c r="V24" s="217" t="s">
        <v>20</v>
      </c>
    </row>
    <row r="25">
      <c r="B25" s="36"/>
      <c r="C25" s="13">
        <v>3.0</v>
      </c>
      <c r="D25" s="13">
        <v>0.85</v>
      </c>
      <c r="E25" s="13">
        <v>0.75</v>
      </c>
      <c r="F25" s="13">
        <v>0.85</v>
      </c>
      <c r="G25" s="13">
        <v>0.78</v>
      </c>
      <c r="H25" s="146">
        <f>1+1708</f>
        <v>1709</v>
      </c>
      <c r="I25" s="13">
        <f t="shared" si="3"/>
        <v>0.15</v>
      </c>
      <c r="J25" s="13">
        <f>305+4</f>
        <v>309</v>
      </c>
      <c r="K25" s="13" t="s">
        <v>46</v>
      </c>
      <c r="L25" s="214"/>
      <c r="M25" s="36"/>
      <c r="N25" s="218">
        <v>3.0</v>
      </c>
      <c r="O25" s="217">
        <v>0.59</v>
      </c>
      <c r="P25" s="217">
        <v>0.59</v>
      </c>
      <c r="Q25" s="217">
        <v>0.59</v>
      </c>
      <c r="R25" s="217">
        <v>0.59</v>
      </c>
      <c r="S25" s="146">
        <f>1066+966</f>
        <v>2032</v>
      </c>
      <c r="T25" s="13">
        <f t="shared" si="4"/>
        <v>0.41</v>
      </c>
      <c r="U25" s="146">
        <f>637+759</f>
        <v>1396</v>
      </c>
      <c r="V25" s="217" t="s">
        <v>20</v>
      </c>
    </row>
    <row r="26">
      <c r="B26" s="36"/>
      <c r="C26" s="13">
        <v>4.0</v>
      </c>
      <c r="D26" s="13">
        <v>0.84</v>
      </c>
      <c r="E26" s="13">
        <v>0.75</v>
      </c>
      <c r="F26" s="13">
        <v>0.84</v>
      </c>
      <c r="G26" s="13">
        <v>0.78</v>
      </c>
      <c r="H26" s="146">
        <f>7+1682</f>
        <v>1689</v>
      </c>
      <c r="I26" s="13">
        <f t="shared" si="3"/>
        <v>0.16</v>
      </c>
      <c r="J26" s="13">
        <f>299+30</f>
        <v>329</v>
      </c>
      <c r="K26" s="13" t="s">
        <v>46</v>
      </c>
      <c r="L26" s="214"/>
      <c r="M26" s="36"/>
      <c r="N26" s="218">
        <v>4.0</v>
      </c>
      <c r="O26" s="217">
        <v>0.61</v>
      </c>
      <c r="P26" s="217">
        <v>0.61</v>
      </c>
      <c r="Q26" s="217">
        <v>0.61</v>
      </c>
      <c r="R26" s="217">
        <v>0.61</v>
      </c>
      <c r="S26" s="146">
        <f>1038+1069</f>
        <v>2107</v>
      </c>
      <c r="T26" s="13">
        <f t="shared" si="4"/>
        <v>0.39</v>
      </c>
      <c r="U26" s="146">
        <f>665+656</f>
        <v>1321</v>
      </c>
      <c r="V26" s="217" t="s">
        <v>20</v>
      </c>
    </row>
    <row r="27">
      <c r="B27" s="36"/>
      <c r="C27" s="13">
        <v>5.0</v>
      </c>
      <c r="D27" s="13">
        <v>0.83</v>
      </c>
      <c r="E27" s="13">
        <v>0.76</v>
      </c>
      <c r="F27" s="13">
        <v>0.83</v>
      </c>
      <c r="G27" s="13">
        <v>0.79</v>
      </c>
      <c r="H27" s="146">
        <f>17+1667</f>
        <v>1684</v>
      </c>
      <c r="I27" s="13">
        <f t="shared" si="3"/>
        <v>0.17</v>
      </c>
      <c r="J27" s="13">
        <f>289+45</f>
        <v>334</v>
      </c>
      <c r="K27" s="13" t="s">
        <v>46</v>
      </c>
      <c r="L27" s="214"/>
      <c r="M27" s="36"/>
      <c r="N27" s="218">
        <v>5.0</v>
      </c>
      <c r="O27" s="217">
        <v>0.68</v>
      </c>
      <c r="P27" s="217">
        <v>0.68</v>
      </c>
      <c r="Q27" s="217">
        <v>0.68</v>
      </c>
      <c r="R27" s="217">
        <v>0.68</v>
      </c>
      <c r="S27" s="146">
        <f>1239+1078</f>
        <v>2317</v>
      </c>
      <c r="T27" s="13">
        <f t="shared" si="4"/>
        <v>0.32</v>
      </c>
      <c r="U27" s="146">
        <f>464+647</f>
        <v>1111</v>
      </c>
      <c r="V27" s="217" t="s">
        <v>20</v>
      </c>
    </row>
    <row r="28">
      <c r="B28" s="36"/>
      <c r="C28" s="13">
        <v>6.0</v>
      </c>
      <c r="D28" s="13">
        <v>0.84</v>
      </c>
      <c r="E28" s="13">
        <v>0.78</v>
      </c>
      <c r="F28" s="13">
        <v>0.84</v>
      </c>
      <c r="G28" s="13">
        <v>0.79</v>
      </c>
      <c r="H28" s="146">
        <f>21+1673</f>
        <v>1694</v>
      </c>
      <c r="I28" s="13">
        <f t="shared" si="3"/>
        <v>0.16</v>
      </c>
      <c r="J28" s="13">
        <f>285+39</f>
        <v>324</v>
      </c>
      <c r="K28" s="13" t="s">
        <v>46</v>
      </c>
      <c r="L28" s="214"/>
      <c r="M28" s="36"/>
      <c r="N28" s="218">
        <v>6.0</v>
      </c>
      <c r="O28" s="217">
        <v>0.69</v>
      </c>
      <c r="P28" s="217">
        <v>0.69</v>
      </c>
      <c r="Q28" s="217">
        <v>0.69</v>
      </c>
      <c r="R28" s="217">
        <v>0.68</v>
      </c>
      <c r="S28" s="146">
        <f>1259+1090</f>
        <v>2349</v>
      </c>
      <c r="T28" s="13">
        <f t="shared" si="4"/>
        <v>0.31</v>
      </c>
      <c r="U28" s="146">
        <f>444+635</f>
        <v>1079</v>
      </c>
      <c r="V28" s="217" t="s">
        <v>20</v>
      </c>
    </row>
    <row r="29">
      <c r="B29" s="36"/>
      <c r="C29" s="13">
        <v>7.0</v>
      </c>
      <c r="D29" s="13">
        <v>0.82</v>
      </c>
      <c r="E29" s="13">
        <v>0.74</v>
      </c>
      <c r="F29" s="13">
        <v>0.82</v>
      </c>
      <c r="G29" s="13">
        <v>0.77</v>
      </c>
      <c r="H29" s="146">
        <f>9+1641</f>
        <v>1650</v>
      </c>
      <c r="I29" s="13">
        <f t="shared" si="3"/>
        <v>0.18</v>
      </c>
      <c r="J29" s="13">
        <f>297+71</f>
        <v>368</v>
      </c>
      <c r="K29" s="13" t="s">
        <v>46</v>
      </c>
      <c r="L29" s="214"/>
      <c r="M29" s="36"/>
      <c r="N29" s="218">
        <v>7.0</v>
      </c>
      <c r="O29" s="217">
        <v>0.75</v>
      </c>
      <c r="P29" s="217">
        <v>0.75</v>
      </c>
      <c r="Q29" s="217">
        <v>0.75</v>
      </c>
      <c r="R29" s="217">
        <v>0.75</v>
      </c>
      <c r="S29" s="146">
        <f>1387+1181</f>
        <v>2568</v>
      </c>
      <c r="T29" s="13">
        <f t="shared" si="4"/>
        <v>0.25</v>
      </c>
      <c r="U29" s="146">
        <f>316+544</f>
        <v>860</v>
      </c>
      <c r="V29" s="217" t="s">
        <v>20</v>
      </c>
    </row>
    <row r="30">
      <c r="B30" s="36"/>
      <c r="C30" s="13">
        <v>8.0</v>
      </c>
      <c r="D30" s="13">
        <v>0.81</v>
      </c>
      <c r="E30" s="13">
        <v>0.74</v>
      </c>
      <c r="F30" s="13">
        <v>0.81</v>
      </c>
      <c r="G30" s="13">
        <v>0.77</v>
      </c>
      <c r="H30" s="146">
        <f>11+1625</f>
        <v>1636</v>
      </c>
      <c r="I30" s="13">
        <f t="shared" si="3"/>
        <v>0.19</v>
      </c>
      <c r="J30" s="13">
        <f>295+87</f>
        <v>382</v>
      </c>
      <c r="K30" s="13" t="s">
        <v>46</v>
      </c>
      <c r="L30" s="214"/>
      <c r="M30" s="36"/>
      <c r="N30" s="218">
        <v>8.0</v>
      </c>
      <c r="O30" s="217">
        <v>0.79</v>
      </c>
      <c r="P30" s="227">
        <v>0.8</v>
      </c>
      <c r="Q30" s="217">
        <v>0.79</v>
      </c>
      <c r="R30" s="217">
        <v>0.79</v>
      </c>
      <c r="S30" s="146">
        <f>1445+1278</f>
        <v>2723</v>
      </c>
      <c r="T30" s="13">
        <f t="shared" si="4"/>
        <v>0.21</v>
      </c>
      <c r="U30" s="146">
        <f>258+447</f>
        <v>705</v>
      </c>
      <c r="V30" s="217" t="s">
        <v>20</v>
      </c>
    </row>
    <row r="31">
      <c r="B31" s="36"/>
      <c r="C31" s="13">
        <v>9.0</v>
      </c>
      <c r="D31" s="13">
        <v>0.82</v>
      </c>
      <c r="E31" s="13">
        <v>0.74</v>
      </c>
      <c r="F31" s="13">
        <v>0.82</v>
      </c>
      <c r="G31" s="13">
        <v>0.77</v>
      </c>
      <c r="H31" s="146">
        <f>11+1641</f>
        <v>1652</v>
      </c>
      <c r="I31" s="13">
        <f t="shared" si="3"/>
        <v>0.18</v>
      </c>
      <c r="J31" s="13">
        <f>295+71</f>
        <v>366</v>
      </c>
      <c r="K31" s="13" t="s">
        <v>46</v>
      </c>
      <c r="L31" s="214"/>
      <c r="M31" s="36"/>
      <c r="N31" s="218">
        <v>9.0</v>
      </c>
      <c r="O31" s="227">
        <v>0.8</v>
      </c>
      <c r="P31" s="227">
        <v>0.81</v>
      </c>
      <c r="Q31" s="227">
        <v>0.8</v>
      </c>
      <c r="R31" s="227">
        <v>0.8</v>
      </c>
      <c r="S31" s="146">
        <f>1425+1332</f>
        <v>2757</v>
      </c>
      <c r="T31" s="228">
        <f t="shared" si="4"/>
        <v>0.2</v>
      </c>
      <c r="U31" s="146">
        <f>278+393</f>
        <v>671</v>
      </c>
      <c r="V31" s="217" t="s">
        <v>20</v>
      </c>
    </row>
    <row r="32">
      <c r="B32" s="36"/>
      <c r="C32" s="13">
        <v>10.0</v>
      </c>
      <c r="D32" s="13">
        <v>0.82</v>
      </c>
      <c r="E32" s="13">
        <v>0.74</v>
      </c>
      <c r="F32" s="13">
        <v>0.82</v>
      </c>
      <c r="G32" s="13">
        <v>0.77</v>
      </c>
      <c r="H32" s="146">
        <f>10+1652</f>
        <v>1662</v>
      </c>
      <c r="I32" s="13">
        <f t="shared" si="3"/>
        <v>0.18</v>
      </c>
      <c r="J32" s="13">
        <f>296+60</f>
        <v>356</v>
      </c>
      <c r="K32" s="13" t="s">
        <v>46</v>
      </c>
      <c r="L32" s="214"/>
      <c r="M32" s="36"/>
      <c r="N32" s="218">
        <v>10.0</v>
      </c>
      <c r="O32" s="217">
        <v>0.81</v>
      </c>
      <c r="P32" s="217">
        <v>0.82</v>
      </c>
      <c r="Q32" s="217">
        <v>0.81</v>
      </c>
      <c r="R32" s="217">
        <v>0.81</v>
      </c>
      <c r="S32" s="146">
        <f>1438+1355</f>
        <v>2793</v>
      </c>
      <c r="T32" s="13">
        <f t="shared" si="4"/>
        <v>0.19</v>
      </c>
      <c r="U32" s="146">
        <f>265+370</f>
        <v>635</v>
      </c>
      <c r="V32" s="217" t="s">
        <v>20</v>
      </c>
    </row>
    <row r="33">
      <c r="B33" s="91"/>
      <c r="C33" s="13">
        <v>11.0</v>
      </c>
      <c r="D33" s="13">
        <v>0.83</v>
      </c>
      <c r="E33" s="13">
        <v>0.74</v>
      </c>
      <c r="F33" s="13">
        <v>0.83</v>
      </c>
      <c r="G33" s="13">
        <v>0.77</v>
      </c>
      <c r="H33" s="146">
        <f>9+1659</f>
        <v>1668</v>
      </c>
      <c r="I33" s="13">
        <f t="shared" si="3"/>
        <v>0.17</v>
      </c>
      <c r="J33" s="13">
        <f>297+53</f>
        <v>350</v>
      </c>
      <c r="K33" s="13" t="s">
        <v>46</v>
      </c>
      <c r="L33" s="214"/>
      <c r="M33" s="91"/>
      <c r="N33" s="222">
        <v>11.0</v>
      </c>
      <c r="O33" s="223">
        <v>0.83</v>
      </c>
      <c r="P33" s="223">
        <v>0.83</v>
      </c>
      <c r="Q33" s="223">
        <v>0.83</v>
      </c>
      <c r="R33" s="223">
        <v>0.83</v>
      </c>
      <c r="S33" s="221">
        <f>1456+1375</f>
        <v>2831</v>
      </c>
      <c r="T33" s="220">
        <f t="shared" si="4"/>
        <v>0.17</v>
      </c>
      <c r="U33" s="221">
        <f>247+356</f>
        <v>603</v>
      </c>
      <c r="V33" s="223" t="s">
        <v>20</v>
      </c>
    </row>
    <row r="34">
      <c r="B34" s="23" t="s">
        <v>21</v>
      </c>
      <c r="C34" s="13">
        <v>1.0</v>
      </c>
      <c r="D34" s="13">
        <v>0.85</v>
      </c>
      <c r="E34" s="13">
        <v>0.72</v>
      </c>
      <c r="F34" s="13">
        <v>0.85</v>
      </c>
      <c r="G34" s="13">
        <v>0.78</v>
      </c>
      <c r="H34" s="217">
        <v>1712.0</v>
      </c>
      <c r="I34" s="13">
        <f t="shared" si="3"/>
        <v>0.15</v>
      </c>
      <c r="J34" s="13">
        <v>306.0</v>
      </c>
      <c r="K34" s="13" t="s">
        <v>46</v>
      </c>
      <c r="L34" s="214"/>
      <c r="M34" s="219" t="s">
        <v>21</v>
      </c>
      <c r="N34" s="218">
        <v>1.0</v>
      </c>
      <c r="O34" s="217">
        <v>0.54</v>
      </c>
      <c r="P34" s="217">
        <v>0.54</v>
      </c>
      <c r="Q34" s="217">
        <v>0.54</v>
      </c>
      <c r="R34" s="217">
        <v>0.53</v>
      </c>
      <c r="S34" s="146">
        <f>1143+702</f>
        <v>1845</v>
      </c>
      <c r="T34" s="13">
        <f t="shared" si="4"/>
        <v>0.46</v>
      </c>
      <c r="U34" s="146">
        <f>1023+560</f>
        <v>1583</v>
      </c>
      <c r="V34" s="217" t="s">
        <v>20</v>
      </c>
    </row>
    <row r="35">
      <c r="B35" s="36"/>
      <c r="C35" s="225">
        <v>2.0</v>
      </c>
      <c r="D35" s="225">
        <v>0.85</v>
      </c>
      <c r="E35" s="225">
        <v>0.77</v>
      </c>
      <c r="F35" s="225">
        <v>0.85</v>
      </c>
      <c r="G35" s="225">
        <v>0.78</v>
      </c>
      <c r="H35" s="231">
        <f>2+1708</f>
        <v>1710</v>
      </c>
      <c r="I35" s="225">
        <f t="shared" si="3"/>
        <v>0.15</v>
      </c>
      <c r="J35" s="225">
        <f>4+304</f>
        <v>308</v>
      </c>
      <c r="K35" s="225" t="s">
        <v>46</v>
      </c>
      <c r="L35" s="214"/>
      <c r="M35" s="36"/>
      <c r="N35" s="218">
        <v>2.0</v>
      </c>
      <c r="O35" s="217">
        <v>0.55</v>
      </c>
      <c r="P35" s="217">
        <v>0.55</v>
      </c>
      <c r="Q35" s="217">
        <v>0.55</v>
      </c>
      <c r="R35" s="217">
        <v>0.55</v>
      </c>
      <c r="S35" s="146">
        <f>858+1035</f>
        <v>1893</v>
      </c>
      <c r="T35" s="13">
        <f t="shared" si="4"/>
        <v>0.45</v>
      </c>
      <c r="U35" s="146">
        <f>845+690</f>
        <v>1535</v>
      </c>
      <c r="V35" s="217" t="s">
        <v>20</v>
      </c>
    </row>
    <row r="36">
      <c r="B36" s="36"/>
      <c r="C36" s="13">
        <v>3.0</v>
      </c>
      <c r="D36" s="13">
        <v>0.85</v>
      </c>
      <c r="E36" s="13">
        <v>0.77</v>
      </c>
      <c r="F36" s="13">
        <v>0.85</v>
      </c>
      <c r="G36" s="13">
        <v>0.78</v>
      </c>
      <c r="H36" s="146">
        <f>5+1702</f>
        <v>1707</v>
      </c>
      <c r="I36" s="13">
        <f t="shared" si="3"/>
        <v>0.15</v>
      </c>
      <c r="J36" s="13">
        <f>301+10</f>
        <v>311</v>
      </c>
      <c r="K36" s="13" t="s">
        <v>46</v>
      </c>
      <c r="L36" s="214"/>
      <c r="M36" s="36"/>
      <c r="N36" s="218">
        <v>3.0</v>
      </c>
      <c r="O36" s="217">
        <v>0.59</v>
      </c>
      <c r="P36" s="217">
        <v>0.59</v>
      </c>
      <c r="Q36" s="217">
        <v>0.59</v>
      </c>
      <c r="R36" s="217">
        <v>0.59</v>
      </c>
      <c r="S36" s="146">
        <f>1029+1002</f>
        <v>2031</v>
      </c>
      <c r="T36" s="13">
        <f t="shared" si="4"/>
        <v>0.41</v>
      </c>
      <c r="U36" s="146">
        <f>674+723</f>
        <v>1397</v>
      </c>
      <c r="V36" s="217" t="s">
        <v>20</v>
      </c>
    </row>
    <row r="37">
      <c r="B37" s="36"/>
      <c r="C37" s="13">
        <v>4.0</v>
      </c>
      <c r="D37" s="13">
        <v>0.83</v>
      </c>
      <c r="E37" s="13">
        <v>0.75</v>
      </c>
      <c r="F37" s="13">
        <v>0.83</v>
      </c>
      <c r="G37" s="13">
        <v>0.78</v>
      </c>
      <c r="H37" s="146">
        <f>11+1672</f>
        <v>1683</v>
      </c>
      <c r="I37" s="13">
        <f t="shared" si="3"/>
        <v>0.17</v>
      </c>
      <c r="J37" s="13">
        <f>295+40</f>
        <v>335</v>
      </c>
      <c r="K37" s="13" t="s">
        <v>46</v>
      </c>
      <c r="L37" s="214"/>
      <c r="M37" s="36"/>
      <c r="N37" s="218">
        <v>4.0</v>
      </c>
      <c r="O37" s="217">
        <v>0.62</v>
      </c>
      <c r="P37" s="217">
        <v>0.62</v>
      </c>
      <c r="Q37" s="217">
        <v>0.62</v>
      </c>
      <c r="R37" s="217">
        <v>0.62</v>
      </c>
      <c r="S37" s="146">
        <f>1067+1044</f>
        <v>2111</v>
      </c>
      <c r="T37" s="13">
        <f t="shared" si="4"/>
        <v>0.38</v>
      </c>
      <c r="U37" s="146">
        <f>636+681</f>
        <v>1317</v>
      </c>
      <c r="V37" s="217" t="s">
        <v>20</v>
      </c>
    </row>
    <row r="38">
      <c r="B38" s="36"/>
      <c r="C38" s="13">
        <v>5.0</v>
      </c>
      <c r="D38" s="13">
        <v>0.81</v>
      </c>
      <c r="E38" s="13">
        <v>0.75</v>
      </c>
      <c r="F38" s="13">
        <v>0.81</v>
      </c>
      <c r="G38" s="13">
        <v>0.78</v>
      </c>
      <c r="H38" s="146">
        <f>25+1614</f>
        <v>1639</v>
      </c>
      <c r="I38" s="13">
        <f t="shared" si="3"/>
        <v>0.19</v>
      </c>
      <c r="J38" s="13">
        <f>281+98</f>
        <v>379</v>
      </c>
      <c r="K38" s="13" t="s">
        <v>46</v>
      </c>
      <c r="L38" s="214"/>
      <c r="M38" s="36"/>
      <c r="N38" s="218">
        <v>5.0</v>
      </c>
      <c r="O38" s="217">
        <v>0.67</v>
      </c>
      <c r="P38" s="217">
        <v>0.68</v>
      </c>
      <c r="Q38" s="217">
        <v>0.67</v>
      </c>
      <c r="R38" s="217">
        <v>0.67</v>
      </c>
      <c r="S38" s="146">
        <f>1266+1022</f>
        <v>2288</v>
      </c>
      <c r="T38" s="13">
        <f t="shared" si="4"/>
        <v>0.33</v>
      </c>
      <c r="U38" s="146">
        <f>417+703</f>
        <v>1120</v>
      </c>
      <c r="V38" s="217" t="s">
        <v>20</v>
      </c>
    </row>
    <row r="39">
      <c r="B39" s="36"/>
      <c r="C39" s="13">
        <v>6.0</v>
      </c>
      <c r="D39" s="13">
        <v>0.81</v>
      </c>
      <c r="E39" s="13">
        <v>0.75</v>
      </c>
      <c r="F39" s="13">
        <v>0.81</v>
      </c>
      <c r="G39" s="13">
        <v>0.78</v>
      </c>
      <c r="H39" s="146">
        <f>27+1598</f>
        <v>1625</v>
      </c>
      <c r="I39" s="13">
        <f t="shared" si="3"/>
        <v>0.19</v>
      </c>
      <c r="J39" s="13">
        <f>277+114</f>
        <v>391</v>
      </c>
      <c r="K39" s="13" t="s">
        <v>46</v>
      </c>
      <c r="L39" s="214"/>
      <c r="M39" s="36"/>
      <c r="N39" s="218">
        <v>6.0</v>
      </c>
      <c r="O39" s="217">
        <v>0.68</v>
      </c>
      <c r="P39" s="217">
        <v>0.69</v>
      </c>
      <c r="Q39" s="217">
        <v>0.68</v>
      </c>
      <c r="R39" s="217">
        <v>0.68</v>
      </c>
      <c r="S39" s="146">
        <f>1317+1013</f>
        <v>2330</v>
      </c>
      <c r="T39" s="13">
        <f t="shared" si="4"/>
        <v>0.32</v>
      </c>
      <c r="U39" s="146">
        <f>386+712</f>
        <v>1098</v>
      </c>
      <c r="V39" s="217" t="s">
        <v>20</v>
      </c>
    </row>
    <row r="40">
      <c r="B40" s="36"/>
      <c r="C40" s="13">
        <v>7.0</v>
      </c>
      <c r="D40" s="13">
        <v>0.76</v>
      </c>
      <c r="E40" s="13">
        <v>0.75</v>
      </c>
      <c r="F40" s="13">
        <v>0.76</v>
      </c>
      <c r="G40" s="13">
        <v>0.75</v>
      </c>
      <c r="H40" s="146">
        <f>44+1481</f>
        <v>1525</v>
      </c>
      <c r="I40" s="13">
        <f t="shared" si="3"/>
        <v>0.24</v>
      </c>
      <c r="J40" s="13">
        <f>262+231</f>
        <v>493</v>
      </c>
      <c r="K40" s="13" t="s">
        <v>46</v>
      </c>
      <c r="L40" s="214"/>
      <c r="M40" s="36"/>
      <c r="N40" s="218">
        <v>7.0</v>
      </c>
      <c r="O40" s="217">
        <v>0.74</v>
      </c>
      <c r="P40" s="217">
        <v>0.75</v>
      </c>
      <c r="Q40" s="217">
        <v>0.74</v>
      </c>
      <c r="R40" s="217">
        <v>0.73</v>
      </c>
      <c r="S40" s="146">
        <f>1442+1082</f>
        <v>2524</v>
      </c>
      <c r="T40" s="13">
        <f t="shared" si="4"/>
        <v>0.26</v>
      </c>
      <c r="U40" s="146">
        <f>261+643</f>
        <v>904</v>
      </c>
      <c r="V40" s="217" t="s">
        <v>20</v>
      </c>
    </row>
    <row r="41">
      <c r="B41" s="36"/>
      <c r="C41" s="13">
        <v>8.0</v>
      </c>
      <c r="D41" s="13">
        <v>0.73</v>
      </c>
      <c r="E41" s="13">
        <v>0.75</v>
      </c>
      <c r="F41" s="13">
        <v>0.73</v>
      </c>
      <c r="G41" s="13">
        <v>0.74</v>
      </c>
      <c r="H41" s="146">
        <f>60+1418</f>
        <v>1478</v>
      </c>
      <c r="I41" s="13">
        <f t="shared" si="3"/>
        <v>0.27</v>
      </c>
      <c r="J41" s="13">
        <f>246+294</f>
        <v>540</v>
      </c>
      <c r="K41" s="13" t="s">
        <v>46</v>
      </c>
      <c r="L41" s="214"/>
      <c r="M41" s="36"/>
      <c r="N41" s="218">
        <v>8.0</v>
      </c>
      <c r="O41" s="217">
        <v>0.76</v>
      </c>
      <c r="P41" s="217">
        <v>0.77</v>
      </c>
      <c r="Q41" s="217">
        <v>0.76</v>
      </c>
      <c r="R41" s="217">
        <v>0.76</v>
      </c>
      <c r="S41" s="146">
        <f>1470+1133</f>
        <v>2603</v>
      </c>
      <c r="T41" s="13">
        <f t="shared" si="4"/>
        <v>0.24</v>
      </c>
      <c r="U41" s="146">
        <f>233+592</f>
        <v>825</v>
      </c>
      <c r="V41" s="217" t="s">
        <v>20</v>
      </c>
    </row>
    <row r="42">
      <c r="B42" s="36"/>
      <c r="C42" s="13">
        <v>9.0</v>
      </c>
      <c r="D42" s="13">
        <v>0.72</v>
      </c>
      <c r="E42" s="13">
        <v>0.75</v>
      </c>
      <c r="F42" s="13">
        <v>0.72</v>
      </c>
      <c r="G42" s="13">
        <v>0.73</v>
      </c>
      <c r="H42" s="146">
        <f>61+1390</f>
        <v>1451</v>
      </c>
      <c r="I42" s="13">
        <f t="shared" si="3"/>
        <v>0.28</v>
      </c>
      <c r="J42" s="13">
        <f>245+322</f>
        <v>567</v>
      </c>
      <c r="K42" s="13" t="s">
        <v>46</v>
      </c>
      <c r="L42" s="214"/>
      <c r="M42" s="36"/>
      <c r="N42" s="218">
        <v>9.0</v>
      </c>
      <c r="O42" s="217">
        <v>0.77</v>
      </c>
      <c r="P42" s="218" t="s">
        <v>27</v>
      </c>
      <c r="Q42" s="217">
        <v>0.77</v>
      </c>
      <c r="R42" s="217">
        <v>0.76</v>
      </c>
      <c r="S42" s="146">
        <f>1460+1164</f>
        <v>2624</v>
      </c>
      <c r="T42" s="13">
        <f t="shared" si="4"/>
        <v>0.23</v>
      </c>
      <c r="U42" s="146">
        <f>243+561</f>
        <v>804</v>
      </c>
      <c r="V42" s="217" t="s">
        <v>20</v>
      </c>
    </row>
    <row r="43">
      <c r="B43" s="36"/>
      <c r="C43" s="13">
        <v>10.0</v>
      </c>
      <c r="D43" s="13">
        <v>0.72</v>
      </c>
      <c r="E43" s="13">
        <v>0.75</v>
      </c>
      <c r="F43" s="13">
        <v>0.72</v>
      </c>
      <c r="G43" s="13">
        <v>0.73</v>
      </c>
      <c r="H43" s="146">
        <f>63+1393</f>
        <v>1456</v>
      </c>
      <c r="I43" s="13">
        <f t="shared" si="3"/>
        <v>0.28</v>
      </c>
      <c r="J43" s="13">
        <f>243+319</f>
        <v>562</v>
      </c>
      <c r="K43" s="13" t="s">
        <v>46</v>
      </c>
      <c r="L43" s="214"/>
      <c r="M43" s="36"/>
      <c r="N43" s="218">
        <v>10.0</v>
      </c>
      <c r="O43" s="217">
        <v>0.78</v>
      </c>
      <c r="P43" s="217">
        <v>0.79</v>
      </c>
      <c r="Q43" s="217">
        <v>0.78</v>
      </c>
      <c r="R43" s="217">
        <v>0.78</v>
      </c>
      <c r="S43" s="146">
        <f>1454+1214</f>
        <v>2668</v>
      </c>
      <c r="T43" s="13">
        <f t="shared" si="4"/>
        <v>0.22</v>
      </c>
      <c r="U43" s="146">
        <f>249+511</f>
        <v>760</v>
      </c>
      <c r="V43" s="217" t="s">
        <v>20</v>
      </c>
    </row>
    <row r="44">
      <c r="B44" s="91"/>
      <c r="C44" s="13">
        <v>11.0</v>
      </c>
      <c r="D44" s="13">
        <v>0.74</v>
      </c>
      <c r="E44" s="13">
        <v>0.76</v>
      </c>
      <c r="F44" s="13">
        <v>0.74</v>
      </c>
      <c r="G44" s="13">
        <v>0.75</v>
      </c>
      <c r="H44" s="146">
        <f>75+1415</f>
        <v>1490</v>
      </c>
      <c r="I44" s="13">
        <f t="shared" si="3"/>
        <v>0.26</v>
      </c>
      <c r="J44" s="13">
        <f>231+297</f>
        <v>528</v>
      </c>
      <c r="K44" s="13" t="s">
        <v>46</v>
      </c>
      <c r="L44" s="214"/>
      <c r="M44" s="91"/>
      <c r="N44" s="229">
        <v>11.0</v>
      </c>
      <c r="O44" s="226">
        <v>0.78</v>
      </c>
      <c r="P44" s="226">
        <v>0.79</v>
      </c>
      <c r="Q44" s="226">
        <v>0.78</v>
      </c>
      <c r="R44" s="226">
        <v>0.78</v>
      </c>
      <c r="S44" s="231">
        <f>1476+1189</f>
        <v>2665</v>
      </c>
      <c r="T44" s="225">
        <f t="shared" si="4"/>
        <v>0.22</v>
      </c>
      <c r="U44" s="231">
        <f>227+536</f>
        <v>763</v>
      </c>
      <c r="V44" s="226" t="s">
        <v>20</v>
      </c>
    </row>
    <row r="45">
      <c r="B45" s="23" t="s">
        <v>22</v>
      </c>
      <c r="C45" s="13">
        <v>1.0</v>
      </c>
      <c r="D45" s="13">
        <v>0.85</v>
      </c>
      <c r="E45" s="13">
        <v>0.72</v>
      </c>
      <c r="F45" s="13">
        <v>0.85</v>
      </c>
      <c r="G45" s="13">
        <v>0.78</v>
      </c>
      <c r="H45" s="217">
        <v>1712.0</v>
      </c>
      <c r="I45" s="13">
        <f t="shared" si="3"/>
        <v>0.15</v>
      </c>
      <c r="J45" s="13">
        <v>306.0</v>
      </c>
      <c r="K45" s="13" t="s">
        <v>23</v>
      </c>
      <c r="L45" s="214"/>
      <c r="M45" s="219" t="s">
        <v>22</v>
      </c>
      <c r="N45" s="218">
        <v>1.0</v>
      </c>
      <c r="O45" s="217">
        <v>0.53</v>
      </c>
      <c r="P45" s="217">
        <v>0.53</v>
      </c>
      <c r="Q45" s="217">
        <v>0.53</v>
      </c>
      <c r="R45" s="217">
        <v>0.53</v>
      </c>
      <c r="S45" s="146">
        <f>857+960</f>
        <v>1817</v>
      </c>
      <c r="T45" s="13">
        <f t="shared" si="4"/>
        <v>0.47</v>
      </c>
      <c r="U45" s="146">
        <f>846+765</f>
        <v>1611</v>
      </c>
      <c r="V45" s="217" t="s">
        <v>23</v>
      </c>
    </row>
    <row r="46">
      <c r="B46" s="36"/>
      <c r="C46" s="13">
        <v>2.0</v>
      </c>
      <c r="D46" s="13">
        <v>0.85</v>
      </c>
      <c r="E46" s="13">
        <v>0.72</v>
      </c>
      <c r="F46" s="13">
        <v>0.85</v>
      </c>
      <c r="G46" s="13">
        <v>0.78</v>
      </c>
      <c r="H46" s="217">
        <v>1712.0</v>
      </c>
      <c r="I46" s="13">
        <f t="shared" si="3"/>
        <v>0.15</v>
      </c>
      <c r="J46" s="13">
        <v>306.0</v>
      </c>
      <c r="K46" s="13" t="s">
        <v>23</v>
      </c>
      <c r="L46" s="214"/>
      <c r="M46" s="36"/>
      <c r="N46" s="218">
        <v>2.0</v>
      </c>
      <c r="O46" s="217">
        <v>0.52</v>
      </c>
      <c r="P46" s="217">
        <v>0.52</v>
      </c>
      <c r="Q46" s="217">
        <v>0.52</v>
      </c>
      <c r="R46" s="227">
        <v>0.5</v>
      </c>
      <c r="S46" s="146">
        <f>529+1258</f>
        <v>1787</v>
      </c>
      <c r="T46" s="13">
        <f t="shared" si="4"/>
        <v>0.48</v>
      </c>
      <c r="U46" s="146">
        <f>1174+467</f>
        <v>1641</v>
      </c>
      <c r="V46" s="217" t="s">
        <v>23</v>
      </c>
    </row>
    <row r="47">
      <c r="B47" s="36"/>
      <c r="C47" s="13">
        <v>3.0</v>
      </c>
      <c r="D47" s="13">
        <v>0.85</v>
      </c>
      <c r="E47" s="13">
        <v>0.72</v>
      </c>
      <c r="F47" s="13">
        <v>0.85</v>
      </c>
      <c r="G47" s="13">
        <v>0.78</v>
      </c>
      <c r="H47" s="217">
        <v>1712.0</v>
      </c>
      <c r="I47" s="13">
        <f t="shared" si="3"/>
        <v>0.15</v>
      </c>
      <c r="J47" s="13">
        <v>306.0</v>
      </c>
      <c r="K47" s="13" t="s">
        <v>23</v>
      </c>
      <c r="L47" s="214"/>
      <c r="M47" s="36"/>
      <c r="N47" s="218">
        <v>3.0</v>
      </c>
      <c r="O47" s="217">
        <v>0.52</v>
      </c>
      <c r="P47" s="217">
        <v>0.52</v>
      </c>
      <c r="Q47" s="217">
        <v>0.52</v>
      </c>
      <c r="R47" s="217">
        <v>0.51</v>
      </c>
      <c r="S47" s="146">
        <f>681+1096</f>
        <v>1777</v>
      </c>
      <c r="T47" s="13">
        <f t="shared" si="4"/>
        <v>0.48</v>
      </c>
      <c r="U47" s="146">
        <f>1022+629</f>
        <v>1651</v>
      </c>
      <c r="V47" s="217" t="s">
        <v>23</v>
      </c>
    </row>
    <row r="48">
      <c r="B48" s="36"/>
      <c r="C48" s="13">
        <v>4.0</v>
      </c>
      <c r="D48" s="13">
        <v>0.85</v>
      </c>
      <c r="E48" s="13">
        <v>0.72</v>
      </c>
      <c r="F48" s="13">
        <v>0.85</v>
      </c>
      <c r="G48" s="13">
        <v>0.78</v>
      </c>
      <c r="H48" s="217">
        <v>1712.0</v>
      </c>
      <c r="I48" s="13">
        <f t="shared" si="3"/>
        <v>0.15</v>
      </c>
      <c r="J48" s="13">
        <v>306.0</v>
      </c>
      <c r="K48" s="13" t="s">
        <v>23</v>
      </c>
      <c r="L48" s="214"/>
      <c r="M48" s="36"/>
      <c r="N48" s="218">
        <v>4.0</v>
      </c>
      <c r="O48" s="217">
        <v>0.52</v>
      </c>
      <c r="P48" s="217">
        <v>0.52</v>
      </c>
      <c r="Q48" s="217">
        <v>0.52</v>
      </c>
      <c r="R48" s="217">
        <v>0.52</v>
      </c>
      <c r="S48" s="146">
        <f>964+813</f>
        <v>1777</v>
      </c>
      <c r="T48" s="13">
        <f t="shared" si="4"/>
        <v>0.48</v>
      </c>
      <c r="U48" s="146">
        <f>739+912</f>
        <v>1651</v>
      </c>
      <c r="V48" s="217" t="s">
        <v>23</v>
      </c>
    </row>
    <row r="49">
      <c r="B49" s="36"/>
      <c r="C49" s="13">
        <v>5.0</v>
      </c>
      <c r="D49" s="13">
        <v>0.85</v>
      </c>
      <c r="E49" s="13">
        <v>0.72</v>
      </c>
      <c r="F49" s="13">
        <v>0.85</v>
      </c>
      <c r="G49" s="13">
        <v>0.78</v>
      </c>
      <c r="H49" s="217">
        <v>1712.0</v>
      </c>
      <c r="I49" s="13">
        <f t="shared" si="3"/>
        <v>0.15</v>
      </c>
      <c r="J49" s="13">
        <v>306.0</v>
      </c>
      <c r="K49" s="13" t="s">
        <v>23</v>
      </c>
      <c r="L49" s="214"/>
      <c r="M49" s="36"/>
      <c r="N49" s="218">
        <v>5.0</v>
      </c>
      <c r="O49" s="217">
        <v>0.52</v>
      </c>
      <c r="P49" s="217">
        <v>0.52</v>
      </c>
      <c r="Q49" s="217">
        <v>0.52</v>
      </c>
      <c r="R49" s="217">
        <v>0.52</v>
      </c>
      <c r="S49" s="146">
        <f>1066+702</f>
        <v>1768</v>
      </c>
      <c r="T49" s="13">
        <f t="shared" si="4"/>
        <v>0.48</v>
      </c>
      <c r="U49" s="146">
        <f>637+1005</f>
        <v>1642</v>
      </c>
      <c r="V49" s="217" t="s">
        <v>23</v>
      </c>
    </row>
    <row r="50">
      <c r="B50" s="36"/>
      <c r="C50" s="13">
        <v>6.0</v>
      </c>
      <c r="D50" s="13">
        <v>0.85</v>
      </c>
      <c r="E50" s="13">
        <v>0.72</v>
      </c>
      <c r="F50" s="13">
        <v>0.85</v>
      </c>
      <c r="G50" s="13">
        <v>0.78</v>
      </c>
      <c r="H50" s="217">
        <v>1712.0</v>
      </c>
      <c r="I50" s="13">
        <f t="shared" si="3"/>
        <v>0.15</v>
      </c>
      <c r="J50" s="13">
        <v>306.0</v>
      </c>
      <c r="K50" s="13" t="s">
        <v>23</v>
      </c>
      <c r="L50" s="214"/>
      <c r="M50" s="36"/>
      <c r="N50" s="218">
        <v>6.0</v>
      </c>
      <c r="O50" s="217">
        <v>0.51</v>
      </c>
      <c r="P50" s="217">
        <v>0.52</v>
      </c>
      <c r="Q50" s="217">
        <v>0.51</v>
      </c>
      <c r="R50" s="217">
        <v>0.48</v>
      </c>
      <c r="S50" s="146">
        <f>1310+451</f>
        <v>1761</v>
      </c>
      <c r="T50" s="13">
        <f t="shared" si="4"/>
        <v>0.49</v>
      </c>
      <c r="U50" s="146">
        <f>392+1274</f>
        <v>1666</v>
      </c>
      <c r="V50" s="217" t="s">
        <v>23</v>
      </c>
    </row>
    <row r="51">
      <c r="B51" s="36"/>
      <c r="C51" s="13">
        <v>7.0</v>
      </c>
      <c r="D51" s="13">
        <v>0.85</v>
      </c>
      <c r="E51" s="13">
        <v>0.72</v>
      </c>
      <c r="F51" s="13">
        <v>0.85</v>
      </c>
      <c r="G51" s="13">
        <v>0.78</v>
      </c>
      <c r="H51" s="217">
        <v>1712.0</v>
      </c>
      <c r="I51" s="13">
        <f t="shared" si="3"/>
        <v>0.15</v>
      </c>
      <c r="J51" s="13">
        <v>306.0</v>
      </c>
      <c r="K51" s="13" t="s">
        <v>23</v>
      </c>
      <c r="L51" s="214"/>
      <c r="M51" s="36"/>
      <c r="N51" s="218">
        <v>7.0</v>
      </c>
      <c r="O51" s="217">
        <v>0.54</v>
      </c>
      <c r="P51" s="217">
        <v>0.55</v>
      </c>
      <c r="Q51" s="217">
        <v>0.54</v>
      </c>
      <c r="R51" s="217">
        <v>0.52</v>
      </c>
      <c r="S51" s="146">
        <f>1246+602</f>
        <v>1848</v>
      </c>
      <c r="T51" s="13">
        <f t="shared" si="4"/>
        <v>0.46</v>
      </c>
      <c r="U51" s="146">
        <f>457+1123</f>
        <v>1580</v>
      </c>
      <c r="V51" s="217" t="s">
        <v>23</v>
      </c>
    </row>
    <row r="52">
      <c r="B52" s="36"/>
      <c r="C52" s="13">
        <v>8.0</v>
      </c>
      <c r="D52" s="13">
        <v>0.85</v>
      </c>
      <c r="E52" s="13">
        <v>0.72</v>
      </c>
      <c r="F52" s="13">
        <v>0.85</v>
      </c>
      <c r="G52" s="13">
        <v>0.78</v>
      </c>
      <c r="H52" s="217">
        <v>1712.0</v>
      </c>
      <c r="I52" s="13">
        <f t="shared" si="3"/>
        <v>0.15</v>
      </c>
      <c r="J52" s="13">
        <v>306.0</v>
      </c>
      <c r="K52" s="13" t="s">
        <v>23</v>
      </c>
      <c r="L52" s="214"/>
      <c r="M52" s="36"/>
      <c r="N52" s="218">
        <v>8.0</v>
      </c>
      <c r="O52" s="217">
        <v>0.55</v>
      </c>
      <c r="P52" s="217">
        <v>0.55</v>
      </c>
      <c r="Q52" s="217">
        <v>0.55</v>
      </c>
      <c r="R52" s="217">
        <v>0.53</v>
      </c>
      <c r="S52" s="146">
        <f>1252+617</f>
        <v>1869</v>
      </c>
      <c r="T52" s="13">
        <f t="shared" si="4"/>
        <v>0.45</v>
      </c>
      <c r="U52" s="146">
        <f>451+1108</f>
        <v>1559</v>
      </c>
      <c r="V52" s="217" t="s">
        <v>23</v>
      </c>
    </row>
    <row r="53">
      <c r="B53" s="36"/>
      <c r="C53" s="13">
        <v>9.0</v>
      </c>
      <c r="D53" s="13">
        <v>0.85</v>
      </c>
      <c r="E53" s="13">
        <v>0.72</v>
      </c>
      <c r="F53" s="13">
        <v>0.85</v>
      </c>
      <c r="G53" s="13">
        <v>0.78</v>
      </c>
      <c r="H53" s="217">
        <v>1712.0</v>
      </c>
      <c r="I53" s="13">
        <f t="shared" si="3"/>
        <v>0.15</v>
      </c>
      <c r="J53" s="13">
        <v>306.0</v>
      </c>
      <c r="K53" s="13" t="s">
        <v>23</v>
      </c>
      <c r="L53" s="214"/>
      <c r="M53" s="36"/>
      <c r="N53" s="218">
        <v>9.0</v>
      </c>
      <c r="O53" s="217">
        <v>0.56</v>
      </c>
      <c r="P53" s="217">
        <v>0.57</v>
      </c>
      <c r="Q53" s="217">
        <v>0.56</v>
      </c>
      <c r="R53" s="217">
        <v>0.53</v>
      </c>
      <c r="S53" s="146">
        <f>1325+584</f>
        <v>1909</v>
      </c>
      <c r="T53" s="13">
        <f t="shared" si="4"/>
        <v>0.44</v>
      </c>
      <c r="U53" s="146">
        <f>378+1141</f>
        <v>1519</v>
      </c>
      <c r="V53" s="217" t="s">
        <v>23</v>
      </c>
    </row>
    <row r="54">
      <c r="B54" s="36"/>
      <c r="C54" s="13">
        <v>10.0</v>
      </c>
      <c r="D54" s="13">
        <v>0.85</v>
      </c>
      <c r="E54" s="13">
        <v>0.72</v>
      </c>
      <c r="F54" s="13">
        <v>0.85</v>
      </c>
      <c r="G54" s="13">
        <v>0.78</v>
      </c>
      <c r="H54" s="217">
        <v>1712.0</v>
      </c>
      <c r="I54" s="13">
        <f t="shared" si="3"/>
        <v>0.15</v>
      </c>
      <c r="J54" s="13">
        <v>306.0</v>
      </c>
      <c r="K54" s="13" t="s">
        <v>23</v>
      </c>
      <c r="L54" s="214"/>
      <c r="M54" s="36"/>
      <c r="N54" s="218">
        <v>10.0</v>
      </c>
      <c r="O54" s="217">
        <v>0.56</v>
      </c>
      <c r="P54" s="217">
        <v>0.58</v>
      </c>
      <c r="Q54" s="217">
        <v>0.56</v>
      </c>
      <c r="R54" s="217">
        <v>0.54</v>
      </c>
      <c r="S54" s="146">
        <f>1335+584</f>
        <v>1919</v>
      </c>
      <c r="T54" s="13">
        <f t="shared" si="4"/>
        <v>0.44</v>
      </c>
      <c r="U54" s="146">
        <f>368+1141</f>
        <v>1509</v>
      </c>
      <c r="V54" s="217" t="s">
        <v>23</v>
      </c>
    </row>
    <row r="55">
      <c r="B55" s="91"/>
      <c r="C55" s="225">
        <v>11.0</v>
      </c>
      <c r="D55" s="225">
        <v>0.85</v>
      </c>
      <c r="E55" s="225">
        <v>0.72</v>
      </c>
      <c r="F55" s="225">
        <v>0.85</v>
      </c>
      <c r="G55" s="225">
        <v>0.78</v>
      </c>
      <c r="H55" s="226">
        <v>1712.0</v>
      </c>
      <c r="I55" s="229">
        <f t="shared" si="3"/>
        <v>0.15</v>
      </c>
      <c r="J55" s="225">
        <v>306.0</v>
      </c>
      <c r="K55" s="225" t="s">
        <v>23</v>
      </c>
      <c r="L55" s="214"/>
      <c r="M55" s="91"/>
      <c r="N55" s="229">
        <v>11.0</v>
      </c>
      <c r="O55" s="226">
        <v>0.57</v>
      </c>
      <c r="P55" s="226">
        <v>0.59</v>
      </c>
      <c r="Q55" s="226">
        <v>0.57</v>
      </c>
      <c r="R55" s="226">
        <v>0.54</v>
      </c>
      <c r="S55" s="231">
        <f>1394+549</f>
        <v>1943</v>
      </c>
      <c r="T55" s="225">
        <f t="shared" si="4"/>
        <v>0.43</v>
      </c>
      <c r="U55" s="231">
        <f>309+1176</f>
        <v>1485</v>
      </c>
      <c r="V55" s="226" t="s">
        <v>23</v>
      </c>
    </row>
    <row r="56">
      <c r="B56" s="23" t="s">
        <v>24</v>
      </c>
      <c r="C56" s="13">
        <v>1.0</v>
      </c>
      <c r="D56" s="13">
        <v>0.85</v>
      </c>
      <c r="E56" s="13">
        <v>0.72</v>
      </c>
      <c r="F56" s="13">
        <v>0.85</v>
      </c>
      <c r="G56" s="13">
        <v>0.78</v>
      </c>
      <c r="H56" s="217">
        <v>1712.0</v>
      </c>
      <c r="I56" s="13">
        <f t="shared" si="3"/>
        <v>0.15</v>
      </c>
      <c r="J56" s="13">
        <v>306.0</v>
      </c>
      <c r="K56" s="13" t="s">
        <v>23</v>
      </c>
      <c r="L56" s="214"/>
      <c r="M56" s="219" t="s">
        <v>24</v>
      </c>
      <c r="N56" s="218">
        <v>1.0</v>
      </c>
      <c r="O56" s="217">
        <v>0.52</v>
      </c>
      <c r="P56" s="217">
        <v>0.52</v>
      </c>
      <c r="Q56" s="217">
        <v>0.52</v>
      </c>
      <c r="R56" s="217">
        <v>0.52</v>
      </c>
      <c r="S56" s="146">
        <f>833+950</f>
        <v>1783</v>
      </c>
      <c r="T56" s="13">
        <f t="shared" si="4"/>
        <v>0.48</v>
      </c>
      <c r="U56" s="217">
        <f>870+775</f>
        <v>1645</v>
      </c>
      <c r="V56" s="217" t="s">
        <v>23</v>
      </c>
    </row>
    <row r="57">
      <c r="B57" s="36"/>
      <c r="C57" s="13">
        <v>2.0</v>
      </c>
      <c r="D57" s="13">
        <v>0.85</v>
      </c>
      <c r="E57" s="13">
        <v>0.72</v>
      </c>
      <c r="F57" s="13">
        <v>0.85</v>
      </c>
      <c r="G57" s="13">
        <v>0.78</v>
      </c>
      <c r="H57" s="217">
        <v>1712.0</v>
      </c>
      <c r="I57" s="13">
        <f t="shared" si="3"/>
        <v>0.15</v>
      </c>
      <c r="J57" s="13">
        <v>306.0</v>
      </c>
      <c r="K57" s="13" t="s">
        <v>23</v>
      </c>
      <c r="L57" s="214"/>
      <c r="M57" s="36"/>
      <c r="N57" s="218">
        <v>2.0</v>
      </c>
      <c r="O57" s="217">
        <v>0.52</v>
      </c>
      <c r="P57" s="217">
        <v>0.53</v>
      </c>
      <c r="Q57" s="217">
        <v>0.52</v>
      </c>
      <c r="R57" s="217">
        <v>0.51</v>
      </c>
      <c r="S57" s="146">
        <f>553+1246</f>
        <v>1799</v>
      </c>
      <c r="T57" s="13">
        <f t="shared" si="4"/>
        <v>0.48</v>
      </c>
      <c r="U57" s="146">
        <f>1150+479</f>
        <v>1629</v>
      </c>
      <c r="V57" s="217" t="s">
        <v>23</v>
      </c>
    </row>
    <row r="58">
      <c r="B58" s="36"/>
      <c r="C58" s="13">
        <v>3.0</v>
      </c>
      <c r="D58" s="13">
        <v>0.85</v>
      </c>
      <c r="E58" s="13">
        <v>0.72</v>
      </c>
      <c r="F58" s="13">
        <v>0.85</v>
      </c>
      <c r="G58" s="13">
        <v>0.78</v>
      </c>
      <c r="H58" s="217">
        <v>1712.0</v>
      </c>
      <c r="I58" s="13">
        <f t="shared" si="3"/>
        <v>0.15</v>
      </c>
      <c r="J58" s="13">
        <v>306.0</v>
      </c>
      <c r="K58" s="13" t="s">
        <v>23</v>
      </c>
      <c r="L58" s="214"/>
      <c r="M58" s="36"/>
      <c r="N58" s="218">
        <v>3.0</v>
      </c>
      <c r="O58" s="217">
        <v>0.52</v>
      </c>
      <c r="P58" s="217">
        <v>0.52</v>
      </c>
      <c r="Q58" s="217">
        <v>0.52</v>
      </c>
      <c r="R58" s="217">
        <v>0.51</v>
      </c>
      <c r="S58" s="146">
        <f>651+1134</f>
        <v>1785</v>
      </c>
      <c r="T58" s="13">
        <f t="shared" si="4"/>
        <v>0.48</v>
      </c>
      <c r="U58" s="146">
        <f>1052+591</f>
        <v>1643</v>
      </c>
      <c r="V58" s="217" t="s">
        <v>23</v>
      </c>
    </row>
    <row r="59">
      <c r="B59" s="36"/>
      <c r="C59" s="13">
        <v>4.0</v>
      </c>
      <c r="D59" s="13">
        <v>0.85</v>
      </c>
      <c r="E59" s="13">
        <v>0.72</v>
      </c>
      <c r="F59" s="13">
        <v>0.85</v>
      </c>
      <c r="G59" s="13">
        <v>0.78</v>
      </c>
      <c r="H59" s="217">
        <v>1712.0</v>
      </c>
      <c r="I59" s="13">
        <f t="shared" si="3"/>
        <v>0.15</v>
      </c>
      <c r="J59" s="13">
        <v>306.0</v>
      </c>
      <c r="K59" s="13" t="s">
        <v>23</v>
      </c>
      <c r="L59" s="214"/>
      <c r="M59" s="36"/>
      <c r="N59" s="218">
        <v>4.0</v>
      </c>
      <c r="O59" s="217">
        <v>0.52</v>
      </c>
      <c r="P59" s="217">
        <v>0.52</v>
      </c>
      <c r="Q59" s="217">
        <v>0.52</v>
      </c>
      <c r="R59" s="217">
        <v>0.52</v>
      </c>
      <c r="S59" s="146">
        <f>814+983</f>
        <v>1797</v>
      </c>
      <c r="T59" s="13">
        <f t="shared" si="4"/>
        <v>0.48</v>
      </c>
      <c r="U59" s="146">
        <f>889+742</f>
        <v>1631</v>
      </c>
      <c r="V59" s="217" t="s">
        <v>23</v>
      </c>
    </row>
    <row r="60">
      <c r="B60" s="36"/>
      <c r="C60" s="13">
        <v>5.0</v>
      </c>
      <c r="D60" s="13">
        <v>0.85</v>
      </c>
      <c r="E60" s="13">
        <v>0.72</v>
      </c>
      <c r="F60" s="13">
        <v>0.85</v>
      </c>
      <c r="G60" s="13">
        <v>0.78</v>
      </c>
      <c r="H60" s="217">
        <v>1712.0</v>
      </c>
      <c r="I60" s="13">
        <f t="shared" si="3"/>
        <v>0.15</v>
      </c>
      <c r="J60" s="13">
        <v>306.0</v>
      </c>
      <c r="K60" s="13" t="s">
        <v>23</v>
      </c>
      <c r="L60" s="214"/>
      <c r="M60" s="36"/>
      <c r="N60" s="218">
        <v>5.0</v>
      </c>
      <c r="O60" s="217">
        <v>0.52</v>
      </c>
      <c r="P60" s="217">
        <v>0.52</v>
      </c>
      <c r="Q60" s="217">
        <v>0.52</v>
      </c>
      <c r="R60" s="217">
        <v>0.52</v>
      </c>
      <c r="S60" s="146">
        <f>907+887</f>
        <v>1794</v>
      </c>
      <c r="T60" s="13">
        <f t="shared" si="4"/>
        <v>0.48</v>
      </c>
      <c r="U60" s="146">
        <f>796+838</f>
        <v>1634</v>
      </c>
      <c r="V60" s="217" t="s">
        <v>23</v>
      </c>
    </row>
    <row r="61">
      <c r="B61" s="36"/>
      <c r="C61" s="13">
        <v>6.0</v>
      </c>
      <c r="D61" s="13">
        <v>0.85</v>
      </c>
      <c r="E61" s="13">
        <v>0.72</v>
      </c>
      <c r="F61" s="13">
        <v>0.85</v>
      </c>
      <c r="G61" s="13">
        <v>0.78</v>
      </c>
      <c r="H61" s="217">
        <v>1712.0</v>
      </c>
      <c r="I61" s="13">
        <f t="shared" si="3"/>
        <v>0.15</v>
      </c>
      <c r="J61" s="13">
        <v>306.0</v>
      </c>
      <c r="K61" s="13" t="s">
        <v>23</v>
      </c>
      <c r="L61" s="214"/>
      <c r="M61" s="36"/>
      <c r="N61" s="218">
        <v>6.0</v>
      </c>
      <c r="O61" s="217">
        <v>0.53</v>
      </c>
      <c r="P61" s="217">
        <v>0.53</v>
      </c>
      <c r="Q61" s="217">
        <v>0.53</v>
      </c>
      <c r="R61" s="217">
        <v>0.53</v>
      </c>
      <c r="S61" s="146">
        <f>945+879</f>
        <v>1824</v>
      </c>
      <c r="T61" s="13">
        <f t="shared" si="4"/>
        <v>0.47</v>
      </c>
      <c r="U61" s="146">
        <f>758+846</f>
        <v>1604</v>
      </c>
      <c r="V61" s="217" t="s">
        <v>23</v>
      </c>
    </row>
    <row r="62">
      <c r="B62" s="36"/>
      <c r="C62" s="13">
        <v>7.0</v>
      </c>
      <c r="D62" s="13">
        <v>0.85</v>
      </c>
      <c r="E62" s="13">
        <v>0.72</v>
      </c>
      <c r="F62" s="13">
        <v>0.85</v>
      </c>
      <c r="G62" s="13">
        <v>0.78</v>
      </c>
      <c r="H62" s="217">
        <v>1712.0</v>
      </c>
      <c r="I62" s="13">
        <f t="shared" si="3"/>
        <v>0.15</v>
      </c>
      <c r="J62" s="13">
        <v>306.0</v>
      </c>
      <c r="K62" s="13" t="s">
        <v>23</v>
      </c>
      <c r="L62" s="214"/>
      <c r="M62" s="36"/>
      <c r="N62" s="218">
        <v>7.0</v>
      </c>
      <c r="O62" s="217">
        <v>0.55</v>
      </c>
      <c r="P62" s="217">
        <v>0.55</v>
      </c>
      <c r="Q62" s="217">
        <v>0.55</v>
      </c>
      <c r="R62" s="217">
        <v>0.55</v>
      </c>
      <c r="S62" s="146">
        <f>981+901</f>
        <v>1882</v>
      </c>
      <c r="T62" s="13">
        <f t="shared" si="4"/>
        <v>0.45</v>
      </c>
      <c r="U62" s="146">
        <f>722+824</f>
        <v>1546</v>
      </c>
      <c r="V62" s="217" t="s">
        <v>23</v>
      </c>
    </row>
    <row r="63">
      <c r="B63" s="36"/>
      <c r="C63" s="13">
        <v>8.0</v>
      </c>
      <c r="D63" s="13">
        <v>0.85</v>
      </c>
      <c r="E63" s="13">
        <v>0.72</v>
      </c>
      <c r="F63" s="13">
        <v>0.85</v>
      </c>
      <c r="G63" s="13">
        <v>0.78</v>
      </c>
      <c r="H63" s="217">
        <v>1712.0</v>
      </c>
      <c r="I63" s="13">
        <f t="shared" si="3"/>
        <v>0.15</v>
      </c>
      <c r="J63" s="13">
        <v>306.0</v>
      </c>
      <c r="K63" s="13" t="s">
        <v>23</v>
      </c>
      <c r="L63" s="214"/>
      <c r="M63" s="36"/>
      <c r="N63" s="218">
        <v>8.0</v>
      </c>
      <c r="O63" s="217">
        <v>0.55</v>
      </c>
      <c r="P63" s="217">
        <v>0.55</v>
      </c>
      <c r="Q63" s="217">
        <v>0.55</v>
      </c>
      <c r="R63" s="217">
        <v>0.55</v>
      </c>
      <c r="S63" s="146">
        <f>966+908</f>
        <v>1874</v>
      </c>
      <c r="T63" s="13">
        <f t="shared" si="4"/>
        <v>0.45</v>
      </c>
      <c r="U63" s="146">
        <f>737+817</f>
        <v>1554</v>
      </c>
      <c r="V63" s="217" t="s">
        <v>23</v>
      </c>
    </row>
    <row r="64">
      <c r="B64" s="36"/>
      <c r="C64" s="13">
        <v>9.0</v>
      </c>
      <c r="D64" s="13">
        <v>0.85</v>
      </c>
      <c r="E64" s="13">
        <v>0.72</v>
      </c>
      <c r="F64" s="13">
        <v>0.85</v>
      </c>
      <c r="G64" s="13">
        <v>0.78</v>
      </c>
      <c r="H64" s="217">
        <v>1712.0</v>
      </c>
      <c r="I64" s="13">
        <f t="shared" si="3"/>
        <v>0.15</v>
      </c>
      <c r="J64" s="13">
        <v>306.0</v>
      </c>
      <c r="K64" s="13" t="s">
        <v>23</v>
      </c>
      <c r="L64" s="214"/>
      <c r="M64" s="36"/>
      <c r="N64" s="218">
        <v>9.0</v>
      </c>
      <c r="O64" s="217">
        <v>0.56</v>
      </c>
      <c r="P64" s="217">
        <v>0.56</v>
      </c>
      <c r="Q64" s="217">
        <v>0.56</v>
      </c>
      <c r="R64" s="217">
        <v>0.56</v>
      </c>
      <c r="S64" s="146">
        <f>1003+922</f>
        <v>1925</v>
      </c>
      <c r="T64" s="13">
        <f t="shared" si="4"/>
        <v>0.44</v>
      </c>
      <c r="U64" s="146">
        <f>700+803</f>
        <v>1503</v>
      </c>
      <c r="V64" s="217" t="s">
        <v>23</v>
      </c>
    </row>
    <row r="65">
      <c r="B65" s="36"/>
      <c r="C65" s="13">
        <v>10.0</v>
      </c>
      <c r="D65" s="13">
        <v>0.85</v>
      </c>
      <c r="E65" s="13">
        <v>0.72</v>
      </c>
      <c r="F65" s="13">
        <v>0.85</v>
      </c>
      <c r="G65" s="13">
        <v>0.78</v>
      </c>
      <c r="H65" s="217">
        <v>1712.0</v>
      </c>
      <c r="I65" s="13">
        <f t="shared" si="3"/>
        <v>0.15</v>
      </c>
      <c r="J65" s="13">
        <v>306.0</v>
      </c>
      <c r="K65" s="13" t="s">
        <v>23</v>
      </c>
      <c r="L65" s="214"/>
      <c r="M65" s="36"/>
      <c r="N65" s="218">
        <v>10.0</v>
      </c>
      <c r="O65" s="217">
        <v>0.57</v>
      </c>
      <c r="P65" s="217">
        <v>0.58</v>
      </c>
      <c r="Q65" s="217">
        <v>0.57</v>
      </c>
      <c r="R65" s="217">
        <v>0.57</v>
      </c>
      <c r="S65" s="146">
        <f>1070+898</f>
        <v>1968</v>
      </c>
      <c r="T65" s="13">
        <f t="shared" si="4"/>
        <v>0.43</v>
      </c>
      <c r="U65" s="146">
        <f>633+827</f>
        <v>1460</v>
      </c>
      <c r="V65" s="217" t="s">
        <v>23</v>
      </c>
    </row>
    <row r="66">
      <c r="B66" s="91"/>
      <c r="C66" s="225">
        <v>11.0</v>
      </c>
      <c r="D66" s="225">
        <v>0.85</v>
      </c>
      <c r="E66" s="225">
        <v>0.72</v>
      </c>
      <c r="F66" s="225">
        <v>0.85</v>
      </c>
      <c r="G66" s="225">
        <v>0.78</v>
      </c>
      <c r="H66" s="226">
        <v>1712.0</v>
      </c>
      <c r="I66" s="225">
        <f t="shared" si="3"/>
        <v>0.15</v>
      </c>
      <c r="J66" s="225">
        <v>306.0</v>
      </c>
      <c r="K66" s="225" t="s">
        <v>23</v>
      </c>
      <c r="L66" s="214"/>
      <c r="M66" s="91"/>
      <c r="N66" s="229">
        <v>11.0</v>
      </c>
      <c r="O66" s="226">
        <v>0.58</v>
      </c>
      <c r="P66" s="226">
        <v>0.58</v>
      </c>
      <c r="Q66" s="226">
        <v>0.58</v>
      </c>
      <c r="R66" s="226">
        <v>0.58</v>
      </c>
      <c r="S66" s="231">
        <f>1071+912</f>
        <v>1983</v>
      </c>
      <c r="T66" s="225">
        <f t="shared" si="4"/>
        <v>0.42</v>
      </c>
      <c r="U66" s="231">
        <f>632+813</f>
        <v>1445</v>
      </c>
      <c r="V66" s="226" t="s">
        <v>23</v>
      </c>
    </row>
    <row r="67">
      <c r="B67" s="233" t="s">
        <v>31</v>
      </c>
      <c r="C67" s="5"/>
      <c r="D67" s="5"/>
      <c r="E67" s="5"/>
      <c r="F67" s="5"/>
      <c r="G67" s="5"/>
      <c r="H67" s="5"/>
      <c r="I67" s="5"/>
      <c r="J67" s="5"/>
      <c r="K67" s="6"/>
      <c r="L67" s="214"/>
      <c r="M67" s="224" t="s">
        <v>32</v>
      </c>
      <c r="N67" s="5"/>
      <c r="O67" s="5"/>
      <c r="P67" s="5"/>
      <c r="Q67" s="5"/>
      <c r="R67" s="5"/>
      <c r="S67" s="5"/>
      <c r="T67" s="5"/>
      <c r="U67" s="5"/>
      <c r="V67" s="6"/>
    </row>
    <row r="68">
      <c r="B68" s="215" t="s">
        <v>3</v>
      </c>
      <c r="C68" s="215" t="s">
        <v>4</v>
      </c>
      <c r="D68" s="215" t="s">
        <v>5</v>
      </c>
      <c r="E68" s="215" t="s">
        <v>6</v>
      </c>
      <c r="F68" s="215" t="s">
        <v>7</v>
      </c>
      <c r="G68" s="215" t="s">
        <v>8</v>
      </c>
      <c r="H68" s="216" t="s">
        <v>9</v>
      </c>
      <c r="I68" s="216" t="s">
        <v>10</v>
      </c>
      <c r="J68" s="216" t="s">
        <v>11</v>
      </c>
      <c r="K68" s="215" t="s">
        <v>44</v>
      </c>
      <c r="L68" s="214"/>
      <c r="M68" s="215" t="s">
        <v>3</v>
      </c>
      <c r="N68" s="215" t="s">
        <v>4</v>
      </c>
      <c r="O68" s="215" t="s">
        <v>5</v>
      </c>
      <c r="P68" s="215" t="s">
        <v>6</v>
      </c>
      <c r="Q68" s="215" t="s">
        <v>7</v>
      </c>
      <c r="R68" s="215" t="s">
        <v>8</v>
      </c>
      <c r="S68" s="216" t="s">
        <v>9</v>
      </c>
      <c r="T68" s="216" t="s">
        <v>10</v>
      </c>
      <c r="U68" s="216" t="s">
        <v>11</v>
      </c>
      <c r="V68" s="215" t="s">
        <v>44</v>
      </c>
    </row>
    <row r="69">
      <c r="B69" s="151" t="s">
        <v>13</v>
      </c>
      <c r="C69" s="146">
        <v>1.0</v>
      </c>
      <c r="D69" s="13">
        <v>0.85</v>
      </c>
      <c r="E69" s="217">
        <v>0.72</v>
      </c>
      <c r="F69" s="217">
        <v>0.85</v>
      </c>
      <c r="G69" s="217">
        <v>0.78</v>
      </c>
      <c r="H69" s="217">
        <v>1712.0</v>
      </c>
      <c r="I69" s="13">
        <f t="shared" ref="I69:I123" si="5">1-D69</f>
        <v>0.15</v>
      </c>
      <c r="J69" s="13">
        <v>306.0</v>
      </c>
      <c r="K69" s="13" t="s">
        <v>16</v>
      </c>
      <c r="L69" s="214"/>
      <c r="M69" s="219" t="s">
        <v>13</v>
      </c>
      <c r="N69" s="218">
        <v>1.0</v>
      </c>
      <c r="O69" s="217">
        <v>0.54</v>
      </c>
      <c r="P69" s="217">
        <v>0.56</v>
      </c>
      <c r="Q69" s="217">
        <v>0.54</v>
      </c>
      <c r="R69" s="227">
        <v>0.5</v>
      </c>
      <c r="S69" s="146">
        <f>425+1423</f>
        <v>1848</v>
      </c>
      <c r="T69" s="13">
        <f t="shared" ref="T69:T123" si="6">1-O69</f>
        <v>0.46</v>
      </c>
      <c r="U69" s="146">
        <f>1278+302</f>
        <v>1580</v>
      </c>
      <c r="V69" s="217" t="s">
        <v>16</v>
      </c>
    </row>
    <row r="70">
      <c r="B70" s="36"/>
      <c r="C70" s="146">
        <v>2.0</v>
      </c>
      <c r="D70" s="13">
        <v>0.85</v>
      </c>
      <c r="E70" s="217">
        <v>0.72</v>
      </c>
      <c r="F70" s="217">
        <v>0.85</v>
      </c>
      <c r="G70" s="217">
        <v>0.78</v>
      </c>
      <c r="H70" s="217">
        <v>1712.0</v>
      </c>
      <c r="I70" s="13">
        <f t="shared" si="5"/>
        <v>0.15</v>
      </c>
      <c r="J70" s="13">
        <v>306.0</v>
      </c>
      <c r="K70" s="13" t="s">
        <v>16</v>
      </c>
      <c r="L70" s="214"/>
      <c r="M70" s="36"/>
      <c r="N70" s="218">
        <v>2.0</v>
      </c>
      <c r="O70" s="217">
        <v>0.55</v>
      </c>
      <c r="P70" s="217">
        <v>0.57</v>
      </c>
      <c r="Q70" s="217">
        <v>0.55</v>
      </c>
      <c r="R70" s="227">
        <v>0.51</v>
      </c>
      <c r="S70" s="146">
        <f>1381+486</f>
        <v>1867</v>
      </c>
      <c r="T70" s="13">
        <f t="shared" si="6"/>
        <v>0.45</v>
      </c>
      <c r="U70" s="146">
        <f>312+1239</f>
        <v>1551</v>
      </c>
      <c r="V70" s="217" t="s">
        <v>16</v>
      </c>
    </row>
    <row r="71">
      <c r="B71" s="36"/>
      <c r="C71" s="146">
        <v>3.0</v>
      </c>
      <c r="D71" s="13">
        <v>0.85</v>
      </c>
      <c r="E71" s="217">
        <v>0.72</v>
      </c>
      <c r="F71" s="217">
        <v>0.85</v>
      </c>
      <c r="G71" s="217">
        <v>0.78</v>
      </c>
      <c r="H71" s="217">
        <v>1712.0</v>
      </c>
      <c r="I71" s="13">
        <f t="shared" si="5"/>
        <v>0.15</v>
      </c>
      <c r="J71" s="13">
        <v>306.0</v>
      </c>
      <c r="K71" s="13" t="s">
        <v>16</v>
      </c>
      <c r="L71" s="214"/>
      <c r="M71" s="36"/>
      <c r="N71" s="218">
        <v>3.0</v>
      </c>
      <c r="O71" s="217">
        <v>0.55</v>
      </c>
      <c r="P71" s="217">
        <v>0.56</v>
      </c>
      <c r="Q71" s="217">
        <v>0.55</v>
      </c>
      <c r="R71" s="217">
        <v>0.54</v>
      </c>
      <c r="S71" s="146">
        <f>1250+644</f>
        <v>1894</v>
      </c>
      <c r="T71" s="13">
        <f t="shared" si="6"/>
        <v>0.45</v>
      </c>
      <c r="U71" s="146">
        <f>453+1081</f>
        <v>1534</v>
      </c>
      <c r="V71" s="217" t="s">
        <v>16</v>
      </c>
    </row>
    <row r="72">
      <c r="B72" s="36"/>
      <c r="C72" s="146">
        <v>4.0</v>
      </c>
      <c r="D72" s="13">
        <v>0.84</v>
      </c>
      <c r="E72" s="217">
        <v>0.74</v>
      </c>
      <c r="F72" s="217">
        <v>0.84</v>
      </c>
      <c r="G72" s="217">
        <v>0.78</v>
      </c>
      <c r="H72" s="217">
        <f>3+1703</f>
        <v>1706</v>
      </c>
      <c r="I72" s="13">
        <f t="shared" si="5"/>
        <v>0.16</v>
      </c>
      <c r="J72" s="13">
        <f>303+9</f>
        <v>312</v>
      </c>
      <c r="K72" s="13" t="s">
        <v>16</v>
      </c>
      <c r="L72" s="214"/>
      <c r="M72" s="36"/>
      <c r="N72" s="218">
        <v>4.0</v>
      </c>
      <c r="O72" s="227">
        <v>0.6</v>
      </c>
      <c r="P72" s="227">
        <v>0.6</v>
      </c>
      <c r="Q72" s="227">
        <v>0.6</v>
      </c>
      <c r="R72" s="227">
        <v>0.6</v>
      </c>
      <c r="S72" s="146">
        <f>1176+877</f>
        <v>2053</v>
      </c>
      <c r="T72" s="228">
        <f t="shared" si="6"/>
        <v>0.4</v>
      </c>
      <c r="U72" s="146">
        <f>527+848</f>
        <v>1375</v>
      </c>
      <c r="V72" s="217" t="s">
        <v>16</v>
      </c>
    </row>
    <row r="73">
      <c r="B73" s="36"/>
      <c r="C73" s="146">
        <v>5.0</v>
      </c>
      <c r="D73" s="13">
        <v>0.84</v>
      </c>
      <c r="E73" s="217">
        <v>0.74</v>
      </c>
      <c r="F73" s="217">
        <v>0.84</v>
      </c>
      <c r="G73" s="217">
        <v>0.78</v>
      </c>
      <c r="H73" s="217">
        <f>4+1707</f>
        <v>1711</v>
      </c>
      <c r="I73" s="13">
        <f t="shared" si="5"/>
        <v>0.16</v>
      </c>
      <c r="J73" s="13">
        <f>302+5</f>
        <v>307</v>
      </c>
      <c r="K73" s="13" t="s">
        <v>33</v>
      </c>
      <c r="L73" s="214"/>
      <c r="M73" s="36"/>
      <c r="N73" s="218">
        <v>5.0</v>
      </c>
      <c r="O73" s="217">
        <v>0.64</v>
      </c>
      <c r="P73" s="217">
        <v>0.65</v>
      </c>
      <c r="Q73" s="217">
        <v>0.64</v>
      </c>
      <c r="R73" s="217">
        <v>0.63</v>
      </c>
      <c r="S73" s="146">
        <f>1279+912</f>
        <v>2191</v>
      </c>
      <c r="T73" s="13">
        <f t="shared" si="6"/>
        <v>0.36</v>
      </c>
      <c r="U73" s="146">
        <f>424+813</f>
        <v>1237</v>
      </c>
      <c r="V73" s="217" t="s">
        <v>16</v>
      </c>
    </row>
    <row r="74">
      <c r="B74" s="36"/>
      <c r="C74" s="231">
        <v>6.0</v>
      </c>
      <c r="D74" s="225">
        <v>0.85</v>
      </c>
      <c r="E74" s="226">
        <v>0.78</v>
      </c>
      <c r="F74" s="226">
        <v>0.85</v>
      </c>
      <c r="G74" s="226">
        <v>0.78</v>
      </c>
      <c r="H74" s="226">
        <f>4+1702</f>
        <v>1706</v>
      </c>
      <c r="I74" s="225">
        <f t="shared" si="5"/>
        <v>0.15</v>
      </c>
      <c r="J74" s="225">
        <f>302+10</f>
        <v>312</v>
      </c>
      <c r="K74" s="225" t="s">
        <v>33</v>
      </c>
      <c r="L74" s="214"/>
      <c r="M74" s="36"/>
      <c r="N74" s="218">
        <v>6.0</v>
      </c>
      <c r="O74" s="217">
        <v>0.69</v>
      </c>
      <c r="P74" s="217">
        <v>0.69</v>
      </c>
      <c r="Q74" s="217">
        <v>0.69</v>
      </c>
      <c r="R74" s="227">
        <v>0.69</v>
      </c>
      <c r="S74" s="146">
        <f>1314+1042</f>
        <v>2356</v>
      </c>
      <c r="T74" s="13">
        <f t="shared" si="6"/>
        <v>0.31</v>
      </c>
      <c r="U74" s="146">
        <f>389+683</f>
        <v>1072</v>
      </c>
      <c r="V74" s="217" t="s">
        <v>35</v>
      </c>
    </row>
    <row r="75">
      <c r="B75" s="36"/>
      <c r="C75" s="146">
        <v>7.0</v>
      </c>
      <c r="D75" s="13">
        <v>0.84</v>
      </c>
      <c r="E75" s="217">
        <v>0.77</v>
      </c>
      <c r="F75" s="217">
        <v>0.84</v>
      </c>
      <c r="G75" s="217">
        <v>0.78</v>
      </c>
      <c r="H75" s="146">
        <f>11+1696</f>
        <v>1707</v>
      </c>
      <c r="I75" s="13">
        <f t="shared" si="5"/>
        <v>0.16</v>
      </c>
      <c r="J75" s="13">
        <f>295+16</f>
        <v>311</v>
      </c>
      <c r="K75" s="13" t="s">
        <v>16</v>
      </c>
      <c r="L75" s="214"/>
      <c r="M75" s="36"/>
      <c r="N75" s="218">
        <v>7.0</v>
      </c>
      <c r="O75" s="217">
        <v>0.71</v>
      </c>
      <c r="P75" s="217">
        <v>0.71</v>
      </c>
      <c r="Q75" s="217">
        <v>0.71</v>
      </c>
      <c r="R75" s="217">
        <v>0.71</v>
      </c>
      <c r="S75" s="146">
        <f>1314+1108</f>
        <v>2422</v>
      </c>
      <c r="T75" s="13">
        <f t="shared" si="6"/>
        <v>0.29</v>
      </c>
      <c r="U75" s="146">
        <f>389+617</f>
        <v>1006</v>
      </c>
      <c r="V75" s="217" t="s">
        <v>16</v>
      </c>
    </row>
    <row r="76">
      <c r="B76" s="36"/>
      <c r="C76" s="146">
        <v>8.0</v>
      </c>
      <c r="D76" s="217">
        <v>0.84</v>
      </c>
      <c r="E76" s="217">
        <v>0.74</v>
      </c>
      <c r="F76" s="217">
        <v>0.84</v>
      </c>
      <c r="G76" s="217">
        <v>0.78</v>
      </c>
      <c r="H76" s="146">
        <f>12+1692</f>
        <v>1704</v>
      </c>
      <c r="I76" s="13">
        <f t="shared" si="5"/>
        <v>0.16</v>
      </c>
      <c r="J76" s="13">
        <f>20+294</f>
        <v>314</v>
      </c>
      <c r="K76" s="13" t="s">
        <v>18</v>
      </c>
      <c r="L76" s="214"/>
      <c r="M76" s="36"/>
      <c r="N76" s="218">
        <v>8.0</v>
      </c>
      <c r="O76" s="217">
        <v>0.73</v>
      </c>
      <c r="P76" s="217">
        <v>0.73</v>
      </c>
      <c r="Q76" s="217">
        <v>0.73</v>
      </c>
      <c r="R76" s="217">
        <v>0.73</v>
      </c>
      <c r="S76" s="146">
        <f>1331+1165</f>
        <v>2496</v>
      </c>
      <c r="T76" s="13">
        <f t="shared" si="6"/>
        <v>0.27</v>
      </c>
      <c r="U76" s="146">
        <f>372+560</f>
        <v>932</v>
      </c>
      <c r="V76" s="217" t="s">
        <v>16</v>
      </c>
    </row>
    <row r="77">
      <c r="B77" s="36"/>
      <c r="C77" s="146">
        <v>9.0</v>
      </c>
      <c r="D77" s="217">
        <v>0.84</v>
      </c>
      <c r="E77" s="217">
        <v>0.78</v>
      </c>
      <c r="F77" s="217">
        <v>0.84</v>
      </c>
      <c r="G77" s="217">
        <v>0.79</v>
      </c>
      <c r="H77" s="146">
        <f>12+1690</f>
        <v>1702</v>
      </c>
      <c r="I77" s="13">
        <f t="shared" si="5"/>
        <v>0.16</v>
      </c>
      <c r="J77" s="13">
        <f>22+294</f>
        <v>316</v>
      </c>
      <c r="K77" s="13" t="s">
        <v>18</v>
      </c>
      <c r="L77" s="214"/>
      <c r="M77" s="36"/>
      <c r="N77" s="218">
        <v>9.0</v>
      </c>
      <c r="O77" s="217">
        <v>0.74</v>
      </c>
      <c r="P77" s="227">
        <v>0.75</v>
      </c>
      <c r="Q77" s="217">
        <v>0.74</v>
      </c>
      <c r="R77" s="217">
        <v>0.74</v>
      </c>
      <c r="S77" s="146">
        <f>1337+1212</f>
        <v>2549</v>
      </c>
      <c r="T77" s="13">
        <f t="shared" si="6"/>
        <v>0.26</v>
      </c>
      <c r="U77" s="146">
        <f>266+513</f>
        <v>779</v>
      </c>
      <c r="V77" s="217" t="s">
        <v>18</v>
      </c>
    </row>
    <row r="78">
      <c r="B78" s="36"/>
      <c r="C78" s="146">
        <v>10.0</v>
      </c>
      <c r="D78" s="217">
        <v>0.84</v>
      </c>
      <c r="E78" s="217">
        <v>0.76</v>
      </c>
      <c r="F78" s="217">
        <v>0.84</v>
      </c>
      <c r="G78" s="217">
        <v>0.78</v>
      </c>
      <c r="H78" s="146">
        <f>8+1690</f>
        <v>1698</v>
      </c>
      <c r="I78" s="13">
        <f t="shared" si="5"/>
        <v>0.16</v>
      </c>
      <c r="J78" s="13">
        <f>22+298</f>
        <v>320</v>
      </c>
      <c r="K78" s="13" t="s">
        <v>18</v>
      </c>
      <c r="L78" s="214"/>
      <c r="M78" s="36"/>
      <c r="N78" s="218">
        <v>10.0</v>
      </c>
      <c r="O78" s="217">
        <v>0.75</v>
      </c>
      <c r="P78" s="217">
        <v>0.75</v>
      </c>
      <c r="Q78" s="217">
        <v>0.75</v>
      </c>
      <c r="R78" s="217">
        <v>0.75</v>
      </c>
      <c r="S78" s="146">
        <f>1364+1212</f>
        <v>2576</v>
      </c>
      <c r="T78" s="13">
        <f t="shared" si="6"/>
        <v>0.25</v>
      </c>
      <c r="U78" s="146">
        <f>339+513</f>
        <v>852</v>
      </c>
      <c r="V78" s="217" t="s">
        <v>45</v>
      </c>
    </row>
    <row r="79">
      <c r="B79" s="91"/>
      <c r="C79" s="146">
        <v>11.0</v>
      </c>
      <c r="D79" s="217">
        <v>0.84</v>
      </c>
      <c r="E79" s="13">
        <v>0.77</v>
      </c>
      <c r="F79" s="217">
        <v>0.84</v>
      </c>
      <c r="G79" s="217">
        <v>0.78</v>
      </c>
      <c r="H79" s="146">
        <f>12+1683</f>
        <v>1695</v>
      </c>
      <c r="I79" s="13">
        <f t="shared" si="5"/>
        <v>0.16</v>
      </c>
      <c r="J79" s="13">
        <f>294+29</f>
        <v>323</v>
      </c>
      <c r="K79" s="13" t="s">
        <v>18</v>
      </c>
      <c r="L79" s="214"/>
      <c r="M79" s="91"/>
      <c r="N79" s="229">
        <v>11.0</v>
      </c>
      <c r="O79" s="226">
        <v>0.76</v>
      </c>
      <c r="P79" s="226">
        <v>0.76</v>
      </c>
      <c r="Q79" s="226">
        <v>0.76</v>
      </c>
      <c r="R79" s="226">
        <v>0.75</v>
      </c>
      <c r="S79" s="231">
        <f>1373+1217</f>
        <v>2590</v>
      </c>
      <c r="T79" s="225">
        <f t="shared" si="6"/>
        <v>0.24</v>
      </c>
      <c r="U79" s="231">
        <f>330+508</f>
        <v>838</v>
      </c>
      <c r="V79" s="226" t="s">
        <v>45</v>
      </c>
    </row>
    <row r="80">
      <c r="B80" s="151" t="s">
        <v>19</v>
      </c>
      <c r="C80" s="146">
        <v>1.0</v>
      </c>
      <c r="D80" s="13">
        <v>0.85</v>
      </c>
      <c r="E80" s="217">
        <v>0.72</v>
      </c>
      <c r="F80" s="13">
        <v>0.85</v>
      </c>
      <c r="G80" s="217">
        <v>0.78</v>
      </c>
      <c r="H80" s="217">
        <v>1712.0</v>
      </c>
      <c r="I80" s="13">
        <f t="shared" si="5"/>
        <v>0.15</v>
      </c>
      <c r="J80" s="13">
        <v>306.0</v>
      </c>
      <c r="K80" s="13" t="s">
        <v>16</v>
      </c>
      <c r="L80" s="214"/>
      <c r="M80" s="219" t="s">
        <v>19</v>
      </c>
      <c r="N80" s="218">
        <v>1.0</v>
      </c>
      <c r="O80" s="217">
        <v>0.54</v>
      </c>
      <c r="P80" s="217">
        <v>0.56</v>
      </c>
      <c r="Q80" s="217">
        <v>0.54</v>
      </c>
      <c r="R80" s="227">
        <v>0.5</v>
      </c>
      <c r="S80" s="146">
        <f>425+1423</f>
        <v>1848</v>
      </c>
      <c r="T80" s="13">
        <f t="shared" si="6"/>
        <v>0.46</v>
      </c>
      <c r="U80" s="146">
        <f>302+1278</f>
        <v>1580</v>
      </c>
      <c r="V80" s="217" t="s">
        <v>16</v>
      </c>
    </row>
    <row r="81">
      <c r="B81" s="36"/>
      <c r="C81" s="146">
        <v>2.0</v>
      </c>
      <c r="D81" s="13">
        <v>0.85</v>
      </c>
      <c r="E81" s="217">
        <v>0.72</v>
      </c>
      <c r="F81" s="13">
        <v>0.85</v>
      </c>
      <c r="G81" s="217">
        <v>0.78</v>
      </c>
      <c r="H81" s="217">
        <v>1712.0</v>
      </c>
      <c r="I81" s="13">
        <f t="shared" si="5"/>
        <v>0.15</v>
      </c>
      <c r="J81" s="13">
        <v>306.0</v>
      </c>
      <c r="K81" s="13" t="s">
        <v>16</v>
      </c>
      <c r="L81" s="214"/>
      <c r="M81" s="36"/>
      <c r="N81" s="218">
        <v>2.0</v>
      </c>
      <c r="O81" s="217">
        <v>0.55</v>
      </c>
      <c r="P81" s="217">
        <v>0.57</v>
      </c>
      <c r="Q81" s="217">
        <v>0.55</v>
      </c>
      <c r="R81" s="227">
        <v>0.51</v>
      </c>
      <c r="S81" s="146">
        <f>1389+489</f>
        <v>1878</v>
      </c>
      <c r="T81" s="13">
        <f t="shared" si="6"/>
        <v>0.45</v>
      </c>
      <c r="U81" s="217">
        <f>314+1236</f>
        <v>1550</v>
      </c>
      <c r="V81" s="217" t="s">
        <v>16</v>
      </c>
    </row>
    <row r="82">
      <c r="B82" s="36"/>
      <c r="C82" s="221">
        <v>3.0</v>
      </c>
      <c r="D82" s="220">
        <v>0.85</v>
      </c>
      <c r="E82" s="223">
        <v>0.72</v>
      </c>
      <c r="F82" s="220">
        <v>0.85</v>
      </c>
      <c r="G82" s="223">
        <v>0.78</v>
      </c>
      <c r="H82" s="221">
        <f>1+1712</f>
        <v>1713</v>
      </c>
      <c r="I82" s="220">
        <f t="shared" si="5"/>
        <v>0.15</v>
      </c>
      <c r="J82" s="220">
        <f>305</f>
        <v>305</v>
      </c>
      <c r="K82" s="220" t="s">
        <v>16</v>
      </c>
      <c r="L82" s="214"/>
      <c r="M82" s="36"/>
      <c r="N82" s="218">
        <v>3.0</v>
      </c>
      <c r="O82" s="217">
        <v>0.55</v>
      </c>
      <c r="P82" s="217">
        <v>0.56</v>
      </c>
      <c r="Q82" s="217">
        <v>0.55</v>
      </c>
      <c r="R82" s="217">
        <v>0.54</v>
      </c>
      <c r="S82" s="146">
        <f>1250+644</f>
        <v>1894</v>
      </c>
      <c r="T82" s="13">
        <f t="shared" si="6"/>
        <v>0.45</v>
      </c>
      <c r="U82" s="146">
        <f>453+1081</f>
        <v>1534</v>
      </c>
      <c r="V82" s="217" t="s">
        <v>34</v>
      </c>
    </row>
    <row r="83">
      <c r="B83" s="36"/>
      <c r="C83" s="146">
        <v>4.0</v>
      </c>
      <c r="D83" s="13">
        <v>0.84</v>
      </c>
      <c r="E83" s="217">
        <v>0.77</v>
      </c>
      <c r="F83" s="13">
        <v>0.84</v>
      </c>
      <c r="G83" s="217">
        <v>0.78</v>
      </c>
      <c r="H83" s="146">
        <f>3+1701</f>
        <v>1704</v>
      </c>
      <c r="I83" s="13">
        <f t="shared" si="5"/>
        <v>0.16</v>
      </c>
      <c r="J83" s="13">
        <f>303+11</f>
        <v>314</v>
      </c>
      <c r="K83" s="13" t="s">
        <v>33</v>
      </c>
      <c r="L83" s="214"/>
      <c r="M83" s="36"/>
      <c r="N83" s="218">
        <v>4.0</v>
      </c>
      <c r="O83" s="227">
        <v>0.6</v>
      </c>
      <c r="P83" s="227">
        <v>0.6</v>
      </c>
      <c r="Q83" s="227">
        <v>0.6</v>
      </c>
      <c r="R83" s="227">
        <v>0.6</v>
      </c>
      <c r="S83" s="146">
        <f>1082+976</f>
        <v>2058</v>
      </c>
      <c r="T83" s="228">
        <f t="shared" si="6"/>
        <v>0.4</v>
      </c>
      <c r="U83" s="146">
        <f>621+749</f>
        <v>1370</v>
      </c>
      <c r="V83" s="217" t="s">
        <v>20</v>
      </c>
    </row>
    <row r="84">
      <c r="B84" s="36"/>
      <c r="C84" s="146">
        <v>5.0</v>
      </c>
      <c r="D84" s="13">
        <v>0.82</v>
      </c>
      <c r="E84" s="217">
        <v>0.74</v>
      </c>
      <c r="F84" s="13">
        <v>0.82</v>
      </c>
      <c r="G84" s="217">
        <v>0.77</v>
      </c>
      <c r="H84" s="146">
        <f>5+1698</f>
        <v>1703</v>
      </c>
      <c r="I84" s="13">
        <f t="shared" si="5"/>
        <v>0.18</v>
      </c>
      <c r="J84" s="13">
        <f>14+301</f>
        <v>315</v>
      </c>
      <c r="K84" s="13" t="s">
        <v>33</v>
      </c>
      <c r="L84" s="214"/>
      <c r="M84" s="36"/>
      <c r="N84" s="218">
        <v>5.0</v>
      </c>
      <c r="O84" s="217">
        <v>0.67</v>
      </c>
      <c r="P84" s="217">
        <v>0.67</v>
      </c>
      <c r="Q84" s="217">
        <v>0.67</v>
      </c>
      <c r="R84" s="217">
        <v>0.66</v>
      </c>
      <c r="S84" s="146">
        <f>1311+970</f>
        <v>2281</v>
      </c>
      <c r="T84" s="13">
        <f t="shared" si="6"/>
        <v>0.33</v>
      </c>
      <c r="U84" s="146">
        <f>392+755</f>
        <v>1147</v>
      </c>
      <c r="V84" s="217" t="s">
        <v>20</v>
      </c>
    </row>
    <row r="85">
      <c r="B85" s="36"/>
      <c r="C85" s="146">
        <v>6.0</v>
      </c>
      <c r="D85" s="217">
        <v>0.82</v>
      </c>
      <c r="E85" s="217">
        <v>0.75</v>
      </c>
      <c r="F85" s="217">
        <v>0.82</v>
      </c>
      <c r="G85" s="217">
        <v>0.79</v>
      </c>
      <c r="H85" s="146">
        <f>14+1687</f>
        <v>1701</v>
      </c>
      <c r="I85" s="13">
        <f t="shared" si="5"/>
        <v>0.18</v>
      </c>
      <c r="J85" s="13">
        <f>292+25</f>
        <v>317</v>
      </c>
      <c r="K85" s="13" t="s">
        <v>34</v>
      </c>
      <c r="L85" s="214"/>
      <c r="M85" s="36"/>
      <c r="N85" s="218">
        <v>6.0</v>
      </c>
      <c r="O85" s="217">
        <v>0.73</v>
      </c>
      <c r="P85" s="217">
        <v>0.73</v>
      </c>
      <c r="Q85" s="217">
        <v>0.73</v>
      </c>
      <c r="R85" s="217">
        <v>0.73</v>
      </c>
      <c r="S85" s="146">
        <f>1336+1162</f>
        <v>2498</v>
      </c>
      <c r="T85" s="13">
        <f t="shared" si="6"/>
        <v>0.27</v>
      </c>
      <c r="U85" s="146">
        <f>367+563</f>
        <v>930</v>
      </c>
      <c r="V85" s="217" t="s">
        <v>20</v>
      </c>
    </row>
    <row r="86">
      <c r="B86" s="36"/>
      <c r="C86" s="146">
        <v>7.0</v>
      </c>
      <c r="D86" s="217">
        <v>0.81</v>
      </c>
      <c r="E86" s="217">
        <v>0.74</v>
      </c>
      <c r="F86" s="217">
        <v>0.81</v>
      </c>
      <c r="G86" s="217">
        <v>0.77</v>
      </c>
      <c r="H86" s="146">
        <f>9+1688</f>
        <v>1697</v>
      </c>
      <c r="I86" s="13">
        <f t="shared" si="5"/>
        <v>0.19</v>
      </c>
      <c r="J86" s="13">
        <f>297+24</f>
        <v>321</v>
      </c>
      <c r="K86" s="13" t="s">
        <v>35</v>
      </c>
      <c r="L86" s="214"/>
      <c r="M86" s="36"/>
      <c r="N86" s="218">
        <v>7.0</v>
      </c>
      <c r="O86" s="217">
        <v>0.77</v>
      </c>
      <c r="P86" s="217">
        <v>0.77</v>
      </c>
      <c r="Q86" s="217">
        <v>0.77</v>
      </c>
      <c r="R86" s="217">
        <v>0.77</v>
      </c>
      <c r="S86" s="146">
        <f>1406+1236</f>
        <v>2642</v>
      </c>
      <c r="T86" s="13">
        <f t="shared" si="6"/>
        <v>0.23</v>
      </c>
      <c r="U86" s="146">
        <f>297+489</f>
        <v>786</v>
      </c>
      <c r="V86" s="217" t="s">
        <v>20</v>
      </c>
    </row>
    <row r="87">
      <c r="B87" s="36"/>
      <c r="C87" s="146">
        <v>8.0</v>
      </c>
      <c r="D87" s="217">
        <v>0.83</v>
      </c>
      <c r="E87" s="217" t="s">
        <v>40</v>
      </c>
      <c r="F87" s="217">
        <v>0.83</v>
      </c>
      <c r="G87" s="217">
        <v>0.78</v>
      </c>
      <c r="H87" s="146">
        <f>18+1664</f>
        <v>1682</v>
      </c>
      <c r="I87" s="13">
        <f t="shared" si="5"/>
        <v>0.17</v>
      </c>
      <c r="J87" s="13">
        <f>288+48</f>
        <v>336</v>
      </c>
      <c r="K87" s="13" t="s">
        <v>16</v>
      </c>
      <c r="L87" s="214"/>
      <c r="M87" s="36"/>
      <c r="N87" s="218">
        <v>8.0</v>
      </c>
      <c r="O87" s="217">
        <v>0.79</v>
      </c>
      <c r="P87" s="217">
        <v>0.79</v>
      </c>
      <c r="Q87" s="217">
        <v>0.79</v>
      </c>
      <c r="R87" s="217">
        <v>0.79</v>
      </c>
      <c r="S87" s="146">
        <f>1402+1297</f>
        <v>2699</v>
      </c>
      <c r="T87" s="13">
        <f t="shared" si="6"/>
        <v>0.21</v>
      </c>
      <c r="U87" s="146">
        <f>301+428</f>
        <v>729</v>
      </c>
      <c r="V87" s="217" t="s">
        <v>20</v>
      </c>
    </row>
    <row r="88">
      <c r="B88" s="36"/>
      <c r="C88" s="146">
        <v>9.0</v>
      </c>
      <c r="D88" s="217">
        <v>0.82</v>
      </c>
      <c r="E88" s="217">
        <v>0.74</v>
      </c>
      <c r="F88" s="217">
        <v>0.82</v>
      </c>
      <c r="G88" s="217">
        <v>0.77</v>
      </c>
      <c r="H88" s="146">
        <f>27+1647</f>
        <v>1674</v>
      </c>
      <c r="I88" s="13">
        <f t="shared" si="5"/>
        <v>0.18</v>
      </c>
      <c r="J88" s="13">
        <f>279+65</f>
        <v>344</v>
      </c>
      <c r="K88" s="13" t="s">
        <v>36</v>
      </c>
      <c r="L88" s="214"/>
      <c r="M88" s="36"/>
      <c r="N88" s="218">
        <v>9.0</v>
      </c>
      <c r="O88" s="217">
        <v>0.82</v>
      </c>
      <c r="P88" s="217">
        <v>0.82</v>
      </c>
      <c r="Q88" s="217">
        <v>0.82</v>
      </c>
      <c r="R88" s="217">
        <v>0.82</v>
      </c>
      <c r="S88" s="146">
        <f>1453+1346</f>
        <v>2799</v>
      </c>
      <c r="T88" s="13">
        <f t="shared" si="6"/>
        <v>0.18</v>
      </c>
      <c r="U88" s="146">
        <f>250+379</f>
        <v>629</v>
      </c>
      <c r="V88" s="217" t="s">
        <v>20</v>
      </c>
    </row>
    <row r="89">
      <c r="B89" s="36"/>
      <c r="C89" s="146">
        <v>10.0</v>
      </c>
      <c r="D89" s="217">
        <v>0.82</v>
      </c>
      <c r="E89" s="217">
        <v>0.74</v>
      </c>
      <c r="F89" s="217">
        <v>0.82</v>
      </c>
      <c r="G89" s="217">
        <v>0.77</v>
      </c>
      <c r="H89" s="146">
        <f>13+1648</f>
        <v>1661</v>
      </c>
      <c r="I89" s="13">
        <f t="shared" si="5"/>
        <v>0.18</v>
      </c>
      <c r="J89" s="13">
        <f>293+64</f>
        <v>357</v>
      </c>
      <c r="K89" s="13" t="s">
        <v>49</v>
      </c>
      <c r="L89" s="214"/>
      <c r="M89" s="36"/>
      <c r="N89" s="218">
        <v>10.0</v>
      </c>
      <c r="O89" s="217">
        <v>0.82</v>
      </c>
      <c r="P89" s="217">
        <v>0.82</v>
      </c>
      <c r="Q89" s="217">
        <v>0.82</v>
      </c>
      <c r="R89" s="217">
        <v>0.82</v>
      </c>
      <c r="S89" s="146">
        <f>1454+1350</f>
        <v>2804</v>
      </c>
      <c r="T89" s="13">
        <f t="shared" si="6"/>
        <v>0.18</v>
      </c>
      <c r="U89" s="146">
        <f>249+375</f>
        <v>624</v>
      </c>
      <c r="V89" s="217" t="s">
        <v>20</v>
      </c>
    </row>
    <row r="90">
      <c r="B90" s="91"/>
      <c r="C90" s="146">
        <v>11.0</v>
      </c>
      <c r="D90" s="217">
        <v>0.83</v>
      </c>
      <c r="E90" s="13" t="s">
        <v>50</v>
      </c>
      <c r="F90" s="217">
        <v>0.83</v>
      </c>
      <c r="G90" s="13">
        <v>0.77</v>
      </c>
      <c r="H90" s="146">
        <f>9+1659</f>
        <v>1668</v>
      </c>
      <c r="I90" s="13">
        <f t="shared" si="5"/>
        <v>0.17</v>
      </c>
      <c r="J90" s="13">
        <f>53+297</f>
        <v>350</v>
      </c>
      <c r="K90" s="13" t="s">
        <v>20</v>
      </c>
      <c r="L90" s="214"/>
      <c r="M90" s="91"/>
      <c r="N90" s="222">
        <v>11.0</v>
      </c>
      <c r="O90" s="223">
        <v>0.83</v>
      </c>
      <c r="P90" s="223">
        <v>0.83</v>
      </c>
      <c r="Q90" s="223">
        <v>0.83</v>
      </c>
      <c r="R90" s="223">
        <v>0.83</v>
      </c>
      <c r="S90" s="221">
        <f>1456+1375</f>
        <v>2831</v>
      </c>
      <c r="T90" s="220">
        <f t="shared" si="6"/>
        <v>0.17</v>
      </c>
      <c r="U90" s="221">
        <f>247+350</f>
        <v>597</v>
      </c>
      <c r="V90" s="223" t="s">
        <v>20</v>
      </c>
    </row>
    <row r="91">
      <c r="B91" s="151" t="s">
        <v>21</v>
      </c>
      <c r="C91" s="146">
        <v>1.0</v>
      </c>
      <c r="D91" s="13">
        <v>0.85</v>
      </c>
      <c r="E91" s="217">
        <v>0.72</v>
      </c>
      <c r="F91" s="13">
        <v>0.85</v>
      </c>
      <c r="G91" s="217">
        <v>0.78</v>
      </c>
      <c r="H91" s="217">
        <v>1712.0</v>
      </c>
      <c r="I91" s="13">
        <f t="shared" si="5"/>
        <v>0.15</v>
      </c>
      <c r="J91" s="13">
        <v>306.0</v>
      </c>
      <c r="K91" s="13" t="s">
        <v>16</v>
      </c>
      <c r="L91" s="214"/>
      <c r="M91" s="219" t="s">
        <v>21</v>
      </c>
      <c r="N91" s="218">
        <v>1.0</v>
      </c>
      <c r="O91" s="217">
        <v>0.54</v>
      </c>
      <c r="P91" s="217">
        <v>0.56</v>
      </c>
      <c r="Q91" s="217">
        <v>0.54</v>
      </c>
      <c r="R91" s="227">
        <v>0.5</v>
      </c>
      <c r="S91" s="146">
        <f>425+1423</f>
        <v>1848</v>
      </c>
      <c r="T91" s="13">
        <f t="shared" si="6"/>
        <v>0.46</v>
      </c>
      <c r="U91" s="146">
        <f>1278+302</f>
        <v>1580</v>
      </c>
      <c r="V91" s="217" t="s">
        <v>16</v>
      </c>
    </row>
    <row r="92">
      <c r="B92" s="36"/>
      <c r="C92" s="146">
        <v>2.0</v>
      </c>
      <c r="D92" s="13">
        <v>0.85</v>
      </c>
      <c r="E92" s="217">
        <v>0.72</v>
      </c>
      <c r="F92" s="13">
        <v>0.85</v>
      </c>
      <c r="G92" s="217">
        <v>0.78</v>
      </c>
      <c r="H92" s="217">
        <v>1710.0</v>
      </c>
      <c r="I92" s="13">
        <f t="shared" si="5"/>
        <v>0.15</v>
      </c>
      <c r="J92" s="13">
        <f>306+2</f>
        <v>308</v>
      </c>
      <c r="K92" s="13" t="s">
        <v>33</v>
      </c>
      <c r="L92" s="214"/>
      <c r="M92" s="36"/>
      <c r="N92" s="218">
        <v>2.0</v>
      </c>
      <c r="O92" s="217">
        <v>0.55</v>
      </c>
      <c r="P92" s="217">
        <v>0.57</v>
      </c>
      <c r="Q92" s="217">
        <v>0.55</v>
      </c>
      <c r="R92" s="217">
        <v>0.51</v>
      </c>
      <c r="S92" s="146">
        <f>1393+483</f>
        <v>1876</v>
      </c>
      <c r="T92" s="13">
        <f t="shared" si="6"/>
        <v>0.45</v>
      </c>
      <c r="U92" s="146">
        <f>310+1242</f>
        <v>1552</v>
      </c>
      <c r="V92" s="217" t="s">
        <v>16</v>
      </c>
    </row>
    <row r="93">
      <c r="B93" s="36"/>
      <c r="C93" s="231">
        <v>3.0</v>
      </c>
      <c r="D93" s="225">
        <v>0.85</v>
      </c>
      <c r="E93" s="226">
        <v>0.74</v>
      </c>
      <c r="F93" s="225">
        <v>0.85</v>
      </c>
      <c r="G93" s="226">
        <v>0.78</v>
      </c>
      <c r="H93" s="231">
        <f>2+1712</f>
        <v>1714</v>
      </c>
      <c r="I93" s="225">
        <f t="shared" si="5"/>
        <v>0.15</v>
      </c>
      <c r="J93" s="226">
        <v>304.0</v>
      </c>
      <c r="K93" s="225" t="s">
        <v>34</v>
      </c>
      <c r="L93" s="214"/>
      <c r="M93" s="36"/>
      <c r="N93" s="218">
        <v>3.0</v>
      </c>
      <c r="O93" s="217">
        <v>0.55</v>
      </c>
      <c r="P93" s="217">
        <v>0.56</v>
      </c>
      <c r="Q93" s="217">
        <v>0.55</v>
      </c>
      <c r="R93" s="217">
        <v>0.54</v>
      </c>
      <c r="S93" s="146">
        <f>1251+643</f>
        <v>1894</v>
      </c>
      <c r="T93" s="13">
        <f t="shared" si="6"/>
        <v>0.45</v>
      </c>
      <c r="U93" s="146">
        <f>452+1082</f>
        <v>1534</v>
      </c>
      <c r="V93" s="217" t="s">
        <v>34</v>
      </c>
    </row>
    <row r="94">
      <c r="B94" s="36"/>
      <c r="C94" s="146">
        <v>4.0</v>
      </c>
      <c r="D94" s="13">
        <v>0.84</v>
      </c>
      <c r="E94" s="217">
        <v>0.75</v>
      </c>
      <c r="F94" s="13">
        <v>0.84</v>
      </c>
      <c r="G94" s="217">
        <v>0.78</v>
      </c>
      <c r="H94" s="146">
        <f>4+1707</f>
        <v>1711</v>
      </c>
      <c r="I94" s="13">
        <f t="shared" si="5"/>
        <v>0.16</v>
      </c>
      <c r="J94" s="13">
        <f>302+5</f>
        <v>307</v>
      </c>
      <c r="K94" s="13" t="s">
        <v>34</v>
      </c>
      <c r="L94" s="214"/>
      <c r="M94" s="36"/>
      <c r="N94" s="218">
        <v>4.0</v>
      </c>
      <c r="O94" s="217">
        <v>0.59</v>
      </c>
      <c r="P94" s="217">
        <v>0.59</v>
      </c>
      <c r="Q94" s="217">
        <v>0.59</v>
      </c>
      <c r="R94" s="217">
        <v>0.59</v>
      </c>
      <c r="S94" s="146">
        <f>991+1039</f>
        <v>2030</v>
      </c>
      <c r="T94" s="13">
        <f t="shared" si="6"/>
        <v>0.41</v>
      </c>
      <c r="U94" s="146">
        <f>712+686</f>
        <v>1398</v>
      </c>
      <c r="V94" s="217" t="s">
        <v>36</v>
      </c>
    </row>
    <row r="95">
      <c r="B95" s="36"/>
      <c r="C95" s="146">
        <v>5.0</v>
      </c>
      <c r="D95" s="13">
        <v>0.81</v>
      </c>
      <c r="E95" s="227">
        <v>0.75</v>
      </c>
      <c r="F95" s="13">
        <v>0.81</v>
      </c>
      <c r="G95" s="217">
        <v>0.77</v>
      </c>
      <c r="H95" s="146">
        <f>16+1695</f>
        <v>1711</v>
      </c>
      <c r="I95" s="13">
        <f t="shared" si="5"/>
        <v>0.19</v>
      </c>
      <c r="J95" s="13">
        <f>290+17</f>
        <v>307</v>
      </c>
      <c r="K95" s="13" t="s">
        <v>33</v>
      </c>
      <c r="L95" s="214"/>
      <c r="M95" s="36"/>
      <c r="N95" s="218">
        <v>5.0</v>
      </c>
      <c r="O95" s="217">
        <v>0.67</v>
      </c>
      <c r="P95" s="217">
        <v>0.67</v>
      </c>
      <c r="Q95" s="217">
        <v>0.67</v>
      </c>
      <c r="R95" s="217">
        <v>0.66</v>
      </c>
      <c r="S95" s="146">
        <f>1307+975</f>
        <v>2282</v>
      </c>
      <c r="T95" s="13">
        <f t="shared" si="6"/>
        <v>0.33</v>
      </c>
      <c r="U95" s="146">
        <f>396+750</f>
        <v>1146</v>
      </c>
      <c r="V95" s="217" t="s">
        <v>20</v>
      </c>
    </row>
    <row r="96">
      <c r="B96" s="36"/>
      <c r="C96" s="146">
        <v>6.0</v>
      </c>
      <c r="D96" s="217">
        <v>0.78</v>
      </c>
      <c r="E96" s="217">
        <v>0.75</v>
      </c>
      <c r="F96" s="217">
        <v>0.78</v>
      </c>
      <c r="G96" s="217">
        <v>0.76</v>
      </c>
      <c r="H96" s="146">
        <f>20+1683</f>
        <v>1703</v>
      </c>
      <c r="I96" s="13">
        <f t="shared" si="5"/>
        <v>0.22</v>
      </c>
      <c r="J96" s="13">
        <f>286+29</f>
        <v>315</v>
      </c>
      <c r="K96" s="13" t="s">
        <v>33</v>
      </c>
      <c r="L96" s="214"/>
      <c r="M96" s="36"/>
      <c r="N96" s="218">
        <v>6.0</v>
      </c>
      <c r="O96" s="217">
        <v>0.69</v>
      </c>
      <c r="P96" s="217">
        <v>0.71</v>
      </c>
      <c r="Q96" s="217">
        <v>0.69</v>
      </c>
      <c r="R96" s="217">
        <v>0.69</v>
      </c>
      <c r="S96" s="146">
        <f>1375+1004</f>
        <v>2379</v>
      </c>
      <c r="T96" s="13">
        <f t="shared" si="6"/>
        <v>0.31</v>
      </c>
      <c r="U96" s="146">
        <f>328+721</f>
        <v>1049</v>
      </c>
      <c r="V96" s="217" t="s">
        <v>20</v>
      </c>
    </row>
    <row r="97">
      <c r="B97" s="36"/>
      <c r="C97" s="146">
        <v>7.0</v>
      </c>
      <c r="D97" s="217">
        <v>0.76</v>
      </c>
      <c r="E97" s="217">
        <v>0.75</v>
      </c>
      <c r="F97" s="217">
        <v>0.76</v>
      </c>
      <c r="G97" s="217">
        <v>0.75</v>
      </c>
      <c r="H97" s="146">
        <f>22+1651</f>
        <v>1673</v>
      </c>
      <c r="I97" s="13">
        <f t="shared" si="5"/>
        <v>0.24</v>
      </c>
      <c r="J97" s="13">
        <f>284+61</f>
        <v>345</v>
      </c>
      <c r="K97" s="13" t="s">
        <v>33</v>
      </c>
      <c r="L97" s="214"/>
      <c r="M97" s="36"/>
      <c r="N97" s="218">
        <v>7.0</v>
      </c>
      <c r="O97" s="217">
        <v>0.75</v>
      </c>
      <c r="P97" s="217">
        <v>0.76</v>
      </c>
      <c r="Q97" s="217">
        <v>0.75</v>
      </c>
      <c r="R97" s="217">
        <v>0.74</v>
      </c>
      <c r="S97" s="146">
        <f>1437+1123</f>
        <v>2560</v>
      </c>
      <c r="T97" s="13">
        <f t="shared" si="6"/>
        <v>0.25</v>
      </c>
      <c r="U97" s="146">
        <f>266+602</f>
        <v>868</v>
      </c>
      <c r="V97" s="217" t="s">
        <v>20</v>
      </c>
    </row>
    <row r="98">
      <c r="B98" s="36"/>
      <c r="C98" s="146">
        <v>8.0</v>
      </c>
      <c r="D98" s="217">
        <v>0.72</v>
      </c>
      <c r="E98" s="217">
        <v>0.74</v>
      </c>
      <c r="F98" s="217">
        <v>0.72</v>
      </c>
      <c r="G98" s="217">
        <v>0.73</v>
      </c>
      <c r="H98" s="146">
        <f>25+1622</f>
        <v>1647</v>
      </c>
      <c r="I98" s="13">
        <f t="shared" si="5"/>
        <v>0.28</v>
      </c>
      <c r="J98" s="13">
        <f>281+90</f>
        <v>371</v>
      </c>
      <c r="K98" s="13" t="s">
        <v>35</v>
      </c>
      <c r="L98" s="214"/>
      <c r="M98" s="36"/>
      <c r="N98" s="218">
        <v>8.0</v>
      </c>
      <c r="O98" s="217">
        <v>0.76</v>
      </c>
      <c r="P98" s="217">
        <v>0.77</v>
      </c>
      <c r="Q98" s="217">
        <v>0.76</v>
      </c>
      <c r="R98" s="217">
        <v>0.75</v>
      </c>
      <c r="S98" s="146">
        <f>1448+1146</f>
        <v>2594</v>
      </c>
      <c r="T98" s="13">
        <f t="shared" si="6"/>
        <v>0.24</v>
      </c>
      <c r="U98" s="146">
        <f>255+579</f>
        <v>834</v>
      </c>
      <c r="V98" s="217" t="s">
        <v>20</v>
      </c>
    </row>
    <row r="99">
      <c r="B99" s="36"/>
      <c r="C99" s="146">
        <v>9.0</v>
      </c>
      <c r="D99" s="227">
        <v>0.74</v>
      </c>
      <c r="E99" s="217">
        <v>0.76</v>
      </c>
      <c r="F99" s="227">
        <v>0.74</v>
      </c>
      <c r="G99" s="217">
        <v>0.75</v>
      </c>
      <c r="H99" s="146">
        <f>44+1565</f>
        <v>1609</v>
      </c>
      <c r="I99" s="228">
        <f t="shared" si="5"/>
        <v>0.26</v>
      </c>
      <c r="J99" s="13">
        <f>147+262</f>
        <v>409</v>
      </c>
      <c r="K99" s="13" t="s">
        <v>36</v>
      </c>
      <c r="L99" s="214"/>
      <c r="M99" s="36"/>
      <c r="N99" s="218">
        <v>9.0</v>
      </c>
      <c r="O99" s="227">
        <v>0.77</v>
      </c>
      <c r="P99" s="227">
        <v>0.78</v>
      </c>
      <c r="Q99" s="227">
        <v>0.77</v>
      </c>
      <c r="R99" s="227">
        <v>0.77</v>
      </c>
      <c r="S99" s="146">
        <f>1453+1180</f>
        <v>2633</v>
      </c>
      <c r="T99" s="228">
        <f t="shared" si="6"/>
        <v>0.23</v>
      </c>
      <c r="U99" s="146">
        <f>250+545</f>
        <v>795</v>
      </c>
      <c r="V99" s="217" t="s">
        <v>20</v>
      </c>
    </row>
    <row r="100">
      <c r="B100" s="36"/>
      <c r="C100" s="146">
        <v>10.0</v>
      </c>
      <c r="D100" s="217">
        <v>0.74</v>
      </c>
      <c r="E100" s="217">
        <v>0.76</v>
      </c>
      <c r="F100" s="217">
        <v>0.74</v>
      </c>
      <c r="G100" s="217">
        <v>0.75</v>
      </c>
      <c r="H100" s="146">
        <f>47+1499</f>
        <v>1546</v>
      </c>
      <c r="I100" s="13">
        <f t="shared" si="5"/>
        <v>0.26</v>
      </c>
      <c r="J100" s="13">
        <f>259+213</f>
        <v>472</v>
      </c>
      <c r="K100" s="13" t="s">
        <v>49</v>
      </c>
      <c r="L100" s="214"/>
      <c r="M100" s="36"/>
      <c r="N100" s="218">
        <v>10.0</v>
      </c>
      <c r="O100" s="217">
        <v>0.77</v>
      </c>
      <c r="P100" s="217">
        <v>0.77</v>
      </c>
      <c r="Q100" s="217">
        <v>0.77</v>
      </c>
      <c r="R100" s="217">
        <v>0.77</v>
      </c>
      <c r="S100" s="146">
        <f>1450+1178</f>
        <v>2628</v>
      </c>
      <c r="T100" s="13">
        <f t="shared" si="6"/>
        <v>0.23</v>
      </c>
      <c r="U100" s="146">
        <f>253+547</f>
        <v>800</v>
      </c>
      <c r="V100" s="217" t="s">
        <v>20</v>
      </c>
    </row>
    <row r="101">
      <c r="B101" s="91"/>
      <c r="C101" s="146">
        <v>11.0</v>
      </c>
      <c r="D101" s="13">
        <v>0.74</v>
      </c>
      <c r="E101" s="13">
        <v>0.76</v>
      </c>
      <c r="F101" s="13">
        <v>0.74</v>
      </c>
      <c r="G101" s="13">
        <v>0.75</v>
      </c>
      <c r="H101" s="146">
        <f>75+1415</f>
        <v>1490</v>
      </c>
      <c r="I101" s="13">
        <f t="shared" si="5"/>
        <v>0.26</v>
      </c>
      <c r="J101" s="13">
        <f>297+231</f>
        <v>528</v>
      </c>
      <c r="K101" s="13" t="s">
        <v>20</v>
      </c>
      <c r="L101" s="214"/>
      <c r="M101" s="91"/>
      <c r="N101" s="229">
        <v>11.0</v>
      </c>
      <c r="O101" s="226">
        <v>0.78</v>
      </c>
      <c r="P101" s="226">
        <v>0.79</v>
      </c>
      <c r="Q101" s="226">
        <v>0.78</v>
      </c>
      <c r="R101" s="226">
        <v>0.78</v>
      </c>
      <c r="S101" s="231">
        <f>1476+1189</f>
        <v>2665</v>
      </c>
      <c r="T101" s="225">
        <f t="shared" si="6"/>
        <v>0.22</v>
      </c>
      <c r="U101" s="231">
        <f>227+536</f>
        <v>763</v>
      </c>
      <c r="V101" s="226" t="s">
        <v>20</v>
      </c>
    </row>
    <row r="102">
      <c r="B102" s="151" t="s">
        <v>22</v>
      </c>
      <c r="C102" s="146">
        <v>1.0</v>
      </c>
      <c r="D102" s="217">
        <v>0.85</v>
      </c>
      <c r="E102" s="217">
        <v>0.72</v>
      </c>
      <c r="F102" s="217">
        <v>0.85</v>
      </c>
      <c r="G102" s="217">
        <v>0.78</v>
      </c>
      <c r="H102" s="217">
        <v>1712.0</v>
      </c>
      <c r="I102" s="13">
        <f t="shared" si="5"/>
        <v>0.15</v>
      </c>
      <c r="J102" s="13">
        <v>306.0</v>
      </c>
      <c r="K102" s="13" t="s">
        <v>23</v>
      </c>
      <c r="L102" s="214"/>
      <c r="M102" s="219" t="s">
        <v>22</v>
      </c>
      <c r="N102" s="218">
        <v>1.0</v>
      </c>
      <c r="O102" s="227">
        <v>0.51</v>
      </c>
      <c r="P102" s="227">
        <v>0.52</v>
      </c>
      <c r="Q102" s="227">
        <v>0.51</v>
      </c>
      <c r="R102" s="217">
        <v>0.44</v>
      </c>
      <c r="S102" s="146">
        <f>1477+269</f>
        <v>1746</v>
      </c>
      <c r="T102" s="228">
        <f t="shared" si="6"/>
        <v>0.49</v>
      </c>
      <c r="U102" s="146">
        <f>226+1456</f>
        <v>1682</v>
      </c>
      <c r="V102" s="217" t="s">
        <v>23</v>
      </c>
    </row>
    <row r="103">
      <c r="B103" s="36"/>
      <c r="C103" s="146">
        <v>2.0</v>
      </c>
      <c r="D103" s="217">
        <v>0.85</v>
      </c>
      <c r="E103" s="217">
        <v>0.72</v>
      </c>
      <c r="F103" s="217">
        <v>0.85</v>
      </c>
      <c r="G103" s="217">
        <v>0.78</v>
      </c>
      <c r="H103" s="217">
        <v>1712.0</v>
      </c>
      <c r="I103" s="13">
        <f t="shared" si="5"/>
        <v>0.15</v>
      </c>
      <c r="J103" s="13">
        <v>306.0</v>
      </c>
      <c r="K103" s="13" t="s">
        <v>23</v>
      </c>
      <c r="L103" s="214"/>
      <c r="M103" s="36"/>
      <c r="N103" s="218">
        <v>2.0</v>
      </c>
      <c r="O103" s="227">
        <v>0.5</v>
      </c>
      <c r="P103" s="227">
        <v>0.5</v>
      </c>
      <c r="Q103" s="227">
        <v>0.5</v>
      </c>
      <c r="R103" s="217">
        <v>0.47</v>
      </c>
      <c r="S103" s="234">
        <f>1209+495</f>
        <v>1704</v>
      </c>
      <c r="T103" s="228">
        <f t="shared" si="6"/>
        <v>0.5</v>
      </c>
      <c r="U103" s="146">
        <f>494+1230</f>
        <v>1724</v>
      </c>
      <c r="V103" s="217" t="s">
        <v>23</v>
      </c>
    </row>
    <row r="104">
      <c r="B104" s="36"/>
      <c r="C104" s="146">
        <v>3.0</v>
      </c>
      <c r="D104" s="217">
        <v>0.85</v>
      </c>
      <c r="E104" s="217">
        <v>0.72</v>
      </c>
      <c r="F104" s="217">
        <v>0.85</v>
      </c>
      <c r="G104" s="217">
        <v>0.78</v>
      </c>
      <c r="H104" s="217">
        <v>1712.0</v>
      </c>
      <c r="I104" s="13">
        <f t="shared" si="5"/>
        <v>0.15</v>
      </c>
      <c r="J104" s="13">
        <v>306.0</v>
      </c>
      <c r="K104" s="13" t="s">
        <v>23</v>
      </c>
      <c r="L104" s="214"/>
      <c r="M104" s="36"/>
      <c r="N104" s="218">
        <v>3.0</v>
      </c>
      <c r="O104" s="217">
        <v>0.51</v>
      </c>
      <c r="P104" s="217">
        <v>0.51</v>
      </c>
      <c r="Q104" s="217">
        <v>0.51</v>
      </c>
      <c r="R104" s="217">
        <v>0.49</v>
      </c>
      <c r="S104" s="146">
        <f>1166+568</f>
        <v>1734</v>
      </c>
      <c r="T104" s="13">
        <f t="shared" si="6"/>
        <v>0.49</v>
      </c>
      <c r="U104" s="146">
        <f>537+1157</f>
        <v>1694</v>
      </c>
      <c r="V104" s="217" t="s">
        <v>23</v>
      </c>
    </row>
    <row r="105">
      <c r="B105" s="36"/>
      <c r="C105" s="146">
        <v>4.0</v>
      </c>
      <c r="D105" s="217">
        <v>0.85</v>
      </c>
      <c r="E105" s="217">
        <v>0.72</v>
      </c>
      <c r="F105" s="217">
        <v>0.85</v>
      </c>
      <c r="G105" s="217">
        <v>0.78</v>
      </c>
      <c r="H105" s="217">
        <v>1712.0</v>
      </c>
      <c r="I105" s="13">
        <f t="shared" si="5"/>
        <v>0.15</v>
      </c>
      <c r="J105" s="13">
        <v>306.0</v>
      </c>
      <c r="K105" s="13" t="s">
        <v>23</v>
      </c>
      <c r="L105" s="214"/>
      <c r="M105" s="36"/>
      <c r="N105" s="218">
        <v>4.0</v>
      </c>
      <c r="O105" s="217">
        <v>0.51</v>
      </c>
      <c r="P105" s="217">
        <v>0.52</v>
      </c>
      <c r="Q105" s="217">
        <v>0.51</v>
      </c>
      <c r="R105" s="217">
        <v>0.48</v>
      </c>
      <c r="S105" s="146">
        <f>1381+382</f>
        <v>1763</v>
      </c>
      <c r="T105" s="13">
        <f t="shared" si="6"/>
        <v>0.49</v>
      </c>
      <c r="U105" s="146">
        <f>322+1343</f>
        <v>1665</v>
      </c>
      <c r="V105" s="217" t="s">
        <v>23</v>
      </c>
    </row>
    <row r="106">
      <c r="B106" s="36"/>
      <c r="C106" s="146">
        <v>5.0</v>
      </c>
      <c r="D106" s="217">
        <v>0.85</v>
      </c>
      <c r="E106" s="217">
        <v>0.72</v>
      </c>
      <c r="F106" s="217">
        <v>0.85</v>
      </c>
      <c r="G106" s="217">
        <v>0.78</v>
      </c>
      <c r="H106" s="217">
        <v>1712.0</v>
      </c>
      <c r="I106" s="13">
        <f t="shared" si="5"/>
        <v>0.15</v>
      </c>
      <c r="J106" s="13">
        <v>306.0</v>
      </c>
      <c r="K106" s="13" t="s">
        <v>23</v>
      </c>
      <c r="L106" s="214"/>
      <c r="M106" s="36"/>
      <c r="N106" s="218">
        <v>5.0</v>
      </c>
      <c r="O106" s="217">
        <v>0.52</v>
      </c>
      <c r="P106" s="217">
        <v>0.52</v>
      </c>
      <c r="Q106" s="217">
        <v>0.52</v>
      </c>
      <c r="R106" s="217">
        <v>0.47</v>
      </c>
      <c r="S106" s="146">
        <f>1324+445</f>
        <v>1769</v>
      </c>
      <c r="T106" s="13">
        <f t="shared" si="6"/>
        <v>0.48</v>
      </c>
      <c r="U106" s="146">
        <f>375+1280</f>
        <v>1655</v>
      </c>
      <c r="V106" s="217" t="s">
        <v>23</v>
      </c>
    </row>
    <row r="107">
      <c r="B107" s="36"/>
      <c r="C107" s="146">
        <v>6.0</v>
      </c>
      <c r="D107" s="217">
        <v>0.85</v>
      </c>
      <c r="E107" s="217">
        <v>0.72</v>
      </c>
      <c r="F107" s="217">
        <v>0.85</v>
      </c>
      <c r="G107" s="217">
        <v>0.78</v>
      </c>
      <c r="H107" s="217">
        <v>1712.0</v>
      </c>
      <c r="I107" s="13">
        <f t="shared" si="5"/>
        <v>0.15</v>
      </c>
      <c r="J107" s="13">
        <v>306.0</v>
      </c>
      <c r="K107" s="13" t="s">
        <v>23</v>
      </c>
      <c r="L107" s="214"/>
      <c r="M107" s="36"/>
      <c r="N107" s="218">
        <v>6.0</v>
      </c>
      <c r="O107" s="217">
        <v>0.52</v>
      </c>
      <c r="P107" s="217">
        <v>0.51</v>
      </c>
      <c r="Q107" s="217">
        <v>0.51</v>
      </c>
      <c r="R107" s="217">
        <v>0.49</v>
      </c>
      <c r="S107" s="146">
        <f>1236+527</f>
        <v>1763</v>
      </c>
      <c r="T107" s="13">
        <f t="shared" si="6"/>
        <v>0.48</v>
      </c>
      <c r="U107" s="146">
        <f>467+1198</f>
        <v>1665</v>
      </c>
      <c r="V107" s="217" t="s">
        <v>23</v>
      </c>
    </row>
    <row r="108">
      <c r="B108" s="36"/>
      <c r="C108" s="146">
        <v>7.0</v>
      </c>
      <c r="D108" s="217">
        <v>0.85</v>
      </c>
      <c r="E108" s="217">
        <v>0.72</v>
      </c>
      <c r="F108" s="217">
        <v>0.85</v>
      </c>
      <c r="G108" s="217">
        <v>0.78</v>
      </c>
      <c r="H108" s="217">
        <v>1712.0</v>
      </c>
      <c r="I108" s="13">
        <f t="shared" si="5"/>
        <v>0.15</v>
      </c>
      <c r="J108" s="13">
        <v>306.0</v>
      </c>
      <c r="K108" s="13" t="s">
        <v>23</v>
      </c>
      <c r="L108" s="214"/>
      <c r="M108" s="36"/>
      <c r="N108" s="218">
        <v>7.0</v>
      </c>
      <c r="O108" s="217">
        <v>0.53</v>
      </c>
      <c r="P108" s="217">
        <v>0.53</v>
      </c>
      <c r="Q108" s="217">
        <v>0.53</v>
      </c>
      <c r="R108" s="217">
        <v>0.51</v>
      </c>
      <c r="S108" s="146">
        <f>1209+601</f>
        <v>1810</v>
      </c>
      <c r="T108" s="13">
        <f t="shared" si="6"/>
        <v>0.47</v>
      </c>
      <c r="U108" s="146">
        <f>494+1124</f>
        <v>1618</v>
      </c>
      <c r="V108" s="217" t="s">
        <v>23</v>
      </c>
    </row>
    <row r="109">
      <c r="B109" s="36"/>
      <c r="C109" s="146">
        <v>8.0</v>
      </c>
      <c r="D109" s="217">
        <v>0.85</v>
      </c>
      <c r="E109" s="217">
        <v>0.72</v>
      </c>
      <c r="F109" s="217">
        <v>0.85</v>
      </c>
      <c r="G109" s="217">
        <v>0.78</v>
      </c>
      <c r="H109" s="217">
        <v>1712.0</v>
      </c>
      <c r="I109" s="13">
        <f t="shared" si="5"/>
        <v>0.15</v>
      </c>
      <c r="J109" s="13">
        <v>306.0</v>
      </c>
      <c r="K109" s="13" t="s">
        <v>23</v>
      </c>
      <c r="L109" s="214"/>
      <c r="M109" s="36"/>
      <c r="N109" s="218">
        <v>8.0</v>
      </c>
      <c r="O109" s="217">
        <v>0.55</v>
      </c>
      <c r="P109" s="217">
        <v>0.56</v>
      </c>
      <c r="Q109" s="217">
        <v>0.55</v>
      </c>
      <c r="R109" s="217">
        <v>0.54</v>
      </c>
      <c r="S109" s="146">
        <f>1175+711</f>
        <v>1886</v>
      </c>
      <c r="T109" s="13">
        <f t="shared" si="6"/>
        <v>0.45</v>
      </c>
      <c r="U109" s="146">
        <f>528+1014</f>
        <v>1542</v>
      </c>
      <c r="V109" s="217" t="s">
        <v>23</v>
      </c>
    </row>
    <row r="110">
      <c r="B110" s="36"/>
      <c r="C110" s="146">
        <v>9.0</v>
      </c>
      <c r="D110" s="217">
        <v>0.85</v>
      </c>
      <c r="E110" s="217">
        <v>0.72</v>
      </c>
      <c r="F110" s="217">
        <v>0.85</v>
      </c>
      <c r="G110" s="217">
        <v>0.78</v>
      </c>
      <c r="H110" s="217">
        <v>1712.0</v>
      </c>
      <c r="I110" s="13">
        <f t="shared" si="5"/>
        <v>0.15</v>
      </c>
      <c r="J110" s="13">
        <v>306.0</v>
      </c>
      <c r="K110" s="13" t="s">
        <v>23</v>
      </c>
      <c r="L110" s="214"/>
      <c r="M110" s="36"/>
      <c r="N110" s="218">
        <v>9.0</v>
      </c>
      <c r="O110" s="217">
        <v>0.56</v>
      </c>
      <c r="P110" s="217">
        <v>0.57</v>
      </c>
      <c r="Q110" s="217">
        <v>0.56</v>
      </c>
      <c r="R110" s="217">
        <v>0.55</v>
      </c>
      <c r="S110" s="146">
        <f>1211+723</f>
        <v>1934</v>
      </c>
      <c r="T110" s="13">
        <f t="shared" si="6"/>
        <v>0.44</v>
      </c>
      <c r="U110" s="146">
        <f>492+1002</f>
        <v>1494</v>
      </c>
      <c r="V110" s="217" t="s">
        <v>23</v>
      </c>
    </row>
    <row r="111">
      <c r="B111" s="36"/>
      <c r="C111" s="146">
        <v>10.0</v>
      </c>
      <c r="D111" s="217">
        <v>0.85</v>
      </c>
      <c r="E111" s="217">
        <v>0.72</v>
      </c>
      <c r="F111" s="217">
        <v>0.85</v>
      </c>
      <c r="G111" s="217">
        <v>0.78</v>
      </c>
      <c r="H111" s="217">
        <v>1712.0</v>
      </c>
      <c r="I111" s="13">
        <f t="shared" si="5"/>
        <v>0.15</v>
      </c>
      <c r="J111" s="13">
        <v>306.0</v>
      </c>
      <c r="K111" s="13" t="s">
        <v>23</v>
      </c>
      <c r="L111" s="214"/>
      <c r="M111" s="36"/>
      <c r="N111" s="229">
        <v>10.0</v>
      </c>
      <c r="O111" s="226">
        <v>0.58</v>
      </c>
      <c r="P111" s="226">
        <v>0.59</v>
      </c>
      <c r="Q111" s="226">
        <v>0.58</v>
      </c>
      <c r="R111" s="226">
        <v>0.57</v>
      </c>
      <c r="S111" s="231">
        <f>1255+729</f>
        <v>1984</v>
      </c>
      <c r="T111" s="225">
        <f t="shared" si="6"/>
        <v>0.42</v>
      </c>
      <c r="U111" s="231">
        <f>448+996</f>
        <v>1444</v>
      </c>
      <c r="V111" s="226" t="s">
        <v>23</v>
      </c>
    </row>
    <row r="112">
      <c r="B112" s="91"/>
      <c r="C112" s="231">
        <v>11.0</v>
      </c>
      <c r="D112" s="226">
        <v>0.85</v>
      </c>
      <c r="E112" s="226">
        <v>0.72</v>
      </c>
      <c r="F112" s="226">
        <v>0.85</v>
      </c>
      <c r="G112" s="226">
        <v>0.78</v>
      </c>
      <c r="H112" s="226">
        <v>1712.0</v>
      </c>
      <c r="I112" s="225">
        <f t="shared" si="5"/>
        <v>0.15</v>
      </c>
      <c r="J112" s="225">
        <v>306.0</v>
      </c>
      <c r="K112" s="225" t="s">
        <v>23</v>
      </c>
      <c r="L112" s="214"/>
      <c r="M112" s="91"/>
      <c r="N112" s="218">
        <v>11.0</v>
      </c>
      <c r="O112" s="217">
        <v>0.57</v>
      </c>
      <c r="P112" s="217">
        <v>0.59</v>
      </c>
      <c r="Q112" s="217">
        <v>0.57</v>
      </c>
      <c r="R112" s="217">
        <v>0.54</v>
      </c>
      <c r="S112" s="146">
        <f>1394+549</f>
        <v>1943</v>
      </c>
      <c r="T112" s="13">
        <f t="shared" si="6"/>
        <v>0.43</v>
      </c>
      <c r="U112" s="146">
        <f>309+1179</f>
        <v>1488</v>
      </c>
      <c r="V112" s="217" t="s">
        <v>23</v>
      </c>
    </row>
    <row r="113">
      <c r="B113" s="151" t="s">
        <v>24</v>
      </c>
      <c r="C113" s="146">
        <v>1.0</v>
      </c>
      <c r="D113" s="217">
        <v>0.85</v>
      </c>
      <c r="E113" s="217">
        <v>0.72</v>
      </c>
      <c r="F113" s="217">
        <v>0.85</v>
      </c>
      <c r="G113" s="217">
        <v>0.78</v>
      </c>
      <c r="H113" s="217">
        <v>1712.0</v>
      </c>
      <c r="I113" s="13">
        <f t="shared" si="5"/>
        <v>0.15</v>
      </c>
      <c r="J113" s="13">
        <v>306.0</v>
      </c>
      <c r="K113" s="13" t="s">
        <v>23</v>
      </c>
      <c r="L113" s="214"/>
      <c r="M113" s="219" t="s">
        <v>24</v>
      </c>
      <c r="N113" s="235">
        <v>1.0</v>
      </c>
      <c r="O113" s="217">
        <v>0.49</v>
      </c>
      <c r="P113" s="217">
        <v>0.49</v>
      </c>
      <c r="Q113" s="217">
        <v>0.49</v>
      </c>
      <c r="R113" s="217">
        <v>0.48</v>
      </c>
      <c r="S113" s="146">
        <f>1004+668</f>
        <v>1672</v>
      </c>
      <c r="T113" s="13">
        <f t="shared" si="6"/>
        <v>0.51</v>
      </c>
      <c r="U113" s="146">
        <f>699+1057</f>
        <v>1756</v>
      </c>
      <c r="V113" s="217" t="s">
        <v>23</v>
      </c>
    </row>
    <row r="114">
      <c r="B114" s="36"/>
      <c r="C114" s="146">
        <v>2.0</v>
      </c>
      <c r="D114" s="217">
        <v>0.85</v>
      </c>
      <c r="E114" s="217">
        <v>0.72</v>
      </c>
      <c r="F114" s="217">
        <v>0.85</v>
      </c>
      <c r="G114" s="217">
        <v>0.78</v>
      </c>
      <c r="H114" s="217">
        <v>1712.0</v>
      </c>
      <c r="I114" s="13">
        <f t="shared" si="5"/>
        <v>0.15</v>
      </c>
      <c r="J114" s="13">
        <v>306.0</v>
      </c>
      <c r="K114" s="13" t="s">
        <v>23</v>
      </c>
      <c r="L114" s="214"/>
      <c r="M114" s="36"/>
      <c r="N114" s="235">
        <v>2.0</v>
      </c>
      <c r="O114" s="217">
        <v>0.48</v>
      </c>
      <c r="P114" s="217">
        <v>0.48</v>
      </c>
      <c r="Q114" s="217">
        <v>0.48</v>
      </c>
      <c r="R114" s="217">
        <v>0.48</v>
      </c>
      <c r="S114" s="146">
        <f>942+707</f>
        <v>1649</v>
      </c>
      <c r="T114" s="13">
        <f t="shared" si="6"/>
        <v>0.52</v>
      </c>
      <c r="U114" s="146">
        <f>761+1018</f>
        <v>1779</v>
      </c>
      <c r="V114" s="217" t="s">
        <v>23</v>
      </c>
    </row>
    <row r="115">
      <c r="B115" s="36"/>
      <c r="C115" s="146">
        <v>3.0</v>
      </c>
      <c r="D115" s="217">
        <v>0.85</v>
      </c>
      <c r="E115" s="217">
        <v>0.72</v>
      </c>
      <c r="F115" s="217">
        <v>0.85</v>
      </c>
      <c r="G115" s="217">
        <v>0.78</v>
      </c>
      <c r="H115" s="217">
        <v>1712.0</v>
      </c>
      <c r="I115" s="13">
        <f t="shared" si="5"/>
        <v>0.15</v>
      </c>
      <c r="J115" s="13">
        <v>306.0</v>
      </c>
      <c r="K115" s="13" t="s">
        <v>23</v>
      </c>
      <c r="L115" s="214"/>
      <c r="M115" s="36"/>
      <c r="N115" s="235">
        <v>3.0</v>
      </c>
      <c r="O115" s="227">
        <v>0.5</v>
      </c>
      <c r="P115" s="227">
        <v>0.5</v>
      </c>
      <c r="Q115" s="227">
        <v>0.5</v>
      </c>
      <c r="R115" s="217">
        <v>0.49</v>
      </c>
      <c r="S115" s="146">
        <f>1070+641</f>
        <v>1711</v>
      </c>
      <c r="T115" s="228">
        <f t="shared" si="6"/>
        <v>0.5</v>
      </c>
      <c r="U115" s="146">
        <f>633+1084</f>
        <v>1717</v>
      </c>
      <c r="V115" s="217" t="s">
        <v>23</v>
      </c>
    </row>
    <row r="116">
      <c r="B116" s="36"/>
      <c r="C116" s="146">
        <v>4.0</v>
      </c>
      <c r="D116" s="217">
        <v>0.85</v>
      </c>
      <c r="E116" s="217">
        <v>0.72</v>
      </c>
      <c r="F116" s="217">
        <v>0.85</v>
      </c>
      <c r="G116" s="217">
        <v>0.78</v>
      </c>
      <c r="H116" s="217">
        <v>1712.0</v>
      </c>
      <c r="I116" s="13">
        <f t="shared" si="5"/>
        <v>0.15</v>
      </c>
      <c r="J116" s="13">
        <v>306.0</v>
      </c>
      <c r="K116" s="13" t="s">
        <v>23</v>
      </c>
      <c r="L116" s="214"/>
      <c r="M116" s="36"/>
      <c r="N116" s="235">
        <v>4.0</v>
      </c>
      <c r="O116" s="217">
        <v>0.52</v>
      </c>
      <c r="P116" s="217">
        <v>0.52</v>
      </c>
      <c r="Q116" s="217">
        <v>0.52</v>
      </c>
      <c r="R116" s="217">
        <v>0.51</v>
      </c>
      <c r="S116" s="146">
        <f>1080+690</f>
        <v>1770</v>
      </c>
      <c r="T116" s="13">
        <f t="shared" si="6"/>
        <v>0.48</v>
      </c>
      <c r="U116" s="146">
        <f>623+1035</f>
        <v>1658</v>
      </c>
      <c r="V116" s="217" t="s">
        <v>23</v>
      </c>
    </row>
    <row r="117">
      <c r="B117" s="36"/>
      <c r="C117" s="146">
        <v>5.0</v>
      </c>
      <c r="D117" s="217">
        <v>0.85</v>
      </c>
      <c r="E117" s="217">
        <v>0.72</v>
      </c>
      <c r="F117" s="217">
        <v>0.85</v>
      </c>
      <c r="G117" s="217">
        <v>0.78</v>
      </c>
      <c r="H117" s="217">
        <v>1712.0</v>
      </c>
      <c r="I117" s="13">
        <f t="shared" si="5"/>
        <v>0.15</v>
      </c>
      <c r="J117" s="13">
        <v>306.0</v>
      </c>
      <c r="K117" s="13" t="s">
        <v>23</v>
      </c>
      <c r="L117" s="214"/>
      <c r="M117" s="36"/>
      <c r="N117" s="235">
        <v>5.0</v>
      </c>
      <c r="O117" s="217">
        <v>0.53</v>
      </c>
      <c r="P117" s="217">
        <v>0.53</v>
      </c>
      <c r="Q117" s="217">
        <v>0.53</v>
      </c>
      <c r="R117" s="217">
        <v>0.53</v>
      </c>
      <c r="S117" s="146">
        <f>1012+806</f>
        <v>1818</v>
      </c>
      <c r="T117" s="13">
        <f t="shared" si="6"/>
        <v>0.47</v>
      </c>
      <c r="U117" s="146">
        <f>691+919</f>
        <v>1610</v>
      </c>
      <c r="V117" s="217" t="s">
        <v>23</v>
      </c>
    </row>
    <row r="118">
      <c r="B118" s="36"/>
      <c r="C118" s="146">
        <v>6.0</v>
      </c>
      <c r="D118" s="217">
        <v>0.85</v>
      </c>
      <c r="E118" s="217">
        <v>0.72</v>
      </c>
      <c r="F118" s="217">
        <v>0.85</v>
      </c>
      <c r="G118" s="217">
        <v>0.78</v>
      </c>
      <c r="H118" s="217">
        <v>1712.0</v>
      </c>
      <c r="I118" s="13">
        <f t="shared" si="5"/>
        <v>0.15</v>
      </c>
      <c r="J118" s="13">
        <v>306.0</v>
      </c>
      <c r="K118" s="13" t="s">
        <v>23</v>
      </c>
      <c r="L118" s="214"/>
      <c r="M118" s="36"/>
      <c r="N118" s="235">
        <v>6.0</v>
      </c>
      <c r="O118" s="217">
        <v>0.55</v>
      </c>
      <c r="P118" s="217">
        <v>0.55</v>
      </c>
      <c r="Q118" s="217">
        <v>0.55</v>
      </c>
      <c r="R118" s="217">
        <v>0.55</v>
      </c>
      <c r="S118" s="146">
        <f>1013+872</f>
        <v>1885</v>
      </c>
      <c r="T118" s="13">
        <f t="shared" si="6"/>
        <v>0.45</v>
      </c>
      <c r="U118" s="146">
        <f>690+853</f>
        <v>1543</v>
      </c>
      <c r="V118" s="217" t="s">
        <v>23</v>
      </c>
    </row>
    <row r="119">
      <c r="B119" s="36"/>
      <c r="C119" s="146">
        <v>7.0</v>
      </c>
      <c r="D119" s="217">
        <v>0.85</v>
      </c>
      <c r="E119" s="217">
        <v>0.720000000000001</v>
      </c>
      <c r="F119" s="217">
        <v>0.85</v>
      </c>
      <c r="G119" s="217">
        <v>0.779999999999999</v>
      </c>
      <c r="H119" s="217">
        <v>1712.0</v>
      </c>
      <c r="I119" s="13">
        <f t="shared" si="5"/>
        <v>0.15</v>
      </c>
      <c r="J119" s="13">
        <v>306.0</v>
      </c>
      <c r="K119" s="13" t="s">
        <v>23</v>
      </c>
      <c r="L119" s="214"/>
      <c r="M119" s="36"/>
      <c r="N119" s="235">
        <v>7.0</v>
      </c>
      <c r="O119" s="217">
        <v>0.54</v>
      </c>
      <c r="P119" s="217">
        <v>0.54</v>
      </c>
      <c r="Q119" s="217">
        <v>0.54</v>
      </c>
      <c r="R119" s="217">
        <v>0.54</v>
      </c>
      <c r="S119" s="146">
        <f>1003+847</f>
        <v>1850</v>
      </c>
      <c r="T119" s="13">
        <f t="shared" si="6"/>
        <v>0.46</v>
      </c>
      <c r="U119" s="146">
        <f>700+878</f>
        <v>1578</v>
      </c>
      <c r="V119" s="217" t="s">
        <v>23</v>
      </c>
    </row>
    <row r="120">
      <c r="B120" s="36"/>
      <c r="C120" s="146">
        <v>8.0</v>
      </c>
      <c r="D120" s="217">
        <v>0.85</v>
      </c>
      <c r="E120" s="217">
        <v>0.720000000000001</v>
      </c>
      <c r="F120" s="217">
        <v>0.85</v>
      </c>
      <c r="G120" s="217">
        <v>0.779999999999999</v>
      </c>
      <c r="H120" s="217">
        <v>1712.0</v>
      </c>
      <c r="I120" s="13">
        <f t="shared" si="5"/>
        <v>0.15</v>
      </c>
      <c r="J120" s="13">
        <v>306.0</v>
      </c>
      <c r="K120" s="13" t="s">
        <v>23</v>
      </c>
      <c r="L120" s="214"/>
      <c r="M120" s="36"/>
      <c r="N120" s="235">
        <v>8.0</v>
      </c>
      <c r="O120" s="217">
        <v>0.55</v>
      </c>
      <c r="P120" s="217">
        <v>0.55</v>
      </c>
      <c r="Q120" s="217">
        <v>0.55</v>
      </c>
      <c r="R120" s="217">
        <v>0.55</v>
      </c>
      <c r="S120" s="146">
        <f>1033+854</f>
        <v>1887</v>
      </c>
      <c r="T120" s="13">
        <f t="shared" si="6"/>
        <v>0.45</v>
      </c>
      <c r="U120" s="146">
        <f>660+871</f>
        <v>1531</v>
      </c>
      <c r="V120" s="217" t="s">
        <v>23</v>
      </c>
    </row>
    <row r="121">
      <c r="B121" s="36"/>
      <c r="C121" s="146">
        <v>9.0</v>
      </c>
      <c r="D121" s="217">
        <v>0.85</v>
      </c>
      <c r="E121" s="217">
        <v>0.720000000000001</v>
      </c>
      <c r="F121" s="217">
        <v>0.85</v>
      </c>
      <c r="G121" s="217">
        <v>0.779999999999999</v>
      </c>
      <c r="H121" s="217">
        <v>1712.0</v>
      </c>
      <c r="I121" s="13">
        <f t="shared" si="5"/>
        <v>0.15</v>
      </c>
      <c r="J121" s="13">
        <v>306.0</v>
      </c>
      <c r="K121" s="13" t="s">
        <v>23</v>
      </c>
      <c r="L121" s="214"/>
      <c r="M121" s="36"/>
      <c r="N121" s="235">
        <v>9.0</v>
      </c>
      <c r="O121" s="217">
        <v>0.56</v>
      </c>
      <c r="P121" s="217">
        <v>0.56</v>
      </c>
      <c r="Q121" s="217">
        <v>0.56</v>
      </c>
      <c r="R121" s="217">
        <v>0.56</v>
      </c>
      <c r="S121" s="146">
        <f>1047+866</f>
        <v>1913</v>
      </c>
      <c r="T121" s="13">
        <f t="shared" si="6"/>
        <v>0.44</v>
      </c>
      <c r="U121" s="146">
        <f>656+859</f>
        <v>1515</v>
      </c>
      <c r="V121" s="217" t="s">
        <v>23</v>
      </c>
    </row>
    <row r="122">
      <c r="B122" s="36"/>
      <c r="C122" s="146">
        <v>10.0</v>
      </c>
      <c r="D122" s="217">
        <v>0.85</v>
      </c>
      <c r="E122" s="217">
        <v>0.720000000000001</v>
      </c>
      <c r="F122" s="217">
        <v>0.85</v>
      </c>
      <c r="G122" s="217">
        <v>0.779999999999999</v>
      </c>
      <c r="H122" s="217">
        <v>1712.0</v>
      </c>
      <c r="I122" s="13">
        <f t="shared" si="5"/>
        <v>0.15</v>
      </c>
      <c r="J122" s="13">
        <v>306.0</v>
      </c>
      <c r="K122" s="13" t="s">
        <v>23</v>
      </c>
      <c r="L122" s="214"/>
      <c r="M122" s="36"/>
      <c r="N122" s="235">
        <v>10.0</v>
      </c>
      <c r="O122" s="217">
        <v>0.57</v>
      </c>
      <c r="P122" s="217">
        <v>0.57</v>
      </c>
      <c r="Q122" s="217">
        <v>0.57</v>
      </c>
      <c r="R122" s="217">
        <v>0.57</v>
      </c>
      <c r="S122" s="146">
        <f>1059+883</f>
        <v>1942</v>
      </c>
      <c r="T122" s="13">
        <f t="shared" si="6"/>
        <v>0.43</v>
      </c>
      <c r="U122" s="146">
        <f>644+842</f>
        <v>1486</v>
      </c>
      <c r="V122" s="217" t="s">
        <v>23</v>
      </c>
    </row>
    <row r="123">
      <c r="B123" s="91"/>
      <c r="C123" s="231">
        <v>11.0</v>
      </c>
      <c r="D123" s="226">
        <v>0.85</v>
      </c>
      <c r="E123" s="226">
        <v>0.720000000000001</v>
      </c>
      <c r="F123" s="226">
        <v>0.85</v>
      </c>
      <c r="G123" s="226">
        <v>0.779999999999999</v>
      </c>
      <c r="H123" s="226">
        <v>1712.0</v>
      </c>
      <c r="I123" s="225">
        <f t="shared" si="5"/>
        <v>0.15</v>
      </c>
      <c r="J123" s="225">
        <v>306.0</v>
      </c>
      <c r="K123" s="225" t="s">
        <v>23</v>
      </c>
      <c r="L123" s="214"/>
      <c r="M123" s="91"/>
      <c r="N123" s="236">
        <v>11.0</v>
      </c>
      <c r="O123" s="226">
        <v>0.58</v>
      </c>
      <c r="P123" s="226">
        <v>0.58</v>
      </c>
      <c r="Q123" s="226">
        <v>0.58</v>
      </c>
      <c r="R123" s="226">
        <v>0.58</v>
      </c>
      <c r="S123" s="231">
        <f>1071+912</f>
        <v>1983</v>
      </c>
      <c r="T123" s="225">
        <f t="shared" si="6"/>
        <v>0.42</v>
      </c>
      <c r="U123" s="231">
        <f>632+813</f>
        <v>1445</v>
      </c>
      <c r="V123" s="226" t="s">
        <v>23</v>
      </c>
    </row>
    <row r="124">
      <c r="B124" s="233" t="s">
        <v>37</v>
      </c>
      <c r="C124" s="5"/>
      <c r="D124" s="5"/>
      <c r="E124" s="5"/>
      <c r="F124" s="5"/>
      <c r="G124" s="5"/>
      <c r="H124" s="5"/>
      <c r="I124" s="5"/>
      <c r="J124" s="5"/>
      <c r="K124" s="6"/>
      <c r="L124" s="214"/>
      <c r="M124" s="237" t="s">
        <v>38</v>
      </c>
      <c r="N124" s="11"/>
      <c r="O124" s="11"/>
      <c r="P124" s="11"/>
      <c r="Q124" s="11"/>
      <c r="R124" s="11"/>
      <c r="S124" s="11"/>
      <c r="T124" s="11"/>
      <c r="U124" s="11"/>
      <c r="V124" s="12"/>
    </row>
    <row r="125">
      <c r="B125" s="215" t="s">
        <v>3</v>
      </c>
      <c r="C125" s="215" t="s">
        <v>4</v>
      </c>
      <c r="D125" s="215" t="s">
        <v>5</v>
      </c>
      <c r="E125" s="215" t="s">
        <v>6</v>
      </c>
      <c r="F125" s="215" t="s">
        <v>7</v>
      </c>
      <c r="G125" s="215" t="s">
        <v>8</v>
      </c>
      <c r="H125" s="216" t="s">
        <v>9</v>
      </c>
      <c r="I125" s="216" t="s">
        <v>10</v>
      </c>
      <c r="J125" s="216" t="s">
        <v>11</v>
      </c>
      <c r="K125" s="215" t="s">
        <v>44</v>
      </c>
      <c r="L125" s="214"/>
      <c r="M125" s="215" t="s">
        <v>3</v>
      </c>
      <c r="N125" s="215" t="s">
        <v>4</v>
      </c>
      <c r="O125" s="215" t="s">
        <v>5</v>
      </c>
      <c r="P125" s="215" t="s">
        <v>6</v>
      </c>
      <c r="Q125" s="215" t="s">
        <v>7</v>
      </c>
      <c r="R125" s="215" t="s">
        <v>8</v>
      </c>
      <c r="S125" s="216" t="s">
        <v>9</v>
      </c>
      <c r="T125" s="216" t="s">
        <v>10</v>
      </c>
      <c r="U125" s="216" t="s">
        <v>11</v>
      </c>
      <c r="V125" s="215" t="s">
        <v>44</v>
      </c>
    </row>
    <row r="126">
      <c r="B126" s="151" t="s">
        <v>13</v>
      </c>
      <c r="C126" s="231">
        <v>1.0</v>
      </c>
      <c r="D126" s="226">
        <v>0.85</v>
      </c>
      <c r="E126" s="226">
        <v>0.72</v>
      </c>
      <c r="F126" s="226">
        <v>0.85</v>
      </c>
      <c r="G126" s="226">
        <v>0.78</v>
      </c>
      <c r="H126" s="226">
        <v>1712.0</v>
      </c>
      <c r="I126" s="225">
        <f t="shared" ref="I126:I180" si="7">1-D126</f>
        <v>0.15</v>
      </c>
      <c r="J126" s="225">
        <v>306.0</v>
      </c>
      <c r="K126" s="225" t="s">
        <v>45</v>
      </c>
      <c r="L126" s="214"/>
      <c r="M126" s="219" t="s">
        <v>13</v>
      </c>
      <c r="N126" s="218">
        <v>1.0</v>
      </c>
      <c r="O126" s="227">
        <v>0.54</v>
      </c>
      <c r="P126" s="217">
        <v>0.56</v>
      </c>
      <c r="Q126" s="227">
        <v>0.54</v>
      </c>
      <c r="R126" s="227">
        <v>0.5</v>
      </c>
      <c r="S126" s="146">
        <f>425+1423</f>
        <v>1848</v>
      </c>
      <c r="T126" s="228">
        <f t="shared" ref="T126:T180" si="8">1-O126</f>
        <v>0.46</v>
      </c>
      <c r="U126" s="146">
        <f>1278+302</f>
        <v>1580</v>
      </c>
      <c r="V126" s="217" t="s">
        <v>16</v>
      </c>
    </row>
    <row r="127">
      <c r="B127" s="36"/>
      <c r="C127" s="146">
        <v>2.0</v>
      </c>
      <c r="D127" s="217">
        <v>0.85</v>
      </c>
      <c r="E127" s="217">
        <v>0.72</v>
      </c>
      <c r="F127" s="217">
        <v>0.85</v>
      </c>
      <c r="G127" s="217">
        <v>0.78</v>
      </c>
      <c r="H127" s="217">
        <v>1712.0</v>
      </c>
      <c r="I127" s="13">
        <f t="shared" si="7"/>
        <v>0.15</v>
      </c>
      <c r="J127" s="13">
        <v>306.0</v>
      </c>
      <c r="K127" s="13" t="s">
        <v>45</v>
      </c>
      <c r="L127" s="214"/>
      <c r="M127" s="36"/>
      <c r="N127" s="218">
        <v>2.0</v>
      </c>
      <c r="O127" s="227">
        <v>0.56</v>
      </c>
      <c r="P127" s="217">
        <v>0.56</v>
      </c>
      <c r="Q127" s="227">
        <v>0.56</v>
      </c>
      <c r="R127" s="217">
        <v>0.56</v>
      </c>
      <c r="S127" s="146">
        <f>954+958</f>
        <v>1912</v>
      </c>
      <c r="T127" s="228">
        <f t="shared" si="8"/>
        <v>0.44</v>
      </c>
      <c r="U127" s="146">
        <f>749+767</f>
        <v>1516</v>
      </c>
      <c r="V127" s="217" t="s">
        <v>16</v>
      </c>
    </row>
    <row r="128">
      <c r="B128" s="36"/>
      <c r="C128" s="146">
        <v>3.0</v>
      </c>
      <c r="D128" s="217">
        <v>0.84</v>
      </c>
      <c r="E128" s="217">
        <v>0.75</v>
      </c>
      <c r="F128" s="217">
        <v>0.84</v>
      </c>
      <c r="G128" s="217">
        <v>0.78</v>
      </c>
      <c r="H128" s="217">
        <v>1712.0</v>
      </c>
      <c r="I128" s="13">
        <f t="shared" si="7"/>
        <v>0.16</v>
      </c>
      <c r="J128" s="13">
        <v>306.0</v>
      </c>
      <c r="K128" s="13" t="s">
        <v>45</v>
      </c>
      <c r="L128" s="214"/>
      <c r="M128" s="36"/>
      <c r="N128" s="218">
        <v>3.0</v>
      </c>
      <c r="O128" s="227">
        <v>0.6</v>
      </c>
      <c r="P128" s="227">
        <v>0.6</v>
      </c>
      <c r="Q128" s="227">
        <v>0.6</v>
      </c>
      <c r="R128" s="227">
        <v>0.6</v>
      </c>
      <c r="S128" s="146">
        <f>1004+1050</f>
        <v>2054</v>
      </c>
      <c r="T128" s="228">
        <f t="shared" si="8"/>
        <v>0.4</v>
      </c>
      <c r="U128" s="146">
        <f>699+675</f>
        <v>1374</v>
      </c>
      <c r="V128" s="217" t="s">
        <v>51</v>
      </c>
    </row>
    <row r="129">
      <c r="B129" s="36"/>
      <c r="C129" s="146">
        <v>4.0</v>
      </c>
      <c r="D129" s="217">
        <v>0.84</v>
      </c>
      <c r="E129" s="217">
        <v>0.74</v>
      </c>
      <c r="F129" s="217">
        <v>0.84</v>
      </c>
      <c r="G129" s="217">
        <v>0.78</v>
      </c>
      <c r="H129" s="217">
        <v>1711.0</v>
      </c>
      <c r="I129" s="13">
        <f t="shared" si="7"/>
        <v>0.16</v>
      </c>
      <c r="J129" s="13">
        <f>306+1</f>
        <v>307</v>
      </c>
      <c r="K129" s="13" t="s">
        <v>35</v>
      </c>
      <c r="L129" s="214"/>
      <c r="M129" s="36"/>
      <c r="N129" s="218">
        <v>4.0</v>
      </c>
      <c r="O129" s="217">
        <v>0.65</v>
      </c>
      <c r="P129" s="217">
        <v>0.65</v>
      </c>
      <c r="Q129" s="217">
        <v>0.65</v>
      </c>
      <c r="R129" s="217">
        <v>0.65</v>
      </c>
      <c r="S129" s="146">
        <f>1165+1078</f>
        <v>2243</v>
      </c>
      <c r="T129" s="13">
        <f t="shared" si="8"/>
        <v>0.35</v>
      </c>
      <c r="U129" s="146">
        <f>538+647</f>
        <v>1185</v>
      </c>
      <c r="V129" s="217" t="s">
        <v>51</v>
      </c>
    </row>
    <row r="130">
      <c r="B130" s="36"/>
      <c r="C130" s="146">
        <v>5.0</v>
      </c>
      <c r="D130" s="217">
        <v>0.84</v>
      </c>
      <c r="E130" s="217">
        <v>0.75</v>
      </c>
      <c r="F130" s="217">
        <v>0.84</v>
      </c>
      <c r="G130" s="217">
        <v>0.78</v>
      </c>
      <c r="H130" s="146">
        <f>4+1707</f>
        <v>1711</v>
      </c>
      <c r="I130" s="13">
        <f t="shared" si="7"/>
        <v>0.16</v>
      </c>
      <c r="J130" s="13">
        <f>5+302</f>
        <v>307</v>
      </c>
      <c r="K130" s="13" t="s">
        <v>35</v>
      </c>
      <c r="L130" s="214"/>
      <c r="M130" s="36"/>
      <c r="N130" s="218">
        <v>5.0</v>
      </c>
      <c r="O130" s="227">
        <v>0.7</v>
      </c>
      <c r="P130" s="227">
        <v>0.7</v>
      </c>
      <c r="Q130" s="227">
        <v>0.7</v>
      </c>
      <c r="R130" s="227">
        <v>0.7</v>
      </c>
      <c r="S130" s="146">
        <f>1255+1137</f>
        <v>2392</v>
      </c>
      <c r="T130" s="228">
        <f t="shared" si="8"/>
        <v>0.3</v>
      </c>
      <c r="U130" s="146">
        <f>448+588</f>
        <v>1036</v>
      </c>
      <c r="V130" s="217" t="s">
        <v>16</v>
      </c>
    </row>
    <row r="131">
      <c r="B131" s="36"/>
      <c r="C131" s="146">
        <v>6.0</v>
      </c>
      <c r="D131" s="217">
        <v>0.84</v>
      </c>
      <c r="E131" s="217">
        <v>0.75</v>
      </c>
      <c r="F131" s="217">
        <v>0.84</v>
      </c>
      <c r="G131" s="217">
        <v>0.78</v>
      </c>
      <c r="H131" s="146">
        <f>5+1702</f>
        <v>1707</v>
      </c>
      <c r="I131" s="13">
        <f t="shared" si="7"/>
        <v>0.16</v>
      </c>
      <c r="J131" s="13">
        <f>301+10</f>
        <v>311</v>
      </c>
      <c r="K131" s="13" t="s">
        <v>34</v>
      </c>
      <c r="L131" s="214"/>
      <c r="M131" s="36"/>
      <c r="N131" s="218">
        <v>6.0</v>
      </c>
      <c r="O131" s="227">
        <v>0.7</v>
      </c>
      <c r="P131" s="227">
        <v>0.71</v>
      </c>
      <c r="Q131" s="227">
        <v>0.7</v>
      </c>
      <c r="R131" s="227">
        <v>0.7</v>
      </c>
      <c r="S131" s="146">
        <f>1267+1124</f>
        <v>2391</v>
      </c>
      <c r="T131" s="228">
        <f t="shared" si="8"/>
        <v>0.3</v>
      </c>
      <c r="U131" s="146">
        <f>416+601</f>
        <v>1017</v>
      </c>
      <c r="V131" s="217" t="s">
        <v>16</v>
      </c>
    </row>
    <row r="132">
      <c r="B132" s="36"/>
      <c r="C132" s="146">
        <v>7.0</v>
      </c>
      <c r="D132" s="217">
        <v>0.84</v>
      </c>
      <c r="E132" s="217">
        <v>0.76</v>
      </c>
      <c r="F132" s="217">
        <v>0.84</v>
      </c>
      <c r="G132" s="217">
        <v>0.78</v>
      </c>
      <c r="H132" s="146">
        <f>5+1695</f>
        <v>1700</v>
      </c>
      <c r="I132" s="13">
        <f t="shared" si="7"/>
        <v>0.16</v>
      </c>
      <c r="J132" s="13">
        <f>301+17</f>
        <v>318</v>
      </c>
      <c r="K132" s="13" t="s">
        <v>18</v>
      </c>
      <c r="L132" s="214"/>
      <c r="M132" s="36"/>
      <c r="N132" s="218">
        <v>7.0</v>
      </c>
      <c r="O132" s="217">
        <v>0.73</v>
      </c>
      <c r="P132" s="217">
        <v>0.73</v>
      </c>
      <c r="Q132" s="217">
        <v>0.73</v>
      </c>
      <c r="R132" s="217">
        <v>0.72</v>
      </c>
      <c r="S132" s="146">
        <f>1322+1164</f>
        <v>2486</v>
      </c>
      <c r="T132" s="13">
        <f t="shared" si="8"/>
        <v>0.27</v>
      </c>
      <c r="U132" s="146">
        <f>381+561</f>
        <v>942</v>
      </c>
      <c r="V132" s="217" t="s">
        <v>16</v>
      </c>
    </row>
    <row r="133">
      <c r="B133" s="36"/>
      <c r="C133" s="146">
        <v>8.0</v>
      </c>
      <c r="D133" s="217">
        <v>0.84</v>
      </c>
      <c r="E133" s="217">
        <v>0.76</v>
      </c>
      <c r="F133" s="217">
        <v>0.84</v>
      </c>
      <c r="G133" s="217">
        <v>0.78</v>
      </c>
      <c r="H133" s="146">
        <f>6+1695</f>
        <v>1701</v>
      </c>
      <c r="I133" s="13">
        <f t="shared" si="7"/>
        <v>0.16</v>
      </c>
      <c r="J133" s="13">
        <f>17+300</f>
        <v>317</v>
      </c>
      <c r="K133" s="13" t="s">
        <v>16</v>
      </c>
      <c r="L133" s="214"/>
      <c r="M133" s="36"/>
      <c r="N133" s="218">
        <v>8.0</v>
      </c>
      <c r="O133" s="217">
        <v>0.74</v>
      </c>
      <c r="P133" s="217">
        <v>0.74</v>
      </c>
      <c r="Q133" s="217">
        <v>0.74</v>
      </c>
      <c r="R133" s="217">
        <v>0.74</v>
      </c>
      <c r="S133" s="146">
        <f>1334+1206</f>
        <v>2540</v>
      </c>
      <c r="T133" s="13">
        <f t="shared" si="8"/>
        <v>0.26</v>
      </c>
      <c r="U133" s="146">
        <f>369+519</f>
        <v>888</v>
      </c>
      <c r="V133" s="217" t="s">
        <v>16</v>
      </c>
    </row>
    <row r="134">
      <c r="B134" s="36"/>
      <c r="C134" s="146">
        <v>9.0</v>
      </c>
      <c r="D134" s="217">
        <v>0.84</v>
      </c>
      <c r="E134" s="217">
        <v>0.78</v>
      </c>
      <c r="F134" s="217">
        <v>0.84</v>
      </c>
      <c r="G134" s="217">
        <v>0.79</v>
      </c>
      <c r="H134" s="146">
        <f>7+1697</f>
        <v>1704</v>
      </c>
      <c r="I134" s="13">
        <f t="shared" si="7"/>
        <v>0.16</v>
      </c>
      <c r="J134" s="13">
        <f>299+15</f>
        <v>314</v>
      </c>
      <c r="K134" s="13" t="s">
        <v>18</v>
      </c>
      <c r="L134" s="214"/>
      <c r="M134" s="36"/>
      <c r="N134" s="218">
        <v>9.0</v>
      </c>
      <c r="O134" s="217">
        <v>0.74</v>
      </c>
      <c r="P134" s="217">
        <v>0.75</v>
      </c>
      <c r="Q134" s="217">
        <v>0.74</v>
      </c>
      <c r="R134" s="217">
        <v>0.74</v>
      </c>
      <c r="S134" s="146">
        <f>1337+1212</f>
        <v>2549</v>
      </c>
      <c r="T134" s="13">
        <f t="shared" si="8"/>
        <v>0.26</v>
      </c>
      <c r="U134" s="146">
        <f>366+513</f>
        <v>879</v>
      </c>
      <c r="V134" s="217" t="s">
        <v>18</v>
      </c>
    </row>
    <row r="135">
      <c r="B135" s="36"/>
      <c r="C135" s="146">
        <v>10.0</v>
      </c>
      <c r="D135" s="217">
        <v>0.84</v>
      </c>
      <c r="E135" s="217">
        <v>0.76</v>
      </c>
      <c r="F135" s="217">
        <v>0.84</v>
      </c>
      <c r="G135" s="217">
        <v>0.78</v>
      </c>
      <c r="H135" s="146">
        <f>8+1697</f>
        <v>1705</v>
      </c>
      <c r="I135" s="13">
        <f t="shared" si="7"/>
        <v>0.16</v>
      </c>
      <c r="J135" s="13">
        <f>298+15</f>
        <v>313</v>
      </c>
      <c r="K135" s="13" t="s">
        <v>18</v>
      </c>
      <c r="L135" s="214"/>
      <c r="M135" s="36"/>
      <c r="N135" s="218">
        <v>10.0</v>
      </c>
      <c r="O135" s="217">
        <v>0.75</v>
      </c>
      <c r="P135" s="217">
        <v>0.75</v>
      </c>
      <c r="Q135" s="217">
        <v>0.75</v>
      </c>
      <c r="R135" s="217">
        <v>0.75</v>
      </c>
      <c r="S135" s="146">
        <f>1364+1212</f>
        <v>2576</v>
      </c>
      <c r="T135" s="13">
        <f t="shared" si="8"/>
        <v>0.25</v>
      </c>
      <c r="U135" s="146">
        <f>339+513</f>
        <v>852</v>
      </c>
      <c r="V135" s="217" t="s">
        <v>45</v>
      </c>
    </row>
    <row r="136">
      <c r="B136" s="91"/>
      <c r="C136" s="146">
        <v>11.0</v>
      </c>
      <c r="D136" s="217">
        <v>0.84</v>
      </c>
      <c r="E136" s="217">
        <v>0.77</v>
      </c>
      <c r="F136" s="217">
        <v>0.84</v>
      </c>
      <c r="G136" s="217">
        <v>0.78</v>
      </c>
      <c r="H136" s="146">
        <f>12+1683</f>
        <v>1695</v>
      </c>
      <c r="I136" s="13">
        <f t="shared" si="7"/>
        <v>0.16</v>
      </c>
      <c r="J136" s="13">
        <f>294+29</f>
        <v>323</v>
      </c>
      <c r="K136" s="13" t="s">
        <v>18</v>
      </c>
      <c r="L136" s="214"/>
      <c r="M136" s="91"/>
      <c r="N136" s="229">
        <v>11.0</v>
      </c>
      <c r="O136" s="226">
        <v>0.76</v>
      </c>
      <c r="P136" s="226">
        <v>0.76</v>
      </c>
      <c r="Q136" s="226">
        <v>0.76</v>
      </c>
      <c r="R136" s="226">
        <v>0.75</v>
      </c>
      <c r="S136" s="231">
        <f>1373+1217</f>
        <v>2590</v>
      </c>
      <c r="T136" s="225">
        <f t="shared" si="8"/>
        <v>0.24</v>
      </c>
      <c r="U136" s="231">
        <f>330+508</f>
        <v>838</v>
      </c>
      <c r="V136" s="226" t="s">
        <v>45</v>
      </c>
    </row>
    <row r="137">
      <c r="B137" s="151" t="s">
        <v>19</v>
      </c>
      <c r="C137" s="221">
        <v>1.0</v>
      </c>
      <c r="D137" s="223">
        <v>0.85</v>
      </c>
      <c r="E137" s="223">
        <v>0.72</v>
      </c>
      <c r="F137" s="223">
        <v>0.85</v>
      </c>
      <c r="G137" s="223">
        <v>0.78</v>
      </c>
      <c r="H137" s="223">
        <v>1712.0</v>
      </c>
      <c r="I137" s="220">
        <f t="shared" si="7"/>
        <v>0.15</v>
      </c>
      <c r="J137" s="220">
        <v>306.0</v>
      </c>
      <c r="K137" s="220" t="s">
        <v>18</v>
      </c>
      <c r="L137" s="214"/>
      <c r="M137" s="219" t="s">
        <v>19</v>
      </c>
      <c r="N137" s="218">
        <v>1.0</v>
      </c>
      <c r="O137" s="227">
        <v>0.54</v>
      </c>
      <c r="P137" s="217">
        <v>0.56</v>
      </c>
      <c r="Q137" s="227">
        <v>0.54</v>
      </c>
      <c r="R137" s="217">
        <v>0.5</v>
      </c>
      <c r="S137" s="146">
        <f>425+1423</f>
        <v>1848</v>
      </c>
      <c r="T137" s="228">
        <f t="shared" si="8"/>
        <v>0.46</v>
      </c>
      <c r="U137" s="146">
        <f>1278+302</f>
        <v>1580</v>
      </c>
      <c r="V137" s="217" t="s">
        <v>16</v>
      </c>
    </row>
    <row r="138">
      <c r="B138" s="36"/>
      <c r="C138" s="146">
        <v>2.0</v>
      </c>
      <c r="D138" s="217">
        <v>0.85</v>
      </c>
      <c r="E138" s="217">
        <v>0.72</v>
      </c>
      <c r="F138" s="217">
        <v>0.85</v>
      </c>
      <c r="G138" s="217">
        <v>0.78</v>
      </c>
      <c r="H138" s="217">
        <v>1711.0</v>
      </c>
      <c r="I138" s="13">
        <f t="shared" si="7"/>
        <v>0.15</v>
      </c>
      <c r="J138" s="13">
        <f>306+1</f>
        <v>307</v>
      </c>
      <c r="K138" s="13" t="s">
        <v>34</v>
      </c>
      <c r="L138" s="214"/>
      <c r="M138" s="36"/>
      <c r="N138" s="218">
        <v>2.0</v>
      </c>
      <c r="O138" s="217">
        <v>0.55</v>
      </c>
      <c r="P138" s="217">
        <v>0.55</v>
      </c>
      <c r="Q138" s="217">
        <v>0.55</v>
      </c>
      <c r="R138" s="217">
        <v>0.55</v>
      </c>
      <c r="S138" s="146">
        <f>821+1059</f>
        <v>1880</v>
      </c>
      <c r="T138" s="13">
        <f t="shared" si="8"/>
        <v>0.45</v>
      </c>
      <c r="U138" s="146">
        <f>882+666</f>
        <v>1548</v>
      </c>
      <c r="V138" s="217" t="s">
        <v>20</v>
      </c>
    </row>
    <row r="139">
      <c r="B139" s="36"/>
      <c r="C139" s="146">
        <v>3.0</v>
      </c>
      <c r="D139" s="217">
        <v>0.84</v>
      </c>
      <c r="E139" s="217">
        <v>0.77</v>
      </c>
      <c r="F139" s="217">
        <v>0.84</v>
      </c>
      <c r="G139" s="217">
        <v>0.78</v>
      </c>
      <c r="H139" s="146">
        <f>1+1708</f>
        <v>1709</v>
      </c>
      <c r="I139" s="13">
        <f t="shared" si="7"/>
        <v>0.16</v>
      </c>
      <c r="J139" s="13">
        <f>305+4</f>
        <v>309</v>
      </c>
      <c r="K139" s="13" t="s">
        <v>34</v>
      </c>
      <c r="L139" s="214"/>
      <c r="M139" s="36"/>
      <c r="N139" s="218">
        <v>3.0</v>
      </c>
      <c r="O139" s="227">
        <v>0.6</v>
      </c>
      <c r="P139" s="227">
        <v>0.6</v>
      </c>
      <c r="Q139" s="227">
        <v>0.6</v>
      </c>
      <c r="R139" s="227">
        <v>0.6</v>
      </c>
      <c r="S139" s="146">
        <f>1015+1028</f>
        <v>2043</v>
      </c>
      <c r="T139" s="228">
        <f t="shared" si="8"/>
        <v>0.4</v>
      </c>
      <c r="U139" s="146">
        <f>688+697</f>
        <v>1385</v>
      </c>
      <c r="V139" s="217" t="s">
        <v>20</v>
      </c>
    </row>
    <row r="140">
      <c r="B140" s="36"/>
      <c r="C140" s="146">
        <v>4.0</v>
      </c>
      <c r="D140" s="217">
        <v>0.83</v>
      </c>
      <c r="E140" s="217">
        <v>0.74</v>
      </c>
      <c r="F140" s="217">
        <v>0.83</v>
      </c>
      <c r="G140" s="217">
        <v>0.78</v>
      </c>
      <c r="H140" s="146">
        <f>1709</f>
        <v>1709</v>
      </c>
      <c r="I140" s="13">
        <f t="shared" si="7"/>
        <v>0.17</v>
      </c>
      <c r="J140" s="13">
        <f>306+3</f>
        <v>309</v>
      </c>
      <c r="K140" s="13" t="s">
        <v>35</v>
      </c>
      <c r="L140" s="214"/>
      <c r="M140" s="36"/>
      <c r="N140" s="218">
        <v>4.0</v>
      </c>
      <c r="O140" s="217">
        <v>0.66</v>
      </c>
      <c r="P140" s="217">
        <v>0.66</v>
      </c>
      <c r="Q140" s="217">
        <v>0.66</v>
      </c>
      <c r="R140" s="217">
        <v>0.65</v>
      </c>
      <c r="S140" s="146">
        <f>1200+1046</f>
        <v>2246</v>
      </c>
      <c r="T140" s="13">
        <f t="shared" si="8"/>
        <v>0.34</v>
      </c>
      <c r="U140" s="146">
        <f>503+679</f>
        <v>1182</v>
      </c>
      <c r="V140" s="217" t="s">
        <v>20</v>
      </c>
    </row>
    <row r="141">
      <c r="B141" s="36"/>
      <c r="C141" s="146">
        <v>5.0</v>
      </c>
      <c r="D141" s="217">
        <v>0.82</v>
      </c>
      <c r="E141" s="217">
        <v>0.75</v>
      </c>
      <c r="F141" s="217">
        <v>0.82</v>
      </c>
      <c r="G141" s="217">
        <v>0.78</v>
      </c>
      <c r="H141" s="146">
        <f>7+1696</f>
        <v>1703</v>
      </c>
      <c r="I141" s="13">
        <f t="shared" si="7"/>
        <v>0.18</v>
      </c>
      <c r="J141" s="13">
        <f>299+16</f>
        <v>315</v>
      </c>
      <c r="K141" s="13" t="s">
        <v>34</v>
      </c>
      <c r="L141" s="214"/>
      <c r="M141" s="36"/>
      <c r="N141" s="218">
        <v>5.0</v>
      </c>
      <c r="O141" s="217">
        <v>0.73</v>
      </c>
      <c r="P141" s="217">
        <v>0.73</v>
      </c>
      <c r="Q141" s="217">
        <v>0.73</v>
      </c>
      <c r="R141" s="217">
        <v>0.73</v>
      </c>
      <c r="S141" s="146">
        <f>1340+1163</f>
        <v>2503</v>
      </c>
      <c r="T141" s="13">
        <f t="shared" si="8"/>
        <v>0.27</v>
      </c>
      <c r="U141" s="146">
        <f>363+562</f>
        <v>925</v>
      </c>
      <c r="V141" s="217" t="s">
        <v>20</v>
      </c>
    </row>
    <row r="142">
      <c r="B142" s="36"/>
      <c r="C142" s="146">
        <v>6.0</v>
      </c>
      <c r="D142" s="217">
        <v>0.81</v>
      </c>
      <c r="E142" s="217">
        <v>0.74</v>
      </c>
      <c r="F142" s="217">
        <v>0.81</v>
      </c>
      <c r="G142" s="217">
        <v>0.77</v>
      </c>
      <c r="H142" s="146">
        <f>11+1691</f>
        <v>1702</v>
      </c>
      <c r="I142" s="13">
        <f t="shared" si="7"/>
        <v>0.19</v>
      </c>
      <c r="J142" s="13">
        <f>295+21</f>
        <v>316</v>
      </c>
      <c r="K142" s="13" t="s">
        <v>35</v>
      </c>
      <c r="L142" s="214"/>
      <c r="M142" s="36"/>
      <c r="N142" s="218">
        <v>6.0</v>
      </c>
      <c r="O142" s="217">
        <v>0.76</v>
      </c>
      <c r="P142" s="217">
        <v>0.76</v>
      </c>
      <c r="Q142" s="217">
        <v>0.76</v>
      </c>
      <c r="R142" s="217">
        <v>0.76</v>
      </c>
      <c r="S142" s="146">
        <f>1409+1186</f>
        <v>2595</v>
      </c>
      <c r="T142" s="13">
        <f t="shared" si="8"/>
        <v>0.24</v>
      </c>
      <c r="U142" s="146">
        <f>294+539</f>
        <v>833</v>
      </c>
      <c r="V142" s="217" t="s">
        <v>20</v>
      </c>
    </row>
    <row r="143">
      <c r="B143" s="36"/>
      <c r="C143" s="146">
        <v>7.0</v>
      </c>
      <c r="D143" s="217">
        <v>0.81</v>
      </c>
      <c r="E143" s="217">
        <v>0.74</v>
      </c>
      <c r="F143" s="217">
        <v>0.81</v>
      </c>
      <c r="G143" s="217">
        <v>0.77</v>
      </c>
      <c r="H143" s="146">
        <f>12+1662</f>
        <v>1674</v>
      </c>
      <c r="I143" s="13">
        <f t="shared" si="7"/>
        <v>0.19</v>
      </c>
      <c r="J143" s="13">
        <f>294+50</f>
        <v>344</v>
      </c>
      <c r="K143" s="13" t="s">
        <v>36</v>
      </c>
      <c r="L143" s="214"/>
      <c r="M143" s="36"/>
      <c r="N143" s="218">
        <v>7.0</v>
      </c>
      <c r="O143" s="217">
        <v>0.79</v>
      </c>
      <c r="P143" s="217">
        <v>0.79</v>
      </c>
      <c r="Q143" s="217">
        <v>0.79</v>
      </c>
      <c r="R143" s="217">
        <v>0.78</v>
      </c>
      <c r="S143" s="146">
        <f>1429+1263</f>
        <v>2692</v>
      </c>
      <c r="T143" s="13">
        <f t="shared" si="8"/>
        <v>0.21</v>
      </c>
      <c r="U143" s="146">
        <f>274+462</f>
        <v>736</v>
      </c>
      <c r="V143" s="217" t="s">
        <v>20</v>
      </c>
    </row>
    <row r="144">
      <c r="B144" s="36"/>
      <c r="C144" s="146">
        <v>8.0</v>
      </c>
      <c r="D144" s="217">
        <v>0.82</v>
      </c>
      <c r="E144" s="217">
        <v>0.74</v>
      </c>
      <c r="F144" s="217">
        <v>0.82</v>
      </c>
      <c r="G144" s="217">
        <v>0.77</v>
      </c>
      <c r="H144" s="146">
        <f>15+1656</f>
        <v>1671</v>
      </c>
      <c r="I144" s="13">
        <f t="shared" si="7"/>
        <v>0.18</v>
      </c>
      <c r="J144" s="13">
        <f>291+56</f>
        <v>347</v>
      </c>
      <c r="K144" s="13" t="s">
        <v>36</v>
      </c>
      <c r="L144" s="214"/>
      <c r="M144" s="36"/>
      <c r="N144" s="218">
        <v>8.0</v>
      </c>
      <c r="O144" s="227">
        <v>0.81</v>
      </c>
      <c r="P144" s="227">
        <v>0.81</v>
      </c>
      <c r="Q144" s="227">
        <v>0.81</v>
      </c>
      <c r="R144" s="227">
        <v>0.81</v>
      </c>
      <c r="S144" s="146">
        <f>1434+1332</f>
        <v>2766</v>
      </c>
      <c r="T144" s="228">
        <f t="shared" si="8"/>
        <v>0.19</v>
      </c>
      <c r="U144" s="146">
        <f>269+393</f>
        <v>662</v>
      </c>
      <c r="V144" s="217" t="s">
        <v>20</v>
      </c>
    </row>
    <row r="145">
      <c r="B145" s="36"/>
      <c r="C145" s="146">
        <v>9.0</v>
      </c>
      <c r="D145" s="217">
        <v>0.82</v>
      </c>
      <c r="E145" s="217">
        <v>0.74</v>
      </c>
      <c r="F145" s="217">
        <v>0.82</v>
      </c>
      <c r="G145" s="217">
        <v>0.77</v>
      </c>
      <c r="H145" s="146">
        <f>8+1653</f>
        <v>1661</v>
      </c>
      <c r="I145" s="13">
        <f t="shared" si="7"/>
        <v>0.18</v>
      </c>
      <c r="J145" s="13">
        <f>298+59</f>
        <v>357</v>
      </c>
      <c r="K145" s="13" t="s">
        <v>20</v>
      </c>
      <c r="L145" s="214"/>
      <c r="M145" s="36"/>
      <c r="N145" s="218">
        <v>9.0</v>
      </c>
      <c r="O145" s="217">
        <v>0.82</v>
      </c>
      <c r="P145" s="217">
        <v>0.82</v>
      </c>
      <c r="Q145" s="217">
        <v>0.82</v>
      </c>
      <c r="R145" s="217">
        <v>0.82</v>
      </c>
      <c r="S145" s="146">
        <f>1453+1346</f>
        <v>2799</v>
      </c>
      <c r="T145" s="13">
        <f t="shared" si="8"/>
        <v>0.18</v>
      </c>
      <c r="U145" s="146">
        <f>250+379</f>
        <v>629</v>
      </c>
      <c r="V145" s="217" t="s">
        <v>20</v>
      </c>
    </row>
    <row r="146">
      <c r="B146" s="36"/>
      <c r="C146" s="146">
        <v>10.0</v>
      </c>
      <c r="D146" s="217">
        <v>0.82</v>
      </c>
      <c r="E146" s="217">
        <v>0.74</v>
      </c>
      <c r="F146" s="217">
        <v>0.82</v>
      </c>
      <c r="G146" s="217">
        <v>0.77</v>
      </c>
      <c r="H146" s="146">
        <f>12+1650</f>
        <v>1662</v>
      </c>
      <c r="I146" s="13">
        <f t="shared" si="7"/>
        <v>0.18</v>
      </c>
      <c r="J146" s="13">
        <f>294+62</f>
        <v>356</v>
      </c>
      <c r="K146" s="13" t="s">
        <v>20</v>
      </c>
      <c r="L146" s="214"/>
      <c r="M146" s="36"/>
      <c r="N146" s="218">
        <v>10.0</v>
      </c>
      <c r="O146" s="217">
        <v>0.82</v>
      </c>
      <c r="P146" s="217">
        <v>0.82</v>
      </c>
      <c r="Q146" s="217">
        <v>0.82</v>
      </c>
      <c r="R146" s="217">
        <v>0.82</v>
      </c>
      <c r="S146" s="146">
        <f>1454+1350</f>
        <v>2804</v>
      </c>
      <c r="T146" s="13">
        <f t="shared" si="8"/>
        <v>0.18</v>
      </c>
      <c r="U146" s="146">
        <f>249+375</f>
        <v>624</v>
      </c>
      <c r="V146" s="217" t="s">
        <v>20</v>
      </c>
    </row>
    <row r="147">
      <c r="B147" s="91"/>
      <c r="C147" s="146">
        <v>11.0</v>
      </c>
      <c r="D147" s="217">
        <v>0.83</v>
      </c>
      <c r="E147" s="217">
        <v>0.74</v>
      </c>
      <c r="F147" s="217">
        <v>0.83</v>
      </c>
      <c r="G147" s="13">
        <v>0.77</v>
      </c>
      <c r="H147" s="146">
        <f>9+1659</f>
        <v>1668</v>
      </c>
      <c r="I147" s="13">
        <f t="shared" si="7"/>
        <v>0.17</v>
      </c>
      <c r="J147" s="13">
        <f>297+53</f>
        <v>350</v>
      </c>
      <c r="K147" s="13" t="s">
        <v>20</v>
      </c>
      <c r="L147" s="214"/>
      <c r="M147" s="91"/>
      <c r="N147" s="222">
        <v>11.0</v>
      </c>
      <c r="O147" s="223">
        <v>0.83</v>
      </c>
      <c r="P147" s="223">
        <v>0.83</v>
      </c>
      <c r="Q147" s="223">
        <v>0.83</v>
      </c>
      <c r="R147" s="223">
        <v>0.83</v>
      </c>
      <c r="S147" s="221">
        <f>1456+1375</f>
        <v>2831</v>
      </c>
      <c r="T147" s="220">
        <f t="shared" si="8"/>
        <v>0.17</v>
      </c>
      <c r="U147" s="221">
        <f>247+350</f>
        <v>597</v>
      </c>
      <c r="V147" s="223" t="s">
        <v>20</v>
      </c>
    </row>
    <row r="148">
      <c r="B148" s="151" t="s">
        <v>21</v>
      </c>
      <c r="C148" s="146">
        <v>1.0</v>
      </c>
      <c r="D148" s="217">
        <v>0.85</v>
      </c>
      <c r="E148" s="217">
        <v>0.72</v>
      </c>
      <c r="F148" s="217">
        <v>0.85</v>
      </c>
      <c r="G148" s="217">
        <v>0.78</v>
      </c>
      <c r="H148" s="217">
        <v>1702.0</v>
      </c>
      <c r="I148" s="13">
        <f t="shared" si="7"/>
        <v>0.15</v>
      </c>
      <c r="J148" s="13">
        <v>306.0</v>
      </c>
      <c r="K148" s="13" t="s">
        <v>28</v>
      </c>
      <c r="L148" s="214"/>
      <c r="M148" s="219" t="s">
        <v>21</v>
      </c>
      <c r="N148" s="218">
        <v>1.0</v>
      </c>
      <c r="O148" s="227">
        <v>0.54</v>
      </c>
      <c r="P148" s="217">
        <v>0.56</v>
      </c>
      <c r="Q148" s="227">
        <v>0.54</v>
      </c>
      <c r="R148" s="227">
        <v>0.5</v>
      </c>
      <c r="S148" s="146">
        <f>425+1423</f>
        <v>1848</v>
      </c>
      <c r="T148" s="228">
        <f t="shared" si="8"/>
        <v>0.46</v>
      </c>
      <c r="U148" s="146">
        <f>1278+302</f>
        <v>1580</v>
      </c>
      <c r="V148" s="217" t="s">
        <v>16</v>
      </c>
    </row>
    <row r="149">
      <c r="B149" s="36"/>
      <c r="C149" s="146">
        <v>2.0</v>
      </c>
      <c r="D149" s="217">
        <v>0.85</v>
      </c>
      <c r="E149" s="217">
        <v>0.77</v>
      </c>
      <c r="F149" s="217">
        <v>0.85</v>
      </c>
      <c r="G149" s="217">
        <v>0.78</v>
      </c>
      <c r="H149" s="146">
        <f t="shared" ref="H149:H150" si="9">1711</f>
        <v>1711</v>
      </c>
      <c r="I149" s="13">
        <f t="shared" si="7"/>
        <v>0.15</v>
      </c>
      <c r="J149" s="13">
        <f t="shared" ref="J149:J150" si="10">306+1</f>
        <v>307</v>
      </c>
      <c r="K149" s="13" t="s">
        <v>18</v>
      </c>
      <c r="L149" s="214"/>
      <c r="M149" s="36"/>
      <c r="N149" s="218">
        <v>2.0</v>
      </c>
      <c r="O149" s="217">
        <v>0.56</v>
      </c>
      <c r="P149" s="217">
        <v>0.56</v>
      </c>
      <c r="Q149" s="217">
        <v>0.56</v>
      </c>
      <c r="R149" s="217">
        <v>0.56</v>
      </c>
      <c r="S149" s="146">
        <f>954+958</f>
        <v>1912</v>
      </c>
      <c r="T149" s="13">
        <f t="shared" si="8"/>
        <v>0.44</v>
      </c>
      <c r="U149" s="146">
        <f>749+767</f>
        <v>1516</v>
      </c>
      <c r="V149" s="217" t="s">
        <v>20</v>
      </c>
    </row>
    <row r="150">
      <c r="B150" s="36"/>
      <c r="C150" s="231">
        <v>3.0</v>
      </c>
      <c r="D150" s="226">
        <v>0.85</v>
      </c>
      <c r="E150" s="226">
        <v>0.78</v>
      </c>
      <c r="F150" s="226">
        <v>0.85</v>
      </c>
      <c r="G150" s="226">
        <v>0.78</v>
      </c>
      <c r="H150" s="231">
        <f t="shared" si="9"/>
        <v>1711</v>
      </c>
      <c r="I150" s="225">
        <f t="shared" si="7"/>
        <v>0.15</v>
      </c>
      <c r="J150" s="225">
        <f t="shared" si="10"/>
        <v>307</v>
      </c>
      <c r="K150" s="225" t="s">
        <v>28</v>
      </c>
      <c r="L150" s="214"/>
      <c r="M150" s="36"/>
      <c r="N150" s="218">
        <v>3.0</v>
      </c>
      <c r="O150" s="217">
        <v>0.57</v>
      </c>
      <c r="P150" s="217">
        <v>0.58</v>
      </c>
      <c r="Q150" s="217">
        <v>0.57</v>
      </c>
      <c r="R150" s="217">
        <v>0.57</v>
      </c>
      <c r="S150" s="146">
        <f>1065+905</f>
        <v>1970</v>
      </c>
      <c r="T150" s="13">
        <f t="shared" si="8"/>
        <v>0.43</v>
      </c>
      <c r="U150" s="146">
        <f>638+820</f>
        <v>1458</v>
      </c>
      <c r="V150" s="217" t="s">
        <v>20</v>
      </c>
    </row>
    <row r="151">
      <c r="B151" s="36"/>
      <c r="C151" s="146">
        <v>4.0</v>
      </c>
      <c r="D151" s="217">
        <v>0.82</v>
      </c>
      <c r="E151" s="217">
        <v>0.75</v>
      </c>
      <c r="F151" s="217">
        <v>0.82</v>
      </c>
      <c r="G151" s="217">
        <v>0.78</v>
      </c>
      <c r="H151" s="146">
        <f>1+1710</f>
        <v>1711</v>
      </c>
      <c r="I151" s="13">
        <f t="shared" si="7"/>
        <v>0.18</v>
      </c>
      <c r="J151" s="13">
        <f>2+305</f>
        <v>307</v>
      </c>
      <c r="K151" s="13" t="s">
        <v>34</v>
      </c>
      <c r="L151" s="214"/>
      <c r="M151" s="36"/>
      <c r="N151" s="218">
        <v>4.0</v>
      </c>
      <c r="O151" s="217">
        <v>0.65</v>
      </c>
      <c r="P151" s="217">
        <v>0.65</v>
      </c>
      <c r="Q151" s="217">
        <v>0.65</v>
      </c>
      <c r="R151" s="217">
        <v>0.65</v>
      </c>
      <c r="S151" s="146">
        <f>1222+1000</f>
        <v>2222</v>
      </c>
      <c r="T151" s="13">
        <f t="shared" si="8"/>
        <v>0.35</v>
      </c>
      <c r="U151" s="146">
        <f>481+725</f>
        <v>1206</v>
      </c>
      <c r="V151" s="217" t="s">
        <v>20</v>
      </c>
    </row>
    <row r="152">
      <c r="B152" s="36"/>
      <c r="C152" s="146">
        <v>5.0</v>
      </c>
      <c r="D152" s="217">
        <v>0.77</v>
      </c>
      <c r="E152" s="217">
        <v>0.74</v>
      </c>
      <c r="F152" s="217">
        <v>0.75</v>
      </c>
      <c r="G152" s="217">
        <v>0.75</v>
      </c>
      <c r="H152" s="146">
        <f>6+1689</f>
        <v>1695</v>
      </c>
      <c r="I152" s="13">
        <f t="shared" si="7"/>
        <v>0.23</v>
      </c>
      <c r="J152" s="13">
        <f>300+23</f>
        <v>323</v>
      </c>
      <c r="K152" s="13" t="s">
        <v>35</v>
      </c>
      <c r="L152" s="214"/>
      <c r="M152" s="36"/>
      <c r="N152" s="218">
        <v>5.0</v>
      </c>
      <c r="O152" s="217">
        <v>0.72</v>
      </c>
      <c r="P152" s="217">
        <v>0.73</v>
      </c>
      <c r="Q152" s="217">
        <v>0.72</v>
      </c>
      <c r="R152" s="217">
        <v>0.72</v>
      </c>
      <c r="S152" s="146">
        <f>1398+1064</f>
        <v>2462</v>
      </c>
      <c r="T152" s="13">
        <f t="shared" si="8"/>
        <v>0.28</v>
      </c>
      <c r="U152" s="146">
        <f>305+661</f>
        <v>966</v>
      </c>
      <c r="V152" s="217" t="s">
        <v>20</v>
      </c>
    </row>
    <row r="153">
      <c r="B153" s="36"/>
      <c r="C153" s="146">
        <v>6.0</v>
      </c>
      <c r="D153" s="217">
        <v>0.74</v>
      </c>
      <c r="E153" s="217">
        <v>0.74</v>
      </c>
      <c r="F153" s="217">
        <v>0.74</v>
      </c>
      <c r="G153" s="217">
        <v>0.74</v>
      </c>
      <c r="H153" s="146">
        <f>12+1686</f>
        <v>1698</v>
      </c>
      <c r="I153" s="13">
        <f t="shared" si="7"/>
        <v>0.26</v>
      </c>
      <c r="J153" s="13">
        <f>26+294</f>
        <v>320</v>
      </c>
      <c r="K153" s="13" t="s">
        <v>35</v>
      </c>
      <c r="L153" s="214"/>
      <c r="M153" s="36"/>
      <c r="N153" s="218">
        <v>6.0</v>
      </c>
      <c r="O153" s="217">
        <v>0.74</v>
      </c>
      <c r="P153" s="217">
        <v>0.76</v>
      </c>
      <c r="Q153" s="217">
        <v>0.74</v>
      </c>
      <c r="R153" s="217">
        <v>0.74</v>
      </c>
      <c r="S153" s="146">
        <f>1451+1101</f>
        <v>2552</v>
      </c>
      <c r="T153" s="13">
        <f t="shared" si="8"/>
        <v>0.26</v>
      </c>
      <c r="U153" s="146">
        <f>252+624</f>
        <v>876</v>
      </c>
      <c r="V153" s="217" t="s">
        <v>20</v>
      </c>
    </row>
    <row r="154">
      <c r="B154" s="36"/>
      <c r="C154" s="146">
        <v>7.0</v>
      </c>
      <c r="D154" s="217">
        <v>0.73</v>
      </c>
      <c r="E154" s="217">
        <v>0.74</v>
      </c>
      <c r="F154" s="217">
        <v>0.73</v>
      </c>
      <c r="G154" s="217">
        <v>0.74</v>
      </c>
      <c r="H154" s="146">
        <f>17+1668</f>
        <v>1685</v>
      </c>
      <c r="I154" s="13">
        <f t="shared" si="7"/>
        <v>0.27</v>
      </c>
      <c r="J154" s="13">
        <f>289+44</f>
        <v>333</v>
      </c>
      <c r="K154" s="13" t="s">
        <v>52</v>
      </c>
      <c r="L154" s="214"/>
      <c r="M154" s="36"/>
      <c r="N154" s="218">
        <v>7.0</v>
      </c>
      <c r="O154" s="217">
        <v>0.75</v>
      </c>
      <c r="P154" s="217">
        <v>0.77</v>
      </c>
      <c r="Q154" s="217">
        <v>0.75</v>
      </c>
      <c r="R154" s="217">
        <v>0.75</v>
      </c>
      <c r="S154" s="146">
        <f>1459+1127</f>
        <v>2586</v>
      </c>
      <c r="T154" s="13">
        <f t="shared" si="8"/>
        <v>0.25</v>
      </c>
      <c r="U154" s="146">
        <f>244+598</f>
        <v>842</v>
      </c>
      <c r="V154" s="217" t="s">
        <v>20</v>
      </c>
    </row>
    <row r="155">
      <c r="B155" s="36"/>
      <c r="C155" s="146">
        <v>8.0</v>
      </c>
      <c r="D155" s="217">
        <v>0.72</v>
      </c>
      <c r="E155" s="217">
        <v>0.74</v>
      </c>
      <c r="F155" s="217">
        <v>0.72</v>
      </c>
      <c r="G155" s="217">
        <v>0.73</v>
      </c>
      <c r="H155" s="146">
        <f>25+1622</f>
        <v>1647</v>
      </c>
      <c r="I155" s="13">
        <f t="shared" si="7"/>
        <v>0.28</v>
      </c>
      <c r="J155" s="13">
        <f>50+281</f>
        <v>331</v>
      </c>
      <c r="K155" s="13" t="s">
        <v>35</v>
      </c>
      <c r="L155" s="214"/>
      <c r="M155" s="36"/>
      <c r="N155" s="218">
        <v>8.0</v>
      </c>
      <c r="O155" s="217">
        <v>0.77</v>
      </c>
      <c r="P155" s="217">
        <v>0.78</v>
      </c>
      <c r="Q155" s="217">
        <v>0.77</v>
      </c>
      <c r="R155" s="217">
        <v>0.77</v>
      </c>
      <c r="S155" s="146">
        <f>1457+1186</f>
        <v>2643</v>
      </c>
      <c r="T155" s="13">
        <f t="shared" si="8"/>
        <v>0.23</v>
      </c>
      <c r="U155" s="146">
        <f>246+539</f>
        <v>785</v>
      </c>
      <c r="V155" s="217" t="s">
        <v>20</v>
      </c>
    </row>
    <row r="156">
      <c r="B156" s="36"/>
      <c r="C156" s="146">
        <v>9.0</v>
      </c>
      <c r="D156" s="227">
        <v>0.74</v>
      </c>
      <c r="E156" s="217">
        <v>0.76</v>
      </c>
      <c r="F156" s="227">
        <v>0.74</v>
      </c>
      <c r="G156" s="217">
        <v>0.75</v>
      </c>
      <c r="H156" s="146">
        <f>44+1565</f>
        <v>1609</v>
      </c>
      <c r="I156" s="228">
        <f t="shared" si="7"/>
        <v>0.26</v>
      </c>
      <c r="J156" s="13">
        <f>262+147</f>
        <v>409</v>
      </c>
      <c r="K156" s="13" t="s">
        <v>36</v>
      </c>
      <c r="L156" s="214"/>
      <c r="M156" s="36"/>
      <c r="N156" s="218">
        <v>9.0</v>
      </c>
      <c r="O156" s="227">
        <v>0.77</v>
      </c>
      <c r="P156" s="227">
        <v>0.78</v>
      </c>
      <c r="Q156" s="227">
        <v>0.77</v>
      </c>
      <c r="R156" s="227">
        <v>0.77</v>
      </c>
      <c r="S156" s="146">
        <f>1453+1180</f>
        <v>2633</v>
      </c>
      <c r="T156" s="228">
        <f t="shared" si="8"/>
        <v>0.23</v>
      </c>
      <c r="U156" s="146">
        <f>250+545</f>
        <v>795</v>
      </c>
      <c r="V156" s="217" t="s">
        <v>20</v>
      </c>
    </row>
    <row r="157">
      <c r="B157" s="36"/>
      <c r="C157" s="146">
        <v>10.0</v>
      </c>
      <c r="D157" s="217">
        <v>0.74</v>
      </c>
      <c r="E157" s="217">
        <v>0.76</v>
      </c>
      <c r="F157" s="217">
        <v>0.74</v>
      </c>
      <c r="G157" s="217">
        <v>0.75</v>
      </c>
      <c r="H157" s="146">
        <f>47+1499</f>
        <v>1546</v>
      </c>
      <c r="I157" s="13">
        <f t="shared" si="7"/>
        <v>0.26</v>
      </c>
      <c r="J157" s="13">
        <f>259+213</f>
        <v>472</v>
      </c>
      <c r="K157" s="13" t="s">
        <v>53</v>
      </c>
      <c r="L157" s="214"/>
      <c r="M157" s="36"/>
      <c r="N157" s="218">
        <v>10.0</v>
      </c>
      <c r="O157" s="217">
        <v>0.77</v>
      </c>
      <c r="P157" s="217">
        <v>0.77</v>
      </c>
      <c r="Q157" s="217">
        <v>0.77</v>
      </c>
      <c r="R157" s="217">
        <v>0.77</v>
      </c>
      <c r="S157" s="146">
        <f>1450+1178</f>
        <v>2628</v>
      </c>
      <c r="T157" s="13">
        <f t="shared" si="8"/>
        <v>0.23</v>
      </c>
      <c r="U157" s="146">
        <f>253+547</f>
        <v>800</v>
      </c>
      <c r="V157" s="217" t="s">
        <v>20</v>
      </c>
    </row>
    <row r="158">
      <c r="B158" s="91"/>
      <c r="C158" s="146">
        <v>11.0</v>
      </c>
      <c r="D158" s="13">
        <v>0.74</v>
      </c>
      <c r="E158" s="13">
        <v>0.76</v>
      </c>
      <c r="F158" s="13">
        <v>0.74</v>
      </c>
      <c r="G158" s="13">
        <v>0.75</v>
      </c>
      <c r="H158" s="146">
        <f>75+1415</f>
        <v>1490</v>
      </c>
      <c r="I158" s="13">
        <f t="shared" si="7"/>
        <v>0.26</v>
      </c>
      <c r="J158" s="13">
        <f>231+297</f>
        <v>528</v>
      </c>
      <c r="K158" s="13" t="s">
        <v>20</v>
      </c>
      <c r="L158" s="214"/>
      <c r="M158" s="91"/>
      <c r="N158" s="229">
        <v>11.0</v>
      </c>
      <c r="O158" s="226">
        <v>0.78</v>
      </c>
      <c r="P158" s="226">
        <v>0.79</v>
      </c>
      <c r="Q158" s="226">
        <v>0.78</v>
      </c>
      <c r="R158" s="226">
        <v>0.78</v>
      </c>
      <c r="S158" s="231">
        <f>1476+1189</f>
        <v>2665</v>
      </c>
      <c r="T158" s="225">
        <f t="shared" si="8"/>
        <v>0.22</v>
      </c>
      <c r="U158" s="231">
        <f>227+539</f>
        <v>766</v>
      </c>
      <c r="V158" s="226" t="s">
        <v>20</v>
      </c>
    </row>
    <row r="159">
      <c r="B159" s="151" t="s">
        <v>22</v>
      </c>
      <c r="C159" s="146">
        <v>1.0</v>
      </c>
      <c r="D159" s="217">
        <v>0.85</v>
      </c>
      <c r="E159" s="217">
        <v>0.72</v>
      </c>
      <c r="F159" s="217">
        <v>0.85</v>
      </c>
      <c r="G159" s="217">
        <v>0.78</v>
      </c>
      <c r="H159" s="217">
        <v>1702.0</v>
      </c>
      <c r="I159" s="13">
        <f t="shared" si="7"/>
        <v>0.15</v>
      </c>
      <c r="J159" s="13">
        <v>306.0</v>
      </c>
      <c r="K159" s="13" t="s">
        <v>23</v>
      </c>
      <c r="L159" s="214"/>
      <c r="M159" s="219" t="s">
        <v>22</v>
      </c>
      <c r="N159" s="218">
        <v>1.0</v>
      </c>
      <c r="O159" s="217">
        <v>0.49</v>
      </c>
      <c r="P159" s="217">
        <v>0.49</v>
      </c>
      <c r="Q159" s="217">
        <v>0.49</v>
      </c>
      <c r="R159" s="217">
        <v>0.48</v>
      </c>
      <c r="S159" s="146">
        <f>1004+668</f>
        <v>1672</v>
      </c>
      <c r="T159" s="13">
        <f t="shared" si="8"/>
        <v>0.51</v>
      </c>
      <c r="U159" s="146">
        <f>699+1057</f>
        <v>1756</v>
      </c>
      <c r="V159" s="217" t="s">
        <v>23</v>
      </c>
    </row>
    <row r="160">
      <c r="B160" s="36"/>
      <c r="C160" s="146">
        <v>2.0</v>
      </c>
      <c r="D160" s="217">
        <v>0.85</v>
      </c>
      <c r="E160" s="217">
        <v>0.72</v>
      </c>
      <c r="F160" s="217">
        <v>0.85</v>
      </c>
      <c r="G160" s="217">
        <v>0.78</v>
      </c>
      <c r="H160" s="217">
        <v>1702.0</v>
      </c>
      <c r="I160" s="13">
        <f t="shared" si="7"/>
        <v>0.15</v>
      </c>
      <c r="J160" s="13">
        <v>306.0</v>
      </c>
      <c r="K160" s="13" t="s">
        <v>23</v>
      </c>
      <c r="L160" s="214"/>
      <c r="M160" s="36"/>
      <c r="N160" s="218">
        <v>2.0</v>
      </c>
      <c r="O160" s="227">
        <v>0.5</v>
      </c>
      <c r="P160" s="227">
        <v>0.5</v>
      </c>
      <c r="Q160" s="227">
        <v>0.5</v>
      </c>
      <c r="R160" s="217">
        <v>0.47</v>
      </c>
      <c r="S160" s="146">
        <f>1270+437</f>
        <v>1707</v>
      </c>
      <c r="T160" s="228">
        <f t="shared" si="8"/>
        <v>0.5</v>
      </c>
      <c r="U160" s="217">
        <f>433+1288</f>
        <v>1721</v>
      </c>
      <c r="V160" s="217" t="s">
        <v>23</v>
      </c>
    </row>
    <row r="161">
      <c r="B161" s="36"/>
      <c r="C161" s="146">
        <v>3.0</v>
      </c>
      <c r="D161" s="217">
        <v>0.85</v>
      </c>
      <c r="E161" s="217">
        <v>0.72</v>
      </c>
      <c r="F161" s="217">
        <v>0.85</v>
      </c>
      <c r="G161" s="217">
        <v>0.78</v>
      </c>
      <c r="H161" s="217">
        <v>1702.0</v>
      </c>
      <c r="I161" s="13">
        <f t="shared" si="7"/>
        <v>0.15</v>
      </c>
      <c r="J161" s="13">
        <v>306.0</v>
      </c>
      <c r="K161" s="13" t="s">
        <v>23</v>
      </c>
      <c r="L161" s="214"/>
      <c r="M161" s="36"/>
      <c r="N161" s="218">
        <v>3.0</v>
      </c>
      <c r="O161" s="217">
        <v>0.49</v>
      </c>
      <c r="P161" s="217">
        <v>0.49</v>
      </c>
      <c r="Q161" s="217">
        <v>0.49</v>
      </c>
      <c r="R161" s="217">
        <v>0.48</v>
      </c>
      <c r="S161" s="146">
        <f>1004+668</f>
        <v>1672</v>
      </c>
      <c r="T161" s="13">
        <f t="shared" si="8"/>
        <v>0.51</v>
      </c>
      <c r="U161" s="146">
        <f>699+1057</f>
        <v>1756</v>
      </c>
      <c r="V161" s="217" t="s">
        <v>23</v>
      </c>
    </row>
    <row r="162">
      <c r="B162" s="36"/>
      <c r="C162" s="146">
        <v>4.0</v>
      </c>
      <c r="D162" s="217">
        <v>0.85</v>
      </c>
      <c r="E162" s="217">
        <v>0.72</v>
      </c>
      <c r="F162" s="217">
        <v>0.85</v>
      </c>
      <c r="G162" s="217">
        <v>0.78</v>
      </c>
      <c r="H162" s="217">
        <v>1702.0</v>
      </c>
      <c r="I162" s="13">
        <f t="shared" si="7"/>
        <v>0.15</v>
      </c>
      <c r="J162" s="13">
        <v>306.0</v>
      </c>
      <c r="K162" s="13" t="s">
        <v>23</v>
      </c>
      <c r="L162" s="214"/>
      <c r="M162" s="36"/>
      <c r="N162" s="218">
        <v>4.0</v>
      </c>
      <c r="O162" s="217">
        <v>0.51</v>
      </c>
      <c r="P162" s="217">
        <v>0.52</v>
      </c>
      <c r="Q162" s="217">
        <v>0.51</v>
      </c>
      <c r="R162" s="217">
        <v>0.47</v>
      </c>
      <c r="S162" s="146">
        <f>1381+362</f>
        <v>1743</v>
      </c>
      <c r="T162" s="13">
        <f t="shared" si="8"/>
        <v>0.49</v>
      </c>
      <c r="U162" s="146">
        <f>322+1343</f>
        <v>1665</v>
      </c>
      <c r="V162" s="217" t="s">
        <v>23</v>
      </c>
    </row>
    <row r="163">
      <c r="B163" s="36"/>
      <c r="C163" s="146">
        <v>5.0</v>
      </c>
      <c r="D163" s="217">
        <v>0.85</v>
      </c>
      <c r="E163" s="217">
        <v>0.72</v>
      </c>
      <c r="F163" s="217">
        <v>0.85</v>
      </c>
      <c r="G163" s="217">
        <v>0.78</v>
      </c>
      <c r="H163" s="217">
        <v>1702.0</v>
      </c>
      <c r="I163" s="13">
        <f t="shared" si="7"/>
        <v>0.15</v>
      </c>
      <c r="J163" s="13">
        <v>306.0</v>
      </c>
      <c r="K163" s="13" t="s">
        <v>23</v>
      </c>
      <c r="L163" s="214"/>
      <c r="M163" s="36"/>
      <c r="N163" s="218">
        <v>5.0</v>
      </c>
      <c r="O163" s="217">
        <v>0.52</v>
      </c>
      <c r="P163" s="217">
        <v>0.52</v>
      </c>
      <c r="Q163" s="217">
        <v>0.52</v>
      </c>
      <c r="R163" s="217">
        <v>0.48</v>
      </c>
      <c r="S163" s="146">
        <f>1324+445</f>
        <v>1769</v>
      </c>
      <c r="T163" s="13">
        <f t="shared" si="8"/>
        <v>0.48</v>
      </c>
      <c r="U163" s="146">
        <f>379+1280</f>
        <v>1659</v>
      </c>
      <c r="V163" s="217" t="s">
        <v>23</v>
      </c>
    </row>
    <row r="164">
      <c r="B164" s="36"/>
      <c r="C164" s="146">
        <v>6.0</v>
      </c>
      <c r="D164" s="217">
        <v>0.85</v>
      </c>
      <c r="E164" s="217">
        <v>0.72</v>
      </c>
      <c r="F164" s="217">
        <v>0.85</v>
      </c>
      <c r="G164" s="217">
        <v>0.78</v>
      </c>
      <c r="H164" s="217">
        <v>1702.0</v>
      </c>
      <c r="I164" s="13">
        <f t="shared" si="7"/>
        <v>0.15</v>
      </c>
      <c r="J164" s="13">
        <v>306.0</v>
      </c>
      <c r="K164" s="13" t="s">
        <v>23</v>
      </c>
      <c r="L164" s="214"/>
      <c r="M164" s="36"/>
      <c r="N164" s="218">
        <v>6.0</v>
      </c>
      <c r="O164" s="217">
        <v>0.51</v>
      </c>
      <c r="P164" s="217">
        <v>0.52</v>
      </c>
      <c r="Q164" s="217">
        <v>0.51</v>
      </c>
      <c r="R164" s="217">
        <v>0.49</v>
      </c>
      <c r="S164" s="146">
        <f>1236+527</f>
        <v>1763</v>
      </c>
      <c r="T164" s="13">
        <f t="shared" si="8"/>
        <v>0.49</v>
      </c>
      <c r="U164" s="146">
        <f>467+1198</f>
        <v>1665</v>
      </c>
      <c r="V164" s="217" t="s">
        <v>23</v>
      </c>
    </row>
    <row r="165">
      <c r="B165" s="36"/>
      <c r="C165" s="146">
        <v>7.0</v>
      </c>
      <c r="D165" s="217">
        <v>0.85</v>
      </c>
      <c r="E165" s="217">
        <v>0.72</v>
      </c>
      <c r="F165" s="217">
        <v>0.85</v>
      </c>
      <c r="G165" s="217">
        <v>0.78</v>
      </c>
      <c r="H165" s="217">
        <v>1702.0</v>
      </c>
      <c r="I165" s="13">
        <f t="shared" si="7"/>
        <v>0.15</v>
      </c>
      <c r="J165" s="13">
        <v>306.0</v>
      </c>
      <c r="K165" s="13" t="s">
        <v>23</v>
      </c>
      <c r="L165" s="214"/>
      <c r="M165" s="36"/>
      <c r="N165" s="218">
        <v>7.0</v>
      </c>
      <c r="O165" s="217">
        <v>0.53</v>
      </c>
      <c r="P165" s="217">
        <v>0.54</v>
      </c>
      <c r="Q165" s="217">
        <v>0.53</v>
      </c>
      <c r="R165" s="217">
        <v>0.52</v>
      </c>
      <c r="S165" s="146">
        <f>1911+640</f>
        <v>2551</v>
      </c>
      <c r="T165" s="13">
        <f t="shared" si="8"/>
        <v>0.47</v>
      </c>
      <c r="U165" s="146">
        <f>512+1085</f>
        <v>1597</v>
      </c>
      <c r="V165" s="217" t="s">
        <v>23</v>
      </c>
    </row>
    <row r="166">
      <c r="B166" s="36"/>
      <c r="C166" s="146">
        <v>8.0</v>
      </c>
      <c r="D166" s="217">
        <v>0.85</v>
      </c>
      <c r="E166" s="217">
        <v>0.72</v>
      </c>
      <c r="F166" s="217">
        <v>0.85</v>
      </c>
      <c r="G166" s="217">
        <v>0.78</v>
      </c>
      <c r="H166" s="217">
        <v>1702.0</v>
      </c>
      <c r="I166" s="13">
        <f t="shared" si="7"/>
        <v>0.15</v>
      </c>
      <c r="J166" s="13">
        <v>306.0</v>
      </c>
      <c r="K166" s="13" t="s">
        <v>23</v>
      </c>
      <c r="L166" s="214"/>
      <c r="M166" s="36"/>
      <c r="N166" s="218">
        <v>8.0</v>
      </c>
      <c r="O166" s="217">
        <v>0.54</v>
      </c>
      <c r="P166" s="217">
        <v>0.55</v>
      </c>
      <c r="Q166" s="217">
        <v>0.54</v>
      </c>
      <c r="R166" s="217">
        <v>0.53</v>
      </c>
      <c r="S166" s="146">
        <f>1195+667</f>
        <v>1862</v>
      </c>
      <c r="T166" s="13">
        <f t="shared" si="8"/>
        <v>0.46</v>
      </c>
      <c r="U166" s="146">
        <f>508+1058</f>
        <v>1566</v>
      </c>
      <c r="V166" s="217" t="s">
        <v>23</v>
      </c>
    </row>
    <row r="167">
      <c r="B167" s="36"/>
      <c r="C167" s="146">
        <v>9.0</v>
      </c>
      <c r="D167" s="217">
        <v>0.85</v>
      </c>
      <c r="E167" s="217">
        <v>0.72</v>
      </c>
      <c r="F167" s="217">
        <v>0.85</v>
      </c>
      <c r="G167" s="217">
        <v>0.78</v>
      </c>
      <c r="H167" s="217">
        <v>1702.0</v>
      </c>
      <c r="I167" s="13">
        <f t="shared" si="7"/>
        <v>0.15</v>
      </c>
      <c r="J167" s="13">
        <v>306.0</v>
      </c>
      <c r="K167" s="13" t="s">
        <v>23</v>
      </c>
      <c r="L167" s="214"/>
      <c r="M167" s="36"/>
      <c r="N167" s="218">
        <v>9.0</v>
      </c>
      <c r="O167" s="217">
        <v>0.56</v>
      </c>
      <c r="P167" s="217">
        <v>0.57</v>
      </c>
      <c r="Q167" s="217">
        <v>0.56</v>
      </c>
      <c r="R167" s="217">
        <v>0.55</v>
      </c>
      <c r="S167" s="146">
        <f>1211+723</f>
        <v>1934</v>
      </c>
      <c r="T167" s="13">
        <f t="shared" si="8"/>
        <v>0.44</v>
      </c>
      <c r="U167" s="146">
        <f>492+1002</f>
        <v>1494</v>
      </c>
      <c r="V167" s="217" t="s">
        <v>23</v>
      </c>
    </row>
    <row r="168">
      <c r="B168" s="36"/>
      <c r="C168" s="146">
        <v>10.0</v>
      </c>
      <c r="D168" s="217">
        <v>0.85</v>
      </c>
      <c r="E168" s="217">
        <v>0.72</v>
      </c>
      <c r="F168" s="217">
        <v>0.85</v>
      </c>
      <c r="G168" s="217">
        <v>0.78</v>
      </c>
      <c r="H168" s="217">
        <v>1702.0</v>
      </c>
      <c r="I168" s="13">
        <f t="shared" si="7"/>
        <v>0.15</v>
      </c>
      <c r="J168" s="13">
        <v>306.0</v>
      </c>
      <c r="K168" s="13" t="s">
        <v>23</v>
      </c>
      <c r="L168" s="214"/>
      <c r="M168" s="36"/>
      <c r="N168" s="229">
        <v>10.0</v>
      </c>
      <c r="O168" s="226">
        <v>0.58</v>
      </c>
      <c r="P168" s="226">
        <v>0.59</v>
      </c>
      <c r="Q168" s="226">
        <v>0.58</v>
      </c>
      <c r="R168" s="226">
        <v>0.57</v>
      </c>
      <c r="S168" s="231">
        <f>1255+729</f>
        <v>1984</v>
      </c>
      <c r="T168" s="225">
        <f t="shared" si="8"/>
        <v>0.42</v>
      </c>
      <c r="U168" s="231">
        <f>448+996</f>
        <v>1444</v>
      </c>
      <c r="V168" s="226" t="s">
        <v>23</v>
      </c>
    </row>
    <row r="169">
      <c r="B169" s="91"/>
      <c r="C169" s="231">
        <v>11.0</v>
      </c>
      <c r="D169" s="226">
        <v>0.85</v>
      </c>
      <c r="E169" s="226">
        <v>0.72</v>
      </c>
      <c r="F169" s="226">
        <v>0.85</v>
      </c>
      <c r="G169" s="226">
        <v>0.78</v>
      </c>
      <c r="H169" s="226">
        <v>1702.0</v>
      </c>
      <c r="I169" s="225">
        <f t="shared" si="7"/>
        <v>0.15</v>
      </c>
      <c r="J169" s="225">
        <v>306.0</v>
      </c>
      <c r="K169" s="225" t="s">
        <v>23</v>
      </c>
      <c r="L169" s="214"/>
      <c r="M169" s="91"/>
      <c r="N169" s="218">
        <v>11.0</v>
      </c>
      <c r="O169" s="217">
        <v>0.57</v>
      </c>
      <c r="P169" s="217">
        <v>0.59</v>
      </c>
      <c r="Q169" s="217">
        <v>0.57</v>
      </c>
      <c r="R169" s="217">
        <v>0.54</v>
      </c>
      <c r="S169" s="146">
        <f>1394+549</f>
        <v>1943</v>
      </c>
      <c r="T169" s="13">
        <f t="shared" si="8"/>
        <v>0.43</v>
      </c>
      <c r="U169" s="146">
        <f>309+1176</f>
        <v>1485</v>
      </c>
      <c r="V169" s="217" t="s">
        <v>23</v>
      </c>
    </row>
    <row r="170">
      <c r="B170" s="151" t="s">
        <v>24</v>
      </c>
      <c r="C170" s="146">
        <v>1.0</v>
      </c>
      <c r="D170" s="217">
        <v>0.85</v>
      </c>
      <c r="E170" s="217">
        <v>0.72</v>
      </c>
      <c r="F170" s="217">
        <v>0.85</v>
      </c>
      <c r="G170" s="217">
        <v>0.78</v>
      </c>
      <c r="H170" s="217">
        <v>1702.0</v>
      </c>
      <c r="I170" s="13">
        <f t="shared" si="7"/>
        <v>0.15</v>
      </c>
      <c r="J170" s="13">
        <v>306.0</v>
      </c>
      <c r="K170" s="13" t="s">
        <v>23</v>
      </c>
      <c r="L170" s="214"/>
      <c r="M170" s="219" t="s">
        <v>24</v>
      </c>
      <c r="N170" s="218">
        <v>1.0</v>
      </c>
      <c r="O170" s="217">
        <v>0.48</v>
      </c>
      <c r="P170" s="217">
        <v>0.48</v>
      </c>
      <c r="Q170" s="217">
        <v>0.48</v>
      </c>
      <c r="R170" s="217">
        <v>0.47</v>
      </c>
      <c r="S170" s="146">
        <f>1108+549</f>
        <v>1657</v>
      </c>
      <c r="T170" s="13">
        <f t="shared" si="8"/>
        <v>0.52</v>
      </c>
      <c r="U170" s="146">
        <f>595+1176</f>
        <v>1771</v>
      </c>
      <c r="V170" s="217" t="s">
        <v>23</v>
      </c>
    </row>
    <row r="171">
      <c r="B171" s="36"/>
      <c r="C171" s="146">
        <v>2.0</v>
      </c>
      <c r="D171" s="217">
        <v>0.85</v>
      </c>
      <c r="E171" s="217">
        <v>0.72</v>
      </c>
      <c r="F171" s="217">
        <v>0.85</v>
      </c>
      <c r="G171" s="217">
        <v>0.78</v>
      </c>
      <c r="H171" s="217">
        <v>1702.0</v>
      </c>
      <c r="I171" s="13">
        <f t="shared" si="7"/>
        <v>0.15</v>
      </c>
      <c r="J171" s="13">
        <v>306.0</v>
      </c>
      <c r="K171" s="13" t="s">
        <v>23</v>
      </c>
      <c r="L171" s="214"/>
      <c r="M171" s="36"/>
      <c r="N171" s="218">
        <v>2.0</v>
      </c>
      <c r="O171" s="217">
        <v>0.48</v>
      </c>
      <c r="P171" s="217">
        <v>0.47</v>
      </c>
      <c r="Q171" s="217">
        <v>0.48</v>
      </c>
      <c r="R171" s="217">
        <v>0.45</v>
      </c>
      <c r="S171" s="146">
        <f>1180+458</f>
        <v>1638</v>
      </c>
      <c r="T171" s="13">
        <f t="shared" si="8"/>
        <v>0.52</v>
      </c>
      <c r="U171" s="146">
        <f>523+1267</f>
        <v>1790</v>
      </c>
      <c r="V171" s="217" t="s">
        <v>23</v>
      </c>
    </row>
    <row r="172">
      <c r="B172" s="36"/>
      <c r="C172" s="146">
        <v>3.0</v>
      </c>
      <c r="D172" s="217">
        <v>0.85</v>
      </c>
      <c r="E172" s="217">
        <v>0.72</v>
      </c>
      <c r="F172" s="217">
        <v>0.85</v>
      </c>
      <c r="G172" s="217">
        <v>0.78</v>
      </c>
      <c r="H172" s="217">
        <v>1702.0</v>
      </c>
      <c r="I172" s="13">
        <f t="shared" si="7"/>
        <v>0.15</v>
      </c>
      <c r="J172" s="13">
        <v>306.0</v>
      </c>
      <c r="K172" s="13" t="s">
        <v>23</v>
      </c>
      <c r="L172" s="214"/>
      <c r="M172" s="36"/>
      <c r="N172" s="218">
        <v>3.0</v>
      </c>
      <c r="O172" s="217">
        <v>0.48</v>
      </c>
      <c r="P172" s="217">
        <v>0.48</v>
      </c>
      <c r="Q172" s="217">
        <v>0.48</v>
      </c>
      <c r="R172" s="217">
        <v>0.48</v>
      </c>
      <c r="S172" s="146">
        <f>966+682</f>
        <v>1648</v>
      </c>
      <c r="T172" s="13">
        <f t="shared" si="8"/>
        <v>0.52</v>
      </c>
      <c r="U172" s="146">
        <f>737+1043</f>
        <v>1780</v>
      </c>
      <c r="V172" s="217" t="s">
        <v>23</v>
      </c>
    </row>
    <row r="173">
      <c r="B173" s="36"/>
      <c r="C173" s="146">
        <v>4.0</v>
      </c>
      <c r="D173" s="217">
        <v>0.85</v>
      </c>
      <c r="E173" s="217">
        <v>0.72</v>
      </c>
      <c r="F173" s="217">
        <v>0.85</v>
      </c>
      <c r="G173" s="217">
        <v>0.78</v>
      </c>
      <c r="H173" s="217">
        <v>1702.0</v>
      </c>
      <c r="I173" s="13">
        <f t="shared" si="7"/>
        <v>0.15</v>
      </c>
      <c r="J173" s="13">
        <v>306.0</v>
      </c>
      <c r="K173" s="13" t="s">
        <v>23</v>
      </c>
      <c r="L173" s="214"/>
      <c r="M173" s="36"/>
      <c r="N173" s="218">
        <v>4.0</v>
      </c>
      <c r="O173" s="217">
        <v>0.49</v>
      </c>
      <c r="P173" s="217">
        <v>0.49</v>
      </c>
      <c r="Q173" s="217">
        <v>0.49</v>
      </c>
      <c r="R173" s="217">
        <v>0.49</v>
      </c>
      <c r="S173" s="146">
        <f>935+755</f>
        <v>1690</v>
      </c>
      <c r="T173" s="13">
        <f t="shared" si="8"/>
        <v>0.51</v>
      </c>
      <c r="U173" s="146">
        <f>768+970</f>
        <v>1738</v>
      </c>
      <c r="V173" s="217" t="s">
        <v>23</v>
      </c>
    </row>
    <row r="174">
      <c r="B174" s="36"/>
      <c r="C174" s="146">
        <v>5.0</v>
      </c>
      <c r="D174" s="217">
        <v>0.85</v>
      </c>
      <c r="E174" s="217">
        <v>0.72</v>
      </c>
      <c r="F174" s="217">
        <v>0.85</v>
      </c>
      <c r="G174" s="217">
        <v>0.78</v>
      </c>
      <c r="H174" s="217">
        <v>1702.0</v>
      </c>
      <c r="I174" s="13">
        <f t="shared" si="7"/>
        <v>0.15</v>
      </c>
      <c r="J174" s="13">
        <v>306.0</v>
      </c>
      <c r="K174" s="13" t="s">
        <v>23</v>
      </c>
      <c r="L174" s="214"/>
      <c r="M174" s="36"/>
      <c r="N174" s="218">
        <v>5.0</v>
      </c>
      <c r="O174" s="227">
        <v>0.5</v>
      </c>
      <c r="P174" s="227">
        <v>0.5</v>
      </c>
      <c r="Q174" s="227">
        <v>0.5</v>
      </c>
      <c r="R174" s="227">
        <v>0.5</v>
      </c>
      <c r="S174" s="146">
        <f>951+767</f>
        <v>1718</v>
      </c>
      <c r="T174" s="228">
        <f t="shared" si="8"/>
        <v>0.5</v>
      </c>
      <c r="U174" s="146">
        <f>752+958</f>
        <v>1710</v>
      </c>
      <c r="V174" s="217" t="s">
        <v>23</v>
      </c>
    </row>
    <row r="175">
      <c r="B175" s="36"/>
      <c r="C175" s="146">
        <v>6.0</v>
      </c>
      <c r="D175" s="217">
        <v>0.85</v>
      </c>
      <c r="E175" s="217">
        <v>0.72</v>
      </c>
      <c r="F175" s="217">
        <v>0.85</v>
      </c>
      <c r="G175" s="217">
        <v>0.78</v>
      </c>
      <c r="H175" s="217">
        <v>1702.0</v>
      </c>
      <c r="I175" s="13">
        <f t="shared" si="7"/>
        <v>0.15</v>
      </c>
      <c r="J175" s="13">
        <v>306.0</v>
      </c>
      <c r="K175" s="13" t="s">
        <v>23</v>
      </c>
      <c r="L175" s="214"/>
      <c r="M175" s="36"/>
      <c r="N175" s="218">
        <v>6.0</v>
      </c>
      <c r="O175" s="217">
        <v>0.53</v>
      </c>
      <c r="P175" s="217">
        <v>0.53</v>
      </c>
      <c r="Q175" s="217">
        <v>0.53</v>
      </c>
      <c r="R175" s="217">
        <v>0.53</v>
      </c>
      <c r="S175" s="217">
        <f>1009+809</f>
        <v>1818</v>
      </c>
      <c r="T175" s="13">
        <f t="shared" si="8"/>
        <v>0.47</v>
      </c>
      <c r="U175" s="146">
        <f>694+916</f>
        <v>1610</v>
      </c>
      <c r="V175" s="217" t="s">
        <v>23</v>
      </c>
    </row>
    <row r="176">
      <c r="B176" s="36"/>
      <c r="C176" s="146">
        <v>7.0</v>
      </c>
      <c r="D176" s="217">
        <v>0.85</v>
      </c>
      <c r="E176" s="217">
        <v>0.72</v>
      </c>
      <c r="F176" s="217">
        <v>0.85</v>
      </c>
      <c r="G176" s="217">
        <v>0.78</v>
      </c>
      <c r="H176" s="217">
        <v>1702.0</v>
      </c>
      <c r="I176" s="13">
        <f t="shared" si="7"/>
        <v>0.15</v>
      </c>
      <c r="J176" s="13">
        <v>306.0</v>
      </c>
      <c r="K176" s="13" t="s">
        <v>23</v>
      </c>
      <c r="L176" s="214"/>
      <c r="M176" s="36"/>
      <c r="N176" s="218">
        <v>7.0</v>
      </c>
      <c r="O176" s="217">
        <v>0.53</v>
      </c>
      <c r="P176" s="217">
        <v>0.53</v>
      </c>
      <c r="Q176" s="217">
        <v>0.53</v>
      </c>
      <c r="R176" s="217">
        <v>0.53</v>
      </c>
      <c r="S176" s="146">
        <f>1026+799</f>
        <v>1825</v>
      </c>
      <c r="T176" s="13">
        <f t="shared" si="8"/>
        <v>0.47</v>
      </c>
      <c r="U176" s="146">
        <f>677+926</f>
        <v>1603</v>
      </c>
      <c r="V176" s="217" t="s">
        <v>23</v>
      </c>
    </row>
    <row r="177">
      <c r="B177" s="36"/>
      <c r="C177" s="146">
        <v>8.0</v>
      </c>
      <c r="D177" s="217">
        <v>0.85</v>
      </c>
      <c r="E177" s="217">
        <v>0.72</v>
      </c>
      <c r="F177" s="217">
        <v>0.85</v>
      </c>
      <c r="G177" s="217">
        <v>0.78</v>
      </c>
      <c r="H177" s="217">
        <v>1702.0</v>
      </c>
      <c r="I177" s="13">
        <f t="shared" si="7"/>
        <v>0.15</v>
      </c>
      <c r="J177" s="13">
        <v>306.0</v>
      </c>
      <c r="K177" s="13" t="s">
        <v>23</v>
      </c>
      <c r="L177" s="214"/>
      <c r="M177" s="36"/>
      <c r="N177" s="218">
        <v>8.0</v>
      </c>
      <c r="O177" s="217">
        <v>0.55</v>
      </c>
      <c r="P177" s="217">
        <v>0.55</v>
      </c>
      <c r="Q177" s="217">
        <v>0.55</v>
      </c>
      <c r="R177" s="217">
        <v>0.54</v>
      </c>
      <c r="S177" s="146">
        <f>1029+842</f>
        <v>1871</v>
      </c>
      <c r="T177" s="13">
        <f t="shared" si="8"/>
        <v>0.45</v>
      </c>
      <c r="U177" s="146">
        <f>674+883</f>
        <v>1557</v>
      </c>
      <c r="V177" s="217" t="s">
        <v>23</v>
      </c>
    </row>
    <row r="178">
      <c r="B178" s="36"/>
      <c r="C178" s="146">
        <v>9.0</v>
      </c>
      <c r="D178" s="217">
        <v>0.85</v>
      </c>
      <c r="E178" s="217">
        <v>0.72</v>
      </c>
      <c r="F178" s="217">
        <v>0.85</v>
      </c>
      <c r="G178" s="217">
        <v>0.78</v>
      </c>
      <c r="H178" s="217">
        <v>1702.0</v>
      </c>
      <c r="I178" s="13">
        <f t="shared" si="7"/>
        <v>0.15</v>
      </c>
      <c r="J178" s="13">
        <v>306.0</v>
      </c>
      <c r="K178" s="13" t="s">
        <v>23</v>
      </c>
      <c r="L178" s="214"/>
      <c r="M178" s="36"/>
      <c r="N178" s="218">
        <v>9.0</v>
      </c>
      <c r="O178" s="217">
        <v>0.55</v>
      </c>
      <c r="P178" s="217">
        <v>0.55</v>
      </c>
      <c r="Q178" s="217">
        <v>0.55</v>
      </c>
      <c r="R178" s="217">
        <v>0.55</v>
      </c>
      <c r="S178" s="146">
        <f>1020+863</f>
        <v>1883</v>
      </c>
      <c r="T178" s="13">
        <f t="shared" si="8"/>
        <v>0.45</v>
      </c>
      <c r="U178" s="146">
        <f>683+862</f>
        <v>1545</v>
      </c>
      <c r="V178" s="217" t="s">
        <v>23</v>
      </c>
    </row>
    <row r="179">
      <c r="B179" s="36"/>
      <c r="C179" s="146">
        <v>10.0</v>
      </c>
      <c r="D179" s="217">
        <v>0.85</v>
      </c>
      <c r="E179" s="217">
        <v>0.72</v>
      </c>
      <c r="F179" s="217">
        <v>0.85</v>
      </c>
      <c r="G179" s="217">
        <v>0.78</v>
      </c>
      <c r="H179" s="217">
        <v>1702.0</v>
      </c>
      <c r="I179" s="13">
        <f t="shared" si="7"/>
        <v>0.15</v>
      </c>
      <c r="J179" s="13">
        <v>306.0</v>
      </c>
      <c r="K179" s="13" t="s">
        <v>23</v>
      </c>
      <c r="L179" s="214"/>
      <c r="M179" s="36"/>
      <c r="N179" s="218">
        <v>10.0</v>
      </c>
      <c r="O179" s="217">
        <v>0.57</v>
      </c>
      <c r="P179" s="217">
        <v>0.57</v>
      </c>
      <c r="Q179" s="217">
        <v>0.57</v>
      </c>
      <c r="R179" s="217">
        <v>0.57</v>
      </c>
      <c r="S179" s="146">
        <f>1059+883</f>
        <v>1942</v>
      </c>
      <c r="T179" s="13">
        <f t="shared" si="8"/>
        <v>0.43</v>
      </c>
      <c r="U179" s="146">
        <f>644+842</f>
        <v>1486</v>
      </c>
      <c r="V179" s="217" t="s">
        <v>23</v>
      </c>
    </row>
    <row r="180">
      <c r="B180" s="91"/>
      <c r="C180" s="231">
        <v>11.0</v>
      </c>
      <c r="D180" s="226">
        <v>0.85</v>
      </c>
      <c r="E180" s="226">
        <v>0.72</v>
      </c>
      <c r="F180" s="226">
        <v>0.85</v>
      </c>
      <c r="G180" s="226">
        <v>0.78</v>
      </c>
      <c r="H180" s="226">
        <v>1702.0</v>
      </c>
      <c r="I180" s="225">
        <f t="shared" si="7"/>
        <v>0.15</v>
      </c>
      <c r="J180" s="225">
        <v>306.0</v>
      </c>
      <c r="K180" s="225" t="s">
        <v>23</v>
      </c>
      <c r="L180" s="214"/>
      <c r="M180" s="91"/>
      <c r="N180" s="229">
        <v>11.0</v>
      </c>
      <c r="O180" s="226">
        <v>0.58</v>
      </c>
      <c r="P180" s="226">
        <v>0.58</v>
      </c>
      <c r="Q180" s="226">
        <v>0.58</v>
      </c>
      <c r="R180" s="226">
        <v>0.58</v>
      </c>
      <c r="S180" s="231">
        <f>1071+912</f>
        <v>1983</v>
      </c>
      <c r="T180" s="225">
        <f t="shared" si="8"/>
        <v>0.42</v>
      </c>
      <c r="U180" s="231">
        <f>632+813</f>
        <v>1445</v>
      </c>
      <c r="V180" s="226" t="s">
        <v>23</v>
      </c>
    </row>
  </sheetData>
  <mergeCells count="42">
    <mergeCell ref="B2:K2"/>
    <mergeCell ref="M2:V2"/>
    <mergeCell ref="B3:K3"/>
    <mergeCell ref="M3:V3"/>
    <mergeCell ref="N5:N9"/>
    <mergeCell ref="B10:K10"/>
    <mergeCell ref="M10:V10"/>
    <mergeCell ref="M34:M44"/>
    <mergeCell ref="M45:M55"/>
    <mergeCell ref="M67:V67"/>
    <mergeCell ref="M124:V124"/>
    <mergeCell ref="C5:C9"/>
    <mergeCell ref="B12:B22"/>
    <mergeCell ref="M12:M22"/>
    <mergeCell ref="B23:B33"/>
    <mergeCell ref="B34:B44"/>
    <mergeCell ref="B45:B55"/>
    <mergeCell ref="B67:K67"/>
    <mergeCell ref="B126:B136"/>
    <mergeCell ref="B137:B147"/>
    <mergeCell ref="B148:B158"/>
    <mergeCell ref="B159:B169"/>
    <mergeCell ref="B170:B180"/>
    <mergeCell ref="B56:B66"/>
    <mergeCell ref="B69:B79"/>
    <mergeCell ref="B80:B90"/>
    <mergeCell ref="B91:B101"/>
    <mergeCell ref="B102:B112"/>
    <mergeCell ref="B113:B123"/>
    <mergeCell ref="B124:K124"/>
    <mergeCell ref="M126:M136"/>
    <mergeCell ref="M137:M147"/>
    <mergeCell ref="M148:M158"/>
    <mergeCell ref="M159:M169"/>
    <mergeCell ref="M170:M180"/>
    <mergeCell ref="M23:M33"/>
    <mergeCell ref="M56:M66"/>
    <mergeCell ref="M69:M79"/>
    <mergeCell ref="M80:M90"/>
    <mergeCell ref="M91:M101"/>
    <mergeCell ref="M102:M112"/>
    <mergeCell ref="M113:M123"/>
  </mergeCells>
  <drawing r:id="rId1"/>
</worksheet>
</file>