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1134140148503\Desktop\"/>
    </mc:Choice>
  </mc:AlternateContent>
  <bookViews>
    <workbookView xWindow="0" yWindow="0" windowWidth="25185" windowHeight="12270" firstSheet="1" activeTab="2"/>
  </bookViews>
  <sheets>
    <sheet name="IPO監視一覧" sheetId="3" r:id="rId1"/>
    <sheet name="セカンダリ投資分析(SBI証券)" sheetId="4" r:id="rId2"/>
    <sheet name="参加条件計算" sheetId="5" r:id="rId3"/>
    <sheet name="終値履歴" sheetId="6" r:id="rId4"/>
    <sheet name="口座残高一覧" sheetId="7" r:id="rId5"/>
    <sheet name="株価一覧" sheetId="2" r:id="rId6"/>
    <sheet name="株式売買勝敗サマリ" sheetId="9" r:id="rId7"/>
    <sheet name="セカンダリマイルール " sheetId="10" r:id="rId8"/>
    <sheet name="【OLD】セカンダリマイルール" sheetId="11" r:id="rId9"/>
    <sheet name="参考リンク" sheetId="12" r:id="rId10"/>
    <sheet name="IPO気配キャプチャ" sheetId="13" r:id="rId11"/>
    <sheet name="用語集" sheetId="14" r:id="rId12"/>
    <sheet name="損益計算方法参考" sheetId="15" r:id="rId13"/>
  </sheets>
  <functionGroups builtInGroupCount="18"/>
  <definedNames>
    <definedName name="_xlnm._FilterDatabase" localSheetId="1" hidden="1">'セカンダリ投資分析(SBI証券)'!$A$2:$AA$180</definedName>
    <definedName name="_xlnm._FilterDatabase" localSheetId="12"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31" i="4" l="1"/>
  <c r="S131" i="4" s="1"/>
  <c r="Q131" i="4"/>
  <c r="R130" i="4"/>
  <c r="S130" i="4"/>
  <c r="Q130" i="4"/>
  <c r="C51" i="5" l="1"/>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D51" i="6"/>
  <c r="R51" i="5" s="1"/>
  <c r="E51" i="6"/>
  <c r="T51" i="5" s="1"/>
  <c r="F51" i="6"/>
  <c r="W51" i="5" s="1"/>
  <c r="C52" i="6"/>
  <c r="D52" i="6"/>
  <c r="R52" i="5" s="1"/>
  <c r="E52" i="6"/>
  <c r="T52" i="5" s="1"/>
  <c r="F52" i="6"/>
  <c r="W52" i="5" s="1"/>
  <c r="X52" i="5" s="1"/>
  <c r="C53" i="6"/>
  <c r="D53" i="6"/>
  <c r="R53" i="5" s="1"/>
  <c r="E53" i="6"/>
  <c r="T53" i="5" s="1"/>
  <c r="F53" i="6"/>
  <c r="W53" i="5" s="1"/>
  <c r="X53" i="5" s="1"/>
  <c r="C54" i="6"/>
  <c r="D54" i="6"/>
  <c r="R54" i="5" s="1"/>
  <c r="E54" i="6"/>
  <c r="T54" i="5" s="1"/>
  <c r="F54" i="6"/>
  <c r="W54" i="5" s="1"/>
  <c r="C55" i="6"/>
  <c r="D55" i="6"/>
  <c r="R55" i="5" s="1"/>
  <c r="E55" i="6"/>
  <c r="T55" i="5" s="1"/>
  <c r="F55" i="6"/>
  <c r="W55" i="5" s="1"/>
  <c r="C56" i="6"/>
  <c r="D56" i="6"/>
  <c r="R56" i="5" s="1"/>
  <c r="E56" i="6"/>
  <c r="T56" i="5" s="1"/>
  <c r="F56" i="6"/>
  <c r="W56" i="5" s="1"/>
  <c r="X56" i="5" s="1"/>
  <c r="C57" i="6"/>
  <c r="D57" i="6"/>
  <c r="R57" i="5" s="1"/>
  <c r="E57" i="6"/>
  <c r="T57" i="5" s="1"/>
  <c r="F57" i="6"/>
  <c r="W57" i="5" s="1"/>
  <c r="X57" i="5" s="1"/>
  <c r="R45" i="4"/>
  <c r="S45" i="4" s="1"/>
  <c r="Q45" i="4"/>
  <c r="K51" i="5" l="1"/>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B50" i="6"/>
  <c r="C50" i="5"/>
  <c r="B50" i="5"/>
  <c r="Q50" i="5" l="1"/>
  <c r="U50" i="5"/>
  <c r="R44" i="4"/>
  <c r="S44" i="4" s="1"/>
  <c r="Q44" i="4"/>
  <c r="C49" i="6" l="1"/>
  <c r="D49" i="6"/>
  <c r="R49" i="5" s="1"/>
  <c r="E49" i="6"/>
  <c r="T49" i="5" s="1"/>
  <c r="F49" i="6"/>
  <c r="W49" i="5" s="1"/>
  <c r="B49" i="5"/>
  <c r="B49" i="6" s="1"/>
  <c r="C49" i="5"/>
  <c r="D49" i="5"/>
  <c r="E49" i="5"/>
  <c r="F49" i="5"/>
  <c r="G49" i="5"/>
  <c r="P49" i="5" l="1"/>
  <c r="X49" i="5"/>
  <c r="S49" i="5"/>
  <c r="N49" i="5"/>
  <c r="M49" i="5"/>
  <c r="J49" i="5"/>
  <c r="K49" i="5"/>
  <c r="I49" i="5"/>
  <c r="U49" i="5"/>
  <c r="Q49" i="5"/>
  <c r="A56" i="6"/>
  <c r="B56" i="6"/>
  <c r="A57" i="6"/>
  <c r="B57" i="6"/>
  <c r="A185" i="4"/>
  <c r="B185" i="4"/>
  <c r="C185" i="4"/>
  <c r="F185" i="4"/>
  <c r="L185" i="4" s="1"/>
  <c r="G185" i="4"/>
  <c r="K185" i="4"/>
  <c r="S185" i="4"/>
  <c r="A186" i="4"/>
  <c r="B186" i="4"/>
  <c r="C186" i="4"/>
  <c r="F186" i="4"/>
  <c r="L186" i="4" s="1"/>
  <c r="G186" i="4"/>
  <c r="K186" i="4"/>
  <c r="S186" i="4"/>
  <c r="A187" i="4"/>
  <c r="B187" i="4"/>
  <c r="C187" i="4"/>
  <c r="F187" i="4"/>
  <c r="L187" i="4" s="1"/>
  <c r="G187" i="4"/>
  <c r="K187" i="4" s="1"/>
  <c r="J187" i="4"/>
  <c r="S187" i="4"/>
  <c r="A188" i="4"/>
  <c r="B188" i="4"/>
  <c r="C188" i="4"/>
  <c r="F188" i="4"/>
  <c r="G188" i="4"/>
  <c r="J188" i="4" s="1"/>
  <c r="L188" i="4"/>
  <c r="S188" i="4"/>
  <c r="A189" i="4"/>
  <c r="B189" i="4"/>
  <c r="C189" i="4"/>
  <c r="J189" i="4" s="1"/>
  <c r="F189" i="4"/>
  <c r="G189" i="4"/>
  <c r="K189" i="4"/>
  <c r="L189" i="4"/>
  <c r="S189" i="4"/>
  <c r="A190" i="4"/>
  <c r="B190" i="4"/>
  <c r="C190" i="4"/>
  <c r="J190" i="4" s="1"/>
  <c r="F190" i="4"/>
  <c r="G190" i="4"/>
  <c r="K190" i="4"/>
  <c r="L190" i="4"/>
  <c r="S190" i="4"/>
  <c r="A191" i="4"/>
  <c r="B191" i="4"/>
  <c r="C191" i="4"/>
  <c r="J191" i="4" s="1"/>
  <c r="F191" i="4"/>
  <c r="G191" i="4"/>
  <c r="K191" i="4" s="1"/>
  <c r="L191" i="4"/>
  <c r="S191" i="4"/>
  <c r="AA10" i="3"/>
  <c r="B55" i="5"/>
  <c r="B56" i="5"/>
  <c r="B57" i="5"/>
  <c r="B58" i="5"/>
  <c r="J186" i="4" l="1"/>
  <c r="J185" i="4"/>
  <c r="K188" i="4"/>
  <c r="R42" i="4"/>
  <c r="S42" i="4"/>
  <c r="Q42" i="4"/>
  <c r="F46" i="6" l="1"/>
  <c r="F47" i="6"/>
  <c r="F48" i="6"/>
  <c r="E46" i="6"/>
  <c r="E47" i="6"/>
  <c r="E48" i="6"/>
  <c r="D47" i="6"/>
  <c r="D48" i="6"/>
  <c r="C48" i="6"/>
  <c r="H178" i="4" s="1"/>
  <c r="D46" i="6"/>
  <c r="C46" i="6"/>
  <c r="H176" i="4" s="1"/>
  <c r="C47" i="6"/>
  <c r="H177" i="4" s="1"/>
  <c r="V36" i="3"/>
  <c r="V37" i="3"/>
  <c r="V38" i="3"/>
  <c r="R202" i="7" l="1"/>
  <c r="P202" i="7"/>
  <c r="N202" i="7"/>
  <c r="L202" i="7"/>
  <c r="J202" i="7"/>
  <c r="H202" i="7"/>
  <c r="F201" i="7"/>
  <c r="S201" i="7" s="1"/>
  <c r="D201" i="7"/>
  <c r="S202" i="7" l="1"/>
  <c r="B200" i="7"/>
  <c r="R27" i="4"/>
  <c r="S27" i="4" s="1"/>
  <c r="Q27" i="4"/>
  <c r="X43" i="4"/>
  <c r="W43" i="4"/>
  <c r="P43" i="4"/>
  <c r="R43" i="4" l="1"/>
  <c r="Q43" i="4"/>
  <c r="S43"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6" i="4" s="1"/>
  <c r="C47" i="5"/>
  <c r="I177" i="4" s="1"/>
  <c r="C48" i="5"/>
  <c r="I178" i="4" s="1"/>
  <c r="B45" i="5"/>
  <c r="B45" i="6" s="1"/>
  <c r="B44" i="5"/>
  <c r="B44" i="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1" i="4"/>
  <c r="S41" i="4" s="1"/>
  <c r="Q41" i="4"/>
  <c r="R36" i="4"/>
  <c r="S36" i="4" s="1"/>
  <c r="Q36" i="4"/>
  <c r="B53" i="5" l="1"/>
  <c r="B54" i="5"/>
  <c r="C43" i="5"/>
  <c r="I175" i="4" s="1"/>
  <c r="D43" i="6"/>
  <c r="E43" i="6"/>
  <c r="F43" i="6"/>
  <c r="C43" i="6"/>
  <c r="H175" i="4" s="1"/>
  <c r="V35" i="3"/>
  <c r="C9" i="9" l="1"/>
  <c r="AD1" i="4"/>
  <c r="R37" i="4"/>
  <c r="S37" i="4" s="1"/>
  <c r="Q37" i="4"/>
  <c r="V33" i="3" l="1"/>
  <c r="V34" i="3"/>
  <c r="B51" i="5"/>
  <c r="B52" i="5"/>
  <c r="C42" i="5"/>
  <c r="I174" i="4" s="1"/>
  <c r="C42" i="6"/>
  <c r="H174" i="4" s="1"/>
  <c r="V36" i="4" l="1"/>
  <c r="U36" i="4"/>
  <c r="N36" i="4"/>
  <c r="C41" i="5" l="1"/>
  <c r="I173" i="4" s="1"/>
  <c r="D41" i="6"/>
  <c r="C41" i="6"/>
  <c r="H173" i="4" s="1"/>
  <c r="R35" i="4"/>
  <c r="Q35" i="4"/>
  <c r="S35" i="4" l="1"/>
  <c r="V32" i="3"/>
  <c r="L36" i="3" l="1"/>
  <c r="R26" i="4"/>
  <c r="S26" i="4" s="1"/>
  <c r="Q26" i="4"/>
  <c r="R172" i="4" l="1"/>
  <c r="Q172" i="4"/>
  <c r="R73" i="4"/>
  <c r="Q73" i="4"/>
  <c r="S73" i="4" s="1"/>
  <c r="S172" i="4" l="1"/>
  <c r="R129" i="4"/>
  <c r="Q129" i="4"/>
  <c r="S129" i="4" l="1"/>
  <c r="A51" i="6"/>
  <c r="B51" i="6"/>
  <c r="A52" i="6"/>
  <c r="B52" i="6"/>
  <c r="A53" i="6"/>
  <c r="B53" i="6"/>
  <c r="C40" i="6"/>
  <c r="H172" i="4" s="1"/>
  <c r="C40" i="5"/>
  <c r="I172" i="4" s="1"/>
  <c r="R128" i="4" l="1"/>
  <c r="Q128" i="4"/>
  <c r="S128" i="4" l="1"/>
  <c r="P42" i="3"/>
  <c r="L42" i="3"/>
  <c r="R196" i="7" l="1"/>
  <c r="P196" i="7"/>
  <c r="N196" i="7"/>
  <c r="B194" i="7" s="1"/>
  <c r="L196" i="7"/>
  <c r="J196" i="7"/>
  <c r="H196" i="7"/>
  <c r="S195" i="7"/>
  <c r="F195" i="7"/>
  <c r="D195" i="7"/>
  <c r="R34" i="4"/>
  <c r="Q34" i="4"/>
  <c r="R40" i="4"/>
  <c r="S40" i="4" s="1"/>
  <c r="Q40" i="4"/>
  <c r="S34" i="4" l="1"/>
  <c r="S196" i="7"/>
  <c r="R25" i="4"/>
  <c r="Q25" i="4"/>
  <c r="S25" i="4" l="1"/>
  <c r="R21" i="4"/>
  <c r="Q21" i="4"/>
  <c r="S21" i="4" l="1"/>
  <c r="R20" i="4"/>
  <c r="Q20" i="4"/>
  <c r="R39" i="4"/>
  <c r="S39" i="4" s="1"/>
  <c r="Q39" i="4"/>
  <c r="S20" i="4" l="1"/>
  <c r="A181" i="4"/>
  <c r="B181" i="4"/>
  <c r="C181" i="4"/>
  <c r="F181" i="4"/>
  <c r="L181" i="4" s="1"/>
  <c r="G181" i="4"/>
  <c r="K181" i="4" s="1"/>
  <c r="S181" i="4"/>
  <c r="A182" i="4"/>
  <c r="B182" i="4"/>
  <c r="C182" i="4"/>
  <c r="F182" i="4"/>
  <c r="L182" i="4" s="1"/>
  <c r="G182" i="4"/>
  <c r="K182" i="4" s="1"/>
  <c r="S182" i="4"/>
  <c r="A183" i="4"/>
  <c r="B183" i="4"/>
  <c r="C183" i="4"/>
  <c r="F183" i="4"/>
  <c r="L183" i="4" s="1"/>
  <c r="G183" i="4"/>
  <c r="K183" i="4" s="1"/>
  <c r="S183" i="4"/>
  <c r="A184" i="4"/>
  <c r="B184" i="4"/>
  <c r="C184" i="4"/>
  <c r="F184" i="4"/>
  <c r="L184" i="4" s="1"/>
  <c r="G184" i="4"/>
  <c r="S184" i="4"/>
  <c r="J182" i="4" l="1"/>
  <c r="J181" i="4"/>
  <c r="J183" i="4"/>
  <c r="J184" i="4"/>
  <c r="K184" i="4"/>
  <c r="B39" i="5"/>
  <c r="B39" i="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7" i="4"/>
  <c r="R127" i="4" s="1"/>
  <c r="U127" i="4"/>
  <c r="Q127" i="4" s="1"/>
  <c r="N127" i="4"/>
  <c r="R159" i="4"/>
  <c r="Q159" i="4"/>
  <c r="S127" i="4" l="1"/>
  <c r="S159" i="4"/>
  <c r="S190" i="7"/>
  <c r="S184" i="7"/>
  <c r="S178" i="7"/>
  <c r="S172" i="7"/>
  <c r="S166" i="7"/>
  <c r="S160" i="7"/>
  <c r="S154" i="7"/>
  <c r="S148" i="7"/>
  <c r="S142" i="7"/>
  <c r="S136" i="7"/>
  <c r="S130" i="7"/>
  <c r="S124" i="7"/>
  <c r="S118" i="7"/>
  <c r="S112" i="7"/>
  <c r="P190" i="7"/>
  <c r="R190" i="7"/>
  <c r="N190" i="7"/>
  <c r="L190" i="7"/>
  <c r="J190" i="7"/>
  <c r="H190" i="7"/>
  <c r="F189" i="7"/>
  <c r="D189" i="7"/>
  <c r="B188" i="7" s="1"/>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49" i="3"/>
  <c r="R33" i="3"/>
  <c r="Q1" i="3"/>
  <c r="R6" i="3"/>
  <c r="R95" i="4"/>
  <c r="S95" i="4" s="1"/>
  <c r="Q95" i="4"/>
  <c r="S189" i="7" l="1"/>
  <c r="R24" i="4"/>
  <c r="Q24" i="4"/>
  <c r="S24" i="4" l="1"/>
  <c r="R29" i="4"/>
  <c r="S29" i="4" s="1"/>
  <c r="Q29" i="4"/>
  <c r="R31" i="4" l="1"/>
  <c r="Q31" i="4"/>
  <c r="S31" i="4" l="1"/>
  <c r="A48" i="6"/>
  <c r="B48" i="6"/>
  <c r="R184" i="7" l="1"/>
  <c r="N184" i="7"/>
  <c r="L184" i="7"/>
  <c r="J184" i="7"/>
  <c r="H184" i="7"/>
  <c r="F183" i="7"/>
  <c r="D183" i="7"/>
  <c r="E38" i="5"/>
  <c r="D38" i="5"/>
  <c r="F38" i="5"/>
  <c r="G38" i="5"/>
  <c r="R30" i="4"/>
  <c r="S30" i="4" s="1"/>
  <c r="Q30" i="4"/>
  <c r="F38" i="6"/>
  <c r="W38" i="5" s="1"/>
  <c r="E38" i="6"/>
  <c r="T38" i="5" s="1"/>
  <c r="D38" i="6"/>
  <c r="R38" i="5" s="1"/>
  <c r="C38" i="6"/>
  <c r="C38" i="5"/>
  <c r="B38" i="5"/>
  <c r="B38" i="6" s="1"/>
  <c r="S94" i="4"/>
  <c r="R94" i="4"/>
  <c r="Q94" i="4"/>
  <c r="R19" i="4"/>
  <c r="Q19" i="4"/>
  <c r="S19" i="4" l="1"/>
  <c r="S183" i="7"/>
  <c r="B182" i="7"/>
  <c r="M38" i="5"/>
  <c r="N38" i="5"/>
  <c r="I38" i="5"/>
  <c r="J38" i="5"/>
  <c r="P38" i="5"/>
  <c r="K38" i="5"/>
  <c r="R28" i="4"/>
  <c r="Q28" i="4"/>
  <c r="B37" i="5"/>
  <c r="B37" i="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6" i="4"/>
  <c r="R126" i="4" s="1"/>
  <c r="U126" i="4"/>
  <c r="Q126" i="4" s="1"/>
  <c r="N126" i="4"/>
  <c r="S126" i="4" l="1"/>
  <c r="R86" i="4"/>
  <c r="Q86" i="4"/>
  <c r="S86" i="4" s="1"/>
  <c r="B46" i="5" l="1"/>
  <c r="B47" i="5"/>
  <c r="B48" i="5"/>
  <c r="R93" i="4"/>
  <c r="S93" i="4" s="1"/>
  <c r="Q93" i="4"/>
  <c r="R92" i="4"/>
  <c r="Q92" i="4"/>
  <c r="R18" i="4"/>
  <c r="S18" i="4" s="1"/>
  <c r="Q18" i="4"/>
  <c r="S92" i="4" l="1"/>
  <c r="M48" i="5"/>
  <c r="M46" i="5"/>
  <c r="N48" i="5"/>
  <c r="M47" i="5"/>
  <c r="N47" i="5"/>
  <c r="P46" i="5"/>
  <c r="P47" i="5"/>
  <c r="N46" i="5"/>
  <c r="P48" i="5"/>
  <c r="B43" i="5"/>
  <c r="D43" i="5"/>
  <c r="E43" i="5"/>
  <c r="F43" i="5"/>
  <c r="G43" i="5"/>
  <c r="R43" i="5"/>
  <c r="T43" i="5"/>
  <c r="W43" i="5"/>
  <c r="A177" i="4"/>
  <c r="B177" i="4"/>
  <c r="C177" i="4"/>
  <c r="F177" i="4"/>
  <c r="L177" i="4" s="1"/>
  <c r="G177" i="4"/>
  <c r="K177" i="4" s="1"/>
  <c r="S177" i="4"/>
  <c r="A178" i="4"/>
  <c r="B178" i="4"/>
  <c r="C178" i="4"/>
  <c r="F178" i="4"/>
  <c r="L178" i="4" s="1"/>
  <c r="G178" i="4"/>
  <c r="K178" i="4" s="1"/>
  <c r="S178" i="4"/>
  <c r="A179" i="4"/>
  <c r="B179" i="4"/>
  <c r="C179" i="4"/>
  <c r="F179" i="4"/>
  <c r="L179" i="4" s="1"/>
  <c r="G179" i="4"/>
  <c r="K179" i="4" s="1"/>
  <c r="S179" i="4"/>
  <c r="A180" i="4"/>
  <c r="B180" i="4"/>
  <c r="C180" i="4"/>
  <c r="F180" i="4"/>
  <c r="L180" i="4" s="1"/>
  <c r="G180" i="4"/>
  <c r="S180" i="4"/>
  <c r="X43" i="5" l="1"/>
  <c r="S43" i="5"/>
  <c r="J178" i="4"/>
  <c r="J179" i="4"/>
  <c r="J180" i="4"/>
  <c r="J177" i="4"/>
  <c r="I43" i="5"/>
  <c r="P43" i="5"/>
  <c r="M43" i="5"/>
  <c r="N43" i="5"/>
  <c r="J43" i="5"/>
  <c r="K43" i="5"/>
  <c r="U43" i="5"/>
  <c r="Q43" i="5"/>
  <c r="K180" i="4"/>
  <c r="R178" i="7"/>
  <c r="N178" i="7"/>
  <c r="L178" i="7"/>
  <c r="J178" i="7"/>
  <c r="H178" i="7"/>
  <c r="F177" i="7"/>
  <c r="D177" i="7"/>
  <c r="S177" i="7" s="1"/>
  <c r="B176" i="7"/>
  <c r="R91" i="4" l="1"/>
  <c r="Q91" i="4"/>
  <c r="R17" i="4"/>
  <c r="Q17" i="4"/>
  <c r="R76" i="4"/>
  <c r="Q76" i="4"/>
  <c r="S17" i="4" l="1"/>
  <c r="S76" i="4"/>
  <c r="S91"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W3" i="5" s="1"/>
  <c r="E3" i="6"/>
  <c r="T3" i="5" s="1"/>
  <c r="D3" i="6"/>
  <c r="R3" i="5" s="1"/>
  <c r="F4" i="6"/>
  <c r="E4" i="6"/>
  <c r="T4" i="5" s="1"/>
  <c r="D4" i="6"/>
  <c r="R4" i="5" s="1"/>
  <c r="R85" i="4"/>
  <c r="Q85" i="4"/>
  <c r="F40" i="5" l="1"/>
  <c r="X38" i="5"/>
  <c r="T40" i="5"/>
  <c r="R40" i="5"/>
  <c r="S38" i="5"/>
  <c r="S30" i="5"/>
  <c r="S31" i="5"/>
  <c r="S15" i="5"/>
  <c r="T35" i="5"/>
  <c r="R35" i="5"/>
  <c r="F35" i="5"/>
  <c r="S14" i="5"/>
  <c r="S85"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S3" i="5" s="1"/>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3"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2" i="4"/>
  <c r="Q72" i="4"/>
  <c r="R51" i="4"/>
  <c r="Q51" i="4"/>
  <c r="S51" i="4" l="1"/>
  <c r="Q40" i="5"/>
  <c r="S40" i="5"/>
  <c r="Q38" i="5"/>
  <c r="U38" i="5"/>
  <c r="Q35" i="5"/>
  <c r="S35" i="5"/>
  <c r="S72" i="4"/>
  <c r="B36" i="5"/>
  <c r="B36" i="6" s="1"/>
  <c r="C36" i="5"/>
  <c r="C36" i="6"/>
  <c r="J36" i="5" l="1"/>
  <c r="N36" i="5"/>
  <c r="W36" i="5"/>
  <c r="R90" i="4"/>
  <c r="Q90" i="4"/>
  <c r="S90" i="4" l="1"/>
  <c r="X36" i="5"/>
  <c r="U36" i="5"/>
  <c r="K36" i="5"/>
  <c r="P36" i="5"/>
  <c r="M36" i="5"/>
  <c r="I36" i="5"/>
  <c r="R16" i="4"/>
  <c r="Q16" i="4"/>
  <c r="R22" i="4"/>
  <c r="Q22" i="4"/>
  <c r="S16" i="4" l="1"/>
  <c r="S22" i="4"/>
  <c r="R124" i="4"/>
  <c r="Q124" i="4"/>
  <c r="S124" i="4" l="1"/>
  <c r="X84" i="4"/>
  <c r="R84" i="4" s="1"/>
  <c r="W84" i="4"/>
  <c r="Q84" i="4" s="1"/>
  <c r="P84" i="4"/>
  <c r="N84" i="4" l="1"/>
  <c r="S84"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B34" i="5"/>
  <c r="B34" i="6" s="1"/>
  <c r="B33" i="5"/>
  <c r="B33" i="6" s="1"/>
  <c r="B32" i="5"/>
  <c r="B32" i="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4" i="15"/>
  <c r="L20" i="15"/>
  <c r="G20" i="15"/>
  <c r="G19" i="15"/>
  <c r="O19" i="15" s="1"/>
  <c r="L18" i="15"/>
  <c r="G18" i="15"/>
  <c r="G26" i="15" s="1"/>
  <c r="G17" i="15"/>
  <c r="O17" i="15" s="1"/>
  <c r="M16" i="15"/>
  <c r="G15" i="15"/>
  <c r="G14" i="15"/>
  <c r="G13" i="15"/>
  <c r="G12" i="15"/>
  <c r="G11" i="15"/>
  <c r="G10" i="15"/>
  <c r="M9" i="15"/>
  <c r="M8" i="15"/>
  <c r="M7" i="15"/>
  <c r="M6" i="15"/>
  <c r="M5" i="15"/>
  <c r="G4" i="15"/>
  <c r="G25" i="15" s="1"/>
  <c r="M3" i="15"/>
  <c r="M21" i="15" s="1"/>
  <c r="M22" i="15" s="1"/>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B170" i="7" s="1"/>
  <c r="L172" i="7"/>
  <c r="J172" i="7"/>
  <c r="H172" i="7"/>
  <c r="S171" i="7"/>
  <c r="F171" i="7"/>
  <c r="D171" i="7"/>
  <c r="R166" i="7"/>
  <c r="N166" i="7"/>
  <c r="L166" i="7"/>
  <c r="J166" i="7"/>
  <c r="H166" i="7"/>
  <c r="F165" i="7"/>
  <c r="D165" i="7"/>
  <c r="S165" i="7" s="1"/>
  <c r="R160" i="7"/>
  <c r="N160" i="7"/>
  <c r="B158" i="7" s="1"/>
  <c r="L160" i="7"/>
  <c r="J160" i="7"/>
  <c r="H160" i="7"/>
  <c r="S159" i="7"/>
  <c r="F159" i="7"/>
  <c r="D159" i="7"/>
  <c r="R154" i="7"/>
  <c r="N154" i="7"/>
  <c r="L154" i="7"/>
  <c r="J154" i="7"/>
  <c r="H154" i="7"/>
  <c r="F153" i="7"/>
  <c r="D153" i="7"/>
  <c r="S153" i="7" s="1"/>
  <c r="R148" i="7"/>
  <c r="N148" i="7"/>
  <c r="B146" i="7" s="1"/>
  <c r="L148" i="7"/>
  <c r="J148" i="7"/>
  <c r="H148" i="7"/>
  <c r="S147" i="7"/>
  <c r="F147" i="7"/>
  <c r="D147" i="7"/>
  <c r="R142" i="7"/>
  <c r="N142" i="7"/>
  <c r="L142" i="7"/>
  <c r="J142" i="7"/>
  <c r="H142" i="7"/>
  <c r="F141" i="7"/>
  <c r="D141" i="7"/>
  <c r="S141" i="7" s="1"/>
  <c r="R136" i="7"/>
  <c r="N136" i="7"/>
  <c r="B134" i="7" s="1"/>
  <c r="L136" i="7"/>
  <c r="J136" i="7"/>
  <c r="H136" i="7"/>
  <c r="S135" i="7"/>
  <c r="F135" i="7"/>
  <c r="D135" i="7"/>
  <c r="R130" i="7"/>
  <c r="N130" i="7"/>
  <c r="L130" i="7"/>
  <c r="J130" i="7"/>
  <c r="H130" i="7"/>
  <c r="F129" i="7"/>
  <c r="D129" i="7"/>
  <c r="S129" i="7" s="1"/>
  <c r="R124" i="7"/>
  <c r="N124" i="7"/>
  <c r="B122" i="7" s="1"/>
  <c r="L124" i="7"/>
  <c r="J124" i="7"/>
  <c r="H124" i="7"/>
  <c r="S123" i="7"/>
  <c r="F123" i="7"/>
  <c r="D123" i="7"/>
  <c r="R118" i="7"/>
  <c r="N118" i="7"/>
  <c r="L118" i="7"/>
  <c r="J118" i="7"/>
  <c r="H118" i="7"/>
  <c r="F117" i="7"/>
  <c r="D117" i="7"/>
  <c r="S117" i="7" s="1"/>
  <c r="R112" i="7"/>
  <c r="N112" i="7"/>
  <c r="B110" i="7" s="1"/>
  <c r="L112" i="7"/>
  <c r="J112" i="7"/>
  <c r="H112" i="7"/>
  <c r="S111" i="7"/>
  <c r="F111" i="7"/>
  <c r="D111" i="7"/>
  <c r="N106" i="7"/>
  <c r="L106" i="7"/>
  <c r="J106" i="7"/>
  <c r="H106" i="7"/>
  <c r="B104" i="7" s="1"/>
  <c r="F105" i="7"/>
  <c r="D105" i="7"/>
  <c r="S105" i="7" s="1"/>
  <c r="N100" i="7"/>
  <c r="B98" i="7" s="1"/>
  <c r="L100" i="7"/>
  <c r="J100" i="7"/>
  <c r="H100" i="7"/>
  <c r="S100" i="7" s="1"/>
  <c r="F99" i="7"/>
  <c r="D99" i="7"/>
  <c r="S99" i="7" s="1"/>
  <c r="N94" i="7"/>
  <c r="L94" i="7"/>
  <c r="J94" i="7"/>
  <c r="H94" i="7"/>
  <c r="F93" i="7"/>
  <c r="S93" i="7" s="1"/>
  <c r="D93" i="7"/>
  <c r="N88" i="7"/>
  <c r="B86" i="7" s="1"/>
  <c r="L88" i="7"/>
  <c r="J88" i="7"/>
  <c r="H88" i="7"/>
  <c r="S87" i="7"/>
  <c r="F87" i="7"/>
  <c r="D87" i="7"/>
  <c r="N82" i="7"/>
  <c r="L82" i="7"/>
  <c r="J82" i="7"/>
  <c r="H82" i="7"/>
  <c r="B80" i="7" s="1"/>
  <c r="F81" i="7"/>
  <c r="D81" i="7"/>
  <c r="S81" i="7" s="1"/>
  <c r="N76" i="7"/>
  <c r="L76" i="7"/>
  <c r="J76" i="7"/>
  <c r="H76" i="7"/>
  <c r="S76" i="7" s="1"/>
  <c r="F75" i="7"/>
  <c r="D75" i="7"/>
  <c r="S75" i="7" s="1"/>
  <c r="N70" i="7"/>
  <c r="L70" i="7"/>
  <c r="J70" i="7"/>
  <c r="H70" i="7"/>
  <c r="S70" i="7" s="1"/>
  <c r="F69" i="7"/>
  <c r="S69" i="7" s="1"/>
  <c r="D69" i="7"/>
  <c r="N64" i="7"/>
  <c r="B62" i="7" s="1"/>
  <c r="L64" i="7"/>
  <c r="J64" i="7"/>
  <c r="H64" i="7"/>
  <c r="S63" i="7"/>
  <c r="F63" i="7"/>
  <c r="D63" i="7"/>
  <c r="N58" i="7"/>
  <c r="L58" i="7"/>
  <c r="J58" i="7"/>
  <c r="H58" i="7"/>
  <c r="S58" i="7" s="1"/>
  <c r="F57" i="7"/>
  <c r="D57" i="7"/>
  <c r="S57" i="7" s="1"/>
  <c r="N52" i="7"/>
  <c r="L52" i="7"/>
  <c r="J52" i="7"/>
  <c r="H52" i="7"/>
  <c r="F51" i="7"/>
  <c r="D51" i="7"/>
  <c r="S51" i="7" s="1"/>
  <c r="B47" i="6"/>
  <c r="A47" i="6"/>
  <c r="B46" i="6"/>
  <c r="A46" i="6"/>
  <c r="B43" i="6"/>
  <c r="A43" i="6"/>
  <c r="B42" i="6"/>
  <c r="A42" i="6"/>
  <c r="B41" i="6"/>
  <c r="A41" i="6"/>
  <c r="B40" i="6"/>
  <c r="A40" i="6"/>
  <c r="B31" i="6"/>
  <c r="A31" i="6"/>
  <c r="B30" i="6"/>
  <c r="A30" i="6"/>
  <c r="B29" i="6"/>
  <c r="A29" i="6"/>
  <c r="B28" i="6"/>
  <c r="A28" i="6"/>
  <c r="B27" i="6"/>
  <c r="A27" i="6"/>
  <c r="B26" i="6"/>
  <c r="A26" i="6"/>
  <c r="H144" i="4"/>
  <c r="B25" i="6"/>
  <c r="A25" i="6"/>
  <c r="B24" i="6"/>
  <c r="A24" i="6"/>
  <c r="B23" i="6"/>
  <c r="A23" i="6"/>
  <c r="B22" i="6"/>
  <c r="A22" i="6"/>
  <c r="H138" i="4"/>
  <c r="B21" i="6"/>
  <c r="A21" i="6"/>
  <c r="B20" i="6"/>
  <c r="A20" i="6"/>
  <c r="B19" i="6"/>
  <c r="A19" i="6"/>
  <c r="B18" i="6"/>
  <c r="A18" i="6"/>
  <c r="H102" i="4"/>
  <c r="B17" i="6"/>
  <c r="A17" i="6"/>
  <c r="B16" i="6"/>
  <c r="A16" i="6"/>
  <c r="B15" i="6"/>
  <c r="A15" i="6"/>
  <c r="B14" i="6"/>
  <c r="A14" i="6"/>
  <c r="H96" i="4"/>
  <c r="B13" i="6"/>
  <c r="A13" i="6"/>
  <c r="B12" i="6"/>
  <c r="A12" i="6"/>
  <c r="B11" i="6"/>
  <c r="A11" i="6"/>
  <c r="B10" i="6"/>
  <c r="A10" i="6"/>
  <c r="H74"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6"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6" i="4"/>
  <c r="G176" i="4"/>
  <c r="F176" i="4"/>
  <c r="L176" i="4" s="1"/>
  <c r="C176" i="4"/>
  <c r="B176" i="4"/>
  <c r="A176" i="4"/>
  <c r="S175" i="4"/>
  <c r="G175" i="4"/>
  <c r="K175" i="4" s="1"/>
  <c r="F175" i="4"/>
  <c r="L175" i="4" s="1"/>
  <c r="C175" i="4"/>
  <c r="B175" i="4"/>
  <c r="A175" i="4"/>
  <c r="S174" i="4"/>
  <c r="G174" i="4"/>
  <c r="K174" i="4" s="1"/>
  <c r="F174" i="4"/>
  <c r="L174" i="4" s="1"/>
  <c r="C174" i="4"/>
  <c r="B174" i="4"/>
  <c r="A174" i="4"/>
  <c r="S173" i="4"/>
  <c r="G173" i="4"/>
  <c r="F173" i="4"/>
  <c r="L173" i="4" s="1"/>
  <c r="C173" i="4"/>
  <c r="B173" i="4"/>
  <c r="A173" i="4"/>
  <c r="G172" i="4"/>
  <c r="F172" i="4"/>
  <c r="L172" i="4" s="1"/>
  <c r="C172" i="4"/>
  <c r="B172" i="4"/>
  <c r="A172" i="4"/>
  <c r="R171" i="4"/>
  <c r="Q171" i="4"/>
  <c r="R170" i="4"/>
  <c r="Q170" i="4"/>
  <c r="R169" i="4"/>
  <c r="Q169" i="4"/>
  <c r="R168" i="4"/>
  <c r="Q168" i="4"/>
  <c r="R167" i="4"/>
  <c r="Q167" i="4"/>
  <c r="V166" i="4"/>
  <c r="R166" i="4" s="1"/>
  <c r="U166" i="4"/>
  <c r="Q166" i="4" s="1"/>
  <c r="N166" i="4"/>
  <c r="H166" i="4"/>
  <c r="G166" i="4"/>
  <c r="F166" i="4"/>
  <c r="L166" i="4" s="1"/>
  <c r="C166" i="4"/>
  <c r="B166" i="4"/>
  <c r="A166" i="4"/>
  <c r="R165" i="4"/>
  <c r="Q165" i="4"/>
  <c r="R164" i="4"/>
  <c r="Q164" i="4"/>
  <c r="R163" i="4"/>
  <c r="Q163" i="4"/>
  <c r="R162" i="4"/>
  <c r="Q162" i="4"/>
  <c r="R161" i="4"/>
  <c r="Q161" i="4"/>
  <c r="I161" i="4"/>
  <c r="H161" i="4"/>
  <c r="G161" i="4"/>
  <c r="F161" i="4"/>
  <c r="L161" i="4" s="1"/>
  <c r="C161" i="4"/>
  <c r="B161" i="4"/>
  <c r="A161" i="4"/>
  <c r="R160" i="4"/>
  <c r="Q160" i="4"/>
  <c r="I160" i="4"/>
  <c r="H160" i="4"/>
  <c r="G160" i="4"/>
  <c r="F160" i="4"/>
  <c r="L160" i="4" s="1"/>
  <c r="C160" i="4"/>
  <c r="B160" i="4"/>
  <c r="A160" i="4"/>
  <c r="R158" i="4"/>
  <c r="Q158" i="4"/>
  <c r="I158" i="4"/>
  <c r="H158" i="4"/>
  <c r="G158" i="4"/>
  <c r="F158" i="4"/>
  <c r="L158" i="4" s="1"/>
  <c r="C158" i="4"/>
  <c r="B158" i="4"/>
  <c r="A158" i="4"/>
  <c r="R157" i="4"/>
  <c r="Q157" i="4"/>
  <c r="R156" i="4"/>
  <c r="Q156" i="4"/>
  <c r="R155" i="4"/>
  <c r="Q155" i="4"/>
  <c r="R154" i="4"/>
  <c r="Q154" i="4"/>
  <c r="R153" i="4"/>
  <c r="S153" i="4" s="1"/>
  <c r="Q153" i="4"/>
  <c r="R152" i="4"/>
  <c r="Q152" i="4"/>
  <c r="R151" i="4"/>
  <c r="S151" i="4" s="1"/>
  <c r="Q151" i="4"/>
  <c r="R150" i="4"/>
  <c r="Q150" i="4"/>
  <c r="R149" i="4"/>
  <c r="Q149" i="4"/>
  <c r="R148" i="4"/>
  <c r="Q148" i="4"/>
  <c r="I148" i="4"/>
  <c r="H148" i="4"/>
  <c r="G148" i="4"/>
  <c r="F148" i="4"/>
  <c r="L148" i="4" s="1"/>
  <c r="C148" i="4"/>
  <c r="B148" i="4"/>
  <c r="A148" i="4"/>
  <c r="R147" i="4"/>
  <c r="Q147" i="4"/>
  <c r="R146" i="4"/>
  <c r="Q146" i="4"/>
  <c r="R145" i="4"/>
  <c r="Q145" i="4"/>
  <c r="I145" i="4"/>
  <c r="H145" i="4"/>
  <c r="G145" i="4"/>
  <c r="F145" i="4"/>
  <c r="L145" i="4" s="1"/>
  <c r="C145" i="4"/>
  <c r="B145" i="4"/>
  <c r="A145" i="4"/>
  <c r="R144" i="4"/>
  <c r="Q144" i="4"/>
  <c r="I144" i="4"/>
  <c r="G144" i="4"/>
  <c r="F144" i="4"/>
  <c r="L144" i="4" s="1"/>
  <c r="C144" i="4"/>
  <c r="B144" i="4"/>
  <c r="A144" i="4"/>
  <c r="R143" i="4"/>
  <c r="Q143" i="4"/>
  <c r="I143" i="4"/>
  <c r="H143" i="4"/>
  <c r="G143" i="4"/>
  <c r="F143" i="4"/>
  <c r="L143" i="4" s="1"/>
  <c r="C143" i="4"/>
  <c r="B143" i="4"/>
  <c r="A143" i="4"/>
  <c r="S142" i="4"/>
  <c r="I142" i="4"/>
  <c r="H142" i="4"/>
  <c r="G142" i="4"/>
  <c r="F142" i="4"/>
  <c r="L142" i="4" s="1"/>
  <c r="C142" i="4"/>
  <c r="B142" i="4"/>
  <c r="A142" i="4"/>
  <c r="R141" i="4"/>
  <c r="Q141" i="4"/>
  <c r="K141" i="4"/>
  <c r="R140" i="4"/>
  <c r="Q140" i="4"/>
  <c r="K140" i="4"/>
  <c r="R139" i="4"/>
  <c r="Q139" i="4"/>
  <c r="I139" i="4"/>
  <c r="H139" i="4"/>
  <c r="G139" i="4"/>
  <c r="F139" i="4"/>
  <c r="L139" i="4" s="1"/>
  <c r="C139" i="4"/>
  <c r="B139" i="4"/>
  <c r="A139" i="4"/>
  <c r="R138" i="4"/>
  <c r="S138" i="4" s="1"/>
  <c r="Q138" i="4"/>
  <c r="I138" i="4"/>
  <c r="G138" i="4"/>
  <c r="F138" i="4"/>
  <c r="L138" i="4" s="1"/>
  <c r="C138" i="4"/>
  <c r="B138" i="4"/>
  <c r="A138" i="4"/>
  <c r="R137" i="4"/>
  <c r="Q137" i="4"/>
  <c r="R136" i="4"/>
  <c r="Q136" i="4"/>
  <c r="R135" i="4"/>
  <c r="Q135" i="4"/>
  <c r="R134" i="4"/>
  <c r="Q134" i="4"/>
  <c r="R133" i="4"/>
  <c r="Q133" i="4"/>
  <c r="R132" i="4"/>
  <c r="Q132" i="4"/>
  <c r="I132" i="4"/>
  <c r="H132" i="4"/>
  <c r="G132" i="4"/>
  <c r="F132" i="4"/>
  <c r="L132" i="4" s="1"/>
  <c r="C132" i="4"/>
  <c r="B132" i="4"/>
  <c r="A132"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Q111" i="4"/>
  <c r="R110" i="4"/>
  <c r="S110" i="4" s="1"/>
  <c r="Q110" i="4"/>
  <c r="R109" i="4"/>
  <c r="Q109" i="4"/>
  <c r="R108" i="4"/>
  <c r="Q108" i="4"/>
  <c r="R107" i="4"/>
  <c r="Q107" i="4"/>
  <c r="R106" i="4"/>
  <c r="Q106" i="4"/>
  <c r="R105" i="4"/>
  <c r="Q105" i="4"/>
  <c r="I105" i="4"/>
  <c r="H105" i="4"/>
  <c r="G105" i="4"/>
  <c r="F105" i="4"/>
  <c r="L105" i="4" s="1"/>
  <c r="C105" i="4"/>
  <c r="B105" i="4"/>
  <c r="A105" i="4"/>
  <c r="R104" i="4"/>
  <c r="Q104" i="4"/>
  <c r="R103" i="4"/>
  <c r="Q103" i="4"/>
  <c r="I103" i="4"/>
  <c r="H103" i="4"/>
  <c r="G103" i="4"/>
  <c r="F103" i="4"/>
  <c r="L103" i="4" s="1"/>
  <c r="C103" i="4"/>
  <c r="B103" i="4"/>
  <c r="A103" i="4"/>
  <c r="R102" i="4"/>
  <c r="Q102" i="4"/>
  <c r="I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I99" i="4"/>
  <c r="H99" i="4"/>
  <c r="G99" i="4"/>
  <c r="F99" i="4"/>
  <c r="L99" i="4" s="1"/>
  <c r="C99" i="4"/>
  <c r="B99" i="4"/>
  <c r="A99" i="4"/>
  <c r="R98" i="4"/>
  <c r="Q98" i="4"/>
  <c r="P98" i="4"/>
  <c r="R97" i="4"/>
  <c r="Q97" i="4"/>
  <c r="R96" i="4"/>
  <c r="Q96" i="4"/>
  <c r="I96" i="4"/>
  <c r="G96" i="4"/>
  <c r="F96" i="4"/>
  <c r="L96" i="4" s="1"/>
  <c r="C96" i="4"/>
  <c r="B96" i="4"/>
  <c r="A96" i="4"/>
  <c r="R89" i="4"/>
  <c r="Q89" i="4"/>
  <c r="R88" i="4"/>
  <c r="Q88" i="4"/>
  <c r="R87" i="4"/>
  <c r="Q87" i="4"/>
  <c r="I87" i="4"/>
  <c r="H87" i="4"/>
  <c r="G87" i="4"/>
  <c r="F87" i="4"/>
  <c r="L87" i="4" s="1"/>
  <c r="C87" i="4"/>
  <c r="B87" i="4"/>
  <c r="A87" i="4"/>
  <c r="R83" i="4"/>
  <c r="Q83" i="4"/>
  <c r="R82" i="4"/>
  <c r="Q82" i="4"/>
  <c r="R81" i="4"/>
  <c r="Q81" i="4"/>
  <c r="R80" i="4"/>
  <c r="Q80" i="4"/>
  <c r="R79" i="4"/>
  <c r="Q79" i="4"/>
  <c r="R78" i="4"/>
  <c r="Q78" i="4"/>
  <c r="I78" i="4"/>
  <c r="H78" i="4"/>
  <c r="G78" i="4"/>
  <c r="F78" i="4"/>
  <c r="L78" i="4" s="1"/>
  <c r="C78" i="4"/>
  <c r="B78" i="4"/>
  <c r="A78" i="4"/>
  <c r="R77" i="4"/>
  <c r="Q77" i="4"/>
  <c r="I77" i="4"/>
  <c r="H77" i="4"/>
  <c r="G77" i="4"/>
  <c r="F77" i="4"/>
  <c r="L77" i="4" s="1"/>
  <c r="C77" i="4"/>
  <c r="B77" i="4"/>
  <c r="A77" i="4"/>
  <c r="R75" i="4"/>
  <c r="S75" i="4" s="1"/>
  <c r="Q75" i="4"/>
  <c r="R74" i="4"/>
  <c r="Q74" i="4"/>
  <c r="I74" i="4"/>
  <c r="G74" i="4"/>
  <c r="F74" i="4"/>
  <c r="L74" i="4" s="1"/>
  <c r="C74" i="4"/>
  <c r="B74" i="4"/>
  <c r="A74" i="4"/>
  <c r="R71" i="4"/>
  <c r="Q71" i="4"/>
  <c r="R70" i="4"/>
  <c r="S70" i="4" s="1"/>
  <c r="Q70" i="4"/>
  <c r="R69" i="4"/>
  <c r="Q69" i="4"/>
  <c r="R68" i="4"/>
  <c r="Q68" i="4"/>
  <c r="R67" i="4"/>
  <c r="Q67" i="4"/>
  <c r="R66" i="4"/>
  <c r="Q66" i="4"/>
  <c r="R65" i="4"/>
  <c r="Q65" i="4"/>
  <c r="R64" i="4"/>
  <c r="Q64" i="4"/>
  <c r="R63" i="4"/>
  <c r="Q63" i="4"/>
  <c r="S63" i="4" s="1"/>
  <c r="R62" i="4"/>
  <c r="Q62" i="4"/>
  <c r="R61" i="4"/>
  <c r="Q61" i="4"/>
  <c r="R60" i="4"/>
  <c r="Q60" i="4"/>
  <c r="R59" i="4"/>
  <c r="Q59" i="4"/>
  <c r="S59" i="4" s="1"/>
  <c r="R58" i="4"/>
  <c r="Q58" i="4"/>
  <c r="R57" i="4"/>
  <c r="Q57" i="4"/>
  <c r="I57" i="4"/>
  <c r="H57" i="4"/>
  <c r="G57" i="4"/>
  <c r="F57" i="4"/>
  <c r="L57" i="4" s="1"/>
  <c r="C57" i="4"/>
  <c r="B57" i="4"/>
  <c r="A57" i="4"/>
  <c r="R56" i="4"/>
  <c r="Q56" i="4"/>
  <c r="R55" i="4"/>
  <c r="Q55" i="4"/>
  <c r="R54" i="4"/>
  <c r="Q54" i="4"/>
  <c r="I54" i="4"/>
  <c r="H54" i="4"/>
  <c r="G54" i="4"/>
  <c r="F54" i="4"/>
  <c r="L54" i="4" s="1"/>
  <c r="C54" i="4"/>
  <c r="B54" i="4"/>
  <c r="A54" i="4"/>
  <c r="S53" i="4"/>
  <c r="I53" i="4"/>
  <c r="H53" i="4"/>
  <c r="G53" i="4"/>
  <c r="F53" i="4"/>
  <c r="L53" i="4" s="1"/>
  <c r="C53" i="4"/>
  <c r="B53" i="4"/>
  <c r="A53" i="4"/>
  <c r="S52" i="4"/>
  <c r="I52" i="4"/>
  <c r="H52" i="4"/>
  <c r="G52" i="4"/>
  <c r="F52" i="4"/>
  <c r="L52" i="4" s="1"/>
  <c r="C52" i="4"/>
  <c r="B52" i="4"/>
  <c r="A52" i="4"/>
  <c r="R50" i="4"/>
  <c r="Q50" i="4"/>
  <c r="R49" i="4"/>
  <c r="Q49" i="4"/>
  <c r="R48" i="4"/>
  <c r="Q48" i="4"/>
  <c r="I48" i="4"/>
  <c r="H48" i="4"/>
  <c r="G48" i="4"/>
  <c r="F48" i="4"/>
  <c r="L48" i="4" s="1"/>
  <c r="C48" i="4"/>
  <c r="B48" i="4"/>
  <c r="A48" i="4"/>
  <c r="S47" i="4"/>
  <c r="I47" i="4"/>
  <c r="H47" i="4"/>
  <c r="G47" i="4"/>
  <c r="F47" i="4"/>
  <c r="L47" i="4" s="1"/>
  <c r="C47" i="4"/>
  <c r="B47" i="4"/>
  <c r="R14" i="4"/>
  <c r="Q14" i="4"/>
  <c r="R12" i="4"/>
  <c r="Q12" i="4"/>
  <c r="R11" i="4"/>
  <c r="Q11" i="4"/>
  <c r="R10" i="4"/>
  <c r="Q10" i="4"/>
  <c r="R9" i="4"/>
  <c r="Q9" i="4"/>
  <c r="R8" i="4"/>
  <c r="Q8" i="4"/>
  <c r="R7" i="4"/>
  <c r="S7" i="4" s="1"/>
  <c r="Q7" i="4"/>
  <c r="R5" i="4"/>
  <c r="Q5" i="4"/>
  <c r="R4" i="4"/>
  <c r="Q4" i="4"/>
  <c r="R3" i="4"/>
  <c r="Q3" i="4"/>
  <c r="P49" i="3"/>
  <c r="A49" i="3"/>
  <c r="P48" i="3"/>
  <c r="A48" i="3"/>
  <c r="V47" i="3"/>
  <c r="P47" i="3"/>
  <c r="A47" i="3"/>
  <c r="V46" i="3"/>
  <c r="P46" i="3"/>
  <c r="A46" i="3"/>
  <c r="V45" i="3"/>
  <c r="P45" i="3"/>
  <c r="A45" i="3"/>
  <c r="V44" i="3"/>
  <c r="P44" i="3"/>
  <c r="A44" i="3"/>
  <c r="V43" i="3"/>
  <c r="P43" i="3"/>
  <c r="L43" i="3"/>
  <c r="A43" i="3"/>
  <c r="V42" i="3"/>
  <c r="A42" i="3"/>
  <c r="V41" i="3"/>
  <c r="P41" i="3"/>
  <c r="L41" i="3"/>
  <c r="A41" i="3"/>
  <c r="V40" i="3"/>
  <c r="P40" i="3"/>
  <c r="J40" i="3"/>
  <c r="A40" i="3"/>
  <c r="V39"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N1" i="3" l="1"/>
  <c r="K1" i="3"/>
  <c r="S166" i="4"/>
  <c r="S119" i="4"/>
  <c r="S10" i="4"/>
  <c r="S49" i="4"/>
  <c r="S55" i="4"/>
  <c r="S67" i="4"/>
  <c r="S80" i="4"/>
  <c r="S103" i="4"/>
  <c r="S136" i="4"/>
  <c r="S89" i="4"/>
  <c r="S121" i="4"/>
  <c r="S50" i="4"/>
  <c r="S57" i="4"/>
  <c r="S61" i="4"/>
  <c r="S97" i="4"/>
  <c r="S99" i="4"/>
  <c r="S106" i="4"/>
  <c r="S132" i="4"/>
  <c r="S139" i="4"/>
  <c r="S145" i="4"/>
  <c r="S147" i="4"/>
  <c r="S170" i="4"/>
  <c r="S71" i="4"/>
  <c r="S98" i="4"/>
  <c r="S104" i="4"/>
  <c r="S112" i="4"/>
  <c r="S114" i="4"/>
  <c r="S118" i="4"/>
  <c r="S122" i="4"/>
  <c r="S150" i="4"/>
  <c r="S154" i="4"/>
  <c r="S3" i="4"/>
  <c r="S8" i="4"/>
  <c r="S12" i="4"/>
  <c r="S58" i="4"/>
  <c r="S62" i="4"/>
  <c r="S64" i="4"/>
  <c r="S66" i="4"/>
  <c r="S96" i="4"/>
  <c r="S102" i="4"/>
  <c r="S105" i="4"/>
  <c r="S161" i="4"/>
  <c r="S165" i="4"/>
  <c r="S11" i="4"/>
  <c r="S79" i="4"/>
  <c r="S88" i="4"/>
  <c r="S107" i="4"/>
  <c r="S123" i="4"/>
  <c r="S133" i="4"/>
  <c r="S157" i="4"/>
  <c r="S5" i="4"/>
  <c r="S14" i="4"/>
  <c r="S48" i="4"/>
  <c r="S100" i="4"/>
  <c r="S109" i="4"/>
  <c r="S135" i="4"/>
  <c r="S148" i="4"/>
  <c r="S155" i="4"/>
  <c r="S65" i="4"/>
  <c r="S74" i="4"/>
  <c r="S77" i="4"/>
  <c r="S81" i="4"/>
  <c r="S83" i="4"/>
  <c r="S101" i="4"/>
  <c r="G1" i="4" s="1"/>
  <c r="S111" i="4"/>
  <c r="S113" i="4"/>
  <c r="S120" i="4"/>
  <c r="S137" i="4"/>
  <c r="S141" i="4"/>
  <c r="S167" i="4"/>
  <c r="S169" i="4"/>
  <c r="S4" i="4"/>
  <c r="S56" i="4"/>
  <c r="S78" i="4"/>
  <c r="S87" i="4"/>
  <c r="S115" i="4"/>
  <c r="S117" i="4"/>
  <c r="S140" i="4"/>
  <c r="S143" i="4"/>
  <c r="S149" i="4"/>
  <c r="S156" i="4"/>
  <c r="S160" i="4"/>
  <c r="S162" i="4"/>
  <c r="S164" i="4"/>
  <c r="S171" i="4"/>
  <c r="M32" i="5"/>
  <c r="J32" i="5"/>
  <c r="J33" i="5"/>
  <c r="M33" i="5"/>
  <c r="J34" i="5"/>
  <c r="M34" i="5"/>
  <c r="M35" i="5"/>
  <c r="J35" i="5"/>
  <c r="J105" i="4"/>
  <c r="J132" i="4"/>
  <c r="J77" i="4"/>
  <c r="J54" i="4"/>
  <c r="J74" i="4"/>
  <c r="J103" i="4"/>
  <c r="J143" i="4"/>
  <c r="J166" i="4"/>
  <c r="J139" i="4"/>
  <c r="J158" i="4"/>
  <c r="K160" i="4"/>
  <c r="J161" i="4"/>
  <c r="J96" i="4"/>
  <c r="J144" i="4"/>
  <c r="J145" i="4"/>
  <c r="J173" i="4"/>
  <c r="J175" i="4"/>
  <c r="K138" i="4"/>
  <c r="K74" i="4"/>
  <c r="K144" i="4"/>
  <c r="J99" i="4"/>
  <c r="K145" i="4"/>
  <c r="J160" i="4"/>
  <c r="K47" i="4"/>
  <c r="K53" i="4"/>
  <c r="J47" i="4"/>
  <c r="K54" i="4"/>
  <c r="J78" i="4"/>
  <c r="J87" i="4"/>
  <c r="J100" i="4"/>
  <c r="K101" i="4"/>
  <c r="K96" i="4"/>
  <c r="J101" i="4"/>
  <c r="J102" i="4"/>
  <c r="J138" i="4"/>
  <c r="J142" i="4"/>
  <c r="J148" i="4"/>
  <c r="K48" i="4"/>
  <c r="K139" i="4"/>
  <c r="K142" i="4"/>
  <c r="K148" i="4"/>
  <c r="K166" i="4"/>
  <c r="K77" i="4"/>
  <c r="K158" i="4"/>
  <c r="K143" i="4"/>
  <c r="K105" i="4"/>
  <c r="K103" i="4"/>
  <c r="K99" i="4"/>
  <c r="K57" i="4"/>
  <c r="K52" i="4"/>
  <c r="K78" i="4"/>
  <c r="K87" i="4"/>
  <c r="K100" i="4"/>
  <c r="N1" i="4"/>
  <c r="I1" i="3" s="1"/>
  <c r="S106" i="7"/>
  <c r="J52" i="4"/>
  <c r="J53" i="4"/>
  <c r="S54" i="4"/>
  <c r="S68" i="4"/>
  <c r="S82" i="4"/>
  <c r="K102" i="4"/>
  <c r="S116" i="4"/>
  <c r="K132" i="4"/>
  <c r="S134" i="4"/>
  <c r="S144" i="4"/>
  <c r="S146" i="4"/>
  <c r="S152" i="4"/>
  <c r="S158" i="4"/>
  <c r="S52" i="7"/>
  <c r="B56" i="7"/>
  <c r="B68" i="7"/>
  <c r="S94" i="7"/>
  <c r="G29" i="15"/>
  <c r="G31" i="15" s="1"/>
  <c r="G36" i="15" s="1"/>
  <c r="L29" i="15"/>
  <c r="L31" i="15" s="1"/>
  <c r="S9" i="4"/>
  <c r="J48" i="4"/>
  <c r="J57" i="4"/>
  <c r="S60" i="4"/>
  <c r="S69" i="4"/>
  <c r="S108" i="4"/>
  <c r="K161" i="4"/>
  <c r="S163" i="4"/>
  <c r="S168" i="4"/>
  <c r="K172" i="4"/>
  <c r="J172" i="4"/>
  <c r="K176" i="4"/>
  <c r="J176" i="4"/>
  <c r="B74" i="7"/>
  <c r="S82" i="7"/>
  <c r="S88" i="7"/>
  <c r="J174" i="4"/>
  <c r="B50" i="7"/>
  <c r="S64" i="7"/>
  <c r="B92" i="7"/>
  <c r="B116" i="7"/>
  <c r="B128" i="7"/>
  <c r="B140" i="7"/>
  <c r="B152" i="7"/>
  <c r="B164" i="7"/>
  <c r="K173" i="4"/>
  <c r="J34" i="15"/>
  <c r="J37" i="15" s="1"/>
  <c r="M1" i="3" l="1"/>
  <c r="T5" i="9"/>
  <c r="V4" i="9"/>
  <c r="Z4" i="9"/>
  <c r="O5" i="9"/>
  <c r="H5" i="9"/>
  <c r="P5" i="9"/>
  <c r="W5" i="9"/>
  <c r="R5" i="9"/>
  <c r="P4" i="9"/>
  <c r="C4" i="9"/>
  <c r="I5" i="9"/>
  <c r="G4" i="9"/>
  <c r="S1" i="4"/>
  <c r="O1" i="3" s="1"/>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11" i="9" s="1"/>
  <c r="W11" i="9" l="1"/>
  <c r="I11" i="9"/>
  <c r="P11" i="9"/>
  <c r="V11" i="9"/>
  <c r="O11" i="9"/>
  <c r="W6" i="9"/>
  <c r="Y11" i="9"/>
  <c r="O6" i="9"/>
  <c r="H11" i="9"/>
  <c r="R11" i="9"/>
  <c r="Z11" i="9"/>
  <c r="Y6" i="9"/>
  <c r="F11" i="9"/>
  <c r="X11" i="9"/>
  <c r="L11" i="9"/>
  <c r="J11" i="9"/>
  <c r="Q6" i="9"/>
  <c r="Q11" i="9"/>
  <c r="S11" i="9"/>
  <c r="S6" i="9"/>
  <c r="G6" i="9"/>
  <c r="G11" i="9"/>
  <c r="D11" i="9"/>
  <c r="N11" i="9"/>
  <c r="E11" i="9"/>
  <c r="E6" i="9"/>
  <c r="K11" i="9"/>
  <c r="K6" i="9"/>
  <c r="M11" i="9"/>
  <c r="M6" i="9"/>
  <c r="I6" i="9"/>
  <c r="U11" i="9"/>
  <c r="U6" i="9"/>
  <c r="C11" i="9"/>
  <c r="C6" i="9"/>
  <c r="C8"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<sst xmlns="http://schemas.openxmlformats.org/spreadsheetml/2006/main" count="1846" uniqueCount="589">
  <si>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</si>
  <si>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</si>
  <si>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</si>
  <si>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</si>
  <si>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</si>
  <si>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</si>
  <si>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</si>
  <si>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</si>
  <si>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</si>
  <si>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</si>
  <si>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</si>
  <si>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</si>
  <si>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</si>
  <si>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</si>
  <si>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</si>
  <si>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</si>
  <si>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</si>
  <si>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</si>
  <si>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</si>
  <si>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</si>
  <si>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</si>
  <si>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</si>
  <si>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</si>
  <si>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</si>
  <si>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</si>
  <si>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</si>
  <si>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</si>
  <si>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</si>
  <si>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</si>
  <si>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</si>
  <si>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</si>
  <si>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</si>
  <si>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</si>
  <si>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</si>
  <si>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</si>
  <si>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</si>
  <si>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</si>
  <si>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</si>
  <si>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</si>
  <si>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</si>
  <si>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</si>
  <si>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</si>
  <si>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</si>
  <si>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</si>
  <si>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</si>
  <si>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</si>
  <si>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</si>
  <si>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</si>
  <si>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</si>
  <si>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</si>
  <si>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</si>
  <si>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</si>
  <si>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</si>
  <si>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</si>
  <si>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</si>
  <si>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</si>
  <si>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</si>
  <si>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</si>
  <si>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</si>
  <si>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</si>
  <si>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</si>
  <si>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</si>
  <si>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</si>
  <si>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</si>
  <si>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</si>
  <si>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</si>
  <si>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</si>
  <si>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</si>
  <si>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</si>
  <si>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</si>
  <si>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</si>
  <si>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</si>
  <si>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</si>
  <si>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</si>
  <si>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</si>
  <si>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</si>
  <si>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</si>
  <si>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</si>
  <si>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</si>
  <si>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</si>
  <si>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</si>
  <si>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</si>
  <si>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</si>
  <si>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</si>
  <si>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</si>
  <si>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</si>
  <si>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</si>
  <si>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</si>
  <si>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</si>
  <si>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</si>
  <si>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</si>
  <si>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</si>
  <si>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</si>
  <si>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</si>
  <si>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</si>
  <si>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</si>
  <si>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</si>
  <si>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</si>
  <si>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</si>
  <si>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</si>
  <si>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</si>
  <si>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</si>
  <si>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</si>
  <si>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</si>
  <si>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</si>
  <si>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</si>
  <si>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</si>
  <si>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</si>
  <si>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</si>
  <si>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</si>
  <si>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</si>
  <si>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</si>
  <si>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</si>
  <si>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</si>
  <si>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</si>
  <si>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</si>
  <si>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</si>
  <si>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大和総損益</t>
    <rPh sb="0" eb="2">
      <t>ダイワ</t>
    </rPh>
    <rPh sb="2" eb="3">
      <t>ソウ</t>
    </rPh>
    <rPh sb="3" eb="5">
      <t>ソンエキ</t>
    </rPh>
    <phoneticPr fontId="8"/>
  </si>
  <si>
    <t>譲渡益税</t>
    <rPh sb="0" eb="2">
      <t>ジョウト</t>
    </rPh>
    <rPh sb="2" eb="3">
      <t>エキ</t>
    </rPh>
    <rPh sb="3" eb="4">
      <t>ゼイ</t>
    </rPh>
    <phoneticPr fontId="8"/>
  </si>
  <si>
    <t>&lt; 税抜金額 100株単位 &gt;</t>
    <rPh sb="2" eb="3">
      <t>ゼイ</t>
    </rPh>
    <rPh sb="3" eb="4">
      <t>バツ</t>
    </rPh>
    <rPh sb="4" eb="6">
      <t>キンガク</t>
    </rPh>
    <rPh sb="10" eb="11">
      <t>カブ</t>
    </rPh>
    <rPh sb="11" eb="13">
      <t>タンイ</t>
    </rPh>
    <phoneticPr fontId="8"/>
  </si>
  <si>
    <t>マネックス総損益</t>
    <rPh sb="5" eb="6">
      <t>ソウ</t>
    </rPh>
    <rPh sb="6" eb="8">
      <t>ソンエキ</t>
    </rPh>
    <phoneticPr fontId="8"/>
  </si>
  <si>
    <t>SBI総損益</t>
    <rPh sb="3" eb="4">
      <t>ソウ</t>
    </rPh>
    <rPh sb="4" eb="6">
      <t>ソンエキ</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</si>
  <si>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</si>
  <si>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SBI誤差</t>
    <rPh sb="3" eb="5">
      <t>ゴサ</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</si>
  <si>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</si>
  <si>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</si>
  <si>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</si>
  <si>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</si>
  <si>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</si>
  <si>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</si>
  <si>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</si>
  <si>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</si>
  <si>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</si>
  <si>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</si>
  <si>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</si>
  <si>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</si>
  <si>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</si>
  <si>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</si>
  <si>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</si>
  <si>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</si>
  <si>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</si>
  <si>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</si>
  <si>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</si>
  <si>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</si>
  <si>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</si>
  <si>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</si>
  <si>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</si>
  <si>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</si>
  <si>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</si>
  <si>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</si>
  <si>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</si>
  <si>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</si>
  <si>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</si>
  <si>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</si>
  <si>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</si>
  <si>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</si>
  <si>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</si>
  <si>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</si>
  <si>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</si>
  <si>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</si>
  <si>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</si>
  <si>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</si>
  <si>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</si>
  <si>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</si>
  <si>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</si>
  <si>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</si>
  <si>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</si>
  <si>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</si>
  <si>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</si>
  <si>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</si>
  <si>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</si>
  <si>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</si>
  <si>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</si>
  <si>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</si>
  <si>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</si>
  <si>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</si>
  <si>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</si>
  <si>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</si>
  <si>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</si>
  <si>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</si>
  <si>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</si>
  <si>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</si>
  <si>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</si>
  <si>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</si>
  <si>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</si>
  <si>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</si>
  <si>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</si>
  <si>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</si>
  <si>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</si>
  <si>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</si>
  <si>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</si>
  <si>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</si>
  <si>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</si>
  <si>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</si>
  <si>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</si>
  <si>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</si>
  <si>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</si>
  <si>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</si>
  <si>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</si>
  <si>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</si>
  <si>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</si>
  <si>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</si>
  <si>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</si>
  <si>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</si>
  <si>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</si>
  <si>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</si>
  <si>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</si>
  <si>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</si>
  <si>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</si>
  <si>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</si>
  <si>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</si>
  <si>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</si>
  <si>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</si>
  <si>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</si>
  <si>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</si>
  <si>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</si>
  <si>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</si>
  <si>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</si>
  <si>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</si>
  <si>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</si>
  <si>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</si>
  <si>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</si>
  <si>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</si>
  <si>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</si>
  <si>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</si>
  <si>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</si>
  <si>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</si>
  <si>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</si>
  <si>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</si>
  <si>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</si>
  <si>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</si>
  <si>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</si>
  <si>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</si>
  <si>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</si>
  <si>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</si>
  <si>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</si>
  <si>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</si>
  <si>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</si>
  <si>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</si>
  <si>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</si>
  <si>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</si>
  <si>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</si>
  <si>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</si>
  <si>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</si>
  <si>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</si>
  <si>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</si>
  <si>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</si>
  <si>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</si>
  <si>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</si>
  <si>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</si>
  <si>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</si>
  <si>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</si>
  <si>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</si>
  <si>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</si>
  <si>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</si>
  <si>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</si>
  <si>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</si>
  <si>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</si>
  <si>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</si>
  <si>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</si>
  <si>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</si>
  <si>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</si>
  <si>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</si>
  <si>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</si>
  <si>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</si>
  <si>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</si>
  <si>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</si>
  <si>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</si>
  <si>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</si>
  <si>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</si>
  <si>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</si>
  <si>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</si>
  <si>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</si>
  <si>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</si>
  <si>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</si>
  <si>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</si>
  <si>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</si>
  <si>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</si>
  <si>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</si>
  <si>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</si>
  <si>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</si>
  <si>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</si>
  <si>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</si>
  <si>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</si>
  <si>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</si>
  <si>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</si>
  <si>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</si>
  <si>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</si>
  <si>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</si>
  <si>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</si>
  <si>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</si>
  <si>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</si>
  <si>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</si>
  <si>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</si>
  <si>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</si>
  <si>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</si>
  <si>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</si>
  <si>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</si>
  <si>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</si>
  <si>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</si>
  <si>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</si>
  <si>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</si>
  <si>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</si>
  <si>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</si>
  <si>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</si>
  <si>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</si>
  <si>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</si>
  <si>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</si>
  <si>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</si>
  <si>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</si>
  <si>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</si>
  <si>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</si>
  <si>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</si>
  <si>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</si>
  <si>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</si>
  <si>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</si>
  <si>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</si>
  <si>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</si>
  <si>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</si>
  <si>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</si>
  <si>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</si>
  <si>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</si>
  <si>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</si>
  <si>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</si>
  <si>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</si>
  <si>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</si>
  <si>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</si>
  <si>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</si>
  <si>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</si>
  <si>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</si>
  <si>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</si>
  <si>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</si>
  <si>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</si>
  <si>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</si>
  <si>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</si>
  <si>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</si>
  <si>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</si>
  <si>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</si>
  <si>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</si>
  <si>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</si>
  <si>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</si>
  <si>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</si>
  <si>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</si>
  <si>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</si>
  <si>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</si>
  <si>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</si>
  <si>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</si>
  <si>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</si>
  <si>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</si>
  <si>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</si>
  <si>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</si>
  <si>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</si>
  <si>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</si>
  <si>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</si>
  <si>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</si>
  <si>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</si>
  <si>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</si>
  <si>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</si>
  <si>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</si>
  <si>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</si>
  <si>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</si>
  <si>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</si>
  <si>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</si>
  <si>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</si>
  <si>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</si>
  <si>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</si>
  <si>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</si>
  <si>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</si>
  <si>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</si>
  <si>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</si>
  <si>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</si>
  <si>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</si>
  <si>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</si>
  <si>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</si>
  <si>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</si>
  <si>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</si>
  <si>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</si>
  <si>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</si>
  <si>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</si>
  <si>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</si>
  <si>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</si>
  <si>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</si>
  <si>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</si>
  <si>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</si>
  <si>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</si>
  <si>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</si>
  <si>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</si>
  <si>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</si>
  <si>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</si>
  <si>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</si>
  <si>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</si>
  <si>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</si>
  <si>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</si>
  <si>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</si>
  <si>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</si>
  <si>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</si>
  <si>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</si>
  <si>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</si>
  <si>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</si>
  <si>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</si>
  <si>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</si>
  <si>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</si>
  <si>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</si>
  <si>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</si>
  <si>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</si>
  <si>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</si>
  <si>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</si>
  <si>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</si>
  <si>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</si>
  <si>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</si>
  <si>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</si>
  <si>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</si>
  <si>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</si>
  <si>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</si>
  <si>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</si>
  <si>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</si>
  <si>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</si>
  <si>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</si>
  <si>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</si>
  <si>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</si>
  <si>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</si>
  <si>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</si>
  <si>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</si>
  <si>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</si>
  <si>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</si>
  <si>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</si>
  <si>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</si>
  <si>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</si>
  <si>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</si>
  <si>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</si>
  <si>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</si>
  <si>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</si>
  <si>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</si>
  <si>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</si>
  <si>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</si>
  <si>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</si>
  <si>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</si>
  <si>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</si>
  <si>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</si>
  <si>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</si>
  <si>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</si>
  <si>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</si>
  <si>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</si>
  <si>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</si>
  <si>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</si>
  <si>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</si>
  <si>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</si>
  <si>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</si>
  <si>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</si>
  <si>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</si>
  <si>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</si>
  <si>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</si>
  <si>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</si>
  <si>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</si>
  <si>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</si>
  <si>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</si>
  <si>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</si>
  <si>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</si>
  <si>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</si>
  <si>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</si>
  <si>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</si>
  <si>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</si>
  <si>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</si>
  <si>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</si>
  <si>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</si>
  <si>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</si>
  <si>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</si>
  <si>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</si>
  <si>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</si>
  <si>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</si>
  <si>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</si>
  <si>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</si>
  <si>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</si>
  <si>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</si>
  <si>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</si>
  <si>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</si>
  <si>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</si>
  <si>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</si>
  <si>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</si>
  <si>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</si>
  <si>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</si>
  <si>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</si>
  <si>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</si>
  <si>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</si>
  <si>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</si>
  <si>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</si>
  <si>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</si>
  <si>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</si>
  <si>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</si>
  <si>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</si>
  <si>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</si>
  <si>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</si>
  <si>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</si>
  <si>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</si>
  <si>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</si>
  <si>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SMBC総損益</t>
    <rPh sb="4" eb="5">
      <t>ソウ</t>
    </rPh>
    <rPh sb="5" eb="7">
      <t>ソンエキ</t>
    </rPh>
    <phoneticPr fontId="8"/>
  </si>
  <si>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</si>
  <si>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</si>
  <si>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</si>
  <si>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</si>
  <si>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</si>
  <si>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</si>
  <si>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</si>
  <si>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</si>
  <si>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(株)ビーグリー</t>
    <phoneticPr fontId="3"/>
  </si>
  <si>
    <t>東証JQS</t>
    <phoneticPr fontId="2"/>
  </si>
  <si>
    <t>(株)アカツキ</t>
    <phoneticPr fontId="2"/>
  </si>
  <si>
    <t>マザーズ</t>
    <phoneticPr fontId="2"/>
  </si>
  <si>
    <t>東証1部</t>
    <phoneticPr fontId="2"/>
  </si>
  <si>
    <t>-</t>
    <phoneticPr fontId="8"/>
  </si>
  <si>
    <t>抽選中</t>
    <rPh sb="0" eb="3">
      <t>チュウセンチュウ</t>
    </rPh>
    <phoneticPr fontId="8"/>
  </si>
  <si>
    <t>マザーズ</t>
    <phoneticPr fontId="3"/>
  </si>
  <si>
    <t>東証1部</t>
    <phoneticPr fontId="3"/>
  </si>
  <si>
    <t>(株)ネットマーケティング</t>
    <phoneticPr fontId="3"/>
  </si>
  <si>
    <t>アンジェス</t>
    <phoneticPr fontId="2"/>
  </si>
  <si>
    <t>シェアリングテクノロジー</t>
  </si>
  <si>
    <t>抽選前</t>
    <rPh sb="0" eb="2">
      <t>チュウセン</t>
    </rPh>
    <rPh sb="2" eb="3">
      <t>マエ</t>
    </rPh>
    <phoneticPr fontId="2"/>
  </si>
  <si>
    <t>トランザス</t>
  </si>
  <si>
    <t>いちよし証券</t>
    <rPh sb="4" eb="6">
      <t>ショウケン</t>
    </rPh>
    <phoneticPr fontId="2"/>
  </si>
  <si>
    <t>なし</t>
    <phoneticPr fontId="3"/>
  </si>
  <si>
    <t>テモナ(株)</t>
    <phoneticPr fontId="3"/>
  </si>
  <si>
    <t>アセンテック(株)</t>
    <phoneticPr fontId="3"/>
  </si>
  <si>
    <t>トレイダーズHD</t>
    <phoneticPr fontId="2"/>
  </si>
  <si>
    <t>東証JQS</t>
    <phoneticPr fontId="3"/>
  </si>
  <si>
    <t>(株)ロコンド</t>
    <phoneticPr fontId="3"/>
  </si>
  <si>
    <t>(株)ピーバンドットコム</t>
    <phoneticPr fontId="3"/>
  </si>
  <si>
    <t>(株)ファイズ</t>
    <phoneticPr fontId="3"/>
  </si>
  <si>
    <t>(株)力の源ホールディングス</t>
    <phoneticPr fontId="3"/>
  </si>
  <si>
    <t>(株)インターネットインフィニティー</t>
    <phoneticPr fontId="3"/>
  </si>
  <si>
    <t>フルテック(株)</t>
    <phoneticPr fontId="3"/>
  </si>
  <si>
    <t>東証2部</t>
    <phoneticPr fontId="3"/>
  </si>
  <si>
    <t>(株)グリーンズ</t>
    <phoneticPr fontId="3"/>
  </si>
  <si>
    <t>(株)オロ</t>
    <phoneticPr fontId="3"/>
  </si>
  <si>
    <t>(株)ティーケーピー</t>
    <phoneticPr fontId="3"/>
  </si>
  <si>
    <t>(株)Ｎｏ．１</t>
    <phoneticPr fontId="3"/>
  </si>
  <si>
    <t>(株)オークネット</t>
    <phoneticPr fontId="3"/>
  </si>
  <si>
    <t>(株)ユーザーローカル</t>
    <phoneticPr fontId="3"/>
  </si>
  <si>
    <t>ウェーブロックホールディングス(株)</t>
    <phoneticPr fontId="3"/>
  </si>
  <si>
    <t>(株)旅工房</t>
    <phoneticPr fontId="3"/>
  </si>
  <si>
    <t>(株)メイコー</t>
    <phoneticPr fontId="2"/>
  </si>
  <si>
    <t>[1:2]（04/03/26）</t>
    <phoneticPr fontId="2"/>
  </si>
  <si>
    <t>クルーズ(株)</t>
    <phoneticPr fontId="2"/>
  </si>
  <si>
    <t>札幌ア</t>
    <phoneticPr fontId="2"/>
  </si>
  <si>
    <t>Ｆｒｉｎｇｅ８１(株)</t>
    <phoneticPr fontId="2"/>
  </si>
  <si>
    <t>(株)ジーエヌアイグループ</t>
    <phoneticPr fontId="2"/>
  </si>
  <si>
    <t>(株)ツナグ・ソリューションズ</t>
    <phoneticPr fontId="2"/>
  </si>
  <si>
    <t>(株)ＧａｍｅＷｉｔｈ</t>
    <phoneticPr fontId="2"/>
  </si>
  <si>
    <t>アンジェス(株)</t>
    <phoneticPr fontId="2"/>
  </si>
  <si>
    <t>(株)日宣</t>
    <phoneticPr fontId="3"/>
  </si>
  <si>
    <t>なし</t>
    <phoneticPr fontId="3"/>
  </si>
  <si>
    <t>(株)レノバ</t>
    <phoneticPr fontId="3"/>
  </si>
  <si>
    <t>ユナイテッド＆コレクティブ(株)</t>
    <phoneticPr fontId="3"/>
  </si>
  <si>
    <t>なし</t>
    <phoneticPr fontId="3"/>
  </si>
  <si>
    <t>(株)うるる</t>
    <phoneticPr fontId="3"/>
  </si>
  <si>
    <t>(株)ほぼ日</t>
    <phoneticPr fontId="3"/>
  </si>
  <si>
    <t>ジャパンエレベーターサービスホールディングス(株)</t>
    <phoneticPr fontId="3"/>
  </si>
  <si>
    <t>(株)マクロミル</t>
    <phoneticPr fontId="3"/>
  </si>
  <si>
    <t>[1:2]（17/07/27）</t>
    <phoneticPr fontId="3"/>
  </si>
  <si>
    <t>ソレイジア・ファーマ(株)</t>
    <phoneticPr fontId="3"/>
  </si>
  <si>
    <t>[1:7]（17/08/29）</t>
    <phoneticPr fontId="3"/>
  </si>
  <si>
    <t>(株)ズーム</t>
    <phoneticPr fontId="3"/>
  </si>
  <si>
    <t>(株)スシローグローバルホールディングス</t>
    <phoneticPr fontId="3"/>
  </si>
  <si>
    <t>[1:1.1]（91/03/26）</t>
    <phoneticPr fontId="3"/>
  </si>
  <si>
    <t>(株)ＬＩＸＩＬビバ</t>
    <phoneticPr fontId="3"/>
  </si>
  <si>
    <t>(株)アエリア</t>
    <phoneticPr fontId="2"/>
  </si>
  <si>
    <t>[1:2]（17/06/28）</t>
    <phoneticPr fontId="2"/>
  </si>
  <si>
    <t>なし</t>
    <phoneticPr fontId="2"/>
  </si>
  <si>
    <t>[1:100]（13/09/26）</t>
    <phoneticPr fontId="2"/>
  </si>
  <si>
    <t>サイバーステップ(株)</t>
    <phoneticPr fontId="2"/>
  </si>
  <si>
    <t>[1:0.979]（15/05/20）</t>
    <phoneticPr fontId="2"/>
  </si>
  <si>
    <t>(株)アズジェント</t>
    <phoneticPr fontId="2"/>
  </si>
  <si>
    <t>東証JQS</t>
    <phoneticPr fontId="2"/>
  </si>
  <si>
    <t>[1:100]（14/03/27）</t>
    <phoneticPr fontId="2"/>
  </si>
  <si>
    <t>(株)リミックスポイント</t>
    <phoneticPr fontId="2"/>
  </si>
  <si>
    <t>[1:5]（15/07/29）</t>
    <phoneticPr fontId="2"/>
  </si>
  <si>
    <t>(株)エムアップ</t>
    <phoneticPr fontId="2"/>
  </si>
  <si>
    <t>[1:2]（12/12/26）</t>
    <phoneticPr fontId="2"/>
  </si>
  <si>
    <t>(株)ビーブレイクシステムズ</t>
    <phoneticPr fontId="2"/>
  </si>
  <si>
    <t>マザーズ</t>
    <phoneticPr fontId="2"/>
  </si>
  <si>
    <t>ディーエムソリューションズ(株)</t>
    <phoneticPr fontId="2"/>
  </si>
  <si>
    <t>なし</t>
    <phoneticPr fontId="2"/>
  </si>
  <si>
    <t>エコモット(株)</t>
    <phoneticPr fontId="2"/>
  </si>
  <si>
    <t>インフォテリア(株)</t>
    <phoneticPr fontId="2"/>
  </si>
  <si>
    <t>[1:0.895]（14/05/20）</t>
    <phoneticPr fontId="2"/>
  </si>
  <si>
    <t>(株)ＳＹＳホールディングス</t>
    <phoneticPr fontId="2"/>
  </si>
  <si>
    <t>[1:0.964]（14/10/20）</t>
    <phoneticPr fontId="2"/>
  </si>
  <si>
    <t>トレイダーズホールディングス(株)</t>
    <phoneticPr fontId="2"/>
  </si>
  <si>
    <t>東証JQS</t>
    <phoneticPr fontId="2"/>
  </si>
  <si>
    <t>[1:100]（13/09/26）</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</si>
</sst>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Red]\-#,##0;0"/>
    <numFmt numFmtId="177" formatCode="\+0.00;[Red]\-0.00;0.00"/>
    <numFmt numFmtId="178" formatCode="m/d"/>
    <numFmt numFmtId="179" formatCode="#,##0_);[Red]\(#,##0\)"/>
    <numFmt numFmtId="180" formatCode="0.000_ "/>
    <numFmt numFmtId="181" formatCode="#,##0_ ;[Red]\-#,##0\ "/>
    <numFmt numFmtId="182" formatCode="0_ ;[Red]\-0\ "/>
    <numFmt numFmtId="183" formatCode="#,##0.0;[Red]\-#,##0.0"/>
    <numFmt numFmtId="184"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1">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bgColor indexed="64"/>
      </patternFill>
    </fill>
  </fills>
  <borders count="62">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07">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15" xfId="3" applyNumberFormat="1" applyFont="1" applyBorder="1" applyAlignment="1">
      <alignment horizontal="center" vertical="center"/>
    </xf>
    <xf numFmtId="38" fontId="7" fillId="0" borderId="15" xfId="4" applyFont="1" applyBorder="1" applyAlignment="1">
      <alignment horizontal="center" vertical="center"/>
    </xf>
    <xf numFmtId="182" fontId="7" fillId="0" borderId="0" xfId="3" applyNumberFormat="1" applyFont="1" applyAlignment="1">
      <alignment horizontal="center" vertical="center"/>
    </xf>
    <xf numFmtId="182" fontId="9" fillId="5" borderId="15" xfId="3" applyNumberFormat="1" applyFont="1" applyFill="1" applyBorder="1" applyAlignment="1">
      <alignment horizontal="center" vertical="center"/>
    </xf>
    <xf numFmtId="0" fontId="9" fillId="5" borderId="15" xfId="3" applyFont="1" applyFill="1" applyBorder="1" applyAlignment="1">
      <alignment horizontal="center" vertical="center"/>
    </xf>
    <xf numFmtId="0" fontId="9" fillId="3" borderId="15" xfId="3" applyFont="1" applyFill="1" applyBorder="1" applyAlignment="1">
      <alignment horizontal="center" vertical="center"/>
    </xf>
    <xf numFmtId="38" fontId="7" fillId="0" borderId="15" xfId="4" applyNumberFormat="1" applyFont="1" applyBorder="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16" xfId="3" applyFont="1" applyFill="1" applyBorder="1" applyAlignment="1">
      <alignment horizontal="center" vertical="center"/>
    </xf>
    <xf numFmtId="0" fontId="7" fillId="0" borderId="15" xfId="3" applyFont="1" applyBorder="1" applyAlignment="1">
      <alignment horizontal="center" vertical="center"/>
    </xf>
    <xf numFmtId="0" fontId="9" fillId="7" borderId="0" xfId="3" applyFont="1" applyFill="1" applyAlignment="1">
      <alignment horizontal="center" vertical="center"/>
    </xf>
    <xf numFmtId="0" fontId="9" fillId="0" borderId="17" xfId="3" applyFont="1" applyFill="1" applyBorder="1" applyAlignment="1">
      <alignment horizontal="center" vertical="center"/>
    </xf>
    <xf numFmtId="182"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2"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2"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4" fontId="9" fillId="0" borderId="19" xfId="3" applyNumberFormat="1" applyFont="1" applyFill="1" applyBorder="1" applyAlignment="1">
      <alignment horizontal="center" vertical="center"/>
    </xf>
    <xf numFmtId="38" fontId="7" fillId="0" borderId="19"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2"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2"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2"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3"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2"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2"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20" xfId="4" applyFont="1" applyBorder="1" applyAlignment="1">
      <alignment horizontal="center" vertical="center"/>
    </xf>
    <xf numFmtId="38" fontId="7" fillId="0" borderId="20" xfId="4" applyFont="1" applyFill="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8" xfId="4" applyFont="1" applyBorder="1">
      <alignment vertical="center"/>
    </xf>
    <xf numFmtId="38" fontId="7" fillId="0" borderId="20" xfId="4" applyFont="1" applyBorder="1">
      <alignment vertical="center"/>
    </xf>
    <xf numFmtId="0" fontId="7" fillId="0" borderId="18" xfId="3" applyFont="1" applyBorder="1">
      <alignment vertical="center"/>
    </xf>
    <xf numFmtId="0" fontId="7" fillId="0" borderId="20" xfId="3" applyFont="1" applyBorder="1">
      <alignment vertical="center"/>
    </xf>
    <xf numFmtId="38" fontId="7" fillId="0" borderId="20" xfId="4" applyFont="1" applyFill="1" applyBorder="1">
      <alignment vertical="center"/>
    </xf>
    <xf numFmtId="38" fontId="7" fillId="3" borderId="20" xfId="4" applyFont="1" applyFill="1" applyBorder="1">
      <alignment vertical="center"/>
    </xf>
    <xf numFmtId="0" fontId="7" fillId="0" borderId="20" xfId="3" applyFont="1" applyFill="1" applyBorder="1">
      <alignment vertical="center"/>
    </xf>
    <xf numFmtId="0" fontId="7" fillId="3" borderId="20"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1" xfId="3" applyFont="1" applyBorder="1">
      <alignment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25"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6" xfId="3" applyFont="1" applyBorder="1">
      <alignment vertical="center"/>
    </xf>
    <xf numFmtId="0" fontId="7" fillId="0" borderId="27" xfId="3" applyFont="1" applyBorder="1" applyAlignment="1">
      <alignment horizontal="center" vertical="center"/>
    </xf>
    <xf numFmtId="0" fontId="7" fillId="0" borderId="28" xfId="3" applyFont="1" applyBorder="1">
      <alignment vertical="center"/>
    </xf>
    <xf numFmtId="0" fontId="7" fillId="0" borderId="29" xfId="3" applyFont="1" applyBorder="1" applyAlignment="1">
      <alignment horizontal="center" vertical="center"/>
    </xf>
    <xf numFmtId="0" fontId="7" fillId="0" borderId="30" xfId="3" applyFont="1" applyBorder="1" applyAlignment="1">
      <alignment horizontal="center" vertical="center"/>
    </xf>
    <xf numFmtId="0" fontId="7" fillId="0" borderId="31" xfId="3" applyFont="1" applyBorder="1">
      <alignment vertical="center"/>
    </xf>
    <xf numFmtId="0" fontId="7" fillId="0" borderId="32" xfId="3" applyFont="1" applyBorder="1" applyAlignment="1">
      <alignment horizontal="center" vertical="center"/>
    </xf>
    <xf numFmtId="14" fontId="7" fillId="0" borderId="33"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7"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7" xfId="3" applyFont="1" applyFill="1" applyBorder="1" applyAlignment="1">
      <alignment horizontal="center" vertical="center"/>
    </xf>
    <xf numFmtId="0" fontId="7" fillId="0" borderId="29"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4" xfId="3" applyFont="1" applyBorder="1" applyAlignment="1">
      <alignment horizontal="center" vertical="center"/>
    </xf>
    <xf numFmtId="0" fontId="7" fillId="0" borderId="35" xfId="3" applyFont="1" applyBorder="1" applyAlignment="1">
      <alignment horizontal="center" vertical="center"/>
    </xf>
    <xf numFmtId="38" fontId="7" fillId="0" borderId="36" xfId="4" applyFont="1" applyBorder="1" applyAlignment="1">
      <alignment horizontal="center" vertical="center"/>
    </xf>
    <xf numFmtId="38" fontId="7" fillId="0" borderId="37"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8" xfId="4" applyFont="1" applyBorder="1">
      <alignment vertical="center"/>
    </xf>
    <xf numFmtId="38" fontId="7" fillId="0" borderId="39" xfId="4" applyFont="1" applyBorder="1">
      <alignment vertical="center"/>
    </xf>
    <xf numFmtId="38" fontId="7" fillId="0" borderId="40" xfId="4" applyFont="1" applyBorder="1">
      <alignment vertical="center"/>
    </xf>
    <xf numFmtId="38" fontId="18" fillId="0" borderId="0" xfId="4" applyFont="1">
      <alignment vertical="center"/>
    </xf>
    <xf numFmtId="38" fontId="19" fillId="0" borderId="38" xfId="4" applyFont="1" applyBorder="1">
      <alignment vertical="center"/>
    </xf>
    <xf numFmtId="38" fontId="18" fillId="0" borderId="39" xfId="4" applyFont="1" applyBorder="1">
      <alignment vertical="center"/>
    </xf>
    <xf numFmtId="38" fontId="19" fillId="0" borderId="39" xfId="4" applyFont="1" applyBorder="1">
      <alignment vertical="center"/>
    </xf>
    <xf numFmtId="38" fontId="9" fillId="0" borderId="41" xfId="4" applyFont="1" applyBorder="1">
      <alignment vertical="center"/>
    </xf>
    <xf numFmtId="38" fontId="7" fillId="0" borderId="0" xfId="4" applyFont="1" applyBorder="1">
      <alignment vertical="center"/>
    </xf>
    <xf numFmtId="38" fontId="7" fillId="0" borderId="42" xfId="4" applyFont="1" applyBorder="1">
      <alignment vertical="center"/>
    </xf>
    <xf numFmtId="38" fontId="18" fillId="0" borderId="41"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45" xfId="4" applyFont="1" applyBorder="1">
      <alignment vertical="center"/>
    </xf>
    <xf numFmtId="38" fontId="7" fillId="0" borderId="0" xfId="4" quotePrefix="1" applyFont="1">
      <alignment vertical="center"/>
    </xf>
    <xf numFmtId="38" fontId="7" fillId="0" borderId="41" xfId="4" applyFont="1" applyBorder="1">
      <alignment vertical="center"/>
    </xf>
    <xf numFmtId="38" fontId="12" fillId="0" borderId="44"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50" xfId="3" applyNumberFormat="1" applyFont="1" applyFill="1" applyBorder="1">
      <alignment vertical="center"/>
    </xf>
    <xf numFmtId="14" fontId="7" fillId="16" borderId="51" xfId="3" applyNumberFormat="1" applyFont="1" applyFill="1" applyBorder="1">
      <alignment vertical="center"/>
    </xf>
    <xf numFmtId="14" fontId="7" fillId="0" borderId="52" xfId="3" applyNumberFormat="1" applyFont="1" applyBorder="1" applyAlignment="1">
      <alignment horizontal="center" vertical="center"/>
    </xf>
    <xf numFmtId="14" fontId="7" fillId="0" borderId="53" xfId="3" applyNumberFormat="1" applyFont="1" applyFill="1" applyBorder="1" applyAlignment="1">
      <alignment horizontal="center" vertical="center"/>
    </xf>
    <xf numFmtId="14" fontId="7" fillId="0" borderId="52"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7" xfId="4" applyFont="1" applyFill="1" applyBorder="1">
      <alignment vertical="center"/>
    </xf>
    <xf numFmtId="38" fontId="7" fillId="16" borderId="54" xfId="4" applyFont="1" applyFill="1" applyBorder="1">
      <alignment vertical="center"/>
    </xf>
    <xf numFmtId="10" fontId="7" fillId="0" borderId="55"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5"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6" xfId="4" applyFont="1" applyFill="1" applyBorder="1">
      <alignment vertical="center"/>
    </xf>
    <xf numFmtId="38" fontId="7" fillId="16" borderId="57" xfId="4" applyFont="1" applyFill="1" applyBorder="1">
      <alignment vertical="center"/>
    </xf>
    <xf numFmtId="10" fontId="7" fillId="7" borderId="58"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8"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8"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6"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2" xfId="3" applyFont="1" applyFill="1" applyBorder="1">
      <alignment vertical="center"/>
    </xf>
    <xf numFmtId="0" fontId="7" fillId="14" borderId="58" xfId="3" applyFont="1" applyFill="1" applyBorder="1">
      <alignment vertical="center"/>
    </xf>
    <xf numFmtId="0" fontId="7" fillId="0" borderId="52" xfId="3" applyFont="1" applyBorder="1">
      <alignment vertical="center"/>
    </xf>
    <xf numFmtId="0" fontId="7" fillId="14" borderId="15" xfId="3" applyFont="1" applyFill="1" applyBorder="1">
      <alignment vertical="center"/>
    </xf>
    <xf numFmtId="0" fontId="7" fillId="0" borderId="50" xfId="3" applyFont="1" applyBorder="1">
      <alignment vertical="center"/>
    </xf>
    <xf numFmtId="0" fontId="7" fillId="0" borderId="17" xfId="3" applyFont="1" applyBorder="1">
      <alignment vertical="center"/>
    </xf>
    <xf numFmtId="0" fontId="7" fillId="0" borderId="56" xfId="3" applyFont="1" applyBorder="1">
      <alignment vertical="center"/>
    </xf>
    <xf numFmtId="0" fontId="7" fillId="14" borderId="50" xfId="3" applyFont="1" applyFill="1" applyBorder="1">
      <alignment vertical="center"/>
    </xf>
    <xf numFmtId="0" fontId="7" fillId="14" borderId="17" xfId="3" applyFont="1" applyFill="1" applyBorder="1">
      <alignment vertical="center"/>
    </xf>
    <xf numFmtId="0" fontId="7" fillId="14" borderId="56"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2"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2"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2"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8"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20"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20"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2"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14" fontId="9" fillId="19" borderId="15" xfId="3" applyNumberFormat="1" applyFont="1" applyFill="1" applyBorder="1" applyAlignment="1">
      <alignment horizontal="center" vertical="center"/>
    </xf>
    <xf numFmtId="0" fontId="9" fillId="19" borderId="15" xfId="3"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8"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2"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9"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9"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9"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9"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2"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9" xfId="4" applyFont="1" applyFill="1" applyBorder="1" applyAlignment="1">
      <alignment horizontal="center" vertical="center"/>
    </xf>
    <xf numFmtId="38" fontId="7" fillId="8" borderId="20"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14" fontId="9" fillId="20" borderId="15" xfId="3" applyNumberFormat="1" applyFont="1" applyFill="1" applyBorder="1" applyAlignment="1">
      <alignment horizontal="center" vertical="center"/>
    </xf>
    <xf numFmtId="0" fontId="9" fillId="20" borderId="15" xfId="3" applyFont="1" applyFill="1" applyBorder="1" applyAlignment="1">
      <alignment horizontal="center" vertical="center"/>
    </xf>
    <xf numFmtId="0" fontId="9" fillId="0" borderId="55" xfId="3" applyFont="1" applyBorder="1">
      <alignment vertical="center"/>
    </xf>
    <xf numFmtId="0" fontId="9" fillId="0" borderId="17" xfId="3" applyFont="1" applyBorder="1">
      <alignment vertical="center"/>
    </xf>
    <xf numFmtId="0" fontId="9" fillId="0" borderId="54" xfId="3" applyFont="1" applyBorder="1">
      <alignment vertical="center"/>
    </xf>
    <xf numFmtId="179" fontId="9" fillId="16" borderId="10" xfId="3" applyNumberFormat="1" applyFont="1" applyFill="1" applyBorder="1" applyAlignment="1">
      <alignment horizontal="center" vertical="center"/>
    </xf>
    <xf numFmtId="0" fontId="9" fillId="9" borderId="60"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1" xfId="3" applyFont="1" applyFill="1" applyBorder="1" applyAlignment="1">
      <alignment horizontal="center" vertical="center"/>
    </xf>
    <xf numFmtId="3" fontId="9" fillId="0" borderId="27" xfId="3" applyNumberFormat="1" applyFont="1" applyFill="1" applyBorder="1" applyAlignment="1">
      <alignment horizontal="center" vertical="center"/>
    </xf>
    <xf numFmtId="38" fontId="23" fillId="0" borderId="0" xfId="4" applyFont="1" applyAlignment="1">
      <alignment horizontal="left" vertical="center"/>
    </xf>
    <xf numFmtId="38" fontId="7" fillId="0" borderId="20" xfId="7" applyFont="1" applyBorder="1">
      <alignment vertical="center"/>
    </xf>
    <xf numFmtId="0" fontId="7" fillId="0" borderId="20" xfId="3" applyFont="1" applyFill="1" applyBorder="1" applyAlignment="1">
      <alignment horizontal="center" vertical="center"/>
    </xf>
    <xf numFmtId="182"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184" fontId="9" fillId="3" borderId="1" xfId="3" applyNumberFormat="1" applyFont="1" applyFill="1" applyBorder="1" applyAlignment="1">
      <alignment horizontal="center" vertical="center"/>
    </xf>
    <xf numFmtId="184" fontId="9" fillId="3" borderId="4" xfId="3" applyNumberFormat="1" applyFont="1" applyFill="1" applyBorder="1" applyAlignment="1">
      <alignment horizontal="center" vertical="center"/>
    </xf>
    <xf numFmtId="38" fontId="9" fillId="0" borderId="22" xfId="3" applyNumberFormat="1" applyFont="1" applyBorder="1" applyAlignment="1">
      <alignment horizontal="center" vertical="center"/>
    </xf>
    <xf numFmtId="0" fontId="9" fillId="0" borderId="25" xfId="3" applyFont="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38" fontId="9" fillId="6" borderId="49" xfId="4" applyFont="1" applyFill="1" applyBorder="1" applyAlignment="1">
      <alignment horizontal="center" vertical="center"/>
    </xf>
    <xf numFmtId="0" fontId="7" fillId="14" borderId="50" xfId="3" applyFont="1" applyFill="1" applyBorder="1" applyAlignment="1">
      <alignment horizontal="left" vertical="center"/>
    </xf>
    <xf numFmtId="0" fontId="7" fillId="14" borderId="56" xfId="3" applyFont="1" applyFill="1" applyBorder="1" applyAlignment="1">
      <alignment horizontal="left" vertical="center"/>
    </xf>
    <xf numFmtId="0" fontId="7" fillId="0" borderId="50" xfId="3" applyFont="1" applyBorder="1" applyAlignment="1">
      <alignment horizontal="left" vertical="center"/>
    </xf>
    <xf numFmtId="0" fontId="7" fillId="0" borderId="56" xfId="3" applyFont="1" applyBorder="1" applyAlignment="1">
      <alignment horizontal="left" vertical="center"/>
    </xf>
    <xf numFmtId="0" fontId="7" fillId="0" borderId="15" xfId="3" applyFont="1" applyBorder="1" applyAlignment="1">
      <alignment horizontal="left" vertical="center"/>
    </xf>
    <xf numFmtId="0" fontId="7" fillId="14" borderId="17"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9">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ndense val="0"/>
        <extend val="0"/>
        <color rgb="FF9C0006"/>
      </font>
    </dxf>
    <dxf>
      <font>
        <condense val="0"/>
        <extend val="0"/>
        <color rgb="FF9C0006"/>
      </font>
    </dxf>
    <dxf>
      <font>
        <condense val="0"/>
        <extend val="0"/>
        <color rgb="FF9C0006"/>
      </font>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 xmlns:a16="http://schemas.microsoft.com/office/drawing/2014/main" id="{B4703D29-06B4-494B-B8DE-4D0C29BB3C9B}"/>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 xmlns:a16="http://schemas.microsoft.com/office/drawing/2014/main" id="{22F52DDA-8FA4-4461-A4E7-B7E65AF2FB9C}"/>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 xmlns:a16="http://schemas.microsoft.com/office/drawing/2014/main" id="{67AEC0AD-3EEA-48AF-98DC-38B17EE1BD4B}"/>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 xmlns:a16="http://schemas.microsoft.com/office/drawing/2014/main" id="{95B26D1D-4C98-4741-ACBD-2AC72B6A1767}"/>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 xmlns:a16="http://schemas.microsoft.com/office/drawing/2014/main" id="{4C99CF92-B24D-4453-A795-A35014269115}"/>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 xmlns:a16="http://schemas.microsoft.com/office/drawing/2014/main" id="{5E028021-8253-4A4C-BA2D-C06DC5DD8A82}"/>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 xmlns:a16="http://schemas.microsoft.com/office/drawing/2014/main" id="{4A2474BA-52C7-4873-BD87-AF7C9ABAD961}"/>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 xmlns:a16="http://schemas.microsoft.com/office/drawing/2014/main" id="{03654663-6A72-4520-BCDB-173C6BC16B2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 xmlns:a16="http://schemas.microsoft.com/office/drawing/2014/main" id="{0D9A9E6E-5836-4ADE-B0CC-A4655D0A602F}"/>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 xmlns:a16="http://schemas.microsoft.com/office/drawing/2014/main" id="{3DF5E7AF-1D1A-475E-B1DC-BA75BBB52F24}"/>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 xmlns:a16="http://schemas.microsoft.com/office/drawing/2014/main" id="{B72AB4D6-1B2F-4367-BE3C-0D1D923D75BB}"/>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 xmlns:a16="http://schemas.microsoft.com/office/drawing/2014/main" id="{91C1D000-5114-48CE-9EDF-0E958CA9657B}"/>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 xmlns:a16="http://schemas.microsoft.com/office/drawing/2014/main" id="{DF7B07DF-C1DE-43BD-993D-65F722AC854B}"/>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 xmlns:a16="http://schemas.microsoft.com/office/drawing/2014/main" id="{216C8624-935D-4E4D-AD94-7EF3CBADED28}"/>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 xmlns:a16="http://schemas.microsoft.com/office/drawing/2014/main" id="{6AC7B0F6-A3A8-4B4F-B307-89D1762D45B2}"/>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 xmlns:a16="http://schemas.microsoft.com/office/drawing/2014/main" id="{7337ED7F-87AA-4E8B-A662-32DE9FA352C2}"/>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 xmlns:a16="http://schemas.microsoft.com/office/drawing/2014/main" id="{7B921214-FEF9-433E-8928-D475E36FC058}"/>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 xmlns:a16="http://schemas.microsoft.com/office/drawing/2014/main" id="{EA7E89D5-D388-454B-98F0-D324AB7C44DE}"/>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 xmlns:a16="http://schemas.microsoft.com/office/drawing/2014/main" id="{5CB69E3D-4169-4A47-ADBE-01F958A420A2}"/>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 xmlns:a16="http://schemas.microsoft.com/office/drawing/2014/main" id="{2F1A6013-86D6-483B-A60F-E2D553B7C317}"/>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 xmlns:a16="http://schemas.microsoft.com/office/drawing/2014/main" id="{E81E04C1-A22F-474B-8DC1-ADFDB9690E9B}"/>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 xmlns:a16="http://schemas.microsoft.com/office/drawing/2014/main" id="{A4993E77-3F49-48A4-BBAD-30E41F2F1621}"/>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 xmlns:a16="http://schemas.microsoft.com/office/drawing/2014/main" id="{FB3F318A-2329-4BFB-8D95-1EB94021EA92}"/>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 xmlns:a16="http://schemas.microsoft.com/office/drawing/2014/main" id="{3364BAD7-F192-4F1E-825E-5A6959BF1A74}"/>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 xmlns:a16="http://schemas.microsoft.com/office/drawing/2014/main" id="{3886EFC1-5BFF-4B27-A103-2024949DB4EA}"/>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 xmlns:a16="http://schemas.microsoft.com/office/drawing/2014/main" id="{33A7A225-C5BF-4685-B931-0D4636644632}"/>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 xmlns:a16="http://schemas.microsoft.com/office/drawing/2014/main" id="{BF6FB30E-BB17-4CC9-A459-22F386BEFFA2}"/>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 xmlns:a16="http://schemas.microsoft.com/office/drawing/2014/main" id="{C0B97650-6EBE-43B8-820E-E994A32A0D29}"/>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 xmlns:a16="http://schemas.microsoft.com/office/drawing/2014/main" id="{2647778B-8CD6-4D8C-B1FF-48EBD932208B}"/>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 xmlns:a16="http://schemas.microsoft.com/office/drawing/2014/main" id="{F070FC5F-E381-4977-A4E8-56CE7EDDA4C2}"/>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 xmlns:a16="http://schemas.microsoft.com/office/drawing/2014/main" id="{CF251AAD-9EFC-4EB4-9CFE-A67AFDA00868}"/>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 xmlns:a16="http://schemas.microsoft.com/office/drawing/2014/main" id="{EB534028-9576-4603-B3F2-0F7C125994A5}"/>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 xmlns:a16="http://schemas.microsoft.com/office/drawing/2014/main" id="{0C31E606-41E8-4022-96E9-668D78112C1D}"/>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 xmlns:a16="http://schemas.microsoft.com/office/drawing/2014/main" id="{54E12883-DFA1-45D7-9F4F-377E81EE9FAC}"/>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 xmlns:a16="http://schemas.microsoft.com/office/drawing/2014/main" id="{8C47317B-465F-47F6-9984-4224B5C92E4E}"/>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 xmlns:a16="http://schemas.microsoft.com/office/drawing/2014/main" id="{8FF03E4D-2B07-4269-91C8-8A5560CBB2B2}"/>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 xmlns:a16="http://schemas.microsoft.com/office/drawing/2014/main" id="{E91AF787-2E60-4E9E-9257-A6D908BA9DDD}"/>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 xmlns:a16="http://schemas.microsoft.com/office/drawing/2014/main" id="{D42ADCB3-D45F-434B-B013-002841ABC3FA}"/>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 xmlns:a16="http://schemas.microsoft.com/office/drawing/2014/main" id="{3B6FEE5C-027A-43AE-B6BD-EFF0DDC7F14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 xmlns:a16="http://schemas.microsoft.com/office/drawing/2014/main" id="{B3F0A94C-E78B-4215-99D4-CD0F3A0100B8}"/>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 xmlns:a16="http://schemas.microsoft.com/office/drawing/2014/main" id="{60C1A046-E867-487E-B7CD-82D1894750F6}"/>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 xmlns:a16="http://schemas.microsoft.com/office/drawing/2014/main" id="{3D983658-C883-4673-8308-BF397923C6B3}"/>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 xmlns:a16="http://schemas.microsoft.com/office/drawing/2014/main" id="{D4366BD6-B527-4987-93DE-A753CF06DAFE}"/>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 xmlns:a16="http://schemas.microsoft.com/office/drawing/2014/main" id="{0E254FD0-EC02-465E-8482-E0DDAAAECFC8}"/>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 xmlns:a16="http://schemas.microsoft.com/office/drawing/2014/main" id="{E5FA039C-B168-406B-8993-2CB977E6F24E}"/>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 xmlns:a16="http://schemas.microsoft.com/office/drawing/2014/main" id="{975E70B3-E9F0-4236-A1A0-0621A4CCD6FA}"/>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 xmlns:a16="http://schemas.microsoft.com/office/drawing/2014/main" id="{018A6397-5BE3-4120-ACFA-B867C4F49136}"/>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 xmlns:a16="http://schemas.microsoft.com/office/drawing/2014/main" id="{CC23CBC8-6B40-4B51-BCB4-F233B084D577}"/>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 xmlns:a16="http://schemas.microsoft.com/office/drawing/2014/main" id="{666BD613-C11A-4D8E-A1B0-ED93DC41CB75}"/>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 xmlns:a16="http://schemas.microsoft.com/office/drawing/2014/main" id="{917C456B-2437-43F5-86DA-4C197DC35806}"/>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 xmlns:a16="http://schemas.microsoft.com/office/drawing/2014/main" id="{083D272F-0EDC-426A-A811-6C3EB4366DAA}"/>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 xmlns:a16="http://schemas.microsoft.com/office/drawing/2014/main" id="{402CC3A9-C833-44E0-AFAF-4C4414A544E6}"/>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 xmlns:a16="http://schemas.microsoft.com/office/drawing/2014/main" id="{D150AF77-F1A4-4004-9373-12B951232D5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 xmlns:a16="http://schemas.microsoft.com/office/drawing/2014/main" id="{BC5E7E54-5AF7-4510-988D-7DCA7059B501}"/>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 xmlns:a16="http://schemas.microsoft.com/office/drawing/2014/main" id="{AF9A7162-C297-4EBC-AACD-DBCCBFCFE352}"/>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 xmlns:a16="http://schemas.microsoft.com/office/drawing/2014/main" id="{DEA4F44C-4B52-47BB-B1EC-FA695F2E69A4}"/>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 xmlns:a16="http://schemas.microsoft.com/office/drawing/2014/main" id="{C2719A83-21D0-42F6-B39B-A05441AE6A19}"/>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 xmlns:a16="http://schemas.microsoft.com/office/drawing/2014/main" id="{0B92626E-F72E-4A24-B608-54D25F71B2AE}"/>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 xmlns:a16="http://schemas.microsoft.com/office/drawing/2014/main" id="{923F9753-CB07-4C4A-8962-C439C6259138}"/>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 xmlns:a16="http://schemas.microsoft.com/office/drawing/2014/main" id="{9CEE291F-F8A5-4833-8B92-15BF3C442EA7}"/>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 xmlns:a16="http://schemas.microsoft.com/office/drawing/2014/main" id="{9FB83998-72EC-4BDC-8050-49E5CF477305}"/>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 xmlns:a16="http://schemas.microsoft.com/office/drawing/2014/main" id="{FA83D7CF-F374-4983-A413-5C5301913745}"/>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 xmlns:a16="http://schemas.microsoft.com/office/drawing/2014/main" id="{4D02A96F-AC78-435F-880D-577EB14698C8}"/>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 xmlns:a16="http://schemas.microsoft.com/office/drawing/2014/main" id="{189B7379-F633-4A46-B000-3A9A2D4561C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 xmlns:a16="http://schemas.microsoft.com/office/drawing/2014/main" id="{B63A7695-D55A-4D61-A3F2-B33C48C76796}"/>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 xmlns:a16="http://schemas.microsoft.com/office/drawing/2014/main" id="{71074609-34ED-4768-9D8F-8A0A3516ACEF}"/>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 xmlns:a16="http://schemas.microsoft.com/office/drawing/2014/main" id="{58DC0D2D-CDF8-445B-AF13-BE45B21DDDB7}"/>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 xmlns:a16="http://schemas.microsoft.com/office/drawing/2014/main" id="{1C449053-8C3D-47C1-AB9B-3B880E86BFF2}"/>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 xmlns:a16="http://schemas.microsoft.com/office/drawing/2014/main" id="{B04CC144-CD52-4FDA-ADA3-B2B708A2613A}"/>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 xmlns:a16="http://schemas.microsoft.com/office/drawing/2014/main" id="{1E22ECA6-2312-4063-96BC-5A9875F607E4}"/>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 xmlns:a16="http://schemas.microsoft.com/office/drawing/2014/main" id="{912A8D93-77D4-47F2-9685-5651AEDF9354}"/>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 xmlns:a16="http://schemas.microsoft.com/office/drawing/2014/main" id="{EC8B8E2D-018C-4EA2-924C-1AB66B01BDCF}"/>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 xmlns:a16="http://schemas.microsoft.com/office/drawing/2014/main" id="{A4F4E063-D756-4373-A489-9136700A3FD8}"/>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 xmlns:a16="http://schemas.microsoft.com/office/drawing/2014/main" id="{108394BE-BFCD-4818-9172-CB8173BAC3FB}"/>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 xmlns:a16="http://schemas.microsoft.com/office/drawing/2014/main" id="{D9E05F9F-20B0-4EFD-82C8-E41C6AC27082}"/>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 xmlns:a16="http://schemas.microsoft.com/office/drawing/2014/main" id="{57CD1686-6AA7-456E-A5E4-9DBD88A7F31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 xmlns:a16="http://schemas.microsoft.com/office/drawing/2014/main" id="{ADA8F29F-5899-412D-B7D7-B34DD912521A}"/>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 xmlns:a16="http://schemas.microsoft.com/office/drawing/2014/main" id="{30E1551B-A0D9-435D-A151-15B98E0984BE}"/>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 xmlns:a16="http://schemas.microsoft.com/office/drawing/2014/main" id="{6C4D1BA4-1F43-4E3D-9318-B80A71B4E7EB}"/>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 xmlns:a16="http://schemas.microsoft.com/office/drawing/2014/main" id="{2578F2A7-80C6-42FB-9F6C-D6C5E83090CE}"/>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 xmlns:a16="http://schemas.microsoft.com/office/drawing/2014/main" id="{791A7FD8-6137-4FF8-AFF4-4D81B458FDE9}"/>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 xmlns:a16="http://schemas.microsoft.com/office/drawing/2014/main" id="{89175227-3E2B-410E-9129-3037A2CAF0B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 xmlns:a16="http://schemas.microsoft.com/office/drawing/2014/main" id="{00000000-0008-0000-0500-000004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 xmlns:a16="http://schemas.microsoft.com/office/drawing/2014/main" id="{00000000-0008-0000-0500-000006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 xmlns:a16="http://schemas.microsoft.com/office/drawing/2014/main" id="{00000000-0008-0000-07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 xmlns:a16="http://schemas.microsoft.com/office/drawing/2014/main" id="{00000000-0008-0000-07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 xmlns:a16="http://schemas.microsoft.com/office/drawing/2014/main" id="{00000000-0008-0000-07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 xmlns:a16="http://schemas.microsoft.com/office/drawing/2014/main" id="{00000000-0008-0000-07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 xmlns:a16="http://schemas.microsoft.com/office/drawing/2014/main" id="{00000000-0008-0000-07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 xmlns:a16="http://schemas.microsoft.com/office/drawing/2014/main" id="{00000000-0008-0000-07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 xmlns:a16="http://schemas.microsoft.com/office/drawing/2014/main" id="{00000000-0008-0000-07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 xmlns:a16="http://schemas.microsoft.com/office/drawing/2014/main" id="{00000000-0008-0000-07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 xmlns:a16="http://schemas.microsoft.com/office/drawing/2014/main" id="{00000000-0008-0000-07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 xmlns:a16="http://schemas.microsoft.com/office/drawing/2014/main" id="{00000000-0008-0000-0700-0000010C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 xmlns:a16="http://schemas.microsoft.com/office/drawing/2014/main" id="{00000000-0008-0000-0700-00000E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 xmlns:a16="http://schemas.microsoft.com/office/drawing/2014/main" id="{00000000-0008-0000-0700-000010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 xmlns:a16="http://schemas.microsoft.com/office/drawing/2014/main" id="{00000000-0008-0000-0700-000011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 xmlns:a16="http://schemas.microsoft.com/office/drawing/2014/main" id="{00000000-0008-0000-0700-000012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 xmlns:a16="http://schemas.microsoft.com/office/drawing/2014/main" id="{00000000-0008-0000-0700-0000020C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 xmlns:a16="http://schemas.microsoft.com/office/drawing/2014/main" id="{00000000-0008-0000-0700-000016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 xmlns:a16="http://schemas.microsoft.com/office/drawing/2014/main" id="{00000000-0008-0000-0700-000017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 xmlns:a16="http://schemas.microsoft.com/office/drawing/2014/main" id="{00000000-0008-0000-0700-00000104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 xmlns:a16="http://schemas.microsoft.com/office/drawing/2014/main" id="{00000000-0008-0000-0700-00000204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3" Type="http://schemas.openxmlformats.org/officeDocument/2006/relationships/hyperlink" Target="https://stocks.finance.yahoo.co.jp/stocks/detail/?code=3557"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vmlDrawing" Target="../drawings/vmlDrawing1.v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drawing" Target="../drawings/drawing1.xm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image" Target="../media/image1.emf"/><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8" Type="http://schemas.openxmlformats.org/officeDocument/2006/relationships/hyperlink" Target="https://stocks.finance.yahoo.co.jp/stocks/detail/?code=3560" TargetMode="External"/><Relationship Id="rId51"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D49"/>
  <sheetViews>
    <sheetView topLeftCell="D1" zoomScale="80" zoomScaleNormal="80" workbookViewId="0">
      <pane ySplit="2" topLeftCell="A9" activePane="bottomLeft" state="frozen"/>
      <selection activeCell="A20" sqref="A20"/>
      <selection pane="bottomLeft" activeCell="Q45" sqref="Q45"/>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x14ac:dyDescent="0.3">
      <c r="A1" s="388" t="s">
        <v>14</v>
      </c>
      <c r="B1" s="388"/>
      <c r="D1" s="13" t="s">
        <v>15</v>
      </c>
      <c r="E1" s="14" t="s">
        <v>16</v>
      </c>
      <c r="H1" s="16" t="s">
        <v>17</v>
      </c>
      <c r="I1" s="17">
        <f>340000-SUM(J:J)+'セカンダリ投資分析(SBI証券)'!N1</f>
        <v>355751</v>
      </c>
      <c r="J1" s="18"/>
      <c r="K1" s="17">
        <f>500000-SUM(L:L)+'セカンダリ投資分析(SBI証券)'!AD1</f>
        <v>510435</v>
      </c>
      <c r="L1" s="18"/>
      <c r="M1" s="19">
        <f>300000-N1+'セカンダリ投資分析(SBI証券)'!G1</f>
        <v>269162</v>
      </c>
      <c r="N1" s="15">
        <f>SUM(N3:N47)</f>
        <v>0</v>
      </c>
      <c r="O1" s="19">
        <f>2000000+'セカンダリ投資分析(SBI証券)'!S1</f>
        <v>1866672.0999999994</v>
      </c>
      <c r="P1" s="15"/>
      <c r="Q1" s="19">
        <f>50000</f>
        <v>50000</v>
      </c>
      <c r="R1" s="15"/>
      <c r="S1" s="20" t="s">
        <v>481</v>
      </c>
      <c r="V1" s="23"/>
      <c r="W1" s="24"/>
    </row>
    <row r="2" spans="1:29" ht="16.5" thickBot="1" x14ac:dyDescent="0.3">
      <c r="B2" s="323" t="s">
        <v>18</v>
      </c>
      <c r="C2" s="323" t="s">
        <v>19</v>
      </c>
      <c r="D2" s="323" t="s">
        <v>20</v>
      </c>
      <c r="E2" s="323" t="s">
        <v>21</v>
      </c>
      <c r="F2" s="323" t="s">
        <v>22</v>
      </c>
      <c r="G2" s="325" t="s">
        <v>23</v>
      </c>
      <c r="H2" s="332" t="s">
        <v>24</v>
      </c>
      <c r="I2" s="28" t="s">
        <v>25</v>
      </c>
      <c r="J2" s="28"/>
      <c r="K2" s="28" t="s">
        <v>26</v>
      </c>
      <c r="L2" s="28"/>
      <c r="M2" s="28" t="s">
        <v>27</v>
      </c>
      <c r="N2" s="29"/>
      <c r="O2" s="28" t="s">
        <v>28</v>
      </c>
      <c r="P2" s="29"/>
      <c r="Q2" s="367" t="s">
        <v>478</v>
      </c>
      <c r="R2" s="29"/>
      <c r="S2" s="323" t="s">
        <v>29</v>
      </c>
      <c r="T2" s="326" t="s">
        <v>30</v>
      </c>
      <c r="U2" s="324" t="s">
        <v>31</v>
      </c>
      <c r="V2" s="323" t="s">
        <v>32</v>
      </c>
      <c r="W2" s="323" t="s">
        <v>33</v>
      </c>
      <c r="Y2" s="31" t="s">
        <v>22</v>
      </c>
      <c r="Z2" s="31" t="s">
        <v>29</v>
      </c>
      <c r="AA2" s="31" t="s">
        <v>34</v>
      </c>
      <c r="AB2" s="31" t="s">
        <v>24</v>
      </c>
      <c r="AC2" s="31" t="s">
        <v>35</v>
      </c>
    </row>
    <row r="3" spans="1:29" ht="16.5" thickTop="1" x14ac:dyDescent="0.25">
      <c r="A3" s="12">
        <f>ROW()-2</f>
        <v>1</v>
      </c>
      <c r="B3" s="272" t="s">
        <v>36</v>
      </c>
      <c r="C3" s="273" t="s">
        <v>37</v>
      </c>
      <c r="D3" s="273" t="s">
        <v>37</v>
      </c>
      <c r="E3" s="273">
        <v>42774</v>
      </c>
      <c r="F3" s="272" t="s">
        <v>38</v>
      </c>
      <c r="G3" s="274">
        <v>1600</v>
      </c>
      <c r="H3" s="275"/>
      <c r="I3" s="272" t="s">
        <v>39</v>
      </c>
      <c r="J3" s="272"/>
      <c r="K3" s="272" t="s">
        <v>37</v>
      </c>
      <c r="L3" s="272"/>
      <c r="M3" s="272" t="s">
        <v>37</v>
      </c>
      <c r="N3" s="272"/>
      <c r="O3" s="272" t="s">
        <v>37</v>
      </c>
      <c r="P3" s="272"/>
      <c r="Q3" s="272" t="s">
        <v>37</v>
      </c>
      <c r="R3" s="272"/>
      <c r="S3" s="276" t="s">
        <v>40</v>
      </c>
      <c r="T3" s="273">
        <v>42782</v>
      </c>
      <c r="U3" s="277">
        <v>3000</v>
      </c>
      <c r="V3" s="275" t="str">
        <f>CONCATENATE((IF(ISBLANK(U3),0,U3)-IF(ISBLANK(G3),0,G3))/IF(ISBLANK(G3),0,G3)*100,"%")</f>
        <v>87.5%</v>
      </c>
      <c r="W3" s="272" t="s">
        <v>41</v>
      </c>
      <c r="Y3" s="32" t="s">
        <v>42</v>
      </c>
      <c r="Z3" s="33" t="s">
        <v>40</v>
      </c>
      <c r="AA3" s="34">
        <f t="shared" ref="AA3:AA11" si="0">COUNTIF(S:S,Z3)</f>
        <v>7</v>
      </c>
      <c r="AB3" s="34" t="s">
        <v>43</v>
      </c>
      <c r="AC3" s="34" t="s">
        <v>44</v>
      </c>
    </row>
    <row r="4" spans="1:29" x14ac:dyDescent="0.25">
      <c r="A4" s="12">
        <f t="shared" ref="A4:A49" si="1">ROW()-2</f>
        <v>2</v>
      </c>
      <c r="B4" s="278" t="s">
        <v>45</v>
      </c>
      <c r="C4" s="279" t="s">
        <v>37</v>
      </c>
      <c r="D4" s="279" t="s">
        <v>37</v>
      </c>
      <c r="E4" s="279">
        <v>42781</v>
      </c>
      <c r="F4" s="278" t="s">
        <v>46</v>
      </c>
      <c r="G4" s="280">
        <v>750</v>
      </c>
      <c r="H4" s="278" t="s">
        <v>47</v>
      </c>
      <c r="I4" s="278" t="s">
        <v>39</v>
      </c>
      <c r="J4" s="278"/>
      <c r="K4" s="278" t="s">
        <v>39</v>
      </c>
      <c r="L4" s="278"/>
      <c r="M4" s="278" t="s">
        <v>39</v>
      </c>
      <c r="N4" s="278"/>
      <c r="O4" s="278" t="s">
        <v>37</v>
      </c>
      <c r="P4" s="278"/>
      <c r="Q4" s="278" t="s">
        <v>37</v>
      </c>
      <c r="R4" s="278"/>
      <c r="S4" s="281" t="s">
        <v>40</v>
      </c>
      <c r="T4" s="279">
        <v>42789</v>
      </c>
      <c r="U4" s="282">
        <v>1125</v>
      </c>
      <c r="V4" s="278" t="str">
        <f>CONCATENATE((IF(ISBLANK(U4),0,U4)-IF(ISBLANK(G4),0,G4))/IF(ISBLANK(G4),0,G4)*100,"%")</f>
        <v>50%</v>
      </c>
      <c r="W4" s="278"/>
      <c r="Y4" s="35" t="s">
        <v>48</v>
      </c>
      <c r="Z4" s="36" t="s">
        <v>49</v>
      </c>
      <c r="AA4" s="34">
        <f t="shared" si="0"/>
        <v>3</v>
      </c>
      <c r="AB4" s="36" t="s">
        <v>50</v>
      </c>
      <c r="AC4" s="36" t="s">
        <v>51</v>
      </c>
    </row>
    <row r="5" spans="1:29" x14ac:dyDescent="0.25">
      <c r="A5" s="12">
        <f t="shared" si="1"/>
        <v>3</v>
      </c>
      <c r="B5" s="278" t="s">
        <v>52</v>
      </c>
      <c r="C5" s="279" t="s">
        <v>37</v>
      </c>
      <c r="D5" s="279" t="s">
        <v>37</v>
      </c>
      <c r="E5" s="279">
        <v>42781</v>
      </c>
      <c r="F5" s="278" t="s">
        <v>46</v>
      </c>
      <c r="G5" s="280">
        <v>1620</v>
      </c>
      <c r="H5" s="278" t="s">
        <v>53</v>
      </c>
      <c r="I5" s="278" t="s">
        <v>39</v>
      </c>
      <c r="J5" s="278"/>
      <c r="K5" s="278" t="s">
        <v>39</v>
      </c>
      <c r="L5" s="278"/>
      <c r="M5" s="278" t="s">
        <v>39</v>
      </c>
      <c r="N5" s="278"/>
      <c r="O5" s="278" t="s">
        <v>37</v>
      </c>
      <c r="P5" s="278"/>
      <c r="Q5" s="278" t="s">
        <v>37</v>
      </c>
      <c r="R5" s="278"/>
      <c r="S5" s="281" t="s">
        <v>54</v>
      </c>
      <c r="T5" s="279">
        <v>42789</v>
      </c>
      <c r="U5" s="282">
        <v>4500</v>
      </c>
      <c r="V5" s="278" t="str">
        <f t="shared" ref="V5:V31" si="2">CONCATENATE(ROUND((IF(ISBLANK(U5),0,U5)-IF(ISBLANK(G5),0,G5))/IF(ISBLANK(G5),0,G5)*100,2),"%")</f>
        <v>177.78%</v>
      </c>
      <c r="W5" s="278"/>
      <c r="Y5" s="35" t="s">
        <v>55</v>
      </c>
      <c r="Z5" s="36" t="s">
        <v>56</v>
      </c>
      <c r="AA5" s="34">
        <f t="shared" si="0"/>
        <v>6</v>
      </c>
      <c r="AB5" s="36" t="s">
        <v>57</v>
      </c>
      <c r="AC5" s="36" t="s">
        <v>58</v>
      </c>
    </row>
    <row r="6" spans="1:29" x14ac:dyDescent="0.25">
      <c r="A6" s="12">
        <f t="shared" si="1"/>
        <v>4</v>
      </c>
      <c r="B6" s="278" t="s">
        <v>59</v>
      </c>
      <c r="C6" s="279">
        <v>42783</v>
      </c>
      <c r="D6" s="279">
        <v>42789</v>
      </c>
      <c r="E6" s="279">
        <v>42790</v>
      </c>
      <c r="F6" s="278" t="s">
        <v>46</v>
      </c>
      <c r="G6" s="280">
        <v>1850</v>
      </c>
      <c r="H6" s="278" t="s">
        <v>60</v>
      </c>
      <c r="I6" s="278" t="s">
        <v>39</v>
      </c>
      <c r="J6" s="278">
        <f>IF(I6="抽選中",G6*100,0)</f>
        <v>0</v>
      </c>
      <c r="K6" s="278" t="s">
        <v>39</v>
      </c>
      <c r="L6" s="278">
        <f>IF(K6="抽選中",G6*100,0)</f>
        <v>0</v>
      </c>
      <c r="M6" s="278" t="s">
        <v>39</v>
      </c>
      <c r="N6" s="278"/>
      <c r="O6" s="278" t="s">
        <v>61</v>
      </c>
      <c r="P6" s="278">
        <f>IF(O6="抽選中",I6*100,0)</f>
        <v>0</v>
      </c>
      <c r="Q6" s="278" t="s">
        <v>37</v>
      </c>
      <c r="R6" s="278">
        <f>IF(Q6="抽選中",K6*100,0)</f>
        <v>0</v>
      </c>
      <c r="S6" s="278" t="s">
        <v>62</v>
      </c>
      <c r="T6" s="279">
        <v>42801</v>
      </c>
      <c r="U6" s="282">
        <v>2625</v>
      </c>
      <c r="V6" s="278" t="str">
        <f t="shared" si="2"/>
        <v>41.89%</v>
      </c>
      <c r="W6" s="278"/>
      <c r="Y6" s="35" t="s">
        <v>38</v>
      </c>
      <c r="Z6" s="36" t="s">
        <v>63</v>
      </c>
      <c r="AA6" s="34">
        <f t="shared" si="0"/>
        <v>1</v>
      </c>
      <c r="AB6" s="36" t="s">
        <v>64</v>
      </c>
      <c r="AC6" s="37" t="s">
        <v>65</v>
      </c>
    </row>
    <row r="7" spans="1:29" x14ac:dyDescent="0.25">
      <c r="A7" s="12">
        <f t="shared" si="1"/>
        <v>5</v>
      </c>
      <c r="B7" s="278" t="s">
        <v>66</v>
      </c>
      <c r="C7" s="279">
        <v>42787</v>
      </c>
      <c r="D7" s="279">
        <v>42793</v>
      </c>
      <c r="E7" s="279">
        <v>42794</v>
      </c>
      <c r="F7" s="278" t="s">
        <v>46</v>
      </c>
      <c r="G7" s="280">
        <v>1650</v>
      </c>
      <c r="H7" s="278" t="s">
        <v>47</v>
      </c>
      <c r="I7" s="278" t="s">
        <v>39</v>
      </c>
      <c r="J7" s="278">
        <f>IF(I7="抽選中",G7*100,0)</f>
        <v>0</v>
      </c>
      <c r="K7" s="278" t="s">
        <v>39</v>
      </c>
      <c r="L7" s="278">
        <f t="shared" ref="L7:L43" si="3">IF(K7="抽選中",G7*100,0)</f>
        <v>0</v>
      </c>
      <c r="M7" s="278" t="s">
        <v>37</v>
      </c>
      <c r="N7" s="278"/>
      <c r="O7" s="278" t="s">
        <v>37</v>
      </c>
      <c r="P7" s="278">
        <f>IF(O7="抽選中",I7*100,0)</f>
        <v>0</v>
      </c>
      <c r="Q7" s="278" t="s">
        <v>37</v>
      </c>
      <c r="R7" s="278">
        <f t="shared" ref="R7:R32" si="4">IF(Q7="抽選中",G7*100,0)</f>
        <v>0</v>
      </c>
      <c r="S7" s="281" t="s">
        <v>56</v>
      </c>
      <c r="T7" s="279">
        <v>42803</v>
      </c>
      <c r="U7" s="282">
        <v>3530</v>
      </c>
      <c r="V7" s="278" t="str">
        <f t="shared" si="2"/>
        <v>113.94%</v>
      </c>
      <c r="W7" s="278" t="s">
        <v>67</v>
      </c>
      <c r="Y7" s="36" t="s">
        <v>68</v>
      </c>
      <c r="Z7" s="36" t="s">
        <v>69</v>
      </c>
      <c r="AA7" s="34">
        <f t="shared" si="0"/>
        <v>3</v>
      </c>
      <c r="AB7" s="36" t="s">
        <v>70</v>
      </c>
    </row>
    <row r="8" spans="1:29" x14ac:dyDescent="0.25">
      <c r="A8" s="12">
        <f t="shared" si="1"/>
        <v>6</v>
      </c>
      <c r="B8" s="278" t="s">
        <v>71</v>
      </c>
      <c r="C8" s="279">
        <v>42794</v>
      </c>
      <c r="D8" s="279">
        <v>42800</v>
      </c>
      <c r="E8" s="279">
        <v>42801</v>
      </c>
      <c r="F8" s="278" t="s">
        <v>46</v>
      </c>
      <c r="G8" s="280">
        <v>1250</v>
      </c>
      <c r="H8" s="278" t="s">
        <v>72</v>
      </c>
      <c r="I8" s="278" t="s">
        <v>37</v>
      </c>
      <c r="J8" s="278">
        <f>IF(I8="抽選中",G8*100,0)</f>
        <v>0</v>
      </c>
      <c r="K8" s="278" t="s">
        <v>39</v>
      </c>
      <c r="L8" s="278">
        <f t="shared" si="3"/>
        <v>0</v>
      </c>
      <c r="M8" s="278" t="s">
        <v>39</v>
      </c>
      <c r="N8" s="278"/>
      <c r="O8" s="278" t="s">
        <v>39</v>
      </c>
      <c r="P8" s="278">
        <f>IF(O8="抽選中",G8*100,0)</f>
        <v>0</v>
      </c>
      <c r="Q8" s="278" t="s">
        <v>37</v>
      </c>
      <c r="R8" s="278">
        <f t="shared" si="4"/>
        <v>0</v>
      </c>
      <c r="S8" s="281" t="s">
        <v>40</v>
      </c>
      <c r="T8" s="279">
        <v>42809</v>
      </c>
      <c r="U8" s="282">
        <v>4010</v>
      </c>
      <c r="V8" s="278" t="str">
        <f t="shared" si="2"/>
        <v>220.8%</v>
      </c>
      <c r="W8" s="278"/>
      <c r="Y8" s="37" t="s">
        <v>73</v>
      </c>
      <c r="Z8" s="36" t="s">
        <v>74</v>
      </c>
      <c r="AA8" s="34">
        <f t="shared" si="0"/>
        <v>5</v>
      </c>
      <c r="AB8" s="37" t="s">
        <v>75</v>
      </c>
    </row>
    <row r="9" spans="1:29" x14ac:dyDescent="0.25">
      <c r="A9" s="12">
        <f t="shared" si="1"/>
        <v>7</v>
      </c>
      <c r="B9" s="278" t="s">
        <v>76</v>
      </c>
      <c r="C9" s="279">
        <v>42794</v>
      </c>
      <c r="D9" s="279">
        <v>42800</v>
      </c>
      <c r="E9" s="279">
        <v>42801</v>
      </c>
      <c r="F9" s="278" t="s">
        <v>46</v>
      </c>
      <c r="G9" s="280">
        <v>3000</v>
      </c>
      <c r="H9" s="278" t="s">
        <v>60</v>
      </c>
      <c r="I9" s="278" t="s">
        <v>39</v>
      </c>
      <c r="J9" s="278">
        <f>IF(I9="抽選中",G9*100,0)</f>
        <v>0</v>
      </c>
      <c r="K9" s="278" t="s">
        <v>39</v>
      </c>
      <c r="L9" s="278">
        <f>IF(K9="抽選中",G9*100,0)</f>
        <v>0</v>
      </c>
      <c r="M9" s="278" t="s">
        <v>39</v>
      </c>
      <c r="N9" s="278"/>
      <c r="O9" s="278" t="s">
        <v>37</v>
      </c>
      <c r="P9" s="278">
        <f t="shared" ref="P9:P49" si="5">IF(O9="抽選中",G9*100,0)</f>
        <v>0</v>
      </c>
      <c r="Q9" s="278" t="s">
        <v>37</v>
      </c>
      <c r="R9" s="278">
        <f t="shared" si="4"/>
        <v>0</v>
      </c>
      <c r="S9" s="278" t="s">
        <v>62</v>
      </c>
      <c r="T9" s="279">
        <v>42810</v>
      </c>
      <c r="U9" s="282">
        <v>3330</v>
      </c>
      <c r="V9" s="278" t="str">
        <f t="shared" si="2"/>
        <v>11%</v>
      </c>
      <c r="W9" s="278"/>
      <c r="Z9" s="36" t="s">
        <v>62</v>
      </c>
      <c r="AA9" s="36">
        <f t="shared" si="0"/>
        <v>15</v>
      </c>
    </row>
    <row r="10" spans="1:29" x14ac:dyDescent="0.25">
      <c r="A10" s="12">
        <f t="shared" si="1"/>
        <v>8</v>
      </c>
      <c r="B10" s="278" t="s">
        <v>77</v>
      </c>
      <c r="C10" s="279">
        <v>42794</v>
      </c>
      <c r="D10" s="279">
        <v>42800</v>
      </c>
      <c r="E10" s="279">
        <v>42801</v>
      </c>
      <c r="F10" s="278" t="s">
        <v>38</v>
      </c>
      <c r="G10" s="280">
        <v>2350</v>
      </c>
      <c r="H10" s="278" t="s">
        <v>72</v>
      </c>
      <c r="I10" s="278" t="s">
        <v>39</v>
      </c>
      <c r="J10" s="278">
        <f>IF(OR(I10="抽選中",I10="補欠当選"),G10*100,0)</f>
        <v>0</v>
      </c>
      <c r="K10" s="278" t="s">
        <v>39</v>
      </c>
      <c r="L10" s="278">
        <f>IF(K10="抽選中",G10*100,0)</f>
        <v>0</v>
      </c>
      <c r="M10" s="278" t="s">
        <v>37</v>
      </c>
      <c r="N10" s="278"/>
      <c r="O10" s="278" t="s">
        <v>39</v>
      </c>
      <c r="P10" s="278">
        <f t="shared" si="5"/>
        <v>0</v>
      </c>
      <c r="Q10" s="278" t="s">
        <v>37</v>
      </c>
      <c r="R10" s="278">
        <f t="shared" si="4"/>
        <v>0</v>
      </c>
      <c r="S10" s="278" t="s">
        <v>74</v>
      </c>
      <c r="T10" s="279">
        <v>42810</v>
      </c>
      <c r="U10" s="282">
        <v>5360</v>
      </c>
      <c r="V10" s="278" t="str">
        <f t="shared" si="2"/>
        <v>128.09%</v>
      </c>
      <c r="W10" s="278"/>
      <c r="Z10" s="49" t="s">
        <v>518</v>
      </c>
      <c r="AA10" s="49">
        <f t="shared" si="0"/>
        <v>1</v>
      </c>
    </row>
    <row r="11" spans="1:29" x14ac:dyDescent="0.25">
      <c r="A11" s="12">
        <f t="shared" si="1"/>
        <v>9</v>
      </c>
      <c r="B11" s="278" t="s">
        <v>79</v>
      </c>
      <c r="C11" s="279">
        <v>42795</v>
      </c>
      <c r="D11" s="279">
        <v>42801</v>
      </c>
      <c r="E11" s="279">
        <v>42802</v>
      </c>
      <c r="F11" s="278" t="s">
        <v>46</v>
      </c>
      <c r="G11" s="280">
        <v>550</v>
      </c>
      <c r="H11" s="278" t="s">
        <v>47</v>
      </c>
      <c r="I11" s="278" t="s">
        <v>37</v>
      </c>
      <c r="J11" s="278">
        <f t="shared" ref="J11:J28" si="6">IF(OR(I11="抽選中",I11="補欠当選"),G11*100,0)</f>
        <v>0</v>
      </c>
      <c r="K11" s="278" t="s">
        <v>39</v>
      </c>
      <c r="L11" s="278">
        <f t="shared" si="3"/>
        <v>0</v>
      </c>
      <c r="M11" s="278" t="s">
        <v>37</v>
      </c>
      <c r="N11" s="278"/>
      <c r="O11" s="278" t="s">
        <v>39</v>
      </c>
      <c r="P11" s="278">
        <f t="shared" si="5"/>
        <v>0</v>
      </c>
      <c r="Q11" s="278" t="s">
        <v>37</v>
      </c>
      <c r="R11" s="278">
        <f t="shared" si="4"/>
        <v>0</v>
      </c>
      <c r="S11" s="278" t="s">
        <v>62</v>
      </c>
      <c r="T11" s="279">
        <v>42811</v>
      </c>
      <c r="U11" s="282">
        <v>890</v>
      </c>
      <c r="V11" s="278" t="str">
        <f t="shared" si="2"/>
        <v>61.82%</v>
      </c>
      <c r="W11" s="278"/>
      <c r="Z11" s="37" t="s">
        <v>78</v>
      </c>
      <c r="AA11" s="37">
        <f t="shared" si="0"/>
        <v>1</v>
      </c>
    </row>
    <row r="12" spans="1:29" x14ac:dyDescent="0.25">
      <c r="A12" s="12">
        <f t="shared" si="1"/>
        <v>10</v>
      </c>
      <c r="B12" s="278" t="s">
        <v>80</v>
      </c>
      <c r="C12" s="279">
        <v>42796</v>
      </c>
      <c r="D12" s="279">
        <v>42802</v>
      </c>
      <c r="E12" s="279">
        <v>42803</v>
      </c>
      <c r="F12" s="278" t="s">
        <v>46</v>
      </c>
      <c r="G12" s="280">
        <v>1880</v>
      </c>
      <c r="H12" s="278" t="s">
        <v>60</v>
      </c>
      <c r="I12" s="278" t="s">
        <v>39</v>
      </c>
      <c r="J12" s="278">
        <f t="shared" si="6"/>
        <v>0</v>
      </c>
      <c r="K12" s="278" t="s">
        <v>39</v>
      </c>
      <c r="L12" s="278">
        <f t="shared" si="3"/>
        <v>0</v>
      </c>
      <c r="M12" s="278" t="s">
        <v>37</v>
      </c>
      <c r="N12" s="278"/>
      <c r="O12" s="278" t="s">
        <v>39</v>
      </c>
      <c r="P12" s="278">
        <f t="shared" si="5"/>
        <v>0</v>
      </c>
      <c r="Q12" s="278" t="s">
        <v>37</v>
      </c>
      <c r="R12" s="278">
        <f t="shared" si="4"/>
        <v>0</v>
      </c>
      <c r="S12" s="281" t="s">
        <v>54</v>
      </c>
      <c r="T12" s="279">
        <v>42811</v>
      </c>
      <c r="U12" s="282">
        <v>1881</v>
      </c>
      <c r="V12" s="278" t="str">
        <f t="shared" si="2"/>
        <v>0.05%</v>
      </c>
      <c r="W12" s="278"/>
    </row>
    <row r="13" spans="1:29" x14ac:dyDescent="0.25">
      <c r="A13" s="12">
        <f t="shared" si="1"/>
        <v>11</v>
      </c>
      <c r="B13" s="278" t="s">
        <v>81</v>
      </c>
      <c r="C13" s="279">
        <v>42796</v>
      </c>
      <c r="D13" s="279">
        <v>42802</v>
      </c>
      <c r="E13" s="279">
        <v>42803</v>
      </c>
      <c r="F13" s="278" t="s">
        <v>46</v>
      </c>
      <c r="G13" s="280">
        <v>600</v>
      </c>
      <c r="H13" s="278" t="s">
        <v>72</v>
      </c>
      <c r="I13" s="278" t="s">
        <v>39</v>
      </c>
      <c r="J13" s="278">
        <f t="shared" si="6"/>
        <v>0</v>
      </c>
      <c r="K13" s="278" t="s">
        <v>39</v>
      </c>
      <c r="L13" s="278">
        <f t="shared" si="3"/>
        <v>0</v>
      </c>
      <c r="M13" s="278" t="s">
        <v>37</v>
      </c>
      <c r="N13" s="278"/>
      <c r="O13" s="278" t="s">
        <v>37</v>
      </c>
      <c r="P13" s="278">
        <f t="shared" si="5"/>
        <v>0</v>
      </c>
      <c r="Q13" s="278" t="s">
        <v>37</v>
      </c>
      <c r="R13" s="278">
        <f t="shared" si="4"/>
        <v>0</v>
      </c>
      <c r="S13" s="278" t="s">
        <v>62</v>
      </c>
      <c r="T13" s="279">
        <v>42815</v>
      </c>
      <c r="U13" s="282">
        <v>2230</v>
      </c>
      <c r="V13" s="278" t="str">
        <f t="shared" si="2"/>
        <v>271.67%</v>
      </c>
      <c r="W13" s="278"/>
      <c r="Y13" s="12" t="s">
        <v>82</v>
      </c>
    </row>
    <row r="14" spans="1:29" x14ac:dyDescent="0.25">
      <c r="A14" s="12">
        <f t="shared" si="1"/>
        <v>12</v>
      </c>
      <c r="B14" s="278" t="s">
        <v>83</v>
      </c>
      <c r="C14" s="279">
        <v>42796</v>
      </c>
      <c r="D14" s="279">
        <v>42802</v>
      </c>
      <c r="E14" s="279">
        <v>42803</v>
      </c>
      <c r="F14" s="278" t="s">
        <v>46</v>
      </c>
      <c r="G14" s="280">
        <v>1320</v>
      </c>
      <c r="H14" s="278" t="s">
        <v>72</v>
      </c>
      <c r="I14" s="278" t="s">
        <v>39</v>
      </c>
      <c r="J14" s="278">
        <f t="shared" si="6"/>
        <v>0</v>
      </c>
      <c r="K14" s="278" t="s">
        <v>39</v>
      </c>
      <c r="L14" s="278">
        <f t="shared" si="3"/>
        <v>0</v>
      </c>
      <c r="M14" s="278" t="s">
        <v>39</v>
      </c>
      <c r="N14" s="278"/>
      <c r="O14" s="278" t="s">
        <v>39</v>
      </c>
      <c r="P14" s="278">
        <f t="shared" si="5"/>
        <v>0</v>
      </c>
      <c r="Q14" s="278" t="s">
        <v>37</v>
      </c>
      <c r="R14" s="278">
        <f t="shared" si="4"/>
        <v>0</v>
      </c>
      <c r="S14" s="278" t="s">
        <v>74</v>
      </c>
      <c r="T14" s="279">
        <v>42815</v>
      </c>
      <c r="U14" s="282">
        <v>5040</v>
      </c>
      <c r="V14" s="278" t="str">
        <f t="shared" si="2"/>
        <v>281.82%</v>
      </c>
      <c r="W14" s="278"/>
      <c r="Y14" s="12" t="s">
        <v>84</v>
      </c>
    </row>
    <row r="15" spans="1:29" x14ac:dyDescent="0.25">
      <c r="A15" s="12">
        <f t="shared" si="1"/>
        <v>13</v>
      </c>
      <c r="B15" s="278" t="s">
        <v>85</v>
      </c>
      <c r="C15" s="279">
        <v>42797</v>
      </c>
      <c r="D15" s="279">
        <v>42803</v>
      </c>
      <c r="E15" s="279">
        <v>42804</v>
      </c>
      <c r="F15" s="278" t="s">
        <v>48</v>
      </c>
      <c r="G15" s="280">
        <v>600</v>
      </c>
      <c r="H15" s="278" t="s">
        <v>60</v>
      </c>
      <c r="I15" s="278" t="s">
        <v>37</v>
      </c>
      <c r="J15" s="278">
        <f t="shared" si="6"/>
        <v>0</v>
      </c>
      <c r="K15" s="278" t="s">
        <v>39</v>
      </c>
      <c r="L15" s="278">
        <f t="shared" si="3"/>
        <v>0</v>
      </c>
      <c r="M15" s="278" t="s">
        <v>37</v>
      </c>
      <c r="N15" s="278"/>
      <c r="O15" s="278" t="s">
        <v>39</v>
      </c>
      <c r="P15" s="278">
        <f t="shared" si="5"/>
        <v>0</v>
      </c>
      <c r="Q15" s="278" t="s">
        <v>37</v>
      </c>
      <c r="R15" s="278">
        <f t="shared" si="4"/>
        <v>0</v>
      </c>
      <c r="S15" s="278" t="s">
        <v>62</v>
      </c>
      <c r="T15" s="279">
        <v>42816</v>
      </c>
      <c r="U15" s="282">
        <v>1230</v>
      </c>
      <c r="V15" s="278" t="str">
        <f t="shared" si="2"/>
        <v>105%</v>
      </c>
      <c r="W15" s="278"/>
      <c r="Y15" s="38" t="s">
        <v>86</v>
      </c>
    </row>
    <row r="16" spans="1:29" x14ac:dyDescent="0.25">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x14ac:dyDescent="0.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x14ac:dyDescent="0.25">
      <c r="A18" s="12">
        <f t="shared" si="1"/>
        <v>16</v>
      </c>
      <c r="B18" s="278" t="s">
        <v>96</v>
      </c>
      <c r="C18" s="279">
        <v>42801</v>
      </c>
      <c r="D18" s="279">
        <v>42807</v>
      </c>
      <c r="E18" s="279">
        <v>42808</v>
      </c>
      <c r="F18" s="278" t="s">
        <v>46</v>
      </c>
      <c r="G18" s="280">
        <v>2070</v>
      </c>
      <c r="H18" s="278" t="s">
        <v>47</v>
      </c>
      <c r="I18" s="278" t="s">
        <v>39</v>
      </c>
      <c r="J18" s="278">
        <f t="shared" si="6"/>
        <v>0</v>
      </c>
      <c r="K18" s="278" t="s">
        <v>37</v>
      </c>
      <c r="L18" s="278">
        <f t="shared" si="3"/>
        <v>0</v>
      </c>
      <c r="M18" s="278" t="s">
        <v>37</v>
      </c>
      <c r="N18" s="278">
        <f t="shared" ref="N18:N24" si="7">IF(M18="当選",G18*100,0)</f>
        <v>0</v>
      </c>
      <c r="O18" s="278" t="s">
        <v>39</v>
      </c>
      <c r="P18" s="278">
        <f t="shared" si="5"/>
        <v>0</v>
      </c>
      <c r="Q18" s="278" t="s">
        <v>37</v>
      </c>
      <c r="R18" s="278">
        <f t="shared" si="4"/>
        <v>0</v>
      </c>
      <c r="S18" s="278" t="s">
        <v>62</v>
      </c>
      <c r="T18" s="279">
        <v>42818</v>
      </c>
      <c r="U18" s="282">
        <v>4750</v>
      </c>
      <c r="V18" s="278" t="str">
        <f t="shared" si="2"/>
        <v>129.47%</v>
      </c>
      <c r="W18" s="278"/>
      <c r="Y18" s="362" t="s">
        <v>469</v>
      </c>
    </row>
    <row r="19" spans="1:25" x14ac:dyDescent="0.25">
      <c r="A19" s="12">
        <f t="shared" si="1"/>
        <v>17</v>
      </c>
      <c r="B19" s="278" t="s">
        <v>97</v>
      </c>
      <c r="C19" s="279">
        <v>42801</v>
      </c>
      <c r="D19" s="279">
        <v>42807</v>
      </c>
      <c r="E19" s="279">
        <v>42808</v>
      </c>
      <c r="F19" s="278" t="s">
        <v>46</v>
      </c>
      <c r="G19" s="280">
        <v>185</v>
      </c>
      <c r="H19" s="278" t="s">
        <v>60</v>
      </c>
      <c r="I19" s="278" t="s">
        <v>39</v>
      </c>
      <c r="J19" s="278">
        <f t="shared" si="6"/>
        <v>0</v>
      </c>
      <c r="K19" s="278" t="s">
        <v>39</v>
      </c>
      <c r="L19" s="278">
        <f t="shared" si="3"/>
        <v>0</v>
      </c>
      <c r="M19" s="278" t="s">
        <v>37</v>
      </c>
      <c r="N19" s="278">
        <f t="shared" si="7"/>
        <v>0</v>
      </c>
      <c r="O19" s="278" t="s">
        <v>39</v>
      </c>
      <c r="P19" s="278">
        <f t="shared" si="5"/>
        <v>0</v>
      </c>
      <c r="Q19" s="278" t="s">
        <v>37</v>
      </c>
      <c r="R19" s="278">
        <f t="shared" si="4"/>
        <v>0</v>
      </c>
      <c r="S19" s="278" t="s">
        <v>74</v>
      </c>
      <c r="T19" s="279">
        <v>42818</v>
      </c>
      <c r="U19" s="282">
        <v>234</v>
      </c>
      <c r="V19" s="278" t="str">
        <f t="shared" si="2"/>
        <v>26.49%</v>
      </c>
      <c r="W19" s="278"/>
    </row>
    <row r="20" spans="1:25" x14ac:dyDescent="0.25">
      <c r="A20" s="12">
        <f t="shared" si="1"/>
        <v>18</v>
      </c>
      <c r="B20" s="278" t="s">
        <v>98</v>
      </c>
      <c r="C20" s="279">
        <v>42802</v>
      </c>
      <c r="D20" s="279">
        <v>42808</v>
      </c>
      <c r="E20" s="279">
        <v>42809</v>
      </c>
      <c r="F20" s="278" t="s">
        <v>46</v>
      </c>
      <c r="G20" s="280">
        <v>6060</v>
      </c>
      <c r="H20" s="278" t="s">
        <v>60</v>
      </c>
      <c r="I20" s="278" t="s">
        <v>37</v>
      </c>
      <c r="J20" s="278">
        <f t="shared" si="6"/>
        <v>0</v>
      </c>
      <c r="K20" s="278" t="s">
        <v>39</v>
      </c>
      <c r="L20" s="278">
        <f t="shared" si="3"/>
        <v>0</v>
      </c>
      <c r="M20" s="278" t="s">
        <v>39</v>
      </c>
      <c r="N20" s="278">
        <f t="shared" si="7"/>
        <v>0</v>
      </c>
      <c r="O20" s="278" t="s">
        <v>37</v>
      </c>
      <c r="P20" s="278">
        <f t="shared" si="5"/>
        <v>0</v>
      </c>
      <c r="Q20" s="278" t="s">
        <v>37</v>
      </c>
      <c r="R20" s="278">
        <f t="shared" si="4"/>
        <v>0</v>
      </c>
      <c r="S20" s="278" t="s">
        <v>62</v>
      </c>
      <c r="T20" s="279">
        <v>42821</v>
      </c>
      <c r="U20" s="282">
        <v>10560</v>
      </c>
      <c r="V20" s="278" t="str">
        <f t="shared" si="2"/>
        <v>74.26%</v>
      </c>
      <c r="W20" s="278"/>
      <c r="Y20" s="12" t="s">
        <v>99</v>
      </c>
    </row>
    <row r="21" spans="1:25" x14ac:dyDescent="0.25">
      <c r="A21" s="12">
        <f t="shared" si="1"/>
        <v>19</v>
      </c>
      <c r="B21" s="278" t="s">
        <v>100</v>
      </c>
      <c r="C21" s="279">
        <v>42803</v>
      </c>
      <c r="D21" s="279">
        <v>42809</v>
      </c>
      <c r="E21" s="279">
        <v>42810</v>
      </c>
      <c r="F21" s="278" t="s">
        <v>38</v>
      </c>
      <c r="G21" s="280">
        <v>1520</v>
      </c>
      <c r="H21" s="278" t="s">
        <v>60</v>
      </c>
      <c r="I21" s="278" t="s">
        <v>37</v>
      </c>
      <c r="J21" s="278">
        <f t="shared" si="6"/>
        <v>0</v>
      </c>
      <c r="K21" s="278" t="s">
        <v>39</v>
      </c>
      <c r="L21" s="278">
        <f t="shared" si="3"/>
        <v>0</v>
      </c>
      <c r="M21" s="278" t="s">
        <v>37</v>
      </c>
      <c r="N21" s="278">
        <f t="shared" si="7"/>
        <v>0</v>
      </c>
      <c r="O21" s="278" t="s">
        <v>39</v>
      </c>
      <c r="P21" s="278">
        <f t="shared" si="5"/>
        <v>0</v>
      </c>
      <c r="Q21" s="278" t="s">
        <v>37</v>
      </c>
      <c r="R21" s="278">
        <f t="shared" si="4"/>
        <v>0</v>
      </c>
      <c r="S21" s="278" t="s">
        <v>62</v>
      </c>
      <c r="T21" s="279">
        <v>42822</v>
      </c>
      <c r="U21" s="282">
        <v>2278</v>
      </c>
      <c r="V21" s="278" t="str">
        <f t="shared" si="2"/>
        <v>49.87%</v>
      </c>
      <c r="W21" s="278"/>
      <c r="Y21" s="362" t="s">
        <v>470</v>
      </c>
    </row>
    <row r="22" spans="1:25" x14ac:dyDescent="0.25">
      <c r="A22" s="12">
        <f t="shared" si="1"/>
        <v>20</v>
      </c>
      <c r="B22" s="278" t="s">
        <v>101</v>
      </c>
      <c r="C22" s="279">
        <v>42803</v>
      </c>
      <c r="D22" s="279">
        <v>42809</v>
      </c>
      <c r="E22" s="279">
        <v>42810</v>
      </c>
      <c r="F22" s="278" t="s">
        <v>38</v>
      </c>
      <c r="G22" s="280">
        <v>1570</v>
      </c>
      <c r="H22" s="278" t="s">
        <v>72</v>
      </c>
      <c r="I22" s="278" t="s">
        <v>37</v>
      </c>
      <c r="J22" s="278">
        <f t="shared" si="6"/>
        <v>0</v>
      </c>
      <c r="K22" s="278" t="s">
        <v>39</v>
      </c>
      <c r="L22" s="278">
        <f t="shared" si="3"/>
        <v>0</v>
      </c>
      <c r="M22" s="278" t="s">
        <v>37</v>
      </c>
      <c r="N22" s="278">
        <f t="shared" si="7"/>
        <v>0</v>
      </c>
      <c r="O22" s="278" t="s">
        <v>39</v>
      </c>
      <c r="P22" s="278">
        <f t="shared" si="5"/>
        <v>0</v>
      </c>
      <c r="Q22" s="278" t="s">
        <v>37</v>
      </c>
      <c r="R22" s="278">
        <f t="shared" si="4"/>
        <v>0</v>
      </c>
      <c r="S22" s="281" t="s">
        <v>56</v>
      </c>
      <c r="T22" s="279">
        <v>42822</v>
      </c>
      <c r="U22" s="282">
        <v>3460</v>
      </c>
      <c r="V22" s="278" t="str">
        <f t="shared" si="2"/>
        <v>120.38%</v>
      </c>
      <c r="W22" s="278"/>
    </row>
    <row r="23" spans="1:25" x14ac:dyDescent="0.25">
      <c r="A23" s="12">
        <f t="shared" si="1"/>
        <v>21</v>
      </c>
      <c r="B23" s="283" t="s">
        <v>102</v>
      </c>
      <c r="C23" s="284">
        <v>42804</v>
      </c>
      <c r="D23" s="284">
        <v>42810</v>
      </c>
      <c r="E23" s="279">
        <v>42811</v>
      </c>
      <c r="F23" s="278" t="s">
        <v>42</v>
      </c>
      <c r="G23" s="285">
        <v>1100</v>
      </c>
      <c r="H23" s="283" t="s">
        <v>60</v>
      </c>
      <c r="I23" s="278" t="s">
        <v>39</v>
      </c>
      <c r="J23" s="278">
        <f t="shared" si="6"/>
        <v>0</v>
      </c>
      <c r="K23" s="278" t="s">
        <v>37</v>
      </c>
      <c r="L23" s="278">
        <f>IF(K23="抽選中",G23*100,0)</f>
        <v>0</v>
      </c>
      <c r="M23" s="278" t="s">
        <v>37</v>
      </c>
      <c r="N23" s="278">
        <f t="shared" si="7"/>
        <v>0</v>
      </c>
      <c r="O23" s="278" t="s">
        <v>37</v>
      </c>
      <c r="P23" s="278">
        <f t="shared" si="5"/>
        <v>0</v>
      </c>
      <c r="Q23" s="278" t="s">
        <v>37</v>
      </c>
      <c r="R23" s="278">
        <f t="shared" si="4"/>
        <v>0</v>
      </c>
      <c r="S23" s="283" t="s">
        <v>62</v>
      </c>
      <c r="T23" s="284">
        <v>42823</v>
      </c>
      <c r="U23" s="286">
        <v>1300</v>
      </c>
      <c r="V23" s="278" t="str">
        <f t="shared" si="2"/>
        <v>18.18%</v>
      </c>
      <c r="W23" s="283"/>
    </row>
    <row r="24" spans="1:25" x14ac:dyDescent="0.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x14ac:dyDescent="0.25">
      <c r="A25" s="12">
        <f t="shared" si="1"/>
        <v>23</v>
      </c>
      <c r="B25" s="278" t="s">
        <v>104</v>
      </c>
      <c r="C25" s="279">
        <v>42808</v>
      </c>
      <c r="D25" s="279">
        <v>42815</v>
      </c>
      <c r="E25" s="279">
        <v>42816</v>
      </c>
      <c r="F25" s="278" t="s">
        <v>46</v>
      </c>
      <c r="G25" s="280">
        <v>2940</v>
      </c>
      <c r="H25" s="278" t="s">
        <v>72</v>
      </c>
      <c r="I25" s="278" t="s">
        <v>37</v>
      </c>
      <c r="J25" s="278">
        <f t="shared" si="6"/>
        <v>0</v>
      </c>
      <c r="K25" s="278" t="s">
        <v>39</v>
      </c>
      <c r="L25" s="278">
        <f t="shared" si="3"/>
        <v>0</v>
      </c>
      <c r="M25" s="278" t="s">
        <v>39</v>
      </c>
      <c r="N25" s="278"/>
      <c r="O25" s="278" t="s">
        <v>39</v>
      </c>
      <c r="P25" s="278">
        <f t="shared" si="5"/>
        <v>0</v>
      </c>
      <c r="Q25" s="278" t="s">
        <v>37</v>
      </c>
      <c r="R25" s="278">
        <f t="shared" si="4"/>
        <v>0</v>
      </c>
      <c r="S25" s="281" t="s">
        <v>40</v>
      </c>
      <c r="T25" s="284">
        <v>42824</v>
      </c>
      <c r="U25" s="282">
        <v>12500</v>
      </c>
      <c r="V25" s="278" t="str">
        <f t="shared" si="2"/>
        <v>325.17%</v>
      </c>
      <c r="W25" s="278"/>
    </row>
    <row r="26" spans="1:25" x14ac:dyDescent="0.25">
      <c r="A26" s="12">
        <f t="shared" si="1"/>
        <v>24</v>
      </c>
      <c r="B26" s="278" t="s">
        <v>105</v>
      </c>
      <c r="C26" s="279">
        <v>42807</v>
      </c>
      <c r="D26" s="279">
        <v>42811</v>
      </c>
      <c r="E26" s="284">
        <v>42815</v>
      </c>
      <c r="F26" s="278" t="s">
        <v>38</v>
      </c>
      <c r="G26" s="280">
        <v>1140</v>
      </c>
      <c r="H26" s="278" t="s">
        <v>53</v>
      </c>
      <c r="I26" s="278" t="s">
        <v>37</v>
      </c>
      <c r="J26" s="278">
        <f>IF(OR(I26="抽選中",I26="補欠当選"),G26*100,0)</f>
        <v>0</v>
      </c>
      <c r="K26" s="278" t="s">
        <v>39</v>
      </c>
      <c r="L26" s="278">
        <f>IF(K26="抽選中",G26*100,0)</f>
        <v>0</v>
      </c>
      <c r="M26" s="278" t="s">
        <v>37</v>
      </c>
      <c r="N26" s="278">
        <f>IF(M26="当選",G26*100,0)</f>
        <v>0</v>
      </c>
      <c r="O26" s="278" t="s">
        <v>39</v>
      </c>
      <c r="P26" s="278">
        <f>IF(O26="抽選中",G26*100,0)</f>
        <v>0</v>
      </c>
      <c r="Q26" s="278" t="s">
        <v>37</v>
      </c>
      <c r="R26" s="278">
        <f t="shared" si="4"/>
        <v>0</v>
      </c>
      <c r="S26" s="281" t="s">
        <v>56</v>
      </c>
      <c r="T26" s="284">
        <v>42825</v>
      </c>
      <c r="U26" s="282">
        <v>1552</v>
      </c>
      <c r="V26" s="278" t="str">
        <f>CONCATENATE(ROUND((IF(ISBLANK(U26),0,U26)-IF(ISBLANK(G26),0,G26))/IF(ISBLANK(G26),0,G26)*100,2),"%")</f>
        <v>36.14%</v>
      </c>
      <c r="W26" s="278"/>
    </row>
    <row r="27" spans="1:25" x14ac:dyDescent="0.25">
      <c r="A27" s="12">
        <f t="shared" si="1"/>
        <v>25</v>
      </c>
      <c r="B27" s="283" t="s">
        <v>106</v>
      </c>
      <c r="C27" s="279">
        <v>42816</v>
      </c>
      <c r="D27" s="279">
        <v>42822</v>
      </c>
      <c r="E27" s="284">
        <v>42823</v>
      </c>
      <c r="F27" s="278" t="s">
        <v>46</v>
      </c>
      <c r="G27" s="285">
        <v>2550</v>
      </c>
      <c r="H27" s="283" t="s">
        <v>72</v>
      </c>
      <c r="I27" s="278" t="s">
        <v>39</v>
      </c>
      <c r="J27" s="278">
        <f t="shared" si="6"/>
        <v>0</v>
      </c>
      <c r="K27" s="278" t="s">
        <v>39</v>
      </c>
      <c r="L27" s="278">
        <f t="shared" si="3"/>
        <v>0</v>
      </c>
      <c r="M27" s="278" t="s">
        <v>37</v>
      </c>
      <c r="N27" s="278"/>
      <c r="O27" s="278" t="s">
        <v>39</v>
      </c>
      <c r="P27" s="278">
        <f t="shared" si="5"/>
        <v>0</v>
      </c>
      <c r="Q27" s="278" t="s">
        <v>37</v>
      </c>
      <c r="R27" s="278">
        <f t="shared" si="4"/>
        <v>0</v>
      </c>
      <c r="S27" s="287" t="s">
        <v>54</v>
      </c>
      <c r="T27" s="284">
        <v>42831</v>
      </c>
      <c r="U27" s="286">
        <v>8050</v>
      </c>
      <c r="V27" s="278" t="str">
        <f t="shared" si="2"/>
        <v>215.69%</v>
      </c>
      <c r="W27" s="283"/>
    </row>
    <row r="28" spans="1:25" x14ac:dyDescent="0.25">
      <c r="A28" s="12">
        <f t="shared" si="1"/>
        <v>26</v>
      </c>
      <c r="B28" s="278" t="s">
        <v>107</v>
      </c>
      <c r="C28" s="279">
        <v>42817</v>
      </c>
      <c r="D28" s="279">
        <v>42822</v>
      </c>
      <c r="E28" s="284">
        <v>42823</v>
      </c>
      <c r="F28" s="278" t="s">
        <v>48</v>
      </c>
      <c r="G28" s="280">
        <v>750</v>
      </c>
      <c r="H28" s="278" t="s">
        <v>60</v>
      </c>
      <c r="I28" s="278" t="s">
        <v>39</v>
      </c>
      <c r="J28" s="278">
        <f t="shared" si="6"/>
        <v>0</v>
      </c>
      <c r="K28" s="278" t="s">
        <v>39</v>
      </c>
      <c r="L28" s="278">
        <f t="shared" si="3"/>
        <v>0</v>
      </c>
      <c r="M28" s="278" t="s">
        <v>37</v>
      </c>
      <c r="N28" s="278"/>
      <c r="O28" s="278" t="s">
        <v>39</v>
      </c>
      <c r="P28" s="278">
        <f t="shared" si="5"/>
        <v>0</v>
      </c>
      <c r="Q28" s="278" t="s">
        <v>37</v>
      </c>
      <c r="R28" s="278">
        <f t="shared" si="4"/>
        <v>0</v>
      </c>
      <c r="S28" s="278" t="s">
        <v>74</v>
      </c>
      <c r="T28" s="284">
        <v>42835</v>
      </c>
      <c r="U28" s="282">
        <v>721</v>
      </c>
      <c r="V28" s="281" t="str">
        <f t="shared" si="2"/>
        <v>-3.87%</v>
      </c>
      <c r="W28" s="278" t="s">
        <v>90</v>
      </c>
    </row>
    <row r="29" spans="1:25" x14ac:dyDescent="0.25">
      <c r="A29" s="12">
        <f t="shared" si="1"/>
        <v>27</v>
      </c>
      <c r="B29" s="278" t="s">
        <v>108</v>
      </c>
      <c r="C29" s="279">
        <v>42822</v>
      </c>
      <c r="D29" s="279">
        <v>42825</v>
      </c>
      <c r="E29" s="279">
        <v>42828</v>
      </c>
      <c r="F29" s="278" t="s">
        <v>42</v>
      </c>
      <c r="G29" s="288">
        <v>2050</v>
      </c>
      <c r="H29" s="278" t="s">
        <v>60</v>
      </c>
      <c r="I29" s="278" t="s">
        <v>37</v>
      </c>
      <c r="J29" s="278"/>
      <c r="K29" s="278" t="s">
        <v>39</v>
      </c>
      <c r="L29" s="278">
        <f t="shared" si="3"/>
        <v>0</v>
      </c>
      <c r="M29" s="278" t="s">
        <v>39</v>
      </c>
      <c r="N29" s="278"/>
      <c r="O29" s="278" t="s">
        <v>37</v>
      </c>
      <c r="P29" s="278">
        <f t="shared" si="5"/>
        <v>0</v>
      </c>
      <c r="Q29" s="278" t="s">
        <v>37</v>
      </c>
      <c r="R29" s="278">
        <f t="shared" si="4"/>
        <v>0</v>
      </c>
      <c r="S29" s="278" t="s">
        <v>62</v>
      </c>
      <c r="T29" s="284">
        <v>42837</v>
      </c>
      <c r="U29" s="282">
        <v>1947</v>
      </c>
      <c r="V29" s="281" t="str">
        <f t="shared" si="2"/>
        <v>-5.02%</v>
      </c>
      <c r="W29" s="278" t="s">
        <v>90</v>
      </c>
    </row>
    <row r="30" spans="1:25" x14ac:dyDescent="0.25">
      <c r="A30" s="12">
        <f t="shared" si="1"/>
        <v>28</v>
      </c>
      <c r="B30" s="283" t="s">
        <v>109</v>
      </c>
      <c r="C30" s="284">
        <v>42828</v>
      </c>
      <c r="D30" s="284">
        <v>42832</v>
      </c>
      <c r="E30" s="284">
        <v>42835</v>
      </c>
      <c r="F30" s="278" t="s">
        <v>46</v>
      </c>
      <c r="G30" s="285">
        <v>1370</v>
      </c>
      <c r="H30" s="278" t="s">
        <v>53</v>
      </c>
      <c r="I30" s="278" t="s">
        <v>37</v>
      </c>
      <c r="J30" s="283"/>
      <c r="K30" s="278" t="s">
        <v>39</v>
      </c>
      <c r="L30" s="278">
        <f t="shared" si="3"/>
        <v>0</v>
      </c>
      <c r="M30" s="278" t="s">
        <v>39</v>
      </c>
      <c r="N30" s="283"/>
      <c r="O30" s="278" t="s">
        <v>37</v>
      </c>
      <c r="P30" s="278">
        <f t="shared" si="5"/>
        <v>0</v>
      </c>
      <c r="Q30" s="278" t="s">
        <v>37</v>
      </c>
      <c r="R30" s="278">
        <f t="shared" si="4"/>
        <v>0</v>
      </c>
      <c r="S30" s="287" t="s">
        <v>40</v>
      </c>
      <c r="T30" s="284">
        <v>42843</v>
      </c>
      <c r="U30" s="286">
        <v>3750</v>
      </c>
      <c r="V30" s="278" t="str">
        <f t="shared" si="2"/>
        <v>173.72%</v>
      </c>
      <c r="W30" s="283"/>
    </row>
    <row r="31" spans="1:25" x14ac:dyDescent="0.25">
      <c r="A31" s="12">
        <f t="shared" si="1"/>
        <v>29</v>
      </c>
      <c r="B31" s="278" t="s">
        <v>110</v>
      </c>
      <c r="C31" s="284">
        <v>42832</v>
      </c>
      <c r="D31" s="284">
        <v>42838</v>
      </c>
      <c r="E31" s="284">
        <v>42839</v>
      </c>
      <c r="F31" s="278" t="s">
        <v>46</v>
      </c>
      <c r="G31" s="280">
        <v>2000</v>
      </c>
      <c r="H31" s="278" t="s">
        <v>72</v>
      </c>
      <c r="I31" s="278" t="s">
        <v>37</v>
      </c>
      <c r="J31" s="278"/>
      <c r="K31" s="278" t="s">
        <v>37</v>
      </c>
      <c r="L31" s="278">
        <f t="shared" si="3"/>
        <v>0</v>
      </c>
      <c r="M31" s="278" t="s">
        <v>37</v>
      </c>
      <c r="N31" s="278"/>
      <c r="O31" s="278" t="s">
        <v>37</v>
      </c>
      <c r="P31" s="278">
        <f t="shared" si="5"/>
        <v>0</v>
      </c>
      <c r="Q31" s="278" t="s">
        <v>37</v>
      </c>
      <c r="R31" s="278">
        <f t="shared" si="4"/>
        <v>0</v>
      </c>
      <c r="S31" s="281" t="s">
        <v>56</v>
      </c>
      <c r="T31" s="284">
        <v>42850</v>
      </c>
      <c r="U31" s="282">
        <v>5950</v>
      </c>
      <c r="V31" s="278" t="str">
        <f t="shared" si="2"/>
        <v>197.5%</v>
      </c>
      <c r="W31" s="278"/>
    </row>
    <row r="32" spans="1:25" x14ac:dyDescent="0.25">
      <c r="A32" s="12">
        <f t="shared" si="1"/>
        <v>30</v>
      </c>
      <c r="B32" s="283" t="s">
        <v>111</v>
      </c>
      <c r="C32" s="284">
        <v>42884</v>
      </c>
      <c r="D32" s="284">
        <v>42888</v>
      </c>
      <c r="E32" s="284">
        <v>42891</v>
      </c>
      <c r="F32" s="278" t="s">
        <v>46</v>
      </c>
      <c r="G32" s="285">
        <v>1670</v>
      </c>
      <c r="H32" s="278" t="s">
        <v>72</v>
      </c>
      <c r="I32" s="283" t="s">
        <v>37</v>
      </c>
      <c r="J32" s="283"/>
      <c r="K32" s="283" t="s">
        <v>39</v>
      </c>
      <c r="L32" s="278">
        <f t="shared" si="3"/>
        <v>0</v>
      </c>
      <c r="M32" s="283" t="s">
        <v>37</v>
      </c>
      <c r="N32" s="283"/>
      <c r="O32" s="283" t="s">
        <v>39</v>
      </c>
      <c r="P32" s="278">
        <f t="shared" si="5"/>
        <v>0</v>
      </c>
      <c r="Q32" s="283" t="s">
        <v>37</v>
      </c>
      <c r="R32" s="278">
        <f t="shared" si="4"/>
        <v>0</v>
      </c>
      <c r="S32" s="287" t="s">
        <v>56</v>
      </c>
      <c r="T32" s="284">
        <v>42901</v>
      </c>
      <c r="U32" s="286">
        <v>7700</v>
      </c>
      <c r="V32" s="278" t="str">
        <f>CONCATENATE(ROUND((IF(ISBLANK(U32),0,U32)-IF(ISBLANK(G32),0,G32))/IF(ISBLANK(G32),0,G32),4)*100,"%")</f>
        <v>361.08%</v>
      </c>
      <c r="W32" s="283"/>
    </row>
    <row r="33" spans="1:23" x14ac:dyDescent="0.25">
      <c r="A33" s="12">
        <f t="shared" si="1"/>
        <v>31</v>
      </c>
      <c r="B33" s="278" t="s">
        <v>113</v>
      </c>
      <c r="C33" s="279">
        <v>42887</v>
      </c>
      <c r="D33" s="279">
        <v>42893</v>
      </c>
      <c r="E33" s="279">
        <v>42894</v>
      </c>
      <c r="F33" s="278" t="s">
        <v>38</v>
      </c>
      <c r="G33" s="280">
        <v>2500</v>
      </c>
      <c r="H33" s="278" t="s">
        <v>72</v>
      </c>
      <c r="I33" s="283" t="s">
        <v>37</v>
      </c>
      <c r="J33" s="278"/>
      <c r="K33" s="283" t="s">
        <v>37</v>
      </c>
      <c r="L33" s="278">
        <f t="shared" si="3"/>
        <v>0</v>
      </c>
      <c r="M33" s="283" t="s">
        <v>37</v>
      </c>
      <c r="N33" s="278"/>
      <c r="O33" s="283" t="s">
        <v>485</v>
      </c>
      <c r="P33" s="278">
        <f t="shared" si="5"/>
        <v>0</v>
      </c>
      <c r="Q33" s="283" t="s">
        <v>39</v>
      </c>
      <c r="R33" s="278">
        <f>IF(Q33="抽選中",G33*100,0)</f>
        <v>0</v>
      </c>
      <c r="S33" s="281" t="s">
        <v>56</v>
      </c>
      <c r="T33" s="279">
        <v>42906</v>
      </c>
      <c r="U33" s="282">
        <v>7100</v>
      </c>
      <c r="V33" s="278" t="str">
        <f t="shared" ref="V33:V38" si="8">CONCATENATE(ROUND((IF(ISBLANK(U33),0,U33)-IF(ISBLANK(G33),0,G33))/IF(ISBLANK(G33),0,G33),4)*100,"%")</f>
        <v>184%</v>
      </c>
      <c r="W33" s="278"/>
    </row>
    <row r="34" spans="1:23" x14ac:dyDescent="0.25">
      <c r="A34" s="12">
        <f t="shared" si="1"/>
        <v>32</v>
      </c>
      <c r="B34" s="278" t="s">
        <v>114</v>
      </c>
      <c r="C34" s="279">
        <v>42888</v>
      </c>
      <c r="D34" s="279">
        <v>42894</v>
      </c>
      <c r="E34" s="279">
        <v>42895</v>
      </c>
      <c r="F34" s="278" t="s">
        <v>73</v>
      </c>
      <c r="G34" s="280">
        <v>2730</v>
      </c>
      <c r="H34" s="278" t="s">
        <v>72</v>
      </c>
      <c r="I34" s="283" t="s">
        <v>37</v>
      </c>
      <c r="J34" s="278">
        <f>IF(I34="抽選中",G34*100,0)</f>
        <v>0</v>
      </c>
      <c r="K34" s="283" t="s">
        <v>39</v>
      </c>
      <c r="L34" s="278">
        <f t="shared" si="3"/>
        <v>0</v>
      </c>
      <c r="M34" s="283" t="s">
        <v>37</v>
      </c>
      <c r="N34" s="278"/>
      <c r="O34" s="283" t="s">
        <v>485</v>
      </c>
      <c r="P34" s="278">
        <f t="shared" si="5"/>
        <v>0</v>
      </c>
      <c r="Q34" s="283" t="s">
        <v>37</v>
      </c>
      <c r="R34" s="278">
        <f t="shared" ref="R34:R49" si="9">IF(Q34="抽選中",G34*100,0)</f>
        <v>0</v>
      </c>
      <c r="S34" s="278" t="s">
        <v>78</v>
      </c>
      <c r="T34" s="279">
        <v>42907</v>
      </c>
      <c r="U34" s="282">
        <v>4195</v>
      </c>
      <c r="V34" s="278" t="str">
        <f t="shared" si="8"/>
        <v>53.66%</v>
      </c>
      <c r="W34" s="278"/>
    </row>
    <row r="35" spans="1:23" x14ac:dyDescent="0.25">
      <c r="A35" s="12">
        <f t="shared" si="1"/>
        <v>33</v>
      </c>
      <c r="B35" s="278" t="s">
        <v>465</v>
      </c>
      <c r="C35" s="279">
        <v>42894</v>
      </c>
      <c r="D35" s="279">
        <v>42900</v>
      </c>
      <c r="E35" s="279">
        <v>42901</v>
      </c>
      <c r="F35" s="278" t="s">
        <v>46</v>
      </c>
      <c r="G35" s="280">
        <v>2600</v>
      </c>
      <c r="H35" s="278" t="s">
        <v>53</v>
      </c>
      <c r="I35" s="283" t="s">
        <v>37</v>
      </c>
      <c r="J35" s="278"/>
      <c r="K35" s="283" t="s">
        <v>39</v>
      </c>
      <c r="L35" s="278">
        <f t="shared" si="3"/>
        <v>0</v>
      </c>
      <c r="M35" s="283" t="s">
        <v>37</v>
      </c>
      <c r="N35" s="278"/>
      <c r="O35" s="283" t="s">
        <v>37</v>
      </c>
      <c r="P35" s="278">
        <f t="shared" si="5"/>
        <v>0</v>
      </c>
      <c r="Q35" s="283" t="s">
        <v>37</v>
      </c>
      <c r="R35" s="278">
        <f t="shared" si="9"/>
        <v>0</v>
      </c>
      <c r="S35" s="278" t="s">
        <v>62</v>
      </c>
      <c r="T35" s="279">
        <v>42913</v>
      </c>
      <c r="U35" s="282">
        <v>6060</v>
      </c>
      <c r="V35" s="278" t="str">
        <f t="shared" si="8"/>
        <v>133.08%</v>
      </c>
      <c r="W35" s="278"/>
    </row>
    <row r="36" spans="1:23" x14ac:dyDescent="0.25">
      <c r="A36" s="12">
        <f t="shared" si="1"/>
        <v>34</v>
      </c>
      <c r="B36" s="283" t="s">
        <v>467</v>
      </c>
      <c r="C36" s="284">
        <v>42900</v>
      </c>
      <c r="D36" s="284">
        <v>42906</v>
      </c>
      <c r="E36" s="284">
        <v>42907</v>
      </c>
      <c r="F36" s="278" t="s">
        <v>46</v>
      </c>
      <c r="G36" s="285">
        <v>2130</v>
      </c>
      <c r="H36" s="278" t="s">
        <v>53</v>
      </c>
      <c r="I36" s="283" t="s">
        <v>37</v>
      </c>
      <c r="J36" s="283" t="s">
        <v>112</v>
      </c>
      <c r="K36" s="283" t="s">
        <v>39</v>
      </c>
      <c r="L36" s="278">
        <f t="shared" si="3"/>
        <v>0</v>
      </c>
      <c r="M36" s="283" t="s">
        <v>39</v>
      </c>
      <c r="N36" s="283" t="s">
        <v>112</v>
      </c>
      <c r="O36" s="283" t="s">
        <v>39</v>
      </c>
      <c r="P36" s="278">
        <f t="shared" si="5"/>
        <v>0</v>
      </c>
      <c r="Q36" s="283" t="s">
        <v>37</v>
      </c>
      <c r="R36" s="278">
        <f t="shared" si="9"/>
        <v>0</v>
      </c>
      <c r="S36" s="283" t="s">
        <v>62</v>
      </c>
      <c r="T36" s="284">
        <v>42916</v>
      </c>
      <c r="U36" s="286">
        <v>4515</v>
      </c>
      <c r="V36" s="278" t="str">
        <f t="shared" si="8"/>
        <v>111.97%</v>
      </c>
      <c r="W36" s="283"/>
    </row>
    <row r="37" spans="1:23" x14ac:dyDescent="0.25">
      <c r="A37" s="12">
        <f t="shared" si="1"/>
        <v>35</v>
      </c>
      <c r="B37" s="278" t="s">
        <v>468</v>
      </c>
      <c r="C37" s="284">
        <v>42900</v>
      </c>
      <c r="D37" s="284">
        <v>42906</v>
      </c>
      <c r="E37" s="284">
        <v>42907</v>
      </c>
      <c r="F37" s="278" t="s">
        <v>38</v>
      </c>
      <c r="G37" s="280">
        <v>2560</v>
      </c>
      <c r="H37" s="278" t="s">
        <v>53</v>
      </c>
      <c r="I37" s="283" t="s">
        <v>37</v>
      </c>
      <c r="J37" s="278"/>
      <c r="K37" s="283" t="s">
        <v>39</v>
      </c>
      <c r="L37" s="278">
        <f t="shared" si="3"/>
        <v>0</v>
      </c>
      <c r="M37" s="283" t="s">
        <v>37</v>
      </c>
      <c r="N37" s="278"/>
      <c r="O37" s="283" t="s">
        <v>39</v>
      </c>
      <c r="P37" s="278">
        <f t="shared" si="5"/>
        <v>0</v>
      </c>
      <c r="Q37" s="283" t="s">
        <v>37</v>
      </c>
      <c r="R37" s="278">
        <f t="shared" si="9"/>
        <v>0</v>
      </c>
      <c r="S37" s="278" t="s">
        <v>63</v>
      </c>
      <c r="T37" s="284">
        <v>42916</v>
      </c>
      <c r="U37" s="282">
        <v>5530</v>
      </c>
      <c r="V37" s="278" t="str">
        <f t="shared" si="8"/>
        <v>116.02%</v>
      </c>
      <c r="W37" s="278"/>
    </row>
    <row r="38" spans="1:23" x14ac:dyDescent="0.25">
      <c r="A38" s="12">
        <f t="shared" si="1"/>
        <v>36</v>
      </c>
      <c r="B38" s="283" t="s">
        <v>472</v>
      </c>
      <c r="C38" s="284">
        <v>42901</v>
      </c>
      <c r="D38" s="284">
        <v>42907</v>
      </c>
      <c r="E38" s="284">
        <v>42908</v>
      </c>
      <c r="F38" s="278" t="s">
        <v>46</v>
      </c>
      <c r="G38" s="285">
        <v>1920</v>
      </c>
      <c r="H38" s="278" t="s">
        <v>53</v>
      </c>
      <c r="I38" s="283" t="s">
        <v>473</v>
      </c>
      <c r="J38" s="283"/>
      <c r="K38" s="283" t="s">
        <v>92</v>
      </c>
      <c r="L38" s="278">
        <f t="shared" si="3"/>
        <v>0</v>
      </c>
      <c r="M38" s="283" t="s">
        <v>39</v>
      </c>
      <c r="N38" s="283"/>
      <c r="O38" s="283" t="s">
        <v>61</v>
      </c>
      <c r="P38" s="278">
        <f t="shared" si="5"/>
        <v>0</v>
      </c>
      <c r="Q38" s="283" t="s">
        <v>37</v>
      </c>
      <c r="R38" s="278">
        <f t="shared" si="9"/>
        <v>0</v>
      </c>
      <c r="S38" s="287" t="s">
        <v>40</v>
      </c>
      <c r="T38" s="284">
        <v>42916</v>
      </c>
      <c r="U38" s="286">
        <v>4490</v>
      </c>
      <c r="V38" s="278" t="str">
        <f t="shared" si="8"/>
        <v>133.85%</v>
      </c>
      <c r="W38" s="283"/>
    </row>
    <row r="39" spans="1:23" x14ac:dyDescent="0.25">
      <c r="A39" s="12">
        <f t="shared" si="1"/>
        <v>37</v>
      </c>
      <c r="B39" s="278" t="s">
        <v>486</v>
      </c>
      <c r="C39" s="279">
        <v>42909</v>
      </c>
      <c r="D39" s="279">
        <v>42915</v>
      </c>
      <c r="E39" s="279">
        <v>42916</v>
      </c>
      <c r="F39" s="278" t="s">
        <v>46</v>
      </c>
      <c r="G39" s="280">
        <v>1200</v>
      </c>
      <c r="H39" s="278" t="s">
        <v>53</v>
      </c>
      <c r="I39" s="278" t="s">
        <v>487</v>
      </c>
      <c r="J39" s="278"/>
      <c r="K39" s="283" t="s">
        <v>39</v>
      </c>
      <c r="L39" s="278">
        <f t="shared" si="3"/>
        <v>0</v>
      </c>
      <c r="M39" s="283" t="s">
        <v>92</v>
      </c>
      <c r="N39" s="278"/>
      <c r="O39" s="283" t="s">
        <v>61</v>
      </c>
      <c r="P39" s="278">
        <f t="shared" si="5"/>
        <v>0</v>
      </c>
      <c r="Q39" s="278" t="s">
        <v>487</v>
      </c>
      <c r="R39" s="278">
        <f t="shared" si="9"/>
        <v>0</v>
      </c>
      <c r="S39" s="278" t="s">
        <v>89</v>
      </c>
      <c r="T39" s="279">
        <v>42928</v>
      </c>
      <c r="U39" s="282"/>
      <c r="V39" s="278" t="str">
        <f t="shared" ref="V39:V47" si="10">CONCATENATE((IF(ISBLANK(U39),0,U39)-IF(ISBLANK(G39),0,G39))/IF(ISBLANK(G39),0,G39)*100,"%")</f>
        <v>-100%</v>
      </c>
      <c r="W39" s="278"/>
    </row>
    <row r="40" spans="1:23" x14ac:dyDescent="0.25">
      <c r="A40" s="12">
        <f t="shared" si="1"/>
        <v>38</v>
      </c>
      <c r="B40" s="36" t="s">
        <v>488</v>
      </c>
      <c r="C40" s="54">
        <v>42915</v>
      </c>
      <c r="D40" s="54">
        <v>42921</v>
      </c>
      <c r="E40" s="54">
        <v>42922</v>
      </c>
      <c r="F40" s="36" t="s">
        <v>46</v>
      </c>
      <c r="G40" s="55">
        <v>2800</v>
      </c>
      <c r="H40" s="36" t="s">
        <v>53</v>
      </c>
      <c r="I40" s="36" t="s">
        <v>492</v>
      </c>
      <c r="J40" s="36">
        <f>IF(I40="抽選中",G40*100,0)</f>
        <v>0</v>
      </c>
      <c r="K40" s="49" t="s">
        <v>509</v>
      </c>
      <c r="L40" s="49" t="s">
        <v>112</v>
      </c>
      <c r="M40" s="49" t="s">
        <v>509</v>
      </c>
      <c r="N40" s="49" t="s">
        <v>112</v>
      </c>
      <c r="O40" s="49" t="s">
        <v>509</v>
      </c>
      <c r="P40" s="36">
        <f t="shared" si="5"/>
        <v>0</v>
      </c>
      <c r="Q40" s="36" t="s">
        <v>492</v>
      </c>
      <c r="R40" s="36">
        <f t="shared" si="9"/>
        <v>0</v>
      </c>
      <c r="S40" s="36" t="s">
        <v>62</v>
      </c>
      <c r="T40" s="54">
        <v>42935</v>
      </c>
      <c r="U40" s="56"/>
      <c r="V40" s="36" t="str">
        <f t="shared" si="10"/>
        <v>-100%</v>
      </c>
      <c r="W40" s="36"/>
    </row>
    <row r="41" spans="1:23" x14ac:dyDescent="0.25">
      <c r="A41" s="12">
        <f t="shared" si="1"/>
        <v>39</v>
      </c>
      <c r="B41" s="36" t="s">
        <v>490</v>
      </c>
      <c r="C41" s="54">
        <v>42916</v>
      </c>
      <c r="D41" s="54">
        <v>42922</v>
      </c>
      <c r="E41" s="54">
        <v>42923</v>
      </c>
      <c r="F41" s="36" t="s">
        <v>48</v>
      </c>
      <c r="G41" s="55">
        <v>3200</v>
      </c>
      <c r="H41" s="36" t="s">
        <v>60</v>
      </c>
      <c r="I41" s="36" t="s">
        <v>492</v>
      </c>
      <c r="J41" s="36"/>
      <c r="K41" s="49" t="s">
        <v>509</v>
      </c>
      <c r="L41" s="52">
        <f t="shared" si="3"/>
        <v>0</v>
      </c>
      <c r="M41" s="36" t="s">
        <v>492</v>
      </c>
      <c r="N41" s="36"/>
      <c r="O41" s="49" t="s">
        <v>509</v>
      </c>
      <c r="P41" s="36">
        <f t="shared" si="5"/>
        <v>0</v>
      </c>
      <c r="Q41" s="36" t="s">
        <v>492</v>
      </c>
      <c r="R41" s="36">
        <f t="shared" si="9"/>
        <v>0</v>
      </c>
      <c r="S41" s="36" t="s">
        <v>89</v>
      </c>
      <c r="T41" s="54">
        <v>42936</v>
      </c>
      <c r="U41" s="56"/>
      <c r="V41" s="36" t="str">
        <f t="shared" si="10"/>
        <v>-100%</v>
      </c>
      <c r="W41" s="36"/>
    </row>
    <row r="42" spans="1:23" x14ac:dyDescent="0.25">
      <c r="A42" s="12">
        <f t="shared" si="1"/>
        <v>40</v>
      </c>
      <c r="B42" s="49" t="s">
        <v>491</v>
      </c>
      <c r="C42" s="54">
        <v>42916</v>
      </c>
      <c r="D42" s="54">
        <v>42922</v>
      </c>
      <c r="E42" s="54">
        <v>42923</v>
      </c>
      <c r="F42" s="36" t="s">
        <v>38</v>
      </c>
      <c r="G42" s="51">
        <v>730</v>
      </c>
      <c r="H42" s="36" t="s">
        <v>47</v>
      </c>
      <c r="I42" s="36" t="s">
        <v>492</v>
      </c>
      <c r="J42" s="36"/>
      <c r="K42" s="49" t="s">
        <v>510</v>
      </c>
      <c r="L42" s="52">
        <f t="shared" ref="L42" si="11">IF(K42="抽選中",G42*100,0)</f>
        <v>73000</v>
      </c>
      <c r="M42" s="36" t="s">
        <v>492</v>
      </c>
      <c r="N42" s="36"/>
      <c r="O42" s="49" t="s">
        <v>510</v>
      </c>
      <c r="P42" s="36">
        <f t="shared" ref="P42" si="12">IF(O42="抽選中",G42*100,0)</f>
        <v>73000</v>
      </c>
      <c r="Q42" s="36" t="s">
        <v>492</v>
      </c>
      <c r="R42" s="36">
        <f t="shared" si="9"/>
        <v>0</v>
      </c>
      <c r="S42" s="49" t="s">
        <v>74</v>
      </c>
      <c r="T42" s="54">
        <v>42936</v>
      </c>
      <c r="U42" s="53"/>
      <c r="V42" s="36" t="str">
        <f t="shared" si="10"/>
        <v>-100%</v>
      </c>
      <c r="W42" s="49"/>
    </row>
    <row r="43" spans="1:23" x14ac:dyDescent="0.25">
      <c r="A43" s="12">
        <f t="shared" si="1"/>
        <v>41</v>
      </c>
      <c r="B43" s="36" t="s">
        <v>515</v>
      </c>
      <c r="C43" s="54">
        <v>42935</v>
      </c>
      <c r="D43" s="54">
        <v>42941</v>
      </c>
      <c r="E43" s="54">
        <v>42942</v>
      </c>
      <c r="F43" s="36" t="s">
        <v>46</v>
      </c>
      <c r="G43" s="55"/>
      <c r="H43" s="36"/>
      <c r="I43" s="36" t="s">
        <v>516</v>
      </c>
      <c r="J43" s="36"/>
      <c r="K43" s="36" t="s">
        <v>516</v>
      </c>
      <c r="L43" s="52">
        <f t="shared" si="3"/>
        <v>0</v>
      </c>
      <c r="M43" s="36" t="s">
        <v>516</v>
      </c>
      <c r="N43" s="36"/>
      <c r="O43" s="36" t="s">
        <v>516</v>
      </c>
      <c r="P43" s="36">
        <f t="shared" si="5"/>
        <v>0</v>
      </c>
      <c r="Q43" s="36" t="s">
        <v>473</v>
      </c>
      <c r="R43" s="36">
        <f t="shared" si="9"/>
        <v>0</v>
      </c>
      <c r="S43" s="36" t="s">
        <v>40</v>
      </c>
      <c r="T43" s="54">
        <v>42950</v>
      </c>
      <c r="U43" s="56"/>
      <c r="V43" s="36" t="e">
        <f t="shared" si="10"/>
        <v>#DIV/0!</v>
      </c>
      <c r="W43" s="36"/>
    </row>
    <row r="44" spans="1:23" x14ac:dyDescent="0.25">
      <c r="A44" s="12">
        <f t="shared" si="1"/>
        <v>42</v>
      </c>
      <c r="B44" s="49" t="s">
        <v>517</v>
      </c>
      <c r="C44" s="50">
        <v>42940</v>
      </c>
      <c r="D44" s="50">
        <v>42944</v>
      </c>
      <c r="E44" s="50">
        <v>42947</v>
      </c>
      <c r="F44" s="36" t="s">
        <v>46</v>
      </c>
      <c r="G44" s="51"/>
      <c r="H44" s="36"/>
      <c r="I44" s="36" t="s">
        <v>516</v>
      </c>
      <c r="J44" s="49"/>
      <c r="K44" s="36" t="s">
        <v>473</v>
      </c>
      <c r="L44" s="49"/>
      <c r="M44" s="36" t="s">
        <v>473</v>
      </c>
      <c r="N44" s="49"/>
      <c r="O44" s="36" t="s">
        <v>516</v>
      </c>
      <c r="P44" s="36">
        <f t="shared" si="5"/>
        <v>0</v>
      </c>
      <c r="Q44" s="36" t="s">
        <v>473</v>
      </c>
      <c r="R44" s="36">
        <f t="shared" si="9"/>
        <v>0</v>
      </c>
      <c r="S44" s="49" t="s">
        <v>518</v>
      </c>
      <c r="T44" s="50">
        <v>42956</v>
      </c>
      <c r="U44" s="53"/>
      <c r="V44" s="36" t="e">
        <f t="shared" si="10"/>
        <v>#DIV/0!</v>
      </c>
      <c r="W44" s="49"/>
    </row>
    <row r="45" spans="1:23" x14ac:dyDescent="0.25">
      <c r="A45" s="12">
        <f t="shared" si="1"/>
        <v>43</v>
      </c>
      <c r="B45" s="36"/>
      <c r="C45" s="36"/>
      <c r="D45" s="36"/>
      <c r="E45" s="36"/>
      <c r="F45" s="36"/>
      <c r="G45" s="55"/>
      <c r="H45" s="36"/>
      <c r="I45" s="36"/>
      <c r="J45" s="36"/>
      <c r="K45" s="36"/>
      <c r="L45" s="36"/>
      <c r="M45" s="36"/>
      <c r="N45" s="36"/>
      <c r="O45" s="36"/>
      <c r="P45" s="36">
        <f t="shared" si="5"/>
        <v>0</v>
      </c>
      <c r="Q45" s="36"/>
      <c r="R45" s="36">
        <f t="shared" si="9"/>
        <v>0</v>
      </c>
      <c r="S45" s="36"/>
      <c r="T45" s="54"/>
      <c r="U45" s="56"/>
      <c r="V45" s="36" t="e">
        <f t="shared" si="10"/>
        <v>#DIV/0!</v>
      </c>
      <c r="W45" s="36"/>
    </row>
    <row r="46" spans="1:23" x14ac:dyDescent="0.25">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3"/>
      <c r="V46" s="36" t="e">
        <f t="shared" si="10"/>
        <v>#DIV/0!</v>
      </c>
      <c r="W46" s="49"/>
    </row>
    <row r="47" spans="1:23" x14ac:dyDescent="0.25">
      <c r="A47" s="12">
        <f t="shared" si="1"/>
        <v>45</v>
      </c>
      <c r="B47" s="36"/>
      <c r="C47" s="36"/>
      <c r="D47" s="36"/>
      <c r="E47" s="36"/>
      <c r="F47" s="36"/>
      <c r="G47" s="55"/>
      <c r="H47" s="36"/>
      <c r="I47" s="36"/>
      <c r="J47" s="36"/>
      <c r="K47" s="36"/>
      <c r="L47" s="36"/>
      <c r="M47" s="36"/>
      <c r="N47" s="36"/>
      <c r="O47" s="36"/>
      <c r="P47" s="36">
        <f t="shared" si="5"/>
        <v>0</v>
      </c>
      <c r="Q47" s="36"/>
      <c r="R47" s="36">
        <f t="shared" si="9"/>
        <v>0</v>
      </c>
      <c r="S47" s="36"/>
      <c r="T47" s="54"/>
      <c r="U47" s="56"/>
      <c r="V47" s="36" t="e">
        <f t="shared" si="10"/>
        <v>#DIV/0!</v>
      </c>
      <c r="W47" s="36"/>
    </row>
    <row r="48" spans="1:23" x14ac:dyDescent="0.25">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3"/>
      <c r="V48" s="49"/>
      <c r="W48" s="49"/>
    </row>
    <row r="49" spans="1:18" x14ac:dyDescent="0.25">
      <c r="A49" s="12">
        <f t="shared" si="1"/>
        <v>47</v>
      </c>
      <c r="P49" s="36">
        <f t="shared" si="5"/>
        <v>0</v>
      </c>
      <c r="R49" s="36">
        <f t="shared" si="9"/>
        <v>0</v>
      </c>
    </row>
  </sheetData>
  <mergeCells count="1">
    <mergeCell ref="A1:B1"/>
  </mergeCells>
  <phoneticPr fontId="2"/>
  <conditionalFormatting sqref="H1:H1048576">
    <cfRule type="cellIs" dxfId="128" priority="2" operator="lessThan">
      <formula>"D"</formula>
    </cfRule>
    <cfRule type="cellIs" dxfId="127" priority="3" operator="equal">
      <formula>"D"</formula>
    </cfRule>
  </conditionalFormatting>
  <conditionalFormatting sqref="A1:XFD1048576">
    <cfRule type="expression" dxfId="126" priority="1">
      <formula>CELL("ROW")=ROW()</formula>
    </cfRule>
  </conditionalFormatting>
  <dataValidations count="3">
    <dataValidation type="list" allowBlank="1" showInputMessage="1" showErrorMessage="1" sqref="F3:F45">
      <formula1>$Y$3:$Y$8</formula1>
    </dataValidation>
    <dataValidation type="list" allowBlank="1" showInputMessage="1" showErrorMessage="1" sqref="H3:H48">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AF191"/>
  <sheetViews>
    <sheetView zoomScale="80" zoomScaleNormal="80" workbookViewId="0">
      <pane xSplit="2" ySplit="2" topLeftCell="C30" activePane="bottomRight" state="frozen"/>
      <selection activeCell="A20" sqref="A20"/>
      <selection pane="topRight" activeCell="A20" sqref="A20"/>
      <selection pane="bottomLeft" activeCell="A20" sqref="A20"/>
      <selection pane="bottomRight" activeCell="V47" sqref="V47"/>
    </sheetView>
  </sheetViews>
  <sheetFormatPr defaultColWidth="8" defaultRowHeight="15.75" x14ac:dyDescent="0.25"/>
  <cols>
    <col min="1" max="1" width="5" style="129"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30" bestFit="1" customWidth="1"/>
    <col min="11" max="11" width="10.21875" style="130" bestFit="1" customWidth="1"/>
    <col min="12" max="12" width="8.33203125" style="60" bestFit="1" customWidth="1"/>
    <col min="13" max="13" width="8.33203125" style="60"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31"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6" bestFit="1" customWidth="1"/>
    <col min="26" max="26" width="9.44140625" style="66" bestFit="1" customWidth="1"/>
    <col min="27" max="28" width="8" style="66"/>
    <col min="29" max="29" width="11.88671875" style="66" bestFit="1" customWidth="1"/>
    <col min="30" max="30" width="7.6640625" style="66" bestFit="1" customWidth="1"/>
    <col min="31" max="31" width="8.33203125" style="66" bestFit="1" customWidth="1"/>
    <col min="32" max="16384" width="8" style="66"/>
  </cols>
  <sheetData>
    <row r="1" spans="1:32" ht="17.25" customHeight="1" x14ac:dyDescent="0.25">
      <c r="A1" s="389" t="s">
        <v>115</v>
      </c>
      <c r="B1" s="389"/>
      <c r="E1" s="57" t="s">
        <v>116</v>
      </c>
      <c r="F1" s="330" t="s">
        <v>117</v>
      </c>
      <c r="G1" s="58">
        <f>SUMIF(M47:M389,"=大和",S47:S389)-I1</f>
        <v>-30838</v>
      </c>
      <c r="H1" s="331" t="s">
        <v>118</v>
      </c>
      <c r="I1" s="59">
        <v>0</v>
      </c>
      <c r="J1" s="390" t="s">
        <v>119</v>
      </c>
      <c r="K1" s="390"/>
      <c r="M1" s="61" t="s">
        <v>120</v>
      </c>
      <c r="N1" s="59">
        <f>SUMIF(M3:M389,"=マネックス",S3:S389)-P1</f>
        <v>15751</v>
      </c>
      <c r="O1" s="62" t="s">
        <v>118</v>
      </c>
      <c r="P1" s="59">
        <v>3749</v>
      </c>
      <c r="R1" s="63" t="s">
        <v>121</v>
      </c>
      <c r="S1" s="64">
        <f>SUMIF(M3:M389,"=SBI",S3:S389)-U1+AA1</f>
        <v>-133327.90000000058</v>
      </c>
      <c r="T1" s="63" t="s">
        <v>118</v>
      </c>
      <c r="U1" s="59">
        <v>0</v>
      </c>
      <c r="V1" s="382" t="s">
        <v>122</v>
      </c>
      <c r="W1" s="65"/>
      <c r="Z1" s="67" t="s">
        <v>123</v>
      </c>
      <c r="AA1" s="68">
        <v>0</v>
      </c>
      <c r="AC1" s="371" t="s">
        <v>495</v>
      </c>
      <c r="AD1" s="58">
        <f>SUMIF(M3:M389,"=SMBC日興",S3:S389)-AF1</f>
        <v>83435</v>
      </c>
      <c r="AE1" s="372" t="s">
        <v>118</v>
      </c>
      <c r="AF1" s="59">
        <v>2837</v>
      </c>
    </row>
    <row r="2" spans="1:32" ht="16.5" thickBot="1" x14ac:dyDescent="0.3">
      <c r="A2" s="323" t="s">
        <v>24</v>
      </c>
      <c r="B2" s="323" t="s">
        <v>18</v>
      </c>
      <c r="C2" s="324" t="s">
        <v>23</v>
      </c>
      <c r="D2" s="325" t="s">
        <v>124</v>
      </c>
      <c r="E2" s="325" t="s">
        <v>125</v>
      </c>
      <c r="F2" s="326" t="s">
        <v>30</v>
      </c>
      <c r="G2" s="324" t="s">
        <v>31</v>
      </c>
      <c r="H2" s="324" t="s">
        <v>126</v>
      </c>
      <c r="I2" s="324" t="s">
        <v>127</v>
      </c>
      <c r="J2" s="327" t="s">
        <v>128</v>
      </c>
      <c r="K2" s="327" t="s">
        <v>129</v>
      </c>
      <c r="L2" s="328" t="s">
        <v>130</v>
      </c>
      <c r="M2" s="328" t="s">
        <v>35</v>
      </c>
      <c r="N2" s="323" t="s">
        <v>131</v>
      </c>
      <c r="O2" s="323" t="s">
        <v>132</v>
      </c>
      <c r="P2" s="323" t="s">
        <v>133</v>
      </c>
      <c r="Q2" s="323" t="s">
        <v>134</v>
      </c>
      <c r="R2" s="323" t="s">
        <v>135</v>
      </c>
      <c r="S2" s="329" t="s">
        <v>136</v>
      </c>
      <c r="T2" s="69" t="s">
        <v>137</v>
      </c>
      <c r="U2" s="15" t="s">
        <v>138</v>
      </c>
      <c r="V2" s="15" t="s">
        <v>139</v>
      </c>
      <c r="W2" s="15" t="s">
        <v>140</v>
      </c>
      <c r="X2" s="15" t="s">
        <v>141</v>
      </c>
    </row>
    <row r="3" spans="1:32" ht="16.5" thickTop="1" x14ac:dyDescent="0.25">
      <c r="A3" s="70"/>
      <c r="B3" s="289" t="s">
        <v>142</v>
      </c>
      <c r="C3" s="290"/>
      <c r="D3" s="291"/>
      <c r="E3" s="291"/>
      <c r="F3" s="292"/>
      <c r="G3" s="290"/>
      <c r="H3" s="290"/>
      <c r="I3" s="290"/>
      <c r="J3" s="293"/>
      <c r="K3" s="293"/>
      <c r="L3" s="294"/>
      <c r="M3" s="71" t="s">
        <v>143</v>
      </c>
      <c r="N3" s="72">
        <v>661.5</v>
      </c>
      <c r="O3" s="72">
        <v>1000</v>
      </c>
      <c r="P3" s="72">
        <v>662.3</v>
      </c>
      <c r="Q3" s="73">
        <f t="shared" ref="Q3:R5" si="0">U3+W3</f>
        <v>924</v>
      </c>
      <c r="R3" s="73">
        <f t="shared" si="0"/>
        <v>72</v>
      </c>
      <c r="S3" s="74">
        <f t="shared" ref="S3:S166" si="1">(P3-N3)*O3-R3-Q3</f>
        <v>-196.00000000004547</v>
      </c>
      <c r="T3" s="75">
        <v>42836</v>
      </c>
      <c r="U3" s="15">
        <v>462</v>
      </c>
      <c r="V3" s="15">
        <v>36</v>
      </c>
      <c r="W3" s="15">
        <v>462</v>
      </c>
      <c r="X3" s="15">
        <v>36</v>
      </c>
      <c r="Y3" s="23"/>
    </row>
    <row r="4" spans="1:32" x14ac:dyDescent="0.25">
      <c r="A4" s="70"/>
      <c r="B4" s="295" t="s">
        <v>144</v>
      </c>
      <c r="C4" s="296"/>
      <c r="D4" s="297"/>
      <c r="E4" s="297"/>
      <c r="F4" s="298"/>
      <c r="G4" s="296"/>
      <c r="H4" s="296"/>
      <c r="I4" s="296"/>
      <c r="J4" s="299"/>
      <c r="K4" s="299"/>
      <c r="L4" s="300"/>
      <c r="M4" s="76" t="s">
        <v>143</v>
      </c>
      <c r="N4" s="77">
        <v>2945</v>
      </c>
      <c r="O4" s="77">
        <v>200</v>
      </c>
      <c r="P4" s="77">
        <v>2949.5</v>
      </c>
      <c r="Q4" s="78">
        <f t="shared" si="0"/>
        <v>974</v>
      </c>
      <c r="R4" s="78">
        <f t="shared" si="0"/>
        <v>76</v>
      </c>
      <c r="S4" s="79">
        <f t="shared" si="1"/>
        <v>-150</v>
      </c>
      <c r="T4" s="75">
        <v>42851</v>
      </c>
      <c r="U4" s="15">
        <v>487</v>
      </c>
      <c r="V4" s="15">
        <v>38</v>
      </c>
      <c r="W4" s="15">
        <v>487</v>
      </c>
      <c r="X4" s="15">
        <v>38</v>
      </c>
      <c r="Y4" s="23"/>
    </row>
    <row r="5" spans="1:32" x14ac:dyDescent="0.25">
      <c r="A5" s="70"/>
      <c r="B5" s="295" t="s">
        <v>145</v>
      </c>
      <c r="C5" s="296"/>
      <c r="D5" s="297"/>
      <c r="E5" s="297"/>
      <c r="F5" s="298"/>
      <c r="G5" s="296"/>
      <c r="H5" s="296"/>
      <c r="I5" s="296"/>
      <c r="J5" s="299"/>
      <c r="K5" s="299"/>
      <c r="L5" s="300"/>
      <c r="M5" s="80" t="s">
        <v>146</v>
      </c>
      <c r="N5" s="81">
        <v>1664</v>
      </c>
      <c r="O5" s="81">
        <v>200</v>
      </c>
      <c r="P5" s="81">
        <v>1673</v>
      </c>
      <c r="Q5" s="82">
        <f t="shared" si="0"/>
        <v>700</v>
      </c>
      <c r="R5" s="82">
        <f t="shared" si="0"/>
        <v>56</v>
      </c>
      <c r="S5" s="83">
        <f t="shared" si="1"/>
        <v>1044</v>
      </c>
      <c r="T5" s="75">
        <v>42864</v>
      </c>
      <c r="U5" s="15">
        <v>350</v>
      </c>
      <c r="V5" s="15">
        <v>28</v>
      </c>
      <c r="W5" s="15">
        <v>350</v>
      </c>
      <c r="X5" s="15">
        <v>28</v>
      </c>
      <c r="Y5" s="23"/>
    </row>
    <row r="6" spans="1:32" x14ac:dyDescent="0.25">
      <c r="A6" s="70"/>
      <c r="B6" s="301" t="s">
        <v>147</v>
      </c>
      <c r="C6" s="302"/>
      <c r="D6" s="303"/>
      <c r="E6" s="303"/>
      <c r="F6" s="304"/>
      <c r="G6" s="302"/>
      <c r="H6" s="302"/>
      <c r="I6" s="302"/>
      <c r="J6" s="305"/>
      <c r="K6" s="305"/>
      <c r="L6" s="306"/>
      <c r="M6" s="76" t="s">
        <v>143</v>
      </c>
      <c r="N6" s="84">
        <v>4560</v>
      </c>
      <c r="O6" s="84">
        <v>100</v>
      </c>
      <c r="P6" s="84">
        <v>4580</v>
      </c>
      <c r="Q6" s="85">
        <v>544</v>
      </c>
      <c r="R6" s="85">
        <v>42</v>
      </c>
      <c r="S6" s="86">
        <v>1414</v>
      </c>
      <c r="T6" s="75">
        <v>42865</v>
      </c>
      <c r="U6" s="15">
        <v>272</v>
      </c>
      <c r="V6" s="15">
        <v>21</v>
      </c>
      <c r="W6" s="15">
        <v>272</v>
      </c>
      <c r="X6" s="15">
        <v>21</v>
      </c>
      <c r="Y6" s="23"/>
    </row>
    <row r="7" spans="1:32" x14ac:dyDescent="0.25">
      <c r="A7" s="70"/>
      <c r="B7" s="295"/>
      <c r="C7" s="296"/>
      <c r="D7" s="297"/>
      <c r="E7" s="297"/>
      <c r="F7" s="298"/>
      <c r="G7" s="296"/>
      <c r="H7" s="296"/>
      <c r="I7" s="296"/>
      <c r="J7" s="299"/>
      <c r="K7" s="299"/>
      <c r="L7" s="300"/>
      <c r="M7" s="76" t="s">
        <v>143</v>
      </c>
      <c r="N7" s="77">
        <v>4650</v>
      </c>
      <c r="O7" s="77">
        <v>100</v>
      </c>
      <c r="P7" s="77">
        <v>4620</v>
      </c>
      <c r="Q7" s="78">
        <f t="shared" ref="Q7:R14" si="2">U7+W7</f>
        <v>544</v>
      </c>
      <c r="R7" s="78">
        <f t="shared" si="2"/>
        <v>42</v>
      </c>
      <c r="S7" s="79">
        <f t="shared" ref="S7:S14" si="3">(P7-N7)*O7-R7-Q7</f>
        <v>-3586</v>
      </c>
      <c r="T7" s="75">
        <v>42866</v>
      </c>
      <c r="U7" s="15">
        <v>272</v>
      </c>
      <c r="V7" s="15">
        <v>21</v>
      </c>
      <c r="W7" s="15">
        <v>272</v>
      </c>
      <c r="X7" s="15">
        <v>21</v>
      </c>
      <c r="Y7" s="23"/>
    </row>
    <row r="8" spans="1:32" x14ac:dyDescent="0.25">
      <c r="A8" s="70"/>
      <c r="B8" s="295"/>
      <c r="C8" s="296"/>
      <c r="D8" s="297"/>
      <c r="E8" s="297"/>
      <c r="F8" s="298"/>
      <c r="G8" s="296"/>
      <c r="H8" s="296"/>
      <c r="I8" s="296"/>
      <c r="J8" s="299"/>
      <c r="K8" s="299"/>
      <c r="L8" s="300"/>
      <c r="M8" s="76" t="s">
        <v>143</v>
      </c>
      <c r="N8" s="81">
        <v>4520</v>
      </c>
      <c r="O8" s="81">
        <v>100</v>
      </c>
      <c r="P8" s="81">
        <v>4555</v>
      </c>
      <c r="Q8" s="82">
        <f t="shared" si="2"/>
        <v>531</v>
      </c>
      <c r="R8" s="82">
        <f t="shared" si="2"/>
        <v>41</v>
      </c>
      <c r="S8" s="83">
        <f t="shared" si="3"/>
        <v>2928</v>
      </c>
      <c r="T8" s="75">
        <v>42873</v>
      </c>
      <c r="U8" s="15">
        <v>272</v>
      </c>
      <c r="V8" s="15">
        <v>21</v>
      </c>
      <c r="W8" s="15">
        <v>259</v>
      </c>
      <c r="X8" s="15">
        <v>20</v>
      </c>
      <c r="Y8" s="23"/>
    </row>
    <row r="9" spans="1:32" x14ac:dyDescent="0.25">
      <c r="A9" s="70"/>
      <c r="B9" s="295" t="s">
        <v>148</v>
      </c>
      <c r="C9" s="296"/>
      <c r="D9" s="297"/>
      <c r="E9" s="297"/>
      <c r="F9" s="298"/>
      <c r="G9" s="296"/>
      <c r="H9" s="296"/>
      <c r="I9" s="296"/>
      <c r="J9" s="299"/>
      <c r="K9" s="299"/>
      <c r="L9" s="300"/>
      <c r="M9" s="76" t="s">
        <v>143</v>
      </c>
      <c r="N9" s="81">
        <v>2955</v>
      </c>
      <c r="O9" s="81">
        <v>200</v>
      </c>
      <c r="P9" s="81">
        <v>3005</v>
      </c>
      <c r="Q9" s="82">
        <f t="shared" si="2"/>
        <v>974</v>
      </c>
      <c r="R9" s="82">
        <f t="shared" si="2"/>
        <v>76</v>
      </c>
      <c r="S9" s="83">
        <f t="shared" si="3"/>
        <v>8950</v>
      </c>
      <c r="T9" s="75">
        <v>42866</v>
      </c>
      <c r="U9" s="15">
        <v>487</v>
      </c>
      <c r="V9" s="15">
        <v>38</v>
      </c>
      <c r="W9" s="15">
        <v>487</v>
      </c>
      <c r="X9" s="15">
        <v>38</v>
      </c>
      <c r="Y9" s="23"/>
    </row>
    <row r="10" spans="1:32" x14ac:dyDescent="0.25">
      <c r="A10" s="70"/>
      <c r="B10" s="295" t="s">
        <v>149</v>
      </c>
      <c r="C10" s="296"/>
      <c r="D10" s="297"/>
      <c r="E10" s="297"/>
      <c r="F10" s="298"/>
      <c r="G10" s="296"/>
      <c r="H10" s="296"/>
      <c r="I10" s="296"/>
      <c r="J10" s="299"/>
      <c r="K10" s="299"/>
      <c r="L10" s="300"/>
      <c r="M10" s="76" t="s">
        <v>143</v>
      </c>
      <c r="N10" s="77">
        <v>5860</v>
      </c>
      <c r="O10" s="77">
        <v>100</v>
      </c>
      <c r="P10" s="77">
        <v>5860</v>
      </c>
      <c r="Q10" s="78">
        <f t="shared" si="2"/>
        <v>974</v>
      </c>
      <c r="R10" s="78">
        <f t="shared" si="2"/>
        <v>76</v>
      </c>
      <c r="S10" s="79">
        <f t="shared" si="3"/>
        <v>-1050</v>
      </c>
      <c r="T10" s="75">
        <v>42867</v>
      </c>
      <c r="U10" s="15">
        <v>487</v>
      </c>
      <c r="V10" s="15">
        <v>38</v>
      </c>
      <c r="W10" s="15">
        <v>487</v>
      </c>
      <c r="X10" s="15">
        <v>38</v>
      </c>
      <c r="Y10" s="23"/>
    </row>
    <row r="11" spans="1:32" x14ac:dyDescent="0.25">
      <c r="A11" s="70"/>
      <c r="B11" s="301"/>
      <c r="C11" s="302"/>
      <c r="D11" s="303"/>
      <c r="E11" s="303"/>
      <c r="F11" s="304"/>
      <c r="G11" s="302"/>
      <c r="H11" s="302"/>
      <c r="I11" s="302"/>
      <c r="J11" s="305"/>
      <c r="K11" s="305"/>
      <c r="L11" s="306"/>
      <c r="M11" s="76" t="s">
        <v>143</v>
      </c>
      <c r="N11" s="81">
        <v>6110</v>
      </c>
      <c r="O11" s="81">
        <v>100</v>
      </c>
      <c r="P11" s="81">
        <v>6130</v>
      </c>
      <c r="Q11" s="82">
        <f t="shared" si="2"/>
        <v>974</v>
      </c>
      <c r="R11" s="82">
        <f t="shared" si="2"/>
        <v>76</v>
      </c>
      <c r="S11" s="83">
        <f t="shared" si="3"/>
        <v>950</v>
      </c>
      <c r="T11" s="87">
        <v>42871</v>
      </c>
      <c r="U11" s="88">
        <v>487</v>
      </c>
      <c r="V11" s="88">
        <v>38</v>
      </c>
      <c r="W11" s="88">
        <v>487</v>
      </c>
      <c r="X11" s="88">
        <v>38</v>
      </c>
      <c r="Y11" s="23"/>
    </row>
    <row r="12" spans="1:32" x14ac:dyDescent="0.25">
      <c r="A12" s="70"/>
      <c r="B12" s="295"/>
      <c r="C12" s="296"/>
      <c r="D12" s="297"/>
      <c r="E12" s="297"/>
      <c r="F12" s="298"/>
      <c r="G12" s="296"/>
      <c r="H12" s="296"/>
      <c r="I12" s="296"/>
      <c r="J12" s="299"/>
      <c r="K12" s="299"/>
      <c r="L12" s="300"/>
      <c r="M12" s="76" t="s">
        <v>143</v>
      </c>
      <c r="N12" s="81">
        <v>6030</v>
      </c>
      <c r="O12" s="81">
        <v>100</v>
      </c>
      <c r="P12" s="81">
        <v>6060</v>
      </c>
      <c r="Q12" s="82">
        <f t="shared" si="2"/>
        <v>974</v>
      </c>
      <c r="R12" s="82">
        <f t="shared" si="2"/>
        <v>76</v>
      </c>
      <c r="S12" s="83">
        <f t="shared" si="3"/>
        <v>1950</v>
      </c>
      <c r="T12" s="89">
        <v>42872</v>
      </c>
      <c r="U12" s="90">
        <v>487</v>
      </c>
      <c r="V12" s="90">
        <v>38</v>
      </c>
      <c r="W12" s="90">
        <v>487</v>
      </c>
      <c r="X12" s="90">
        <v>38</v>
      </c>
      <c r="Y12" s="23"/>
    </row>
    <row r="13" spans="1:32" x14ac:dyDescent="0.25">
      <c r="A13" s="70"/>
      <c r="B13" s="295"/>
      <c r="C13" s="296"/>
      <c r="D13" s="297"/>
      <c r="E13" s="297"/>
      <c r="F13" s="298"/>
      <c r="G13" s="296"/>
      <c r="H13" s="296"/>
      <c r="I13" s="296"/>
      <c r="J13" s="299"/>
      <c r="K13" s="299"/>
      <c r="L13" s="300"/>
      <c r="M13" s="76" t="s">
        <v>143</v>
      </c>
      <c r="N13" s="81">
        <v>6240</v>
      </c>
      <c r="O13" s="81">
        <v>100</v>
      </c>
      <c r="P13" s="81">
        <v>6260</v>
      </c>
      <c r="Q13" s="82">
        <f t="shared" ref="Q13" si="4">U13+W13</f>
        <v>974</v>
      </c>
      <c r="R13" s="82">
        <f t="shared" ref="R13" si="5">V13+X13</f>
        <v>76</v>
      </c>
      <c r="S13" s="83">
        <f t="shared" ref="S13" si="6">(P13-N13)*O13-R13-Q13</f>
        <v>950</v>
      </c>
      <c r="T13" s="89">
        <v>42877</v>
      </c>
      <c r="U13" s="90">
        <v>487</v>
      </c>
      <c r="V13" s="90">
        <v>38</v>
      </c>
      <c r="W13" s="90">
        <v>487</v>
      </c>
      <c r="X13" s="90">
        <v>38</v>
      </c>
      <c r="Y13" s="23"/>
    </row>
    <row r="14" spans="1:32" x14ac:dyDescent="0.25">
      <c r="A14" s="70"/>
      <c r="B14" s="295" t="s">
        <v>150</v>
      </c>
      <c r="C14" s="296"/>
      <c r="D14" s="297"/>
      <c r="E14" s="297"/>
      <c r="F14" s="298"/>
      <c r="G14" s="296"/>
      <c r="H14" s="296"/>
      <c r="I14" s="296"/>
      <c r="J14" s="299"/>
      <c r="K14" s="299"/>
      <c r="L14" s="300"/>
      <c r="M14" s="76" t="s">
        <v>143</v>
      </c>
      <c r="N14" s="81">
        <v>1065</v>
      </c>
      <c r="O14" s="81">
        <v>500</v>
      </c>
      <c r="P14" s="81">
        <v>1105</v>
      </c>
      <c r="Q14" s="82">
        <f t="shared" si="2"/>
        <v>974</v>
      </c>
      <c r="R14" s="82">
        <f t="shared" si="2"/>
        <v>76</v>
      </c>
      <c r="S14" s="83">
        <f t="shared" si="3"/>
        <v>18950</v>
      </c>
      <c r="T14" s="89">
        <v>42873</v>
      </c>
      <c r="U14" s="90">
        <v>487</v>
      </c>
      <c r="V14" s="90">
        <v>38</v>
      </c>
      <c r="W14" s="90">
        <v>487</v>
      </c>
      <c r="X14" s="90">
        <v>38</v>
      </c>
      <c r="Y14" s="23"/>
    </row>
    <row r="15" spans="1:32" x14ac:dyDescent="0.25">
      <c r="A15" s="70"/>
      <c r="B15" s="301"/>
      <c r="C15" s="302"/>
      <c r="D15" s="303"/>
      <c r="E15" s="303"/>
      <c r="F15" s="304"/>
      <c r="G15" s="302"/>
      <c r="H15" s="302"/>
      <c r="I15" s="302"/>
      <c r="J15" s="305"/>
      <c r="K15" s="305"/>
      <c r="L15" s="306"/>
      <c r="M15" s="345" t="s">
        <v>143</v>
      </c>
      <c r="N15" s="84">
        <v>1155</v>
      </c>
      <c r="O15" s="84">
        <v>600</v>
      </c>
      <c r="P15" s="84">
        <v>1161</v>
      </c>
      <c r="Q15" s="85">
        <f t="shared" ref="Q15" si="7">U15+W15</f>
        <v>974</v>
      </c>
      <c r="R15" s="85">
        <f t="shared" ref="R15" si="8">V15+X15</f>
        <v>76</v>
      </c>
      <c r="S15" s="86">
        <f t="shared" ref="S15" si="9">(P15-N15)*O15-R15-Q15</f>
        <v>2550</v>
      </c>
      <c r="T15" s="342">
        <v>42877</v>
      </c>
      <c r="U15" s="90">
        <v>487</v>
      </c>
      <c r="V15" s="90">
        <v>38</v>
      </c>
      <c r="W15" s="90">
        <v>487</v>
      </c>
      <c r="X15" s="90">
        <v>38</v>
      </c>
      <c r="Y15" s="23"/>
    </row>
    <row r="16" spans="1:32" x14ac:dyDescent="0.25">
      <c r="A16" s="70"/>
      <c r="B16" s="301"/>
      <c r="C16" s="302"/>
      <c r="D16" s="303"/>
      <c r="E16" s="303"/>
      <c r="F16" s="304"/>
      <c r="G16" s="302"/>
      <c r="H16" s="302"/>
      <c r="I16" s="302"/>
      <c r="J16" s="305"/>
      <c r="K16" s="305"/>
      <c r="L16" s="306"/>
      <c r="M16" s="345" t="s">
        <v>143</v>
      </c>
      <c r="N16" s="84">
        <v>1197</v>
      </c>
      <c r="O16" s="84">
        <v>400</v>
      </c>
      <c r="P16" s="84">
        <v>1210</v>
      </c>
      <c r="Q16" s="85">
        <f t="shared" ref="Q16" si="10">U16+W16</f>
        <v>544</v>
      </c>
      <c r="R16" s="85">
        <f t="shared" ref="R16" si="11">V16+X16</f>
        <v>42</v>
      </c>
      <c r="S16" s="86">
        <f t="shared" ref="S16" si="12">(P16-N16)*O16-R16-Q16</f>
        <v>4614</v>
      </c>
      <c r="T16" s="342">
        <v>42878</v>
      </c>
      <c r="U16" s="90">
        <v>272</v>
      </c>
      <c r="V16" s="90">
        <v>21</v>
      </c>
      <c r="W16" s="90">
        <v>272</v>
      </c>
      <c r="X16" s="90">
        <v>21</v>
      </c>
      <c r="Y16" s="23"/>
    </row>
    <row r="17" spans="1:25" x14ac:dyDescent="0.25">
      <c r="A17" s="70"/>
      <c r="B17" s="301"/>
      <c r="C17" s="302"/>
      <c r="D17" s="303"/>
      <c r="E17" s="303"/>
      <c r="F17" s="304"/>
      <c r="G17" s="302"/>
      <c r="H17" s="302"/>
      <c r="I17" s="302"/>
      <c r="J17" s="305"/>
      <c r="K17" s="305"/>
      <c r="L17" s="306"/>
      <c r="M17" s="345" t="s">
        <v>143</v>
      </c>
      <c r="N17" s="84">
        <v>1213</v>
      </c>
      <c r="O17" s="84">
        <v>300</v>
      </c>
      <c r="P17" s="84">
        <v>1229</v>
      </c>
      <c r="Q17" s="85">
        <f t="shared" ref="Q17" si="13">U17+W17</f>
        <v>544</v>
      </c>
      <c r="R17" s="85">
        <f t="shared" ref="R17" si="14">V17+X17</f>
        <v>42</v>
      </c>
      <c r="S17" s="86">
        <f t="shared" ref="S17" si="15">(P17-N17)*O17-R17-Q17</f>
        <v>4214</v>
      </c>
      <c r="T17" s="342">
        <v>42879</v>
      </c>
      <c r="U17" s="90">
        <v>272</v>
      </c>
      <c r="V17" s="90">
        <v>21</v>
      </c>
      <c r="W17" s="90">
        <v>272</v>
      </c>
      <c r="X17" s="90">
        <v>21</v>
      </c>
      <c r="Y17" s="23"/>
    </row>
    <row r="18" spans="1:25" x14ac:dyDescent="0.25">
      <c r="A18" s="70"/>
      <c r="B18" s="301"/>
      <c r="C18" s="302"/>
      <c r="D18" s="303"/>
      <c r="E18" s="303"/>
      <c r="F18" s="304"/>
      <c r="G18" s="302"/>
      <c r="H18" s="302"/>
      <c r="I18" s="302"/>
      <c r="J18" s="305"/>
      <c r="K18" s="305"/>
      <c r="L18" s="306"/>
      <c r="M18" s="345" t="s">
        <v>143</v>
      </c>
      <c r="N18" s="84">
        <v>1205</v>
      </c>
      <c r="O18" s="84">
        <v>700</v>
      </c>
      <c r="P18" s="84">
        <v>1214</v>
      </c>
      <c r="Q18" s="85">
        <f t="shared" ref="Q18" si="16">U18+W18</f>
        <v>974</v>
      </c>
      <c r="R18" s="85">
        <f t="shared" ref="R18" si="17">V18+X18</f>
        <v>76</v>
      </c>
      <c r="S18" s="86">
        <f t="shared" ref="S18" si="18">(P18-N18)*O18-R18-Q18</f>
        <v>5250</v>
      </c>
      <c r="T18" s="342">
        <v>42880</v>
      </c>
      <c r="U18" s="90">
        <v>487</v>
      </c>
      <c r="V18" s="90">
        <v>38</v>
      </c>
      <c r="W18" s="90">
        <v>487</v>
      </c>
      <c r="X18" s="90">
        <v>38</v>
      </c>
      <c r="Y18" s="23"/>
    </row>
    <row r="19" spans="1:25" x14ac:dyDescent="0.25">
      <c r="A19" s="70"/>
      <c r="B19" s="301"/>
      <c r="C19" s="302"/>
      <c r="D19" s="303"/>
      <c r="E19" s="303"/>
      <c r="F19" s="304"/>
      <c r="G19" s="302"/>
      <c r="H19" s="302"/>
      <c r="I19" s="302"/>
      <c r="J19" s="305"/>
      <c r="K19" s="305"/>
      <c r="L19" s="306"/>
      <c r="M19" s="345" t="s">
        <v>143</v>
      </c>
      <c r="N19" s="84">
        <v>1302</v>
      </c>
      <c r="O19" s="84">
        <v>300</v>
      </c>
      <c r="P19" s="84">
        <v>1324</v>
      </c>
      <c r="Q19" s="85">
        <f t="shared" ref="Q19" si="19">U19+W19</f>
        <v>544</v>
      </c>
      <c r="R19" s="85">
        <f t="shared" ref="R19" si="20">V19+X19</f>
        <v>42</v>
      </c>
      <c r="S19" s="86">
        <f t="shared" ref="S19" si="21">(P19-N19)*O19-R19-Q19</f>
        <v>6014</v>
      </c>
      <c r="T19" s="342">
        <v>42885</v>
      </c>
      <c r="U19" s="90">
        <v>272</v>
      </c>
      <c r="V19" s="90">
        <v>21</v>
      </c>
      <c r="W19" s="90">
        <v>272</v>
      </c>
      <c r="X19" s="90">
        <v>21</v>
      </c>
      <c r="Y19" s="23"/>
    </row>
    <row r="20" spans="1:25" x14ac:dyDescent="0.25">
      <c r="A20" s="70"/>
      <c r="B20" s="301"/>
      <c r="C20" s="302"/>
      <c r="D20" s="303"/>
      <c r="E20" s="303"/>
      <c r="F20" s="304"/>
      <c r="G20" s="302"/>
      <c r="H20" s="302"/>
      <c r="I20" s="302"/>
      <c r="J20" s="305"/>
      <c r="K20" s="305"/>
      <c r="L20" s="306"/>
      <c r="M20" s="345" t="s">
        <v>143</v>
      </c>
      <c r="N20" s="84">
        <v>1361</v>
      </c>
      <c r="O20" s="84">
        <v>400</v>
      </c>
      <c r="P20" s="84">
        <v>1372</v>
      </c>
      <c r="Q20" s="85">
        <f t="shared" ref="Q20" si="22">U20+W20</f>
        <v>974</v>
      </c>
      <c r="R20" s="85">
        <f t="shared" ref="R20" si="23">V20+X20</f>
        <v>76</v>
      </c>
      <c r="S20" s="86">
        <f t="shared" ref="S20" si="24">(P20-N20)*O20-R20-Q20</f>
        <v>3350</v>
      </c>
      <c r="T20" s="342">
        <v>42898</v>
      </c>
      <c r="U20" s="90">
        <v>487</v>
      </c>
      <c r="V20" s="90">
        <v>38</v>
      </c>
      <c r="W20" s="90">
        <v>487</v>
      </c>
      <c r="X20" s="90">
        <v>38</v>
      </c>
      <c r="Y20" s="23"/>
    </row>
    <row r="21" spans="1:25" x14ac:dyDescent="0.25">
      <c r="A21" s="70"/>
      <c r="B21" s="301"/>
      <c r="C21" s="302"/>
      <c r="D21" s="303"/>
      <c r="E21" s="303"/>
      <c r="F21" s="304"/>
      <c r="G21" s="302"/>
      <c r="H21" s="302"/>
      <c r="I21" s="302"/>
      <c r="J21" s="305"/>
      <c r="K21" s="305"/>
      <c r="L21" s="306"/>
      <c r="M21" s="345" t="s">
        <v>143</v>
      </c>
      <c r="N21" s="84">
        <v>1361</v>
      </c>
      <c r="O21" s="84">
        <v>200</v>
      </c>
      <c r="P21" s="84">
        <v>1372</v>
      </c>
      <c r="Q21" s="85">
        <f t="shared" ref="Q21" si="25">U21+W21</f>
        <v>272</v>
      </c>
      <c r="R21" s="85">
        <f t="shared" ref="R21" si="26">V21+X21</f>
        <v>21</v>
      </c>
      <c r="S21" s="86">
        <f t="shared" ref="S21" si="27">(P21-N21)*O21-R21-Q21</f>
        <v>1907</v>
      </c>
      <c r="T21" s="342">
        <v>42898</v>
      </c>
      <c r="U21" s="90">
        <v>0</v>
      </c>
      <c r="V21" s="90">
        <v>0</v>
      </c>
      <c r="W21" s="90">
        <v>272</v>
      </c>
      <c r="X21" s="90">
        <v>21</v>
      </c>
      <c r="Y21" s="23"/>
    </row>
    <row r="22" spans="1:25" x14ac:dyDescent="0.25">
      <c r="A22" s="70"/>
      <c r="B22" s="301" t="s">
        <v>459</v>
      </c>
      <c r="C22" s="302"/>
      <c r="D22" s="303"/>
      <c r="E22" s="303"/>
      <c r="F22" s="304"/>
      <c r="G22" s="302"/>
      <c r="H22" s="302"/>
      <c r="I22" s="302"/>
      <c r="J22" s="305"/>
      <c r="K22" s="305"/>
      <c r="L22" s="306"/>
      <c r="M22" s="76" t="s">
        <v>143</v>
      </c>
      <c r="N22" s="346">
        <v>2631</v>
      </c>
      <c r="O22" s="346">
        <v>400</v>
      </c>
      <c r="P22" s="346">
        <v>2571</v>
      </c>
      <c r="Q22" s="78">
        <f t="shared" ref="Q22" si="28">U22+W22</f>
        <v>1135</v>
      </c>
      <c r="R22" s="78">
        <f t="shared" ref="R22" si="29">V22+X22</f>
        <v>90</v>
      </c>
      <c r="S22" s="79">
        <f t="shared" ref="S22:S23" si="30">(P22-N22)*O22-R22-Q22</f>
        <v>-25225</v>
      </c>
      <c r="T22" s="342">
        <v>42878</v>
      </c>
      <c r="U22" s="90">
        <v>582</v>
      </c>
      <c r="V22" s="90">
        <v>46</v>
      </c>
      <c r="W22" s="90">
        <v>553</v>
      </c>
      <c r="X22" s="90">
        <v>44</v>
      </c>
      <c r="Y22" s="23"/>
    </row>
    <row r="23" spans="1:25" x14ac:dyDescent="0.25">
      <c r="A23" s="70"/>
      <c r="B23" s="301"/>
      <c r="C23" s="302"/>
      <c r="D23" s="303"/>
      <c r="E23" s="303"/>
      <c r="F23" s="304"/>
      <c r="G23" s="302"/>
      <c r="H23" s="302"/>
      <c r="I23" s="302"/>
      <c r="J23" s="305"/>
      <c r="K23" s="305"/>
      <c r="L23" s="306"/>
      <c r="M23" s="345" t="s">
        <v>143</v>
      </c>
      <c r="N23" s="84">
        <v>2470</v>
      </c>
      <c r="O23" s="84">
        <v>100</v>
      </c>
      <c r="P23" s="84">
        <v>2503</v>
      </c>
      <c r="Q23" s="85">
        <f t="shared" ref="Q23:Q24" si="31">U23+W23</f>
        <v>544</v>
      </c>
      <c r="R23" s="85">
        <f t="shared" ref="R23:R24" si="32">V23+X23</f>
        <v>42</v>
      </c>
      <c r="S23" s="86">
        <f t="shared" si="30"/>
        <v>2714</v>
      </c>
      <c r="T23" s="342">
        <v>42885</v>
      </c>
      <c r="U23" s="90">
        <v>272</v>
      </c>
      <c r="V23" s="90">
        <v>21</v>
      </c>
      <c r="W23" s="90">
        <v>272</v>
      </c>
      <c r="X23" s="90">
        <v>21</v>
      </c>
      <c r="Y23" s="23"/>
    </row>
    <row r="24" spans="1:25" x14ac:dyDescent="0.25">
      <c r="A24" s="70"/>
      <c r="B24" s="301"/>
      <c r="C24" s="302"/>
      <c r="D24" s="303"/>
      <c r="E24" s="303"/>
      <c r="F24" s="304"/>
      <c r="G24" s="302"/>
      <c r="H24" s="302"/>
      <c r="I24" s="302"/>
      <c r="J24" s="305"/>
      <c r="K24" s="305"/>
      <c r="L24" s="306"/>
      <c r="M24" s="345" t="s">
        <v>143</v>
      </c>
      <c r="N24" s="346">
        <v>3070</v>
      </c>
      <c r="O24" s="346">
        <v>100</v>
      </c>
      <c r="P24" s="346">
        <v>3025</v>
      </c>
      <c r="Q24" s="78">
        <f t="shared" si="31"/>
        <v>544</v>
      </c>
      <c r="R24" s="78">
        <f t="shared" si="32"/>
        <v>42</v>
      </c>
      <c r="S24" s="79">
        <f t="shared" ref="S24" si="33">(P24-N24)*O24-R24-Q24</f>
        <v>-5086</v>
      </c>
      <c r="T24" s="342">
        <v>42888</v>
      </c>
      <c r="U24" s="90">
        <v>272</v>
      </c>
      <c r="V24" s="90">
        <v>21</v>
      </c>
      <c r="W24" s="90">
        <v>272</v>
      </c>
      <c r="X24" s="90">
        <v>21</v>
      </c>
      <c r="Y24" s="23"/>
    </row>
    <row r="25" spans="1:25" x14ac:dyDescent="0.25">
      <c r="A25" s="70"/>
      <c r="B25" s="301"/>
      <c r="C25" s="302"/>
      <c r="D25" s="303"/>
      <c r="E25" s="303"/>
      <c r="F25" s="304"/>
      <c r="G25" s="302"/>
      <c r="H25" s="302"/>
      <c r="I25" s="302"/>
      <c r="J25" s="305"/>
      <c r="K25" s="305"/>
      <c r="L25" s="306"/>
      <c r="M25" s="345" t="s">
        <v>143</v>
      </c>
      <c r="N25" s="346">
        <v>3830</v>
      </c>
      <c r="O25" s="346">
        <v>200</v>
      </c>
      <c r="P25" s="346">
        <v>3835</v>
      </c>
      <c r="Q25" s="78">
        <f t="shared" ref="Q25:Q26" si="34">U25+W25</f>
        <v>974</v>
      </c>
      <c r="R25" s="78">
        <f t="shared" ref="R25:R26" si="35">V25+X25</f>
        <v>76</v>
      </c>
      <c r="S25" s="79">
        <f t="shared" ref="S25:S26" si="36">(P25-N25)*O25-R25-Q25</f>
        <v>-50</v>
      </c>
      <c r="T25" s="342">
        <v>42900</v>
      </c>
      <c r="U25" s="90">
        <v>487</v>
      </c>
      <c r="V25" s="90">
        <v>38</v>
      </c>
      <c r="W25" s="90">
        <v>487</v>
      </c>
      <c r="X25" s="90">
        <v>38</v>
      </c>
      <c r="Y25" s="23"/>
    </row>
    <row r="26" spans="1:25" x14ac:dyDescent="0.25">
      <c r="A26" s="70"/>
      <c r="B26" s="301"/>
      <c r="C26" s="302"/>
      <c r="D26" s="303"/>
      <c r="E26" s="303"/>
      <c r="F26" s="304"/>
      <c r="G26" s="302"/>
      <c r="H26" s="302"/>
      <c r="I26" s="302"/>
      <c r="J26" s="305"/>
      <c r="K26" s="305"/>
      <c r="L26" s="306"/>
      <c r="M26" s="345" t="s">
        <v>143</v>
      </c>
      <c r="N26" s="84">
        <v>4555</v>
      </c>
      <c r="O26" s="84">
        <v>200</v>
      </c>
      <c r="P26" s="84">
        <v>4580</v>
      </c>
      <c r="Q26" s="85">
        <f t="shared" si="34"/>
        <v>1164</v>
      </c>
      <c r="R26" s="85">
        <f t="shared" si="35"/>
        <v>92</v>
      </c>
      <c r="S26" s="86">
        <f t="shared" si="36"/>
        <v>3744</v>
      </c>
      <c r="T26" s="342">
        <v>42906</v>
      </c>
      <c r="U26" s="90">
        <v>582</v>
      </c>
      <c r="V26" s="90">
        <v>46</v>
      </c>
      <c r="W26" s="90">
        <v>582</v>
      </c>
      <c r="X26" s="90">
        <v>46</v>
      </c>
      <c r="Y26" s="23"/>
    </row>
    <row r="27" spans="1:25" x14ac:dyDescent="0.25">
      <c r="A27" s="70"/>
      <c r="B27" s="301"/>
      <c r="C27" s="302"/>
      <c r="D27" s="303"/>
      <c r="E27" s="303"/>
      <c r="F27" s="304"/>
      <c r="G27" s="302"/>
      <c r="H27" s="302"/>
      <c r="I27" s="302"/>
      <c r="J27" s="305"/>
      <c r="K27" s="305"/>
      <c r="L27" s="306"/>
      <c r="M27" s="345" t="s">
        <v>143</v>
      </c>
      <c r="N27" s="84">
        <v>5570</v>
      </c>
      <c r="O27" s="84">
        <v>200</v>
      </c>
      <c r="P27" s="84">
        <v>5710</v>
      </c>
      <c r="Q27" s="85">
        <f t="shared" ref="Q27" si="37">U27+W27</f>
        <v>1164</v>
      </c>
      <c r="R27" s="85">
        <f t="shared" ref="R27" si="38">V27+X27</f>
        <v>92</v>
      </c>
      <c r="S27" s="86">
        <f t="shared" ref="S27" si="39">(P27-N27)*O27-R27-Q27</f>
        <v>26744</v>
      </c>
      <c r="T27" s="342">
        <v>42915</v>
      </c>
      <c r="U27" s="90">
        <v>582</v>
      </c>
      <c r="V27" s="90">
        <v>46</v>
      </c>
      <c r="W27" s="90">
        <v>582</v>
      </c>
      <c r="X27" s="90">
        <v>46</v>
      </c>
      <c r="Y27" s="23"/>
    </row>
    <row r="28" spans="1:25" x14ac:dyDescent="0.25">
      <c r="A28" s="70"/>
      <c r="B28" s="295" t="s">
        <v>471</v>
      </c>
      <c r="C28" s="296"/>
      <c r="D28" s="297"/>
      <c r="E28" s="297"/>
      <c r="F28" s="298"/>
      <c r="G28" s="296"/>
      <c r="H28" s="296"/>
      <c r="I28" s="296"/>
      <c r="J28" s="299"/>
      <c r="K28" s="299"/>
      <c r="L28" s="300"/>
      <c r="M28" s="76" t="s">
        <v>143</v>
      </c>
      <c r="N28" s="81">
        <v>2319</v>
      </c>
      <c r="O28" s="81">
        <v>100</v>
      </c>
      <c r="P28" s="81">
        <v>2345</v>
      </c>
      <c r="Q28" s="82">
        <f t="shared" ref="Q28:Q29" si="40">U28+W28</f>
        <v>544</v>
      </c>
      <c r="R28" s="82">
        <f t="shared" ref="R28:R29" si="41">V28+X28</f>
        <v>42</v>
      </c>
      <c r="S28" s="83">
        <f t="shared" ref="S28:S29" si="42">(P28-N28)*O28-R28-Q28</f>
        <v>2014</v>
      </c>
      <c r="T28" s="342">
        <v>42885</v>
      </c>
      <c r="U28" s="90">
        <v>272</v>
      </c>
      <c r="V28" s="90">
        <v>21</v>
      </c>
      <c r="W28" s="90">
        <v>272</v>
      </c>
      <c r="X28" s="90">
        <v>21</v>
      </c>
      <c r="Y28" s="23"/>
    </row>
    <row r="29" spans="1:25" x14ac:dyDescent="0.25">
      <c r="A29" s="70"/>
      <c r="B29" s="295"/>
      <c r="C29" s="296"/>
      <c r="D29" s="297"/>
      <c r="E29" s="297"/>
      <c r="F29" s="298"/>
      <c r="G29" s="296"/>
      <c r="H29" s="296"/>
      <c r="I29" s="296"/>
      <c r="J29" s="299"/>
      <c r="K29" s="299"/>
      <c r="L29" s="300"/>
      <c r="M29" s="76" t="s">
        <v>143</v>
      </c>
      <c r="N29" s="77">
        <v>2428</v>
      </c>
      <c r="O29" s="77">
        <v>100</v>
      </c>
      <c r="P29" s="77">
        <v>2426</v>
      </c>
      <c r="Q29" s="78">
        <f t="shared" si="40"/>
        <v>544</v>
      </c>
      <c r="R29" s="78">
        <f t="shared" si="41"/>
        <v>42</v>
      </c>
      <c r="S29" s="79">
        <f t="shared" si="42"/>
        <v>-786</v>
      </c>
      <c r="T29" s="342">
        <v>42887</v>
      </c>
      <c r="U29" s="90">
        <v>272</v>
      </c>
      <c r="V29" s="90">
        <v>21</v>
      </c>
      <c r="W29" s="90">
        <v>272</v>
      </c>
      <c r="X29" s="90">
        <v>21</v>
      </c>
      <c r="Y29" s="23"/>
    </row>
    <row r="30" spans="1:25" x14ac:dyDescent="0.25">
      <c r="A30" s="70"/>
      <c r="B30" s="295" t="s">
        <v>474</v>
      </c>
      <c r="C30" s="296"/>
      <c r="D30" s="297"/>
      <c r="E30" s="297"/>
      <c r="F30" s="298"/>
      <c r="G30" s="296"/>
      <c r="H30" s="296"/>
      <c r="I30" s="296"/>
      <c r="J30" s="299"/>
      <c r="K30" s="299"/>
      <c r="L30" s="300"/>
      <c r="M30" s="76" t="s">
        <v>143</v>
      </c>
      <c r="N30" s="77">
        <v>759</v>
      </c>
      <c r="O30" s="77">
        <v>600</v>
      </c>
      <c r="P30" s="77">
        <v>743</v>
      </c>
      <c r="Q30" s="78">
        <f t="shared" ref="Q30" si="43">U30+W30</f>
        <v>544</v>
      </c>
      <c r="R30" s="78">
        <f t="shared" ref="R30" si="44">V30+X30</f>
        <v>42</v>
      </c>
      <c r="S30" s="79">
        <f t="shared" ref="S30" si="45">(P30-N30)*O30-R30-Q30</f>
        <v>-10186</v>
      </c>
      <c r="T30" s="342">
        <v>42886</v>
      </c>
      <c r="U30" s="90">
        <v>272</v>
      </c>
      <c r="V30" s="90">
        <v>21</v>
      </c>
      <c r="W30" s="90">
        <v>272</v>
      </c>
      <c r="X30" s="90">
        <v>21</v>
      </c>
      <c r="Y30" s="23"/>
    </row>
    <row r="31" spans="1:25" x14ac:dyDescent="0.25">
      <c r="A31" s="70"/>
      <c r="B31" s="301"/>
      <c r="C31" s="302"/>
      <c r="D31" s="303"/>
      <c r="E31" s="303"/>
      <c r="F31" s="304"/>
      <c r="G31" s="302"/>
      <c r="H31" s="302"/>
      <c r="I31" s="302"/>
      <c r="J31" s="305"/>
      <c r="K31" s="305"/>
      <c r="L31" s="306"/>
      <c r="M31" s="76" t="s">
        <v>143</v>
      </c>
      <c r="N31" s="84">
        <v>876</v>
      </c>
      <c r="O31" s="84">
        <v>200</v>
      </c>
      <c r="P31" s="84">
        <v>887</v>
      </c>
      <c r="Q31" s="82">
        <f t="shared" ref="Q31:Q32" si="46">U31+W31</f>
        <v>370</v>
      </c>
      <c r="R31" s="82">
        <f t="shared" ref="R31:R32" si="47">V31+X31</f>
        <v>28</v>
      </c>
      <c r="S31" s="83">
        <f t="shared" ref="S31:S32" si="48">(P31-N31)*O31-R31-Q31</f>
        <v>1802</v>
      </c>
      <c r="T31" s="342">
        <v>42887</v>
      </c>
      <c r="U31" s="339">
        <v>185</v>
      </c>
      <c r="V31" s="339">
        <v>14</v>
      </c>
      <c r="W31" s="339">
        <v>185</v>
      </c>
      <c r="X31" s="339">
        <v>14</v>
      </c>
      <c r="Y31" s="23"/>
    </row>
    <row r="32" spans="1:25" x14ac:dyDescent="0.25">
      <c r="A32" s="70"/>
      <c r="B32" s="301"/>
      <c r="C32" s="302"/>
      <c r="D32" s="303"/>
      <c r="E32" s="303"/>
      <c r="F32" s="304"/>
      <c r="G32" s="302"/>
      <c r="H32" s="302"/>
      <c r="I32" s="302"/>
      <c r="J32" s="305"/>
      <c r="K32" s="305"/>
      <c r="L32" s="306"/>
      <c r="M32" s="76" t="s">
        <v>143</v>
      </c>
      <c r="N32" s="84">
        <v>915</v>
      </c>
      <c r="O32" s="84">
        <v>100</v>
      </c>
      <c r="P32" s="84">
        <v>947</v>
      </c>
      <c r="Q32" s="82">
        <f t="shared" si="46"/>
        <v>278</v>
      </c>
      <c r="R32" s="82">
        <f t="shared" si="47"/>
        <v>22</v>
      </c>
      <c r="S32" s="83">
        <f t="shared" si="48"/>
        <v>2900</v>
      </c>
      <c r="T32" s="342">
        <v>42888</v>
      </c>
      <c r="U32" s="339">
        <v>139</v>
      </c>
      <c r="V32" s="339">
        <v>11</v>
      </c>
      <c r="W32" s="339">
        <v>139</v>
      </c>
      <c r="X32" s="339">
        <v>11</v>
      </c>
      <c r="Y32" s="23"/>
    </row>
    <row r="33" spans="1:25" x14ac:dyDescent="0.25">
      <c r="A33" s="70"/>
      <c r="B33" s="301"/>
      <c r="C33" s="302"/>
      <c r="D33" s="303"/>
      <c r="E33" s="303"/>
      <c r="F33" s="304"/>
      <c r="G33" s="302"/>
      <c r="H33" s="302"/>
      <c r="I33" s="302"/>
      <c r="J33" s="305"/>
      <c r="K33" s="305"/>
      <c r="L33" s="306"/>
      <c r="M33" s="345" t="s">
        <v>143</v>
      </c>
      <c r="N33" s="84">
        <v>680</v>
      </c>
      <c r="O33" s="84">
        <v>300</v>
      </c>
      <c r="P33" s="84">
        <v>720</v>
      </c>
      <c r="Q33" s="85">
        <f t="shared" ref="Q33:Q35" si="49">U33+W33</f>
        <v>544</v>
      </c>
      <c r="R33" s="85">
        <f t="shared" ref="R33:R35" si="50">V33+X33</f>
        <v>42</v>
      </c>
      <c r="S33" s="86">
        <f t="shared" ref="S33:S35" si="51">(P33-N33)*O33-R33-Q33</f>
        <v>11414</v>
      </c>
      <c r="T33" s="342">
        <v>42892</v>
      </c>
      <c r="U33" s="90">
        <v>272</v>
      </c>
      <c r="V33" s="90">
        <v>21</v>
      </c>
      <c r="W33" s="90">
        <v>272</v>
      </c>
      <c r="X33" s="90">
        <v>21</v>
      </c>
      <c r="Y33" s="23"/>
    </row>
    <row r="34" spans="1:25" x14ac:dyDescent="0.25">
      <c r="A34" s="70"/>
      <c r="B34" s="301"/>
      <c r="C34" s="302"/>
      <c r="D34" s="303"/>
      <c r="E34" s="303"/>
      <c r="F34" s="304"/>
      <c r="G34" s="302"/>
      <c r="H34" s="302"/>
      <c r="I34" s="302"/>
      <c r="J34" s="305"/>
      <c r="K34" s="305"/>
      <c r="L34" s="306"/>
      <c r="M34" s="345" t="s">
        <v>143</v>
      </c>
      <c r="N34" s="346">
        <v>1633</v>
      </c>
      <c r="O34" s="346">
        <v>300</v>
      </c>
      <c r="P34" s="346">
        <v>1404</v>
      </c>
      <c r="Q34" s="78">
        <f t="shared" si="49"/>
        <v>544</v>
      </c>
      <c r="R34" s="78">
        <f t="shared" si="50"/>
        <v>42</v>
      </c>
      <c r="S34" s="79">
        <f t="shared" si="51"/>
        <v>-69286</v>
      </c>
      <c r="T34" s="342">
        <v>42898</v>
      </c>
      <c r="U34" s="90">
        <v>272</v>
      </c>
      <c r="V34" s="90">
        <v>21</v>
      </c>
      <c r="W34" s="90">
        <v>272</v>
      </c>
      <c r="X34" s="90">
        <v>21</v>
      </c>
      <c r="Y34" s="23"/>
    </row>
    <row r="35" spans="1:25" x14ac:dyDescent="0.25">
      <c r="A35" s="70"/>
      <c r="B35" s="301"/>
      <c r="C35" s="302"/>
      <c r="D35" s="303"/>
      <c r="E35" s="303"/>
      <c r="F35" s="304"/>
      <c r="G35" s="302"/>
      <c r="H35" s="302"/>
      <c r="I35" s="302"/>
      <c r="J35" s="305"/>
      <c r="K35" s="305"/>
      <c r="L35" s="306"/>
      <c r="M35" s="345" t="s">
        <v>494</v>
      </c>
      <c r="N35" s="84">
        <v>1619</v>
      </c>
      <c r="O35" s="84">
        <v>800</v>
      </c>
      <c r="P35" s="84">
        <v>1623</v>
      </c>
      <c r="Q35" s="85">
        <f t="shared" si="49"/>
        <v>1164</v>
      </c>
      <c r="R35" s="85">
        <f t="shared" si="50"/>
        <v>92</v>
      </c>
      <c r="S35" s="86">
        <f t="shared" si="51"/>
        <v>1944</v>
      </c>
      <c r="T35" s="342">
        <v>42906</v>
      </c>
      <c r="U35" s="90">
        <v>582</v>
      </c>
      <c r="V35" s="90">
        <v>46</v>
      </c>
      <c r="W35" s="90">
        <v>582</v>
      </c>
      <c r="X35" s="90">
        <v>46</v>
      </c>
      <c r="Y35" s="23"/>
    </row>
    <row r="36" spans="1:25" x14ac:dyDescent="0.25">
      <c r="A36" s="70"/>
      <c r="B36" s="301"/>
      <c r="C36" s="302"/>
      <c r="D36" s="303"/>
      <c r="E36" s="303"/>
      <c r="F36" s="304"/>
      <c r="G36" s="302"/>
      <c r="H36" s="302"/>
      <c r="I36" s="302"/>
      <c r="J36" s="305"/>
      <c r="K36" s="305"/>
      <c r="L36" s="306"/>
      <c r="M36" s="345" t="s">
        <v>493</v>
      </c>
      <c r="N36" s="84">
        <f>(1610*1+1614.5*7)/8</f>
        <v>1613.9375</v>
      </c>
      <c r="O36" s="84">
        <v>800</v>
      </c>
      <c r="P36" s="84">
        <v>1634</v>
      </c>
      <c r="Q36" s="85">
        <f t="shared" ref="Q36" si="52">U36+W36</f>
        <v>1311</v>
      </c>
      <c r="R36" s="85">
        <f t="shared" ref="R36" si="53">V36+X36</f>
        <v>104</v>
      </c>
      <c r="S36" s="86">
        <f t="shared" ref="S36" si="54">(P36-N36)*O36-R36-Q36</f>
        <v>14635</v>
      </c>
      <c r="T36" s="342">
        <v>42907</v>
      </c>
      <c r="U36" s="90">
        <f>176+553</f>
        <v>729</v>
      </c>
      <c r="V36" s="90">
        <f>14+44</f>
        <v>58</v>
      </c>
      <c r="W36" s="90">
        <v>582</v>
      </c>
      <c r="X36" s="90">
        <v>46</v>
      </c>
      <c r="Y36" s="23"/>
    </row>
    <row r="37" spans="1:25" x14ac:dyDescent="0.25">
      <c r="A37" s="70"/>
      <c r="B37" s="301"/>
      <c r="C37" s="302"/>
      <c r="D37" s="303"/>
      <c r="E37" s="303"/>
      <c r="F37" s="304"/>
      <c r="G37" s="302"/>
      <c r="H37" s="302"/>
      <c r="I37" s="302"/>
      <c r="J37" s="305"/>
      <c r="K37" s="305"/>
      <c r="L37" s="306"/>
      <c r="M37" s="385" t="s">
        <v>51</v>
      </c>
      <c r="N37" s="84">
        <v>1350</v>
      </c>
      <c r="O37" s="84">
        <v>300</v>
      </c>
      <c r="P37" s="84">
        <v>1400</v>
      </c>
      <c r="Q37" s="85">
        <f t="shared" ref="Q37" si="55">U37+W37</f>
        <v>800</v>
      </c>
      <c r="R37" s="85">
        <f t="shared" ref="R37" si="56">V37+X37</f>
        <v>64</v>
      </c>
      <c r="S37" s="86">
        <f t="shared" ref="S37" si="57">(P37-N37)*O37-R37-Q37</f>
        <v>14136</v>
      </c>
      <c r="T37" s="342">
        <v>42909</v>
      </c>
      <c r="U37" s="90">
        <v>400</v>
      </c>
      <c r="V37" s="90">
        <v>32</v>
      </c>
      <c r="W37" s="90">
        <v>400</v>
      </c>
      <c r="X37" s="90">
        <v>32</v>
      </c>
      <c r="Y37" s="23"/>
    </row>
    <row r="38" spans="1:25" x14ac:dyDescent="0.25">
      <c r="A38" s="70"/>
      <c r="B38" s="301"/>
      <c r="C38" s="302"/>
      <c r="D38" s="303"/>
      <c r="E38" s="303"/>
      <c r="F38" s="304"/>
      <c r="G38" s="302"/>
      <c r="H38" s="302"/>
      <c r="I38" s="302"/>
      <c r="J38" s="305"/>
      <c r="K38" s="305"/>
      <c r="L38" s="306"/>
      <c r="M38" s="345" t="s">
        <v>143</v>
      </c>
      <c r="N38" s="346">
        <v>1585</v>
      </c>
      <c r="O38" s="346">
        <v>800</v>
      </c>
      <c r="P38" s="346"/>
      <c r="Q38" s="368"/>
      <c r="R38" s="368"/>
      <c r="S38" s="369"/>
      <c r="T38" s="342">
        <v>42915</v>
      </c>
      <c r="U38" s="90">
        <v>582</v>
      </c>
      <c r="V38" s="90">
        <v>46</v>
      </c>
      <c r="W38" s="90"/>
      <c r="X38" s="90"/>
      <c r="Y38" s="23"/>
    </row>
    <row r="39" spans="1:25" x14ac:dyDescent="0.25">
      <c r="A39" s="70"/>
      <c r="B39" s="301" t="s">
        <v>484</v>
      </c>
      <c r="C39" s="302"/>
      <c r="D39" s="303"/>
      <c r="E39" s="303"/>
      <c r="F39" s="304"/>
      <c r="G39" s="302"/>
      <c r="H39" s="302"/>
      <c r="I39" s="302"/>
      <c r="J39" s="305"/>
      <c r="K39" s="305"/>
      <c r="L39" s="306"/>
      <c r="M39" s="345" t="s">
        <v>143</v>
      </c>
      <c r="N39" s="84">
        <v>2407</v>
      </c>
      <c r="O39" s="84">
        <v>100</v>
      </c>
      <c r="P39" s="84">
        <v>2415</v>
      </c>
      <c r="Q39" s="85">
        <f t="shared" ref="Q39:Q40" si="58">U39+W39</f>
        <v>544</v>
      </c>
      <c r="R39" s="85">
        <f t="shared" ref="R39:R40" si="59">V39+X39</f>
        <v>42</v>
      </c>
      <c r="S39" s="86">
        <f t="shared" ref="S39:S40" si="60">(P39-N39)*O39-R39-Q39</f>
        <v>214</v>
      </c>
      <c r="T39" s="342">
        <v>42893</v>
      </c>
      <c r="U39" s="90">
        <v>272</v>
      </c>
      <c r="V39" s="90">
        <v>21</v>
      </c>
      <c r="W39" s="90">
        <v>272</v>
      </c>
      <c r="X39" s="90">
        <v>21</v>
      </c>
      <c r="Y39" s="23"/>
    </row>
    <row r="40" spans="1:25" x14ac:dyDescent="0.25">
      <c r="A40" s="70"/>
      <c r="B40" s="301"/>
      <c r="C40" s="302"/>
      <c r="D40" s="303"/>
      <c r="E40" s="303"/>
      <c r="F40" s="304"/>
      <c r="G40" s="302"/>
      <c r="H40" s="302"/>
      <c r="I40" s="302"/>
      <c r="J40" s="305"/>
      <c r="K40" s="305"/>
      <c r="L40" s="306"/>
      <c r="M40" s="345" t="s">
        <v>143</v>
      </c>
      <c r="N40" s="346">
        <v>2193</v>
      </c>
      <c r="O40" s="346">
        <v>300</v>
      </c>
      <c r="P40" s="346">
        <v>1883</v>
      </c>
      <c r="Q40" s="368">
        <f t="shared" si="58"/>
        <v>974</v>
      </c>
      <c r="R40" s="368">
        <f t="shared" si="59"/>
        <v>76</v>
      </c>
      <c r="S40" s="369">
        <f t="shared" si="60"/>
        <v>-94050</v>
      </c>
      <c r="T40" s="342">
        <v>42900</v>
      </c>
      <c r="U40" s="90">
        <v>487</v>
      </c>
      <c r="V40" s="90">
        <v>38</v>
      </c>
      <c r="W40" s="90">
        <v>487</v>
      </c>
      <c r="X40" s="90">
        <v>38</v>
      </c>
      <c r="Y40" s="23"/>
    </row>
    <row r="41" spans="1:25" x14ac:dyDescent="0.25">
      <c r="A41" s="70"/>
      <c r="B41" s="301" t="s">
        <v>496</v>
      </c>
      <c r="C41" s="302"/>
      <c r="D41" s="303"/>
      <c r="E41" s="303"/>
      <c r="F41" s="304"/>
      <c r="G41" s="302"/>
      <c r="H41" s="302"/>
      <c r="I41" s="302"/>
      <c r="J41" s="305"/>
      <c r="K41" s="305"/>
      <c r="L41" s="306"/>
      <c r="M41" s="345" t="s">
        <v>143</v>
      </c>
      <c r="N41" s="84">
        <v>1080</v>
      </c>
      <c r="O41" s="84">
        <v>1000</v>
      </c>
      <c r="P41" s="84">
        <v>1095</v>
      </c>
      <c r="Q41" s="85">
        <f t="shared" ref="Q41:Q42" si="61">U41+W41</f>
        <v>1164</v>
      </c>
      <c r="R41" s="85">
        <f t="shared" ref="R41:R42" si="62">V41+X41</f>
        <v>92</v>
      </c>
      <c r="S41" s="86">
        <f t="shared" ref="S41:S42" si="63">(P41-N41)*O41-R41-Q41</f>
        <v>13744</v>
      </c>
      <c r="T41" s="342">
        <v>42914</v>
      </c>
      <c r="U41" s="90">
        <v>582</v>
      </c>
      <c r="V41" s="90">
        <v>46</v>
      </c>
      <c r="W41" s="90">
        <v>582</v>
      </c>
      <c r="X41" s="90">
        <v>46</v>
      </c>
      <c r="Y41" s="23"/>
    </row>
    <row r="42" spans="1:25" x14ac:dyDescent="0.25">
      <c r="A42" s="70"/>
      <c r="B42" s="301"/>
      <c r="C42" s="302"/>
      <c r="D42" s="303"/>
      <c r="E42" s="303"/>
      <c r="F42" s="304"/>
      <c r="G42" s="302"/>
      <c r="H42" s="302"/>
      <c r="I42" s="302"/>
      <c r="J42" s="305"/>
      <c r="K42" s="305"/>
      <c r="L42" s="306"/>
      <c r="M42" s="345" t="s">
        <v>143</v>
      </c>
      <c r="N42" s="84">
        <v>1206</v>
      </c>
      <c r="O42" s="84">
        <v>100</v>
      </c>
      <c r="P42" s="84">
        <v>1280</v>
      </c>
      <c r="Q42" s="85">
        <f t="shared" si="61"/>
        <v>361</v>
      </c>
      <c r="R42" s="85">
        <f t="shared" si="62"/>
        <v>26</v>
      </c>
      <c r="S42" s="86">
        <f t="shared" si="63"/>
        <v>7013</v>
      </c>
      <c r="T42" s="342">
        <v>42920</v>
      </c>
      <c r="U42" s="90">
        <v>185</v>
      </c>
      <c r="V42" s="90">
        <v>14</v>
      </c>
      <c r="W42" s="339">
        <v>176</v>
      </c>
      <c r="X42" s="339">
        <v>12</v>
      </c>
      <c r="Y42" s="23"/>
    </row>
    <row r="43" spans="1:25" x14ac:dyDescent="0.25">
      <c r="A43" s="70"/>
      <c r="B43" s="301" t="s">
        <v>497</v>
      </c>
      <c r="C43" s="302"/>
      <c r="D43" s="303"/>
      <c r="E43" s="303"/>
      <c r="F43" s="304"/>
      <c r="G43" s="302"/>
      <c r="H43" s="302"/>
      <c r="I43" s="302"/>
      <c r="J43" s="305"/>
      <c r="K43" s="305"/>
      <c r="L43" s="306"/>
      <c r="M43" s="345" t="s">
        <v>143</v>
      </c>
      <c r="N43" s="84">
        <v>644</v>
      </c>
      <c r="O43" s="84">
        <v>2000</v>
      </c>
      <c r="P43" s="84">
        <f>(650+651)/2</f>
        <v>650.5</v>
      </c>
      <c r="Q43" s="85">
        <f t="shared" ref="Q43" si="64">U43+W43</f>
        <v>1531</v>
      </c>
      <c r="R43" s="85">
        <f t="shared" ref="R43" si="65">V43+X43</f>
        <v>120</v>
      </c>
      <c r="S43" s="86">
        <f t="shared" ref="S43" si="66">(P43-N43)*O43-R43-Q43</f>
        <v>11349</v>
      </c>
      <c r="T43" s="342">
        <v>42914</v>
      </c>
      <c r="U43" s="90">
        <v>582</v>
      </c>
      <c r="V43" s="90">
        <v>46</v>
      </c>
      <c r="W43" s="15">
        <f>462+487</f>
        <v>949</v>
      </c>
      <c r="X43" s="15">
        <f>36+38</f>
        <v>74</v>
      </c>
      <c r="Y43" s="23"/>
    </row>
    <row r="44" spans="1:25" x14ac:dyDescent="0.25">
      <c r="A44" s="70"/>
      <c r="B44" s="301" t="s">
        <v>514</v>
      </c>
      <c r="C44" s="302"/>
      <c r="D44" s="303"/>
      <c r="E44" s="303"/>
      <c r="F44" s="304"/>
      <c r="G44" s="302"/>
      <c r="H44" s="302"/>
      <c r="I44" s="302"/>
      <c r="J44" s="305"/>
      <c r="K44" s="305"/>
      <c r="L44" s="306"/>
      <c r="M44" s="345" t="s">
        <v>143</v>
      </c>
      <c r="N44" s="84">
        <v>664</v>
      </c>
      <c r="O44" s="84">
        <v>200</v>
      </c>
      <c r="P44" s="84">
        <v>673</v>
      </c>
      <c r="Q44" s="85">
        <f t="shared" ref="Q44" si="67">U44+W44</f>
        <v>370</v>
      </c>
      <c r="R44" s="85">
        <f t="shared" ref="R44" si="68">V44+X44</f>
        <v>28</v>
      </c>
      <c r="S44" s="86">
        <f t="shared" ref="S44" si="69">(P44-N44)*O44-R44-Q44</f>
        <v>1402</v>
      </c>
      <c r="T44" s="342">
        <v>42922</v>
      </c>
      <c r="U44" s="339">
        <v>185</v>
      </c>
      <c r="V44" s="339">
        <v>14</v>
      </c>
      <c r="W44" s="339">
        <v>185</v>
      </c>
      <c r="X44" s="339">
        <v>14</v>
      </c>
      <c r="Y44" s="23"/>
    </row>
    <row r="45" spans="1:25" x14ac:dyDescent="0.25">
      <c r="A45" s="70"/>
      <c r="B45" s="301" t="s">
        <v>522</v>
      </c>
      <c r="C45" s="302"/>
      <c r="D45" s="303"/>
      <c r="E45" s="303"/>
      <c r="F45" s="304"/>
      <c r="G45" s="302"/>
      <c r="H45" s="302"/>
      <c r="I45" s="302"/>
      <c r="J45" s="305"/>
      <c r="K45" s="305"/>
      <c r="L45" s="306"/>
      <c r="M45" s="345" t="s">
        <v>143</v>
      </c>
      <c r="N45" s="84">
        <v>300</v>
      </c>
      <c r="O45" s="84">
        <v>400</v>
      </c>
      <c r="P45" s="84">
        <v>337</v>
      </c>
      <c r="Q45" s="85">
        <f t="shared" ref="Q45" si="70">U45+W45</f>
        <v>370</v>
      </c>
      <c r="R45" s="85">
        <f t="shared" ref="R45" si="71">V45+X45</f>
        <v>28</v>
      </c>
      <c r="S45" s="86">
        <f t="shared" ref="S45" si="72">(P45-N45)*O45-R45-Q45</f>
        <v>14402</v>
      </c>
      <c r="T45" s="342">
        <v>42923</v>
      </c>
      <c r="U45" s="339">
        <v>185</v>
      </c>
      <c r="V45" s="339">
        <v>14</v>
      </c>
      <c r="W45" s="339">
        <v>185</v>
      </c>
      <c r="X45" s="339">
        <v>14</v>
      </c>
      <c r="Y45" s="23"/>
    </row>
    <row r="46" spans="1:25" x14ac:dyDescent="0.25">
      <c r="A46" s="70"/>
      <c r="B46" s="301"/>
      <c r="C46" s="302"/>
      <c r="D46" s="303"/>
      <c r="E46" s="303"/>
      <c r="F46" s="304"/>
      <c r="G46" s="302"/>
      <c r="H46" s="302"/>
      <c r="I46" s="302"/>
      <c r="J46" s="305"/>
      <c r="K46" s="305"/>
      <c r="L46" s="306"/>
      <c r="M46" s="345" t="s">
        <v>143</v>
      </c>
      <c r="N46" s="346">
        <v>350</v>
      </c>
      <c r="O46" s="346">
        <v>1500</v>
      </c>
      <c r="P46" s="346"/>
      <c r="Q46" s="368"/>
      <c r="R46" s="368"/>
      <c r="S46" s="369"/>
      <c r="T46" s="342">
        <v>42926</v>
      </c>
      <c r="U46" s="15">
        <v>487</v>
      </c>
      <c r="V46" s="15">
        <v>38</v>
      </c>
      <c r="W46" s="339"/>
      <c r="X46" s="339"/>
      <c r="Y46" s="23"/>
    </row>
    <row r="47" spans="1:25" x14ac:dyDescent="0.25">
      <c r="A47" s="91"/>
      <c r="B47" s="92" t="str">
        <f>IPO監視一覧!B3</f>
        <v>日宣</v>
      </c>
      <c r="C47" s="93">
        <f>IPO監視一覧!G3</f>
        <v>1600</v>
      </c>
      <c r="D47" s="94">
        <v>200000</v>
      </c>
      <c r="E47" s="94">
        <v>50000</v>
      </c>
      <c r="F47" s="95">
        <f>IPO監視一覧!T3</f>
        <v>42782</v>
      </c>
      <c r="G47" s="93">
        <f>IPO監視一覧!U3</f>
        <v>3000</v>
      </c>
      <c r="H47" s="93">
        <f>終値履歴!C3</f>
        <v>2497</v>
      </c>
      <c r="I47" s="93">
        <f>参加条件計算!C3</f>
        <v>2600</v>
      </c>
      <c r="J47" s="96">
        <f>(G47-C47)*100*0.79685</f>
        <v>111558.99999999999</v>
      </c>
      <c r="K47" s="96">
        <f>IF((H47-G47)&gt;0,(H47-G47)*100*0.79685,(H47-G47)*100)</f>
        <v>-50300</v>
      </c>
      <c r="L47" s="97">
        <f ca="1">NETWORKDAYS(F47,TODAY())</f>
        <v>103</v>
      </c>
      <c r="M47" s="104"/>
      <c r="N47" s="34"/>
      <c r="O47" s="34"/>
      <c r="P47" s="34"/>
      <c r="Q47" s="34"/>
      <c r="R47" s="34"/>
      <c r="S47" s="98">
        <f t="shared" si="1"/>
        <v>0</v>
      </c>
    </row>
    <row r="48" spans="1:25" x14ac:dyDescent="0.25">
      <c r="A48" s="99" t="str">
        <f>IPO監視一覧!H4</f>
        <v>C</v>
      </c>
      <c r="B48" s="99" t="str">
        <f>IPO監視一覧!B4</f>
        <v>レノバ </v>
      </c>
      <c r="C48" s="100">
        <f>IPO監視一覧!G4</f>
        <v>750</v>
      </c>
      <c r="D48" s="101">
        <v>650000</v>
      </c>
      <c r="E48" s="101">
        <v>560000</v>
      </c>
      <c r="F48" s="102">
        <f>IPO監視一覧!T4</f>
        <v>42789</v>
      </c>
      <c r="G48" s="100">
        <f>IPO監視一覧!U4</f>
        <v>1125</v>
      </c>
      <c r="H48" s="93">
        <f>終値履歴!C4</f>
        <v>1222</v>
      </c>
      <c r="I48" s="93">
        <f>参加条件計算!C4</f>
        <v>140500</v>
      </c>
      <c r="J48" s="103">
        <f>(G48-C48)*100*0.79685</f>
        <v>29881.874999999996</v>
      </c>
      <c r="K48" s="103">
        <f>IF((H48-G48)&gt;0,(H48-G48)*100*0.79685,(H48-G48)*100)</f>
        <v>7729.4449999999997</v>
      </c>
      <c r="L48" s="104">
        <f ca="1">NETWORKDAYS(F48,TODAY())</f>
        <v>98</v>
      </c>
      <c r="M48" s="76" t="s">
        <v>143</v>
      </c>
      <c r="N48" s="81">
        <v>1900</v>
      </c>
      <c r="O48" s="81">
        <v>200</v>
      </c>
      <c r="P48" s="81">
        <v>1919</v>
      </c>
      <c r="Q48" s="82">
        <f t="shared" ref="Q48:R50" si="73">U48+W48</f>
        <v>722</v>
      </c>
      <c r="R48" s="82">
        <f t="shared" si="73"/>
        <v>56</v>
      </c>
      <c r="S48" s="83">
        <f t="shared" si="1"/>
        <v>3022</v>
      </c>
      <c r="T48" s="21">
        <v>42808</v>
      </c>
      <c r="U48" s="15">
        <v>370</v>
      </c>
      <c r="V48" s="15">
        <v>28</v>
      </c>
      <c r="W48" s="15">
        <v>352</v>
      </c>
      <c r="X48" s="15">
        <v>28</v>
      </c>
    </row>
    <row r="49" spans="1:25" x14ac:dyDescent="0.25">
      <c r="A49" s="99"/>
      <c r="B49" s="99"/>
      <c r="C49" s="100"/>
      <c r="D49" s="101"/>
      <c r="E49" s="101"/>
      <c r="F49" s="102"/>
      <c r="G49" s="100"/>
      <c r="H49" s="100"/>
      <c r="I49" s="100"/>
      <c r="J49" s="103"/>
      <c r="K49" s="103"/>
      <c r="L49" s="104"/>
      <c r="M49" s="80" t="s">
        <v>146</v>
      </c>
      <c r="N49" s="81">
        <v>1297</v>
      </c>
      <c r="O49" s="81">
        <v>200</v>
      </c>
      <c r="P49" s="81">
        <v>1311</v>
      </c>
      <c r="Q49" s="82">
        <f t="shared" si="73"/>
        <v>500</v>
      </c>
      <c r="R49" s="82">
        <f t="shared" si="73"/>
        <v>40</v>
      </c>
      <c r="S49" s="83">
        <f t="shared" si="1"/>
        <v>2260</v>
      </c>
      <c r="T49" s="21">
        <v>42857</v>
      </c>
      <c r="U49" s="15">
        <v>250</v>
      </c>
      <c r="V49" s="15">
        <v>20</v>
      </c>
      <c r="W49" s="15">
        <v>250</v>
      </c>
      <c r="X49" s="15">
        <v>20</v>
      </c>
    </row>
    <row r="50" spans="1:25" x14ac:dyDescent="0.25">
      <c r="A50" s="99"/>
      <c r="B50" s="99"/>
      <c r="C50" s="100"/>
      <c r="D50" s="101"/>
      <c r="E50" s="101"/>
      <c r="F50" s="102"/>
      <c r="G50" s="100"/>
      <c r="H50" s="100"/>
      <c r="I50" s="100"/>
      <c r="J50" s="103"/>
      <c r="K50" s="103"/>
      <c r="L50" s="104"/>
      <c r="M50" s="80" t="s">
        <v>146</v>
      </c>
      <c r="N50" s="81">
        <v>1288</v>
      </c>
      <c r="O50" s="81">
        <v>200</v>
      </c>
      <c r="P50" s="81">
        <v>1340</v>
      </c>
      <c r="Q50" s="82">
        <f t="shared" si="73"/>
        <v>500</v>
      </c>
      <c r="R50" s="82">
        <f t="shared" si="73"/>
        <v>40</v>
      </c>
      <c r="S50" s="83">
        <f t="shared" si="1"/>
        <v>9860</v>
      </c>
      <c r="T50" s="21">
        <v>42871</v>
      </c>
      <c r="U50" s="15">
        <v>250</v>
      </c>
      <c r="V50" s="15">
        <v>20</v>
      </c>
      <c r="W50" s="15">
        <v>250</v>
      </c>
      <c r="X50" s="15">
        <v>20</v>
      </c>
    </row>
    <row r="51" spans="1:25" x14ac:dyDescent="0.25">
      <c r="A51" s="99"/>
      <c r="B51" s="99"/>
      <c r="C51" s="100"/>
      <c r="D51" s="101"/>
      <c r="E51" s="101"/>
      <c r="F51" s="102"/>
      <c r="G51" s="100"/>
      <c r="H51" s="93"/>
      <c r="I51" s="93"/>
      <c r="J51" s="103"/>
      <c r="K51" s="103"/>
      <c r="L51" s="104"/>
      <c r="M51" s="76" t="s">
        <v>143</v>
      </c>
      <c r="N51" s="81">
        <v>1330</v>
      </c>
      <c r="O51" s="81">
        <v>500</v>
      </c>
      <c r="P51" s="81">
        <v>1334</v>
      </c>
      <c r="Q51" s="82">
        <f t="shared" ref="Q51" si="74">U51+W51</f>
        <v>974</v>
      </c>
      <c r="R51" s="82">
        <f t="shared" ref="R51" si="75">V51+X51</f>
        <v>76</v>
      </c>
      <c r="S51" s="83">
        <f t="shared" ref="S51" si="76">(P51-N51)*O51-R51-Q51</f>
        <v>950</v>
      </c>
      <c r="T51" s="21">
        <v>42878</v>
      </c>
      <c r="U51" s="15">
        <v>487</v>
      </c>
      <c r="V51" s="15">
        <v>38</v>
      </c>
      <c r="W51" s="15">
        <v>487</v>
      </c>
      <c r="X51" s="15">
        <v>38</v>
      </c>
    </row>
    <row r="52" spans="1:25" x14ac:dyDescent="0.25">
      <c r="A52" s="99" t="str">
        <f>IPO監視一覧!H5</f>
        <v>B</v>
      </c>
      <c r="B52" s="99" t="str">
        <f>IPO監視一覧!B5</f>
        <v>ユナイテッド＆コレクティブ</v>
      </c>
      <c r="C52" s="100">
        <f>IPO監視一覧!G5</f>
        <v>1620</v>
      </c>
      <c r="D52" s="101">
        <v>228500</v>
      </c>
      <c r="E52" s="101">
        <v>68700</v>
      </c>
      <c r="F52" s="102">
        <f>IPO監視一覧!T5</f>
        <v>42789</v>
      </c>
      <c r="G52" s="100">
        <f>IPO監視一覧!U5</f>
        <v>4500</v>
      </c>
      <c r="H52" s="93">
        <f>終値履歴!C5</f>
        <v>4040</v>
      </c>
      <c r="I52" s="93">
        <f>参加条件計算!C5</f>
        <v>1200</v>
      </c>
      <c r="J52" s="103">
        <f>(G52-C52)*100*0.79685</f>
        <v>229492.8</v>
      </c>
      <c r="K52" s="103">
        <f t="shared" ref="K52:K174" si="77">IF((H52-G52)&gt;0,(H52-G52)*100*0.79685,(H52-G52)*100)</f>
        <v>-46000</v>
      </c>
      <c r="L52" s="104">
        <f t="shared" ref="L52:L160" ca="1" si="78">NETWORKDAYS(F52,TODAY())</f>
        <v>98</v>
      </c>
      <c r="M52" s="104"/>
      <c r="N52" s="36"/>
      <c r="O52" s="36"/>
      <c r="P52" s="36"/>
      <c r="Q52" s="105"/>
      <c r="R52" s="105"/>
      <c r="S52" s="106">
        <f t="shared" si="1"/>
        <v>0</v>
      </c>
    </row>
    <row r="53" spans="1:25" x14ac:dyDescent="0.25">
      <c r="A53" s="99" t="str">
        <f>IPO監視一覧!H6</f>
        <v>D</v>
      </c>
      <c r="B53" s="99" t="str">
        <f>IPO監視一覧!B6</f>
        <v>ロコンド</v>
      </c>
      <c r="C53" s="100">
        <f>IPO監視一覧!G6</f>
        <v>1850</v>
      </c>
      <c r="D53" s="101">
        <v>924000</v>
      </c>
      <c r="E53" s="101">
        <v>651700</v>
      </c>
      <c r="F53" s="102">
        <f>IPO監視一覧!T6</f>
        <v>42801</v>
      </c>
      <c r="G53" s="100">
        <f>IPO監視一覧!U6</f>
        <v>2625</v>
      </c>
      <c r="H53" s="93">
        <f>終値履歴!C6</f>
        <v>1967</v>
      </c>
      <c r="I53" s="93">
        <f>参加条件計算!C6</f>
        <v>25600</v>
      </c>
      <c r="J53" s="103">
        <f>(G53-C53)*100*0.79685</f>
        <v>61755.874999999993</v>
      </c>
      <c r="K53" s="103">
        <f t="shared" si="77"/>
        <v>-65800</v>
      </c>
      <c r="L53" s="104">
        <f t="shared" ca="1" si="78"/>
        <v>90</v>
      </c>
      <c r="M53" s="104"/>
      <c r="N53" s="36"/>
      <c r="O53" s="36"/>
      <c r="P53" s="36"/>
      <c r="Q53" s="105"/>
      <c r="R53" s="105"/>
      <c r="S53" s="106">
        <f t="shared" si="1"/>
        <v>0</v>
      </c>
    </row>
    <row r="54" spans="1:25" x14ac:dyDescent="0.25">
      <c r="A54" s="99" t="str">
        <f>IPO監視一覧!H7</f>
        <v>C</v>
      </c>
      <c r="B54" s="107" t="str">
        <f>IPO監視一覧!B7</f>
        <v>ピーバンドットコム</v>
      </c>
      <c r="C54" s="108">
        <f>IPO監視一覧!G7</f>
        <v>1650</v>
      </c>
      <c r="D54" s="109">
        <v>150000</v>
      </c>
      <c r="E54" s="109">
        <v>650000</v>
      </c>
      <c r="F54" s="110">
        <f>IPO監視一覧!T7</f>
        <v>42803</v>
      </c>
      <c r="G54" s="108">
        <f>IPO監視一覧!U7</f>
        <v>3530</v>
      </c>
      <c r="H54" s="93">
        <f>終値履歴!C7</f>
        <v>2156</v>
      </c>
      <c r="I54" s="93">
        <f>参加条件計算!C7</f>
        <v>7800</v>
      </c>
      <c r="J54" s="103">
        <f>(G54-C54)*100*0.79685</f>
        <v>149807.79999999999</v>
      </c>
      <c r="K54" s="103">
        <f t="shared" si="77"/>
        <v>-137400</v>
      </c>
      <c r="L54" s="111">
        <f ca="1">NETWORKDAYS(F54,TODAY())</f>
        <v>88</v>
      </c>
      <c r="M54" s="76" t="s">
        <v>143</v>
      </c>
      <c r="N54" s="112">
        <v>3550</v>
      </c>
      <c r="O54" s="77">
        <v>200</v>
      </c>
      <c r="P54" s="112">
        <v>3320</v>
      </c>
      <c r="Q54" s="78">
        <f t="shared" ref="Q54:R141" si="79">U54+W54</f>
        <v>974</v>
      </c>
      <c r="R54" s="78">
        <f t="shared" si="79"/>
        <v>76</v>
      </c>
      <c r="S54" s="79">
        <f t="shared" si="1"/>
        <v>-47050</v>
      </c>
      <c r="T54" s="21">
        <v>42803</v>
      </c>
      <c r="U54" s="15">
        <v>487</v>
      </c>
      <c r="V54" s="15">
        <v>38</v>
      </c>
      <c r="W54" s="15">
        <v>487</v>
      </c>
      <c r="X54" s="15">
        <v>38</v>
      </c>
      <c r="Y54" s="113"/>
    </row>
    <row r="55" spans="1:25" x14ac:dyDescent="0.25">
      <c r="A55" s="99"/>
      <c r="B55" s="107"/>
      <c r="C55" s="108"/>
      <c r="D55" s="109"/>
      <c r="E55" s="109"/>
      <c r="F55" s="110"/>
      <c r="G55" s="108"/>
      <c r="H55" s="108"/>
      <c r="I55" s="108"/>
      <c r="J55" s="114"/>
      <c r="K55" s="103"/>
      <c r="L55" s="111"/>
      <c r="M55" s="76" t="s">
        <v>143</v>
      </c>
      <c r="N55" s="115">
        <v>2999</v>
      </c>
      <c r="O55" s="81">
        <v>300</v>
      </c>
      <c r="P55" s="116">
        <v>3083.33</v>
      </c>
      <c r="Q55" s="82">
        <f t="shared" si="79"/>
        <v>1518</v>
      </c>
      <c r="R55" s="82">
        <f t="shared" si="79"/>
        <v>118</v>
      </c>
      <c r="S55" s="83">
        <f t="shared" si="1"/>
        <v>23662.999999999978</v>
      </c>
      <c r="T55" s="21">
        <v>42808</v>
      </c>
      <c r="U55" s="15">
        <v>759</v>
      </c>
      <c r="V55" s="15">
        <v>59</v>
      </c>
      <c r="W55" s="15">
        <v>759</v>
      </c>
      <c r="X55" s="15">
        <v>59</v>
      </c>
      <c r="Y55" s="117"/>
    </row>
    <row r="56" spans="1:25" x14ac:dyDescent="0.25">
      <c r="A56" s="99"/>
      <c r="B56" s="107"/>
      <c r="C56" s="108"/>
      <c r="D56" s="109"/>
      <c r="E56" s="109"/>
      <c r="F56" s="110"/>
      <c r="G56" s="108"/>
      <c r="H56" s="108"/>
      <c r="I56" s="108"/>
      <c r="J56" s="114"/>
      <c r="K56" s="103"/>
      <c r="L56" s="111"/>
      <c r="M56" s="76" t="s">
        <v>143</v>
      </c>
      <c r="N56" s="118">
        <v>2900.33</v>
      </c>
      <c r="O56" s="81">
        <v>300</v>
      </c>
      <c r="P56" s="116">
        <v>3020</v>
      </c>
      <c r="Q56" s="82">
        <f t="shared" si="79"/>
        <v>974</v>
      </c>
      <c r="R56" s="82">
        <f t="shared" si="79"/>
        <v>76</v>
      </c>
      <c r="S56" s="83">
        <f t="shared" si="1"/>
        <v>34851.000000000022</v>
      </c>
      <c r="T56" s="21">
        <v>42809</v>
      </c>
      <c r="U56" s="15">
        <v>487</v>
      </c>
      <c r="V56" s="15">
        <v>38</v>
      </c>
      <c r="W56" s="15">
        <v>487</v>
      </c>
      <c r="X56" s="15">
        <v>38</v>
      </c>
      <c r="Y56" s="117"/>
    </row>
    <row r="57" spans="1:25" x14ac:dyDescent="0.25">
      <c r="A57" s="99" t="str">
        <f>IPO監視一覧!H8</f>
        <v>A</v>
      </c>
      <c r="B57" s="99" t="str">
        <f>IPO監視一覧!B8</f>
        <v>ファイズ</v>
      </c>
      <c r="C57" s="100">
        <f>IPO監視一覧!G8</f>
        <v>1250</v>
      </c>
      <c r="D57" s="101">
        <v>300000</v>
      </c>
      <c r="E57" s="101">
        <v>250000</v>
      </c>
      <c r="F57" s="102">
        <f>IPO監視一覧!T8</f>
        <v>42809</v>
      </c>
      <c r="G57" s="100">
        <f>IPO監視一覧!U8</f>
        <v>4010</v>
      </c>
      <c r="H57" s="93">
        <f>終値履歴!C8</f>
        <v>6810</v>
      </c>
      <c r="I57" s="93">
        <f>参加条件計算!C8</f>
        <v>10600</v>
      </c>
      <c r="J57" s="103">
        <f>(G57-C57)*100*0.79685</f>
        <v>219930.59999999998</v>
      </c>
      <c r="K57" s="103">
        <f t="shared" si="77"/>
        <v>223117.99999999997</v>
      </c>
      <c r="L57" s="104">
        <f t="shared" ca="1" si="78"/>
        <v>84</v>
      </c>
      <c r="M57" s="76" t="s">
        <v>143</v>
      </c>
      <c r="N57" s="81">
        <v>3700</v>
      </c>
      <c r="O57" s="81">
        <v>200</v>
      </c>
      <c r="P57" s="81">
        <v>3807.5</v>
      </c>
      <c r="Q57" s="82">
        <f t="shared" si="79"/>
        <v>974</v>
      </c>
      <c r="R57" s="82">
        <f t="shared" si="79"/>
        <v>76</v>
      </c>
      <c r="S57" s="83">
        <f t="shared" si="1"/>
        <v>20450</v>
      </c>
      <c r="T57" s="21">
        <v>42811</v>
      </c>
      <c r="U57" s="15">
        <v>487</v>
      </c>
      <c r="V57" s="15">
        <v>38</v>
      </c>
      <c r="W57" s="15">
        <v>487</v>
      </c>
      <c r="X57" s="15">
        <v>38</v>
      </c>
    </row>
    <row r="58" spans="1:25" x14ac:dyDescent="0.25">
      <c r="A58" s="99"/>
      <c r="B58" s="99"/>
      <c r="C58" s="100"/>
      <c r="D58" s="101"/>
      <c r="E58" s="101"/>
      <c r="F58" s="102"/>
      <c r="G58" s="100"/>
      <c r="H58" s="100"/>
      <c r="I58" s="100"/>
      <c r="J58" s="103"/>
      <c r="K58" s="103"/>
      <c r="L58" s="104"/>
      <c r="M58" s="76" t="s">
        <v>143</v>
      </c>
      <c r="N58" s="77">
        <v>3790</v>
      </c>
      <c r="O58" s="77">
        <v>200</v>
      </c>
      <c r="P58" s="77">
        <v>3450</v>
      </c>
      <c r="Q58" s="78">
        <f t="shared" si="79"/>
        <v>974</v>
      </c>
      <c r="R58" s="78">
        <f t="shared" si="79"/>
        <v>76</v>
      </c>
      <c r="S58" s="79">
        <f t="shared" si="1"/>
        <v>-69050</v>
      </c>
      <c r="T58" s="21">
        <v>42815</v>
      </c>
      <c r="U58" s="15">
        <v>487</v>
      </c>
      <c r="V58" s="15">
        <v>38</v>
      </c>
      <c r="W58" s="15">
        <v>487</v>
      </c>
      <c r="X58" s="15">
        <v>38</v>
      </c>
      <c r="Y58" s="113"/>
    </row>
    <row r="59" spans="1:25" x14ac:dyDescent="0.25">
      <c r="A59" s="99"/>
      <c r="B59" s="99"/>
      <c r="C59" s="100"/>
      <c r="D59" s="101"/>
      <c r="E59" s="101"/>
      <c r="F59" s="102"/>
      <c r="G59" s="100"/>
      <c r="H59" s="100"/>
      <c r="I59" s="100"/>
      <c r="J59" s="103"/>
      <c r="K59" s="103"/>
      <c r="L59" s="104"/>
      <c r="M59" s="76" t="s">
        <v>143</v>
      </c>
      <c r="N59" s="81">
        <v>7400</v>
      </c>
      <c r="O59" s="81">
        <v>100</v>
      </c>
      <c r="P59" s="81">
        <v>7430</v>
      </c>
      <c r="Q59" s="82">
        <f t="shared" si="79"/>
        <v>974</v>
      </c>
      <c r="R59" s="82">
        <f t="shared" si="79"/>
        <v>76</v>
      </c>
      <c r="S59" s="83">
        <f t="shared" si="1"/>
        <v>1950</v>
      </c>
      <c r="T59" s="21">
        <v>42832</v>
      </c>
      <c r="U59" s="15">
        <v>487</v>
      </c>
      <c r="V59" s="15">
        <v>38</v>
      </c>
      <c r="W59" s="15">
        <v>487</v>
      </c>
      <c r="X59" s="15">
        <v>38</v>
      </c>
      <c r="Y59" s="113"/>
    </row>
    <row r="60" spans="1:25" x14ac:dyDescent="0.25">
      <c r="A60" s="99"/>
      <c r="B60" s="99"/>
      <c r="C60" s="100"/>
      <c r="D60" s="101"/>
      <c r="E60" s="101"/>
      <c r="F60" s="102"/>
      <c r="G60" s="100"/>
      <c r="H60" s="100"/>
      <c r="I60" s="100"/>
      <c r="J60" s="103"/>
      <c r="K60" s="103"/>
      <c r="L60" s="104"/>
      <c r="M60" s="76" t="s">
        <v>143</v>
      </c>
      <c r="N60" s="81">
        <v>7730</v>
      </c>
      <c r="O60" s="81">
        <v>100</v>
      </c>
      <c r="P60" s="81">
        <v>7850</v>
      </c>
      <c r="Q60" s="82">
        <f t="shared" si="79"/>
        <v>974</v>
      </c>
      <c r="R60" s="82">
        <f t="shared" si="79"/>
        <v>76</v>
      </c>
      <c r="S60" s="83">
        <f t="shared" si="1"/>
        <v>10950</v>
      </c>
      <c r="T60" s="21">
        <v>42835</v>
      </c>
      <c r="U60" s="15">
        <v>487</v>
      </c>
      <c r="V60" s="15">
        <v>38</v>
      </c>
      <c r="W60" s="15">
        <v>487</v>
      </c>
      <c r="X60" s="15">
        <v>38</v>
      </c>
      <c r="Y60" s="113"/>
    </row>
    <row r="61" spans="1:25" x14ac:dyDescent="0.25">
      <c r="A61" s="99"/>
      <c r="B61" s="99"/>
      <c r="C61" s="100"/>
      <c r="D61" s="101"/>
      <c r="E61" s="101"/>
      <c r="F61" s="102"/>
      <c r="G61" s="100"/>
      <c r="H61" s="100"/>
      <c r="I61" s="100"/>
      <c r="J61" s="103"/>
      <c r="K61" s="103"/>
      <c r="L61" s="104"/>
      <c r="M61" s="76" t="s">
        <v>143</v>
      </c>
      <c r="N61" s="81">
        <v>7910</v>
      </c>
      <c r="O61" s="81">
        <v>100</v>
      </c>
      <c r="P61" s="81">
        <v>7940</v>
      </c>
      <c r="Q61" s="82">
        <f t="shared" si="79"/>
        <v>949</v>
      </c>
      <c r="R61" s="82">
        <f t="shared" si="79"/>
        <v>74</v>
      </c>
      <c r="S61" s="83">
        <f t="shared" si="1"/>
        <v>1977</v>
      </c>
      <c r="T61" s="21">
        <v>42836</v>
      </c>
      <c r="U61" s="15">
        <v>462</v>
      </c>
      <c r="V61" s="15">
        <v>36</v>
      </c>
      <c r="W61" s="15">
        <v>487</v>
      </c>
      <c r="X61" s="15">
        <v>38</v>
      </c>
      <c r="Y61" s="113"/>
    </row>
    <row r="62" spans="1:25" x14ac:dyDescent="0.25">
      <c r="A62" s="99"/>
      <c r="B62" s="99"/>
      <c r="C62" s="100"/>
      <c r="D62" s="101"/>
      <c r="E62" s="101"/>
      <c r="F62" s="102"/>
      <c r="G62" s="100"/>
      <c r="H62" s="100"/>
      <c r="I62" s="100"/>
      <c r="J62" s="103"/>
      <c r="K62" s="103"/>
      <c r="L62" s="104"/>
      <c r="M62" s="76" t="s">
        <v>143</v>
      </c>
      <c r="N62" s="81">
        <v>6550</v>
      </c>
      <c r="O62" s="81">
        <v>100</v>
      </c>
      <c r="P62" s="81">
        <v>6640</v>
      </c>
      <c r="Q62" s="82">
        <f t="shared" si="79"/>
        <v>974</v>
      </c>
      <c r="R62" s="82">
        <f t="shared" si="79"/>
        <v>76</v>
      </c>
      <c r="S62" s="83">
        <f t="shared" si="1"/>
        <v>7950</v>
      </c>
      <c r="T62" s="21">
        <v>42837</v>
      </c>
      <c r="U62" s="15">
        <v>487</v>
      </c>
      <c r="V62" s="15">
        <v>38</v>
      </c>
      <c r="W62" s="15">
        <v>487</v>
      </c>
      <c r="X62" s="15">
        <v>38</v>
      </c>
      <c r="Y62" s="113"/>
    </row>
    <row r="63" spans="1:25" x14ac:dyDescent="0.25">
      <c r="A63" s="99"/>
      <c r="B63" s="99"/>
      <c r="C63" s="100"/>
      <c r="D63" s="101"/>
      <c r="E63" s="101"/>
      <c r="F63" s="102"/>
      <c r="G63" s="100"/>
      <c r="H63" s="100"/>
      <c r="I63" s="100"/>
      <c r="J63" s="103"/>
      <c r="K63" s="103"/>
      <c r="L63" s="104"/>
      <c r="M63" s="76" t="s">
        <v>143</v>
      </c>
      <c r="N63" s="81">
        <v>6610</v>
      </c>
      <c r="O63" s="81">
        <v>100</v>
      </c>
      <c r="P63" s="81">
        <v>6680</v>
      </c>
      <c r="Q63" s="82">
        <f t="shared" si="79"/>
        <v>974</v>
      </c>
      <c r="R63" s="82">
        <f t="shared" si="79"/>
        <v>76</v>
      </c>
      <c r="S63" s="83">
        <f t="shared" si="1"/>
        <v>5950</v>
      </c>
      <c r="T63" s="21">
        <v>42838</v>
      </c>
      <c r="U63" s="15">
        <v>487</v>
      </c>
      <c r="V63" s="15">
        <v>38</v>
      </c>
      <c r="W63" s="15">
        <v>487</v>
      </c>
      <c r="X63" s="15">
        <v>38</v>
      </c>
      <c r="Y63" s="113"/>
    </row>
    <row r="64" spans="1:25" x14ac:dyDescent="0.25">
      <c r="A64" s="99"/>
      <c r="B64" s="99"/>
      <c r="C64" s="100"/>
      <c r="D64" s="101"/>
      <c r="E64" s="101"/>
      <c r="F64" s="102"/>
      <c r="G64" s="100"/>
      <c r="H64" s="100"/>
      <c r="I64" s="100"/>
      <c r="J64" s="103"/>
      <c r="K64" s="103"/>
      <c r="L64" s="104"/>
      <c r="M64" s="76" t="s">
        <v>143</v>
      </c>
      <c r="N64" s="81">
        <v>6410</v>
      </c>
      <c r="O64" s="81">
        <v>100</v>
      </c>
      <c r="P64" s="81">
        <v>6520</v>
      </c>
      <c r="Q64" s="82">
        <f t="shared" si="79"/>
        <v>974</v>
      </c>
      <c r="R64" s="82">
        <f t="shared" si="79"/>
        <v>76</v>
      </c>
      <c r="S64" s="83">
        <f t="shared" si="1"/>
        <v>9950</v>
      </c>
      <c r="T64" s="21">
        <v>42839</v>
      </c>
      <c r="U64" s="15">
        <v>487</v>
      </c>
      <c r="V64" s="15">
        <v>38</v>
      </c>
      <c r="W64" s="15">
        <v>487</v>
      </c>
      <c r="X64" s="15">
        <v>38</v>
      </c>
      <c r="Y64" s="113"/>
    </row>
    <row r="65" spans="1:25" x14ac:dyDescent="0.25">
      <c r="A65" s="99"/>
      <c r="B65" s="99"/>
      <c r="C65" s="100"/>
      <c r="D65" s="101"/>
      <c r="E65" s="101"/>
      <c r="F65" s="102"/>
      <c r="G65" s="100"/>
      <c r="H65" s="100"/>
      <c r="I65" s="100"/>
      <c r="J65" s="103"/>
      <c r="K65" s="103"/>
      <c r="L65" s="104"/>
      <c r="M65" s="76" t="s">
        <v>143</v>
      </c>
      <c r="N65" s="81">
        <v>5700</v>
      </c>
      <c r="O65" s="81">
        <v>100</v>
      </c>
      <c r="P65" s="81">
        <v>5770</v>
      </c>
      <c r="Q65" s="82">
        <f t="shared" si="79"/>
        <v>974</v>
      </c>
      <c r="R65" s="82">
        <f t="shared" si="79"/>
        <v>76</v>
      </c>
      <c r="S65" s="83">
        <f t="shared" si="1"/>
        <v>5950</v>
      </c>
      <c r="T65" s="21">
        <v>42842</v>
      </c>
      <c r="U65" s="15">
        <v>487</v>
      </c>
      <c r="V65" s="15">
        <v>38</v>
      </c>
      <c r="W65" s="15">
        <v>487</v>
      </c>
      <c r="X65" s="15">
        <v>38</v>
      </c>
      <c r="Y65" s="113"/>
    </row>
    <row r="66" spans="1:25" x14ac:dyDescent="0.25">
      <c r="A66" s="99"/>
      <c r="B66" s="99"/>
      <c r="C66" s="100"/>
      <c r="D66" s="101"/>
      <c r="E66" s="101"/>
      <c r="F66" s="102"/>
      <c r="G66" s="100"/>
      <c r="H66" s="100"/>
      <c r="I66" s="100"/>
      <c r="J66" s="103"/>
      <c r="K66" s="103"/>
      <c r="L66" s="104"/>
      <c r="M66" s="76" t="s">
        <v>143</v>
      </c>
      <c r="N66" s="81">
        <v>6400</v>
      </c>
      <c r="O66" s="81">
        <v>100</v>
      </c>
      <c r="P66" s="81">
        <v>6430</v>
      </c>
      <c r="Q66" s="82">
        <f t="shared" si="79"/>
        <v>974</v>
      </c>
      <c r="R66" s="82">
        <f t="shared" si="79"/>
        <v>76</v>
      </c>
      <c r="S66" s="83">
        <f t="shared" si="1"/>
        <v>1950</v>
      </c>
      <c r="T66" s="21">
        <v>42843</v>
      </c>
      <c r="U66" s="15">
        <v>487</v>
      </c>
      <c r="V66" s="15">
        <v>38</v>
      </c>
      <c r="W66" s="15">
        <v>487</v>
      </c>
      <c r="X66" s="15">
        <v>38</v>
      </c>
      <c r="Y66" s="113"/>
    </row>
    <row r="67" spans="1:25" x14ac:dyDescent="0.25">
      <c r="A67" s="99"/>
      <c r="B67" s="99"/>
      <c r="C67" s="100"/>
      <c r="D67" s="101"/>
      <c r="E67" s="101"/>
      <c r="F67" s="102"/>
      <c r="G67" s="100"/>
      <c r="H67" s="100"/>
      <c r="I67" s="100"/>
      <c r="J67" s="103"/>
      <c r="K67" s="103"/>
      <c r="L67" s="104"/>
      <c r="M67" s="76" t="s">
        <v>143</v>
      </c>
      <c r="N67" s="81">
        <v>7020</v>
      </c>
      <c r="O67" s="81">
        <v>200</v>
      </c>
      <c r="P67" s="81">
        <v>7090</v>
      </c>
      <c r="Q67" s="82">
        <f t="shared" si="79"/>
        <v>1948</v>
      </c>
      <c r="R67" s="82">
        <f t="shared" si="79"/>
        <v>152</v>
      </c>
      <c r="S67" s="83">
        <f t="shared" si="1"/>
        <v>11900</v>
      </c>
      <c r="T67" s="21">
        <v>42850</v>
      </c>
      <c r="U67" s="15">
        <v>974</v>
      </c>
      <c r="V67" s="15">
        <v>76</v>
      </c>
      <c r="W67" s="15">
        <v>974</v>
      </c>
      <c r="X67" s="15">
        <v>76</v>
      </c>
      <c r="Y67" s="113"/>
    </row>
    <row r="68" spans="1:25" x14ac:dyDescent="0.25">
      <c r="A68" s="99"/>
      <c r="B68" s="99"/>
      <c r="C68" s="100"/>
      <c r="D68" s="101"/>
      <c r="E68" s="101"/>
      <c r="F68" s="102"/>
      <c r="G68" s="100"/>
      <c r="H68" s="100"/>
      <c r="I68" s="100"/>
      <c r="J68" s="103"/>
      <c r="K68" s="103"/>
      <c r="L68" s="104"/>
      <c r="M68" s="76" t="s">
        <v>143</v>
      </c>
      <c r="N68" s="81">
        <v>7180</v>
      </c>
      <c r="O68" s="81">
        <v>100</v>
      </c>
      <c r="P68" s="81">
        <v>7220</v>
      </c>
      <c r="Q68" s="82">
        <f t="shared" si="79"/>
        <v>974</v>
      </c>
      <c r="R68" s="82">
        <f t="shared" si="79"/>
        <v>76</v>
      </c>
      <c r="S68" s="83">
        <f t="shared" si="1"/>
        <v>2950</v>
      </c>
      <c r="T68" s="21">
        <v>42851</v>
      </c>
      <c r="U68" s="15">
        <v>487</v>
      </c>
      <c r="V68" s="15">
        <v>38</v>
      </c>
      <c r="W68" s="15">
        <v>487</v>
      </c>
      <c r="X68" s="15">
        <v>38</v>
      </c>
      <c r="Y68" s="113"/>
    </row>
    <row r="69" spans="1:25" x14ac:dyDescent="0.25">
      <c r="A69" s="99"/>
      <c r="B69" s="99"/>
      <c r="C69" s="100"/>
      <c r="D69" s="101"/>
      <c r="E69" s="101"/>
      <c r="F69" s="102"/>
      <c r="G69" s="100"/>
      <c r="H69" s="100"/>
      <c r="I69" s="100"/>
      <c r="J69" s="103"/>
      <c r="K69" s="103"/>
      <c r="L69" s="104"/>
      <c r="M69" s="76" t="s">
        <v>143</v>
      </c>
      <c r="N69" s="77">
        <v>8320</v>
      </c>
      <c r="O69" s="77">
        <v>100</v>
      </c>
      <c r="P69" s="77">
        <v>8320</v>
      </c>
      <c r="Q69" s="78">
        <f t="shared" si="79"/>
        <v>974</v>
      </c>
      <c r="R69" s="78">
        <f t="shared" si="79"/>
        <v>76</v>
      </c>
      <c r="S69" s="79">
        <f t="shared" si="1"/>
        <v>-1050</v>
      </c>
      <c r="T69" s="21">
        <v>42865</v>
      </c>
      <c r="U69" s="15">
        <v>487</v>
      </c>
      <c r="V69" s="15">
        <v>38</v>
      </c>
      <c r="W69" s="15">
        <v>487</v>
      </c>
      <c r="X69" s="15">
        <v>38</v>
      </c>
      <c r="Y69" s="113"/>
    </row>
    <row r="70" spans="1:25" x14ac:dyDescent="0.25">
      <c r="A70" s="99"/>
      <c r="B70" s="99"/>
      <c r="C70" s="100"/>
      <c r="D70" s="101"/>
      <c r="E70" s="101"/>
      <c r="F70" s="102"/>
      <c r="G70" s="100"/>
      <c r="H70" s="100"/>
      <c r="I70" s="100"/>
      <c r="J70" s="103"/>
      <c r="K70" s="103"/>
      <c r="L70" s="104"/>
      <c r="M70" s="76" t="s">
        <v>143</v>
      </c>
      <c r="N70" s="81">
        <v>8150</v>
      </c>
      <c r="O70" s="81">
        <v>100</v>
      </c>
      <c r="P70" s="81">
        <v>8210</v>
      </c>
      <c r="Q70" s="82">
        <f t="shared" si="79"/>
        <v>974</v>
      </c>
      <c r="R70" s="82">
        <f t="shared" si="79"/>
        <v>76</v>
      </c>
      <c r="S70" s="83">
        <f t="shared" si="1"/>
        <v>4950</v>
      </c>
      <c r="T70" s="21">
        <v>42866</v>
      </c>
      <c r="U70" s="15">
        <v>487</v>
      </c>
      <c r="V70" s="15">
        <v>38</v>
      </c>
      <c r="W70" s="15">
        <v>487</v>
      </c>
      <c r="X70" s="15">
        <v>38</v>
      </c>
      <c r="Y70" s="113"/>
    </row>
    <row r="71" spans="1:25" x14ac:dyDescent="0.25">
      <c r="A71" s="99"/>
      <c r="B71" s="99"/>
      <c r="C71" s="100"/>
      <c r="D71" s="101"/>
      <c r="E71" s="101"/>
      <c r="F71" s="102"/>
      <c r="G71" s="100"/>
      <c r="H71" s="100"/>
      <c r="I71" s="100"/>
      <c r="J71" s="103"/>
      <c r="K71" s="103"/>
      <c r="L71" s="104"/>
      <c r="M71" s="76" t="s">
        <v>143</v>
      </c>
      <c r="N71" s="81">
        <v>7780</v>
      </c>
      <c r="O71" s="81">
        <v>100</v>
      </c>
      <c r="P71" s="81">
        <v>7980</v>
      </c>
      <c r="Q71" s="82">
        <f t="shared" si="79"/>
        <v>974</v>
      </c>
      <c r="R71" s="82">
        <f t="shared" si="79"/>
        <v>76</v>
      </c>
      <c r="S71" s="83">
        <f t="shared" si="1"/>
        <v>18950</v>
      </c>
      <c r="T71" s="21">
        <v>42870</v>
      </c>
      <c r="U71" s="15">
        <v>487</v>
      </c>
      <c r="V71" s="15">
        <v>38</v>
      </c>
      <c r="W71" s="15">
        <v>487</v>
      </c>
      <c r="X71" s="15">
        <v>38</v>
      </c>
      <c r="Y71" s="113"/>
    </row>
    <row r="72" spans="1:25" x14ac:dyDescent="0.25">
      <c r="A72" s="99"/>
      <c r="B72" s="99"/>
      <c r="C72" s="100"/>
      <c r="D72" s="101"/>
      <c r="E72" s="101"/>
      <c r="F72" s="102"/>
      <c r="G72" s="100"/>
      <c r="H72" s="93"/>
      <c r="I72" s="93"/>
      <c r="J72" s="103"/>
      <c r="K72" s="103"/>
      <c r="L72" s="104"/>
      <c r="M72" s="76" t="s">
        <v>143</v>
      </c>
      <c r="N72" s="81">
        <v>7730</v>
      </c>
      <c r="O72" s="81">
        <v>100</v>
      </c>
      <c r="P72" s="81">
        <v>7760</v>
      </c>
      <c r="Q72" s="82">
        <f t="shared" ref="Q72" si="80">U72+W72</f>
        <v>974</v>
      </c>
      <c r="R72" s="82">
        <f t="shared" ref="R72" si="81">V72+X72</f>
        <v>76</v>
      </c>
      <c r="S72" s="83">
        <f t="shared" ref="S72" si="82">(P72-N72)*O72-R72-Q72</f>
        <v>1950</v>
      </c>
      <c r="T72" s="21">
        <v>42878</v>
      </c>
      <c r="U72" s="15">
        <v>487</v>
      </c>
      <c r="V72" s="15">
        <v>38</v>
      </c>
      <c r="W72" s="15">
        <v>487</v>
      </c>
      <c r="X72" s="15">
        <v>38</v>
      </c>
      <c r="Y72" s="113"/>
    </row>
    <row r="73" spans="1:25" x14ac:dyDescent="0.25">
      <c r="A73" s="99"/>
      <c r="B73" s="99"/>
      <c r="C73" s="100"/>
      <c r="D73" s="101"/>
      <c r="E73" s="101"/>
      <c r="F73" s="102"/>
      <c r="G73" s="100"/>
      <c r="H73" s="93"/>
      <c r="I73" s="93"/>
      <c r="J73" s="103"/>
      <c r="K73" s="103"/>
      <c r="L73" s="104"/>
      <c r="M73" s="76" t="s">
        <v>143</v>
      </c>
      <c r="N73" s="81">
        <v>6540</v>
      </c>
      <c r="O73" s="81">
        <v>100</v>
      </c>
      <c r="P73" s="81">
        <v>6590</v>
      </c>
      <c r="Q73" s="82">
        <f t="shared" ref="Q73" si="83">U73+W73</f>
        <v>974</v>
      </c>
      <c r="R73" s="82">
        <f t="shared" ref="R73" si="84">V73+X73</f>
        <v>76</v>
      </c>
      <c r="S73" s="83">
        <f t="shared" ref="S73" si="85">(P73-N73)*O73-R73-Q73</f>
        <v>3950</v>
      </c>
      <c r="T73" s="21">
        <v>42905</v>
      </c>
      <c r="U73" s="15">
        <v>487</v>
      </c>
      <c r="V73" s="15">
        <v>38</v>
      </c>
      <c r="W73" s="15">
        <v>487</v>
      </c>
      <c r="X73" s="15">
        <v>38</v>
      </c>
      <c r="Y73" s="113"/>
    </row>
    <row r="74" spans="1:25" x14ac:dyDescent="0.25">
      <c r="A74" s="99" t="str">
        <f>IPO監視一覧!H9</f>
        <v>D</v>
      </c>
      <c r="B74" s="99" t="str">
        <f>IPO監視一覧!B9</f>
        <v>うるる</v>
      </c>
      <c r="C74" s="100">
        <f>IPO監視一覧!G9</f>
        <v>3000</v>
      </c>
      <c r="D74" s="101">
        <v>250000</v>
      </c>
      <c r="E74" s="119">
        <v>1025800</v>
      </c>
      <c r="F74" s="102">
        <f>IPO監視一覧!T9</f>
        <v>42810</v>
      </c>
      <c r="G74" s="100">
        <f>IPO監視一覧!U9</f>
        <v>3330</v>
      </c>
      <c r="H74" s="93">
        <f>終値履歴!C9</f>
        <v>4995</v>
      </c>
      <c r="I74" s="93">
        <f>参加条件計算!C9</f>
        <v>28200</v>
      </c>
      <c r="J74" s="103">
        <f t="shared" ref="J74:J100" si="86">(G74-C74)*100*0.79685</f>
        <v>26296.05</v>
      </c>
      <c r="K74" s="103">
        <f t="shared" si="77"/>
        <v>132675.52499999999</v>
      </c>
      <c r="L74" s="104">
        <f t="shared" ca="1" si="78"/>
        <v>83</v>
      </c>
      <c r="M74" s="76" t="s">
        <v>143</v>
      </c>
      <c r="N74" s="81">
        <v>4000</v>
      </c>
      <c r="O74" s="81">
        <v>200</v>
      </c>
      <c r="P74" s="81">
        <v>4105</v>
      </c>
      <c r="Q74" s="82">
        <f t="shared" si="79"/>
        <v>974</v>
      </c>
      <c r="R74" s="82">
        <f t="shared" si="79"/>
        <v>76</v>
      </c>
      <c r="S74" s="83">
        <f>(P74-N74)*O74-R74-Q74</f>
        <v>19950</v>
      </c>
      <c r="T74" s="21">
        <v>42817</v>
      </c>
      <c r="U74" s="15">
        <v>487</v>
      </c>
      <c r="V74" s="15">
        <v>38</v>
      </c>
      <c r="W74" s="15">
        <v>487</v>
      </c>
      <c r="X74" s="15">
        <v>38</v>
      </c>
    </row>
    <row r="75" spans="1:25" x14ac:dyDescent="0.25">
      <c r="A75" s="99"/>
      <c r="B75" s="99"/>
      <c r="C75" s="100"/>
      <c r="D75" s="101"/>
      <c r="E75" s="119"/>
      <c r="F75" s="102"/>
      <c r="G75" s="100"/>
      <c r="H75" s="100"/>
      <c r="I75" s="100"/>
      <c r="J75" s="103"/>
      <c r="K75" s="103"/>
      <c r="L75" s="104"/>
      <c r="M75" s="76" t="s">
        <v>143</v>
      </c>
      <c r="N75" s="81">
        <v>4120</v>
      </c>
      <c r="O75" s="81">
        <v>100</v>
      </c>
      <c r="P75" s="81">
        <v>4225</v>
      </c>
      <c r="Q75" s="82">
        <f t="shared" si="79"/>
        <v>544</v>
      </c>
      <c r="R75" s="82">
        <f t="shared" si="79"/>
        <v>42</v>
      </c>
      <c r="S75" s="83">
        <f>(P75-N75)*O75-R75-Q75</f>
        <v>9914</v>
      </c>
      <c r="T75" s="21">
        <v>42873</v>
      </c>
      <c r="U75" s="15">
        <v>272</v>
      </c>
      <c r="V75" s="15">
        <v>21</v>
      </c>
      <c r="W75" s="15">
        <v>272</v>
      </c>
      <c r="X75" s="15">
        <v>21</v>
      </c>
    </row>
    <row r="76" spans="1:25" x14ac:dyDescent="0.25">
      <c r="A76" s="99"/>
      <c r="B76" s="99"/>
      <c r="C76" s="100"/>
      <c r="D76" s="101"/>
      <c r="E76" s="119"/>
      <c r="F76" s="102"/>
      <c r="G76" s="100"/>
      <c r="H76" s="93"/>
      <c r="I76" s="93"/>
      <c r="J76" s="103"/>
      <c r="K76" s="103"/>
      <c r="L76" s="104"/>
      <c r="M76" s="76" t="s">
        <v>143</v>
      </c>
      <c r="N76" s="81">
        <v>4600</v>
      </c>
      <c r="O76" s="81">
        <v>100</v>
      </c>
      <c r="P76" s="81">
        <v>4625</v>
      </c>
      <c r="Q76" s="82">
        <f t="shared" ref="Q76" si="87">U76+W76</f>
        <v>544</v>
      </c>
      <c r="R76" s="82">
        <f t="shared" ref="R76" si="88">V76+X76</f>
        <v>42</v>
      </c>
      <c r="S76" s="83">
        <f>(P76-N76)*O76-R76-Q76</f>
        <v>1914</v>
      </c>
      <c r="T76" s="21">
        <v>42879</v>
      </c>
      <c r="U76" s="15">
        <v>272</v>
      </c>
      <c r="V76" s="15">
        <v>21</v>
      </c>
      <c r="W76" s="15">
        <v>272</v>
      </c>
      <c r="X76" s="15">
        <v>21</v>
      </c>
    </row>
    <row r="77" spans="1:25" x14ac:dyDescent="0.25">
      <c r="A77" s="99" t="str">
        <f>IPO監視一覧!H10</f>
        <v>A</v>
      </c>
      <c r="B77" s="99" t="str">
        <f>IPO監視一覧!B10</f>
        <v>ほぼ日</v>
      </c>
      <c r="C77" s="100">
        <f>IPO監視一覧!G10</f>
        <v>2350</v>
      </c>
      <c r="D77" s="101">
        <v>250000</v>
      </c>
      <c r="E77" s="101">
        <v>150000</v>
      </c>
      <c r="F77" s="102">
        <f>IPO監視一覧!T10</f>
        <v>42810</v>
      </c>
      <c r="G77" s="100">
        <f>IPO監視一覧!U10</f>
        <v>5360</v>
      </c>
      <c r="H77" s="93">
        <f>終値履歴!C10</f>
        <v>5270</v>
      </c>
      <c r="I77" s="93">
        <f>参加条件計算!C10</f>
        <v>1400</v>
      </c>
      <c r="J77" s="103">
        <f t="shared" si="86"/>
        <v>239851.84999999998</v>
      </c>
      <c r="K77" s="103">
        <f t="shared" si="77"/>
        <v>-9000</v>
      </c>
      <c r="L77" s="104">
        <f t="shared" ca="1" si="78"/>
        <v>83</v>
      </c>
      <c r="M77" s="76" t="s">
        <v>143</v>
      </c>
      <c r="N77" s="81">
        <v>4557.5</v>
      </c>
      <c r="O77" s="81">
        <v>200</v>
      </c>
      <c r="P77" s="81">
        <v>4595</v>
      </c>
      <c r="Q77" s="82">
        <f t="shared" si="79"/>
        <v>974</v>
      </c>
      <c r="R77" s="82">
        <f t="shared" si="79"/>
        <v>76</v>
      </c>
      <c r="S77" s="83">
        <f>(P77-N77)*O77-R77-Q77</f>
        <v>6450</v>
      </c>
      <c r="T77" s="21">
        <v>42817</v>
      </c>
      <c r="U77" s="15">
        <v>487</v>
      </c>
      <c r="V77" s="15">
        <v>38</v>
      </c>
      <c r="W77" s="15">
        <v>487</v>
      </c>
      <c r="X77" s="15">
        <v>38</v>
      </c>
    </row>
    <row r="78" spans="1:25" x14ac:dyDescent="0.25">
      <c r="A78" s="99" t="str">
        <f>IPO監視一覧!H11</f>
        <v>C</v>
      </c>
      <c r="B78" s="99" t="str">
        <f>IPO監視一覧!B11</f>
        <v>ジャパンエレベーターサービスHD</v>
      </c>
      <c r="C78" s="100">
        <f>IPO監視一覧!G11</f>
        <v>550</v>
      </c>
      <c r="D78" s="101">
        <v>1640000</v>
      </c>
      <c r="E78" s="101">
        <v>1695000</v>
      </c>
      <c r="F78" s="102">
        <f>IPO監視一覧!T11</f>
        <v>42811</v>
      </c>
      <c r="G78" s="100">
        <f>IPO監視一覧!U11</f>
        <v>890</v>
      </c>
      <c r="H78" s="93">
        <f>終値履歴!C11</f>
        <v>1745</v>
      </c>
      <c r="I78" s="93">
        <f>参加条件計算!C11</f>
        <v>85000</v>
      </c>
      <c r="J78" s="103">
        <f t="shared" si="86"/>
        <v>27092.899999999998</v>
      </c>
      <c r="K78" s="103">
        <f t="shared" si="77"/>
        <v>68130.674999999988</v>
      </c>
      <c r="L78" s="104">
        <f t="shared" ca="1" si="78"/>
        <v>82</v>
      </c>
      <c r="M78" s="76" t="s">
        <v>143</v>
      </c>
      <c r="N78" s="81">
        <v>901.8</v>
      </c>
      <c r="O78" s="81">
        <v>500</v>
      </c>
      <c r="P78" s="81">
        <v>950.4</v>
      </c>
      <c r="Q78" s="82">
        <f t="shared" si="79"/>
        <v>914</v>
      </c>
      <c r="R78" s="82">
        <f t="shared" si="79"/>
        <v>70</v>
      </c>
      <c r="S78" s="83">
        <f t="shared" si="1"/>
        <v>23316.000000000011</v>
      </c>
      <c r="T78" s="21">
        <v>42811</v>
      </c>
      <c r="U78" s="15">
        <v>457</v>
      </c>
      <c r="V78" s="15">
        <v>35</v>
      </c>
      <c r="W78" s="15">
        <v>457</v>
      </c>
      <c r="X78" s="15">
        <v>35</v>
      </c>
    </row>
    <row r="79" spans="1:25" x14ac:dyDescent="0.25">
      <c r="A79" s="99"/>
      <c r="B79" s="99"/>
      <c r="C79" s="100"/>
      <c r="D79" s="101"/>
      <c r="E79" s="101"/>
      <c r="F79" s="102"/>
      <c r="G79" s="100"/>
      <c r="H79" s="100"/>
      <c r="I79" s="100"/>
      <c r="J79" s="103"/>
      <c r="K79" s="103"/>
      <c r="L79" s="104"/>
      <c r="M79" s="76" t="s">
        <v>143</v>
      </c>
      <c r="N79" s="81">
        <v>1166.5</v>
      </c>
      <c r="O79" s="81">
        <v>800</v>
      </c>
      <c r="P79" s="81">
        <v>1220.5</v>
      </c>
      <c r="Q79" s="82">
        <f t="shared" si="79"/>
        <v>1518</v>
      </c>
      <c r="R79" s="82">
        <f t="shared" si="79"/>
        <v>118</v>
      </c>
      <c r="S79" s="83">
        <f t="shared" si="1"/>
        <v>41564</v>
      </c>
      <c r="T79" s="21">
        <v>42815</v>
      </c>
      <c r="U79" s="15">
        <v>759</v>
      </c>
      <c r="V79" s="15">
        <v>59</v>
      </c>
      <c r="W79" s="15">
        <v>759</v>
      </c>
      <c r="X79" s="15">
        <v>59</v>
      </c>
    </row>
    <row r="80" spans="1:25" x14ac:dyDescent="0.25">
      <c r="A80" s="99"/>
      <c r="B80" s="99"/>
      <c r="C80" s="100"/>
      <c r="D80" s="101"/>
      <c r="E80" s="101"/>
      <c r="F80" s="102"/>
      <c r="G80" s="100"/>
      <c r="H80" s="100"/>
      <c r="I80" s="100"/>
      <c r="J80" s="103"/>
      <c r="K80" s="103"/>
      <c r="L80" s="104"/>
      <c r="M80" s="80" t="s">
        <v>146</v>
      </c>
      <c r="N80" s="77">
        <v>1222</v>
      </c>
      <c r="O80" s="77">
        <v>100</v>
      </c>
      <c r="P80" s="77">
        <v>1183</v>
      </c>
      <c r="Q80" s="78">
        <f t="shared" si="79"/>
        <v>360</v>
      </c>
      <c r="R80" s="78">
        <f t="shared" si="79"/>
        <v>28</v>
      </c>
      <c r="S80" s="79">
        <f t="shared" si="1"/>
        <v>-4288</v>
      </c>
      <c r="T80" s="21">
        <v>42815</v>
      </c>
      <c r="U80" s="15">
        <v>180</v>
      </c>
      <c r="V80" s="15">
        <v>14</v>
      </c>
      <c r="W80" s="15">
        <v>180</v>
      </c>
      <c r="X80" s="15">
        <v>14</v>
      </c>
      <c r="Y80" s="113"/>
    </row>
    <row r="81" spans="1:24" x14ac:dyDescent="0.25">
      <c r="A81" s="99"/>
      <c r="B81" s="99"/>
      <c r="C81" s="100"/>
      <c r="D81" s="101"/>
      <c r="E81" s="101"/>
      <c r="F81" s="102"/>
      <c r="G81" s="100"/>
      <c r="H81" s="100"/>
      <c r="I81" s="100"/>
      <c r="J81" s="103"/>
      <c r="K81" s="103"/>
      <c r="L81" s="104"/>
      <c r="M81" s="76" t="s">
        <v>143</v>
      </c>
      <c r="N81" s="81">
        <v>1139</v>
      </c>
      <c r="O81" s="81">
        <v>800</v>
      </c>
      <c r="P81" s="81">
        <v>1191.8</v>
      </c>
      <c r="Q81" s="82">
        <f t="shared" si="79"/>
        <v>974</v>
      </c>
      <c r="R81" s="82">
        <f t="shared" si="79"/>
        <v>76</v>
      </c>
      <c r="S81" s="83">
        <f t="shared" si="1"/>
        <v>41189.999999999964</v>
      </c>
      <c r="T81" s="21">
        <v>42816</v>
      </c>
      <c r="U81" s="15">
        <v>487</v>
      </c>
      <c r="V81" s="15">
        <v>38</v>
      </c>
      <c r="W81" s="15">
        <v>487</v>
      </c>
      <c r="X81" s="15">
        <v>38</v>
      </c>
    </row>
    <row r="82" spans="1:24" x14ac:dyDescent="0.25">
      <c r="A82" s="99"/>
      <c r="B82" s="99"/>
      <c r="C82" s="100"/>
      <c r="D82" s="101"/>
      <c r="E82" s="101"/>
      <c r="F82" s="102"/>
      <c r="G82" s="100"/>
      <c r="H82" s="100"/>
      <c r="I82" s="100"/>
      <c r="J82" s="103"/>
      <c r="K82" s="103"/>
      <c r="L82" s="104"/>
      <c r="M82" s="80" t="s">
        <v>146</v>
      </c>
      <c r="N82" s="81">
        <v>1152</v>
      </c>
      <c r="O82" s="81">
        <v>200</v>
      </c>
      <c r="P82" s="81">
        <v>1163</v>
      </c>
      <c r="Q82" s="82">
        <f t="shared" si="79"/>
        <v>500</v>
      </c>
      <c r="R82" s="82">
        <f t="shared" si="79"/>
        <v>40</v>
      </c>
      <c r="S82" s="83">
        <f t="shared" si="1"/>
        <v>1660</v>
      </c>
      <c r="T82" s="21">
        <v>42863</v>
      </c>
      <c r="U82" s="15">
        <v>250</v>
      </c>
      <c r="V82" s="15">
        <v>20</v>
      </c>
      <c r="W82" s="15">
        <v>250</v>
      </c>
      <c r="X82" s="15">
        <v>20</v>
      </c>
    </row>
    <row r="83" spans="1:24" x14ac:dyDescent="0.25">
      <c r="A83" s="99"/>
      <c r="B83" s="99"/>
      <c r="C83" s="100"/>
      <c r="D83" s="101"/>
      <c r="E83" s="101"/>
      <c r="F83" s="102"/>
      <c r="G83" s="100"/>
      <c r="H83" s="100"/>
      <c r="I83" s="100"/>
      <c r="J83" s="103"/>
      <c r="K83" s="103"/>
      <c r="L83" s="104"/>
      <c r="M83" s="76" t="s">
        <v>143</v>
      </c>
      <c r="N83" s="81">
        <v>1378</v>
      </c>
      <c r="O83" s="81">
        <v>100</v>
      </c>
      <c r="P83" s="81">
        <v>1399</v>
      </c>
      <c r="Q83" s="82">
        <f t="shared" si="79"/>
        <v>368</v>
      </c>
      <c r="R83" s="82">
        <f t="shared" si="79"/>
        <v>30</v>
      </c>
      <c r="S83" s="83">
        <f t="shared" si="1"/>
        <v>1702</v>
      </c>
      <c r="T83" s="21">
        <v>42871</v>
      </c>
      <c r="U83" s="15">
        <v>184</v>
      </c>
      <c r="V83" s="15">
        <v>15</v>
      </c>
      <c r="W83" s="15">
        <v>184</v>
      </c>
      <c r="X83" s="15">
        <v>15</v>
      </c>
    </row>
    <row r="84" spans="1:24" x14ac:dyDescent="0.25">
      <c r="A84" s="99"/>
      <c r="B84" s="99"/>
      <c r="C84" s="100"/>
      <c r="D84" s="101"/>
      <c r="E84" s="101"/>
      <c r="F84" s="102"/>
      <c r="G84" s="100"/>
      <c r="H84" s="93"/>
      <c r="I84" s="93"/>
      <c r="J84" s="103"/>
      <c r="K84" s="103"/>
      <c r="L84" s="104"/>
      <c r="M84" s="76" t="s">
        <v>143</v>
      </c>
      <c r="N84" s="77">
        <f>(1726*5+1646*3)/8</f>
        <v>1696</v>
      </c>
      <c r="O84" s="77">
        <v>800</v>
      </c>
      <c r="P84" s="77">
        <f>(1751*1+1672.8*7)/8</f>
        <v>1682.575</v>
      </c>
      <c r="Q84" s="78">
        <f t="shared" ref="Q84" si="89">U84+W84</f>
        <v>1526</v>
      </c>
      <c r="R84" s="78">
        <f t="shared" ref="R84" si="90">V84+X84</f>
        <v>119</v>
      </c>
      <c r="S84" s="79">
        <f t="shared" ref="S84" si="91">(P84-N84)*O84-R84-Q84</f>
        <v>-12384.999999999964</v>
      </c>
      <c r="T84" s="21">
        <v>42877</v>
      </c>
      <c r="U84" s="15">
        <v>759</v>
      </c>
      <c r="V84" s="15">
        <v>59</v>
      </c>
      <c r="W84" s="15">
        <f>185+582</f>
        <v>767</v>
      </c>
      <c r="X84" s="15">
        <f>14+46</f>
        <v>60</v>
      </c>
    </row>
    <row r="85" spans="1:24" x14ac:dyDescent="0.25">
      <c r="A85" s="99"/>
      <c r="B85" s="99"/>
      <c r="C85" s="100"/>
      <c r="D85" s="101"/>
      <c r="E85" s="101"/>
      <c r="F85" s="102"/>
      <c r="G85" s="100"/>
      <c r="H85" s="93"/>
      <c r="I85" s="93"/>
      <c r="J85" s="103"/>
      <c r="K85" s="103"/>
      <c r="L85" s="104"/>
      <c r="M85" s="76" t="s">
        <v>143</v>
      </c>
      <c r="N85" s="81">
        <v>1667</v>
      </c>
      <c r="O85" s="81">
        <v>300</v>
      </c>
      <c r="P85" s="81">
        <v>1688</v>
      </c>
      <c r="Q85" s="82">
        <f t="shared" ref="Q85:Q86" si="92">U85+W85</f>
        <v>974</v>
      </c>
      <c r="R85" s="82">
        <f t="shared" ref="R85:R86" si="93">V85+X85</f>
        <v>76</v>
      </c>
      <c r="S85" s="83">
        <f t="shared" ref="S85:S86" si="94">(P85-N85)*O85-R85-Q85</f>
        <v>5250</v>
      </c>
      <c r="T85" s="21">
        <v>42879</v>
      </c>
      <c r="U85" s="15">
        <v>487</v>
      </c>
      <c r="V85" s="15">
        <v>38</v>
      </c>
      <c r="W85" s="15">
        <v>487</v>
      </c>
      <c r="X85" s="15">
        <v>38</v>
      </c>
    </row>
    <row r="86" spans="1:24" x14ac:dyDescent="0.25">
      <c r="A86" s="99"/>
      <c r="B86" s="99"/>
      <c r="C86" s="100"/>
      <c r="D86" s="101"/>
      <c r="E86" s="101"/>
      <c r="F86" s="102"/>
      <c r="G86" s="100"/>
      <c r="H86" s="93"/>
      <c r="I86" s="93"/>
      <c r="J86" s="103"/>
      <c r="K86" s="103"/>
      <c r="L86" s="104"/>
      <c r="M86" s="76" t="s">
        <v>143</v>
      </c>
      <c r="N86" s="77">
        <v>1606.8</v>
      </c>
      <c r="O86" s="77">
        <v>900</v>
      </c>
      <c r="P86" s="77">
        <v>1538.5</v>
      </c>
      <c r="Q86" s="78">
        <f t="shared" si="92"/>
        <v>1558</v>
      </c>
      <c r="R86" s="78">
        <f t="shared" si="93"/>
        <v>152</v>
      </c>
      <c r="S86" s="79">
        <f t="shared" si="94"/>
        <v>-63179.999999999956</v>
      </c>
      <c r="T86" s="21">
        <v>42881</v>
      </c>
      <c r="U86" s="15">
        <v>976</v>
      </c>
      <c r="V86" s="15">
        <v>76</v>
      </c>
      <c r="W86" s="15">
        <v>582</v>
      </c>
      <c r="X86" s="15">
        <v>76</v>
      </c>
    </row>
    <row r="87" spans="1:24" x14ac:dyDescent="0.25">
      <c r="A87" s="99" t="str">
        <f>IPO監視一覧!H12</f>
        <v>D</v>
      </c>
      <c r="B87" s="99" t="str">
        <f>IPO監視一覧!B12</f>
        <v>ビーグリー</v>
      </c>
      <c r="C87" s="100">
        <f>IPO監視一覧!G12</f>
        <v>1880</v>
      </c>
      <c r="D87" s="101">
        <v>384700</v>
      </c>
      <c r="E87" s="119">
        <v>4309900</v>
      </c>
      <c r="F87" s="102">
        <f>IPO監視一覧!T12</f>
        <v>42811</v>
      </c>
      <c r="G87" s="100">
        <f>IPO監視一覧!U12</f>
        <v>1881</v>
      </c>
      <c r="H87" s="93">
        <f>終値履歴!C12</f>
        <v>2170</v>
      </c>
      <c r="I87" s="93">
        <f>参加条件計算!C12</f>
        <v>111000</v>
      </c>
      <c r="J87" s="103">
        <f t="shared" si="86"/>
        <v>79.684999999999988</v>
      </c>
      <c r="K87" s="103">
        <f t="shared" si="77"/>
        <v>23028.965</v>
      </c>
      <c r="L87" s="104">
        <f t="shared" ca="1" si="78"/>
        <v>82</v>
      </c>
      <c r="M87" s="76" t="s">
        <v>143</v>
      </c>
      <c r="N87" s="81">
        <v>2330</v>
      </c>
      <c r="O87" s="81">
        <v>300</v>
      </c>
      <c r="P87" s="81">
        <v>2365</v>
      </c>
      <c r="Q87" s="82">
        <f t="shared" si="79"/>
        <v>974</v>
      </c>
      <c r="R87" s="82">
        <f t="shared" si="79"/>
        <v>84</v>
      </c>
      <c r="S87" s="83">
        <f t="shared" si="1"/>
        <v>9442</v>
      </c>
      <c r="T87" s="21">
        <v>42817</v>
      </c>
      <c r="U87" s="15">
        <v>487</v>
      </c>
      <c r="V87" s="15">
        <v>38</v>
      </c>
      <c r="W87" s="15">
        <v>487</v>
      </c>
      <c r="X87" s="15">
        <v>46</v>
      </c>
    </row>
    <row r="88" spans="1:24" x14ac:dyDescent="0.25">
      <c r="A88" s="99"/>
      <c r="B88" s="99"/>
      <c r="C88" s="100"/>
      <c r="D88" s="101"/>
      <c r="E88" s="119"/>
      <c r="F88" s="102"/>
      <c r="G88" s="100"/>
      <c r="H88" s="100"/>
      <c r="I88" s="100"/>
      <c r="J88" s="103"/>
      <c r="K88" s="103"/>
      <c r="L88" s="104"/>
      <c r="M88" s="76" t="s">
        <v>143</v>
      </c>
      <c r="N88" s="81">
        <v>2319</v>
      </c>
      <c r="O88" s="81">
        <v>300</v>
      </c>
      <c r="P88" s="81">
        <v>2376</v>
      </c>
      <c r="Q88" s="82">
        <f t="shared" si="79"/>
        <v>974</v>
      </c>
      <c r="R88" s="82">
        <f t="shared" si="79"/>
        <v>76</v>
      </c>
      <c r="S88" s="83">
        <f t="shared" si="1"/>
        <v>16050</v>
      </c>
      <c r="T88" s="21">
        <v>42818</v>
      </c>
      <c r="U88" s="15">
        <v>487</v>
      </c>
      <c r="V88" s="15">
        <v>38</v>
      </c>
      <c r="W88" s="15">
        <v>487</v>
      </c>
      <c r="X88" s="15">
        <v>38</v>
      </c>
    </row>
    <row r="89" spans="1:24" x14ac:dyDescent="0.25">
      <c r="A89" s="99"/>
      <c r="B89" s="99"/>
      <c r="C89" s="100"/>
      <c r="D89" s="101"/>
      <c r="E89" s="119"/>
      <c r="F89" s="102"/>
      <c r="G89" s="100"/>
      <c r="H89" s="100"/>
      <c r="I89" s="100"/>
      <c r="J89" s="103"/>
      <c r="K89" s="103"/>
      <c r="L89" s="104"/>
      <c r="M89" s="76" t="s">
        <v>143</v>
      </c>
      <c r="N89" s="81">
        <v>2263</v>
      </c>
      <c r="O89" s="81">
        <v>300</v>
      </c>
      <c r="P89" s="81">
        <v>2309</v>
      </c>
      <c r="Q89" s="82">
        <f t="shared" si="79"/>
        <v>974</v>
      </c>
      <c r="R89" s="82">
        <f t="shared" si="79"/>
        <v>76</v>
      </c>
      <c r="S89" s="83">
        <f t="shared" si="1"/>
        <v>12750</v>
      </c>
      <c r="T89" s="21">
        <v>42873</v>
      </c>
      <c r="U89" s="15">
        <v>487</v>
      </c>
      <c r="V89" s="15">
        <v>38</v>
      </c>
      <c r="W89" s="15">
        <v>487</v>
      </c>
      <c r="X89" s="15">
        <v>38</v>
      </c>
    </row>
    <row r="90" spans="1:24" x14ac:dyDescent="0.25">
      <c r="A90" s="99"/>
      <c r="B90" s="99"/>
      <c r="C90" s="100"/>
      <c r="D90" s="101"/>
      <c r="E90" s="119"/>
      <c r="F90" s="102"/>
      <c r="G90" s="100"/>
      <c r="H90" s="93"/>
      <c r="I90" s="93"/>
      <c r="J90" s="103"/>
      <c r="K90" s="103"/>
      <c r="L90" s="104"/>
      <c r="M90" s="76" t="s">
        <v>143</v>
      </c>
      <c r="N90" s="81">
        <v>2380</v>
      </c>
      <c r="O90" s="81">
        <v>300</v>
      </c>
      <c r="P90" s="81">
        <v>2406</v>
      </c>
      <c r="Q90" s="82">
        <f t="shared" ref="Q90" si="95">U90+W90</f>
        <v>974</v>
      </c>
      <c r="R90" s="82">
        <f t="shared" ref="R90" si="96">V90+X90</f>
        <v>76</v>
      </c>
      <c r="S90" s="83">
        <f t="shared" ref="S90" si="97">(P90-N90)*O90-R90-Q90</f>
        <v>6750</v>
      </c>
      <c r="T90" s="21">
        <v>42878</v>
      </c>
      <c r="U90" s="15">
        <v>487</v>
      </c>
      <c r="V90" s="15">
        <v>38</v>
      </c>
      <c r="W90" s="15">
        <v>487</v>
      </c>
      <c r="X90" s="15">
        <v>38</v>
      </c>
    </row>
    <row r="91" spans="1:24" x14ac:dyDescent="0.25">
      <c r="A91" s="99"/>
      <c r="B91" s="99"/>
      <c r="C91" s="100"/>
      <c r="D91" s="101"/>
      <c r="E91" s="119"/>
      <c r="F91" s="102"/>
      <c r="G91" s="100"/>
      <c r="H91" s="93"/>
      <c r="I91" s="93"/>
      <c r="J91" s="103"/>
      <c r="K91" s="103"/>
      <c r="L91" s="104"/>
      <c r="M91" s="76" t="s">
        <v>143</v>
      </c>
      <c r="N91" s="81">
        <v>2305</v>
      </c>
      <c r="O91" s="81">
        <v>300</v>
      </c>
      <c r="P91" s="81">
        <v>2319</v>
      </c>
      <c r="Q91" s="82">
        <f t="shared" ref="Q91" si="98">U91+W91</f>
        <v>974</v>
      </c>
      <c r="R91" s="82">
        <f t="shared" ref="R91" si="99">V91+X91</f>
        <v>76</v>
      </c>
      <c r="S91" s="83">
        <f t="shared" ref="S91" si="100">(P91-N91)*O91-R91-Q91</f>
        <v>3150</v>
      </c>
      <c r="T91" s="21">
        <v>42879</v>
      </c>
      <c r="U91" s="15">
        <v>487</v>
      </c>
      <c r="V91" s="15">
        <v>38</v>
      </c>
      <c r="W91" s="15">
        <v>487</v>
      </c>
      <c r="X91" s="15">
        <v>38</v>
      </c>
    </row>
    <row r="92" spans="1:24" x14ac:dyDescent="0.25">
      <c r="A92" s="99"/>
      <c r="B92" s="99"/>
      <c r="C92" s="100"/>
      <c r="D92" s="101"/>
      <c r="E92" s="119"/>
      <c r="F92" s="102"/>
      <c r="G92" s="100"/>
      <c r="H92" s="93"/>
      <c r="I92" s="93"/>
      <c r="J92" s="103"/>
      <c r="K92" s="103"/>
      <c r="L92" s="104"/>
      <c r="M92" s="80" t="s">
        <v>146</v>
      </c>
      <c r="N92" s="81">
        <v>2306</v>
      </c>
      <c r="O92" s="81">
        <v>100</v>
      </c>
      <c r="P92" s="81">
        <v>2315</v>
      </c>
      <c r="Q92" s="82">
        <f t="shared" ref="Q92" si="101">U92+W92</f>
        <v>500</v>
      </c>
      <c r="R92" s="82">
        <f t="shared" ref="R92" si="102">V92+X92</f>
        <v>40</v>
      </c>
      <c r="S92" s="83">
        <f t="shared" ref="S92" si="103">(P92-N92)*O92-R92-Q92</f>
        <v>360</v>
      </c>
      <c r="T92" s="21">
        <v>42879</v>
      </c>
      <c r="U92" s="15">
        <v>250</v>
      </c>
      <c r="V92" s="15">
        <v>20</v>
      </c>
      <c r="W92" s="15">
        <v>250</v>
      </c>
      <c r="X92" s="15">
        <v>20</v>
      </c>
    </row>
    <row r="93" spans="1:24" x14ac:dyDescent="0.25">
      <c r="A93" s="99"/>
      <c r="B93" s="99"/>
      <c r="C93" s="100"/>
      <c r="D93" s="101"/>
      <c r="E93" s="119"/>
      <c r="F93" s="102"/>
      <c r="G93" s="100"/>
      <c r="H93" s="93"/>
      <c r="I93" s="93"/>
      <c r="J93" s="103"/>
      <c r="K93" s="103"/>
      <c r="L93" s="104"/>
      <c r="M93" s="76" t="s">
        <v>143</v>
      </c>
      <c r="N93" s="81">
        <v>2287</v>
      </c>
      <c r="O93" s="81">
        <v>500</v>
      </c>
      <c r="P93" s="81">
        <v>2326</v>
      </c>
      <c r="Q93" s="82">
        <f t="shared" ref="Q93" si="104">U93+W93</f>
        <v>1164</v>
      </c>
      <c r="R93" s="82">
        <f t="shared" ref="R93" si="105">V93+X93</f>
        <v>92</v>
      </c>
      <c r="S93" s="83">
        <f t="shared" ref="S93" si="106">(P93-N93)*O93-R93-Q93</f>
        <v>18244</v>
      </c>
      <c r="T93" s="21">
        <v>42880</v>
      </c>
      <c r="U93" s="15">
        <v>582</v>
      </c>
      <c r="V93" s="15">
        <v>46</v>
      </c>
      <c r="W93" s="15">
        <v>582</v>
      </c>
      <c r="X93" s="15">
        <v>46</v>
      </c>
    </row>
    <row r="94" spans="1:24" x14ac:dyDescent="0.25">
      <c r="A94" s="99"/>
      <c r="B94" s="99"/>
      <c r="C94" s="100"/>
      <c r="D94" s="101"/>
      <c r="E94" s="119"/>
      <c r="F94" s="102"/>
      <c r="G94" s="100"/>
      <c r="H94" s="93"/>
      <c r="I94" s="93"/>
      <c r="J94" s="103"/>
      <c r="K94" s="103"/>
      <c r="L94" s="104"/>
      <c r="M94" s="76" t="s">
        <v>143</v>
      </c>
      <c r="N94" s="81">
        <v>2406</v>
      </c>
      <c r="O94" s="81">
        <v>100</v>
      </c>
      <c r="P94" s="81">
        <v>2416</v>
      </c>
      <c r="Q94" s="82">
        <f t="shared" ref="Q94:Q95" si="107">U94+W94</f>
        <v>544</v>
      </c>
      <c r="R94" s="82">
        <f t="shared" ref="R94:R95" si="108">V94+X94</f>
        <v>42</v>
      </c>
      <c r="S94" s="83">
        <f t="shared" ref="S94:S95" si="109">(P94-N94)*O94-R94-Q94</f>
        <v>414</v>
      </c>
      <c r="T94" s="21">
        <v>42886</v>
      </c>
      <c r="U94" s="15">
        <v>272</v>
      </c>
      <c r="V94" s="15">
        <v>21</v>
      </c>
      <c r="W94" s="15">
        <v>272</v>
      </c>
      <c r="X94" s="15">
        <v>21</v>
      </c>
    </row>
    <row r="95" spans="1:24" x14ac:dyDescent="0.25">
      <c r="A95" s="99"/>
      <c r="B95" s="99"/>
      <c r="C95" s="100"/>
      <c r="D95" s="101"/>
      <c r="E95" s="119"/>
      <c r="F95" s="102"/>
      <c r="G95" s="100"/>
      <c r="H95" s="93"/>
      <c r="I95" s="93"/>
      <c r="J95" s="103"/>
      <c r="K95" s="103"/>
      <c r="L95" s="104"/>
      <c r="M95" s="76" t="s">
        <v>143</v>
      </c>
      <c r="N95" s="77">
        <v>2289</v>
      </c>
      <c r="O95" s="77">
        <v>100</v>
      </c>
      <c r="P95" s="77">
        <v>2292</v>
      </c>
      <c r="Q95" s="78">
        <f t="shared" si="107"/>
        <v>544</v>
      </c>
      <c r="R95" s="78">
        <f t="shared" si="108"/>
        <v>42</v>
      </c>
      <c r="S95" s="79">
        <f t="shared" si="109"/>
        <v>-286</v>
      </c>
      <c r="T95" s="21">
        <v>42888</v>
      </c>
      <c r="U95" s="15">
        <v>272</v>
      </c>
      <c r="V95" s="15">
        <v>21</v>
      </c>
      <c r="W95" s="15">
        <v>272</v>
      </c>
      <c r="X95" s="15">
        <v>21</v>
      </c>
    </row>
    <row r="96" spans="1:24" x14ac:dyDescent="0.25">
      <c r="A96" s="99" t="str">
        <f>IPO監視一覧!H13</f>
        <v>A</v>
      </c>
      <c r="B96" s="99" t="str">
        <f>IPO監視一覧!B13</f>
        <v>力の源HD</v>
      </c>
      <c r="C96" s="100">
        <f>IPO監視一覧!G13</f>
        <v>600</v>
      </c>
      <c r="D96" s="101">
        <v>800000</v>
      </c>
      <c r="E96" s="101">
        <v>200000</v>
      </c>
      <c r="F96" s="102">
        <f>IPO監視一覧!T13</f>
        <v>42815</v>
      </c>
      <c r="G96" s="100">
        <f>IPO監視一覧!U13</f>
        <v>2230</v>
      </c>
      <c r="H96" s="93">
        <f>終値履歴!C13</f>
        <v>1982</v>
      </c>
      <c r="I96" s="93">
        <f>参加条件計算!C13</f>
        <v>8000</v>
      </c>
      <c r="J96" s="103">
        <f t="shared" si="86"/>
        <v>129886.54999999999</v>
      </c>
      <c r="K96" s="103">
        <f t="shared" si="77"/>
        <v>-24800</v>
      </c>
      <c r="L96" s="104">
        <f t="shared" ca="1" si="78"/>
        <v>80</v>
      </c>
      <c r="M96" s="76" t="s">
        <v>143</v>
      </c>
      <c r="N96" s="81">
        <v>2981</v>
      </c>
      <c r="O96" s="81">
        <v>200</v>
      </c>
      <c r="P96" s="81">
        <v>3050</v>
      </c>
      <c r="Q96" s="82">
        <f t="shared" si="79"/>
        <v>974</v>
      </c>
      <c r="R96" s="82">
        <f t="shared" si="79"/>
        <v>76</v>
      </c>
      <c r="S96" s="83">
        <f t="shared" si="1"/>
        <v>12750</v>
      </c>
      <c r="T96" s="21">
        <v>42821</v>
      </c>
      <c r="U96" s="15">
        <v>487</v>
      </c>
      <c r="V96" s="15">
        <v>38</v>
      </c>
      <c r="W96" s="15">
        <v>487</v>
      </c>
      <c r="X96" s="15">
        <v>38</v>
      </c>
    </row>
    <row r="97" spans="1:25" x14ac:dyDescent="0.25">
      <c r="A97" s="99"/>
      <c r="B97" s="99"/>
      <c r="C97" s="100"/>
      <c r="D97" s="101"/>
      <c r="E97" s="101"/>
      <c r="F97" s="102"/>
      <c r="G97" s="100"/>
      <c r="H97" s="100"/>
      <c r="I97" s="100"/>
      <c r="J97" s="103"/>
      <c r="K97" s="103"/>
      <c r="L97" s="104"/>
      <c r="M97" s="76" t="s">
        <v>143</v>
      </c>
      <c r="N97" s="81">
        <v>2672</v>
      </c>
      <c r="O97" s="81">
        <v>300</v>
      </c>
      <c r="P97" s="81">
        <v>2735.6669999999999</v>
      </c>
      <c r="Q97" s="82">
        <f t="shared" si="79"/>
        <v>1246</v>
      </c>
      <c r="R97" s="82">
        <f t="shared" si="79"/>
        <v>97</v>
      </c>
      <c r="S97" s="83">
        <f t="shared" si="1"/>
        <v>17757.099999999977</v>
      </c>
      <c r="T97" s="21">
        <v>42822</v>
      </c>
      <c r="U97" s="15">
        <v>759</v>
      </c>
      <c r="V97" s="15">
        <v>59</v>
      </c>
      <c r="W97" s="15">
        <v>487</v>
      </c>
      <c r="X97" s="15">
        <v>38</v>
      </c>
    </row>
    <row r="98" spans="1:25" x14ac:dyDescent="0.25">
      <c r="A98" s="99"/>
      <c r="B98" s="99"/>
      <c r="C98" s="100"/>
      <c r="D98" s="101"/>
      <c r="E98" s="101"/>
      <c r="F98" s="102"/>
      <c r="G98" s="100"/>
      <c r="H98" s="100"/>
      <c r="I98" s="100"/>
      <c r="J98" s="103"/>
      <c r="K98" s="103"/>
      <c r="L98" s="104"/>
      <c r="M98" s="76" t="s">
        <v>143</v>
      </c>
      <c r="N98" s="77">
        <v>2678</v>
      </c>
      <c r="O98" s="77">
        <v>500</v>
      </c>
      <c r="P98" s="77">
        <f>(2200*200+2201*300)/500</f>
        <v>2200.6</v>
      </c>
      <c r="Q98" s="78">
        <f t="shared" si="79"/>
        <v>1436</v>
      </c>
      <c r="R98" s="78">
        <f t="shared" si="79"/>
        <v>113</v>
      </c>
      <c r="S98" s="79">
        <f t="shared" si="1"/>
        <v>-240249.00000000006</v>
      </c>
      <c r="T98" s="21">
        <v>42825</v>
      </c>
      <c r="U98" s="15">
        <v>854</v>
      </c>
      <c r="V98" s="15">
        <v>67</v>
      </c>
      <c r="W98" s="15">
        <v>582</v>
      </c>
      <c r="X98" s="15">
        <v>46</v>
      </c>
    </row>
    <row r="99" spans="1:25" x14ac:dyDescent="0.25">
      <c r="A99" s="99" t="str">
        <f>IPO監視一覧!H14</f>
        <v>A</v>
      </c>
      <c r="B99" s="99" t="str">
        <f>IPO監視一覧!B14</f>
        <v>インターネットインフィニティー</v>
      </c>
      <c r="C99" s="100">
        <f>IPO監視一覧!G14</f>
        <v>1320</v>
      </c>
      <c r="D99" s="101">
        <v>130000</v>
      </c>
      <c r="E99" s="101">
        <v>65000</v>
      </c>
      <c r="F99" s="102">
        <f>IPO監視一覧!T14</f>
        <v>42815</v>
      </c>
      <c r="G99" s="100">
        <f>IPO監視一覧!U14</f>
        <v>5040</v>
      </c>
      <c r="H99" s="93">
        <f>終値履歴!C14</f>
        <v>9130</v>
      </c>
      <c r="I99" s="93">
        <f>参加条件計算!C14</f>
        <v>81200</v>
      </c>
      <c r="J99" s="103">
        <f t="shared" si="86"/>
        <v>296428.19999999995</v>
      </c>
      <c r="K99" s="103">
        <f t="shared" si="77"/>
        <v>325911.64999999997</v>
      </c>
      <c r="L99" s="104">
        <f t="shared" ca="1" si="78"/>
        <v>80</v>
      </c>
      <c r="M99" s="76" t="s">
        <v>143</v>
      </c>
      <c r="N99" s="77">
        <v>5110</v>
      </c>
      <c r="O99" s="77">
        <v>100</v>
      </c>
      <c r="P99" s="77">
        <v>5010</v>
      </c>
      <c r="Q99" s="78">
        <f t="shared" si="79"/>
        <v>974</v>
      </c>
      <c r="R99" s="78">
        <f t="shared" si="79"/>
        <v>76</v>
      </c>
      <c r="S99" s="79">
        <f t="shared" si="1"/>
        <v>-11050</v>
      </c>
      <c r="T99" s="21">
        <v>42818</v>
      </c>
      <c r="U99" s="15">
        <v>487</v>
      </c>
      <c r="V99" s="15">
        <v>38</v>
      </c>
      <c r="W99" s="15">
        <v>487</v>
      </c>
      <c r="X99" s="15">
        <v>38</v>
      </c>
      <c r="Y99" s="113"/>
    </row>
    <row r="100" spans="1:25" x14ac:dyDescent="0.25">
      <c r="A100" s="313" t="str">
        <f>IPO監視一覧!H15</f>
        <v>D</v>
      </c>
      <c r="B100" s="313" t="str">
        <f>IPO監視一覧!B15</f>
        <v>フルテック</v>
      </c>
      <c r="C100" s="316">
        <f>IPO監視一覧!G15</f>
        <v>600</v>
      </c>
      <c r="D100" s="317">
        <v>600000</v>
      </c>
      <c r="E100" s="317">
        <v>519200</v>
      </c>
      <c r="F100" s="318">
        <f>IPO監視一覧!T15</f>
        <v>42816</v>
      </c>
      <c r="G100" s="316">
        <f>IPO監視一覧!U15</f>
        <v>1230</v>
      </c>
      <c r="H100" s="319">
        <f>終値履歴!C15</f>
        <v>1041</v>
      </c>
      <c r="I100" s="319">
        <f>参加条件計算!C15</f>
        <v>7400</v>
      </c>
      <c r="J100" s="320">
        <f t="shared" si="86"/>
        <v>50201.549999999996</v>
      </c>
      <c r="K100" s="320">
        <f t="shared" si="77"/>
        <v>-18900</v>
      </c>
      <c r="L100" s="76">
        <f t="shared" ca="1" si="78"/>
        <v>79</v>
      </c>
      <c r="M100" s="76" t="s">
        <v>143</v>
      </c>
      <c r="N100" s="81">
        <v>1004.6</v>
      </c>
      <c r="O100" s="81">
        <v>300</v>
      </c>
      <c r="P100" s="81">
        <v>1030</v>
      </c>
      <c r="Q100" s="82">
        <f t="shared" si="79"/>
        <v>544</v>
      </c>
      <c r="R100" s="82">
        <f t="shared" si="79"/>
        <v>42</v>
      </c>
      <c r="S100" s="83">
        <f t="shared" si="1"/>
        <v>7033.9999999999927</v>
      </c>
      <c r="T100" s="21">
        <v>42816</v>
      </c>
      <c r="U100" s="15">
        <v>272</v>
      </c>
      <c r="V100" s="15">
        <v>21</v>
      </c>
      <c r="W100" s="15">
        <v>272</v>
      </c>
      <c r="X100" s="15">
        <v>21</v>
      </c>
    </row>
    <row r="101" spans="1:25" x14ac:dyDescent="0.25">
      <c r="A101" s="313" t="str">
        <f>IPO監視一覧!H16</f>
        <v>D</v>
      </c>
      <c r="B101" s="313" t="str">
        <f>IPO監視一覧!B16</f>
        <v>マクロミル</v>
      </c>
      <c r="C101" s="316">
        <f>IPO監視一覧!G16</f>
        <v>1950</v>
      </c>
      <c r="D101" s="317">
        <v>487800</v>
      </c>
      <c r="E101" s="321">
        <v>25017200</v>
      </c>
      <c r="F101" s="318">
        <f>IPO監視一覧!T16</f>
        <v>42816</v>
      </c>
      <c r="G101" s="316">
        <f>IPO監視一覧!U16</f>
        <v>1867</v>
      </c>
      <c r="H101" s="319">
        <f>終値履歴!C16</f>
        <v>2718</v>
      </c>
      <c r="I101" s="319">
        <f>参加条件計算!C16</f>
        <v>536200</v>
      </c>
      <c r="J101" s="320">
        <f>IF((G101-C101)&gt;0,(G101-C101)*100*0.79685,(G101-C101)*100)</f>
        <v>-8300</v>
      </c>
      <c r="K101" s="320">
        <f t="shared" si="77"/>
        <v>67811.934999999998</v>
      </c>
      <c r="L101" s="76">
        <f t="shared" ca="1" si="78"/>
        <v>79</v>
      </c>
      <c r="M101" s="120" t="s">
        <v>58</v>
      </c>
      <c r="N101" s="77">
        <v>1950</v>
      </c>
      <c r="O101" s="77">
        <v>100</v>
      </c>
      <c r="P101" s="77">
        <v>1725</v>
      </c>
      <c r="Q101" s="77">
        <f t="shared" si="79"/>
        <v>1000</v>
      </c>
      <c r="R101" s="77">
        <f t="shared" si="79"/>
        <v>80</v>
      </c>
      <c r="S101" s="79">
        <f t="shared" si="1"/>
        <v>-23580</v>
      </c>
      <c r="T101" s="21">
        <v>42816</v>
      </c>
      <c r="U101" s="15">
        <v>0</v>
      </c>
      <c r="V101" s="15">
        <v>0</v>
      </c>
      <c r="W101" s="15">
        <v>1000</v>
      </c>
      <c r="X101" s="15">
        <v>80</v>
      </c>
      <c r="Y101" s="113"/>
    </row>
    <row r="102" spans="1:25" x14ac:dyDescent="0.25">
      <c r="A102" s="313" t="str">
        <f>IPO監視一覧!H17</f>
        <v>D</v>
      </c>
      <c r="B102" s="313" t="str">
        <f>IPO監視一覧!B17</f>
        <v>グリーンズ</v>
      </c>
      <c r="C102" s="316">
        <f>IPO監視一覧!G17</f>
        <v>1400</v>
      </c>
      <c r="D102" s="317">
        <v>2000000</v>
      </c>
      <c r="E102" s="317">
        <v>2400000</v>
      </c>
      <c r="F102" s="318">
        <f>IPO監視一覧!T17</f>
        <v>42817</v>
      </c>
      <c r="G102" s="316">
        <f>IPO監視一覧!U17</f>
        <v>1521</v>
      </c>
      <c r="H102" s="319">
        <f>終値履歴!C17</f>
        <v>1426</v>
      </c>
      <c r="I102" s="319">
        <f>参加条件計算!C17</f>
        <v>31600</v>
      </c>
      <c r="J102" s="320">
        <f t="shared" ref="J102:J174" si="110">IF((G102-C102)&gt;0,(G102-C102)*100*0.79685,(G102-C102)*100)</f>
        <v>9641.8850000000002</v>
      </c>
      <c r="K102" s="320">
        <f t="shared" si="77"/>
        <v>-9500</v>
      </c>
      <c r="L102" s="76">
        <f ca="1">NETWORKDAYS(F102,TODAY())</f>
        <v>78</v>
      </c>
      <c r="M102" s="120" t="s">
        <v>58</v>
      </c>
      <c r="N102" s="81">
        <v>1400</v>
      </c>
      <c r="O102" s="81">
        <v>100</v>
      </c>
      <c r="P102" s="81">
        <v>1521</v>
      </c>
      <c r="Q102" s="81">
        <f t="shared" si="79"/>
        <v>1000</v>
      </c>
      <c r="R102" s="81">
        <f t="shared" si="79"/>
        <v>80</v>
      </c>
      <c r="S102" s="83">
        <f t="shared" si="1"/>
        <v>11020</v>
      </c>
      <c r="T102" s="21">
        <v>42817</v>
      </c>
      <c r="U102" s="15">
        <v>0</v>
      </c>
      <c r="V102" s="15">
        <v>0</v>
      </c>
      <c r="W102" s="15">
        <v>1000</v>
      </c>
      <c r="X102" s="15">
        <v>80</v>
      </c>
    </row>
    <row r="103" spans="1:25" x14ac:dyDescent="0.25">
      <c r="A103" s="99" t="str">
        <f>IPO監視一覧!H18</f>
        <v>C</v>
      </c>
      <c r="B103" s="99" t="str">
        <f>IPO監視一覧!B18</f>
        <v>オロ</v>
      </c>
      <c r="C103" s="100">
        <f>IPO監視一覧!G18</f>
        <v>2070</v>
      </c>
      <c r="D103" s="101">
        <v>1000000</v>
      </c>
      <c r="E103" s="101">
        <v>0</v>
      </c>
      <c r="F103" s="102">
        <f>IPO監視一覧!T18</f>
        <v>42818</v>
      </c>
      <c r="G103" s="100">
        <f>IPO監視一覧!U18</f>
        <v>4750</v>
      </c>
      <c r="H103" s="93">
        <f>終値履歴!C18</f>
        <v>3145</v>
      </c>
      <c r="I103" s="93">
        <f>参加条件計算!C18</f>
        <v>6100</v>
      </c>
      <c r="J103" s="103">
        <f t="shared" si="110"/>
        <v>213555.8</v>
      </c>
      <c r="K103" s="103">
        <f t="shared" si="77"/>
        <v>-160500</v>
      </c>
      <c r="L103" s="104">
        <f t="shared" ca="1" si="78"/>
        <v>77</v>
      </c>
      <c r="M103" s="76" t="s">
        <v>143</v>
      </c>
      <c r="N103" s="81">
        <v>4110</v>
      </c>
      <c r="O103" s="81">
        <v>100</v>
      </c>
      <c r="P103" s="81">
        <v>4290</v>
      </c>
      <c r="Q103" s="81">
        <f t="shared" si="79"/>
        <v>544</v>
      </c>
      <c r="R103" s="81">
        <f t="shared" si="79"/>
        <v>42</v>
      </c>
      <c r="S103" s="83">
        <f t="shared" si="1"/>
        <v>17414</v>
      </c>
      <c r="T103" s="21">
        <v>42821</v>
      </c>
      <c r="U103" s="15">
        <v>272</v>
      </c>
      <c r="V103" s="15">
        <v>21</v>
      </c>
      <c r="W103" s="15">
        <v>272</v>
      </c>
      <c r="X103" s="15">
        <v>21</v>
      </c>
    </row>
    <row r="104" spans="1:25" x14ac:dyDescent="0.25">
      <c r="A104" s="99"/>
      <c r="B104" s="99"/>
      <c r="C104" s="100"/>
      <c r="D104" s="101"/>
      <c r="E104" s="101"/>
      <c r="F104" s="102"/>
      <c r="G104" s="100"/>
      <c r="H104" s="100"/>
      <c r="I104" s="100"/>
      <c r="J104" s="103"/>
      <c r="K104" s="103"/>
      <c r="L104" s="104"/>
      <c r="M104" s="76" t="s">
        <v>143</v>
      </c>
      <c r="N104" s="81">
        <v>3720</v>
      </c>
      <c r="O104" s="81">
        <v>200</v>
      </c>
      <c r="P104" s="81">
        <v>3730</v>
      </c>
      <c r="Q104" s="81">
        <f t="shared" si="79"/>
        <v>974</v>
      </c>
      <c r="R104" s="81">
        <f t="shared" si="79"/>
        <v>76</v>
      </c>
      <c r="S104" s="83">
        <f t="shared" si="1"/>
        <v>950</v>
      </c>
      <c r="T104" s="21">
        <v>42823</v>
      </c>
      <c r="U104" s="15">
        <v>487</v>
      </c>
      <c r="V104" s="15">
        <v>38</v>
      </c>
      <c r="W104" s="15">
        <v>487</v>
      </c>
      <c r="X104" s="15">
        <v>38</v>
      </c>
    </row>
    <row r="105" spans="1:25" x14ac:dyDescent="0.25">
      <c r="A105" s="99" t="str">
        <f>IPO監視一覧!H19</f>
        <v>D</v>
      </c>
      <c r="B105" s="99" t="str">
        <f>IPO監視一覧!B19</f>
        <v>ソレイジア・ファーマ</v>
      </c>
      <c r="C105" s="100">
        <f>IPO監視一覧!G19</f>
        <v>185</v>
      </c>
      <c r="D105" s="101">
        <v>19437500</v>
      </c>
      <c r="E105" s="101">
        <v>0</v>
      </c>
      <c r="F105" s="102">
        <f>IPO監視一覧!T19</f>
        <v>42818</v>
      </c>
      <c r="G105" s="100">
        <f>IPO監視一覧!U19</f>
        <v>234</v>
      </c>
      <c r="H105" s="93">
        <f>終値履歴!C19</f>
        <v>401</v>
      </c>
      <c r="I105" s="93">
        <f>参加条件計算!C19</f>
        <v>56492100</v>
      </c>
      <c r="J105" s="103">
        <f t="shared" si="110"/>
        <v>3904.5649999999996</v>
      </c>
      <c r="K105" s="103">
        <f>IF((H105-G105)&gt;0,(H105-G105)*100*0.79685,(H105-G105)*100)</f>
        <v>13307.394999999999</v>
      </c>
      <c r="L105" s="104">
        <f t="shared" ca="1" si="78"/>
        <v>77</v>
      </c>
      <c r="M105" s="76" t="s">
        <v>143</v>
      </c>
      <c r="N105" s="81">
        <v>273</v>
      </c>
      <c r="O105" s="81">
        <v>2000</v>
      </c>
      <c r="P105" s="81">
        <v>280</v>
      </c>
      <c r="Q105" s="81">
        <f t="shared" si="79"/>
        <v>949</v>
      </c>
      <c r="R105" s="81">
        <f t="shared" si="79"/>
        <v>74</v>
      </c>
      <c r="S105" s="83">
        <f t="shared" si="1"/>
        <v>12977</v>
      </c>
      <c r="T105" s="21">
        <v>42818</v>
      </c>
      <c r="U105" s="15">
        <v>487</v>
      </c>
      <c r="V105" s="15">
        <v>38</v>
      </c>
      <c r="W105" s="15">
        <v>462</v>
      </c>
      <c r="X105" s="15">
        <v>36</v>
      </c>
    </row>
    <row r="106" spans="1:25" x14ac:dyDescent="0.25">
      <c r="A106" s="99"/>
      <c r="B106" s="99"/>
      <c r="C106" s="100"/>
      <c r="D106" s="101"/>
      <c r="E106" s="101"/>
      <c r="F106" s="102"/>
      <c r="G106" s="100"/>
      <c r="H106" s="100"/>
      <c r="I106" s="100"/>
      <c r="J106" s="103"/>
      <c r="K106" s="103"/>
      <c r="L106" s="104"/>
      <c r="M106" s="76" t="s">
        <v>143</v>
      </c>
      <c r="N106" s="77">
        <v>256</v>
      </c>
      <c r="O106" s="77">
        <v>2000</v>
      </c>
      <c r="P106" s="77">
        <v>231</v>
      </c>
      <c r="Q106" s="77">
        <f t="shared" si="79"/>
        <v>759</v>
      </c>
      <c r="R106" s="77">
        <f t="shared" si="79"/>
        <v>59</v>
      </c>
      <c r="S106" s="79">
        <f t="shared" si="1"/>
        <v>-50818</v>
      </c>
      <c r="T106" s="21">
        <v>42821</v>
      </c>
      <c r="U106" s="15">
        <v>487</v>
      </c>
      <c r="V106" s="15">
        <v>38</v>
      </c>
      <c r="W106" s="15">
        <v>272</v>
      </c>
      <c r="X106" s="15">
        <v>21</v>
      </c>
      <c r="Y106" s="113"/>
    </row>
    <row r="107" spans="1:25" x14ac:dyDescent="0.25">
      <c r="A107" s="99"/>
      <c r="B107" s="99"/>
      <c r="C107" s="100"/>
      <c r="D107" s="101"/>
      <c r="E107" s="101"/>
      <c r="F107" s="102"/>
      <c r="G107" s="100"/>
      <c r="H107" s="100"/>
      <c r="I107" s="100"/>
      <c r="J107" s="103"/>
      <c r="K107" s="103"/>
      <c r="L107" s="104"/>
      <c r="M107" s="76" t="s">
        <v>143</v>
      </c>
      <c r="N107" s="81">
        <v>320</v>
      </c>
      <c r="O107" s="81">
        <v>2000</v>
      </c>
      <c r="P107" s="81">
        <v>321</v>
      </c>
      <c r="Q107" s="81">
        <f t="shared" si="79"/>
        <v>974</v>
      </c>
      <c r="R107" s="81">
        <f t="shared" si="79"/>
        <v>76</v>
      </c>
      <c r="S107" s="83">
        <f t="shared" si="1"/>
        <v>950</v>
      </c>
      <c r="T107" s="21">
        <v>42832</v>
      </c>
      <c r="U107" s="15">
        <v>487</v>
      </c>
      <c r="V107" s="15">
        <v>38</v>
      </c>
      <c r="W107" s="15">
        <v>487</v>
      </c>
      <c r="X107" s="15">
        <v>38</v>
      </c>
      <c r="Y107" s="113"/>
    </row>
    <row r="108" spans="1:25" x14ac:dyDescent="0.25">
      <c r="A108" s="99"/>
      <c r="B108" s="99"/>
      <c r="C108" s="100"/>
      <c r="D108" s="101"/>
      <c r="E108" s="101"/>
      <c r="F108" s="102"/>
      <c r="G108" s="100"/>
      <c r="H108" s="100"/>
      <c r="I108" s="100"/>
      <c r="J108" s="103"/>
      <c r="K108" s="103"/>
      <c r="L108" s="104"/>
      <c r="M108" s="76" t="s">
        <v>143</v>
      </c>
      <c r="N108" s="81">
        <v>386</v>
      </c>
      <c r="O108" s="81">
        <v>2000</v>
      </c>
      <c r="P108" s="81">
        <v>388</v>
      </c>
      <c r="Q108" s="81">
        <f t="shared" si="79"/>
        <v>974</v>
      </c>
      <c r="R108" s="81">
        <f t="shared" si="79"/>
        <v>76</v>
      </c>
      <c r="S108" s="83">
        <f t="shared" si="1"/>
        <v>2950</v>
      </c>
      <c r="T108" s="21">
        <v>42836</v>
      </c>
      <c r="U108" s="15">
        <v>487</v>
      </c>
      <c r="V108" s="15">
        <v>38</v>
      </c>
      <c r="W108" s="15">
        <v>487</v>
      </c>
      <c r="X108" s="15">
        <v>38</v>
      </c>
      <c r="Y108" s="113"/>
    </row>
    <row r="109" spans="1:25" x14ac:dyDescent="0.25">
      <c r="A109" s="99"/>
      <c r="B109" s="99"/>
      <c r="C109" s="100"/>
      <c r="D109" s="101"/>
      <c r="E109" s="101"/>
      <c r="F109" s="102"/>
      <c r="G109" s="100"/>
      <c r="H109" s="100"/>
      <c r="I109" s="100"/>
      <c r="J109" s="103"/>
      <c r="K109" s="103"/>
      <c r="L109" s="104"/>
      <c r="M109" s="76" t="s">
        <v>143</v>
      </c>
      <c r="N109" s="81">
        <v>402</v>
      </c>
      <c r="O109" s="81">
        <v>2000</v>
      </c>
      <c r="P109" s="81">
        <v>405</v>
      </c>
      <c r="Q109" s="81">
        <f t="shared" si="79"/>
        <v>974</v>
      </c>
      <c r="R109" s="81">
        <f t="shared" si="79"/>
        <v>76</v>
      </c>
      <c r="S109" s="83">
        <f t="shared" si="1"/>
        <v>4950</v>
      </c>
      <c r="T109" s="21">
        <v>42837</v>
      </c>
      <c r="U109" s="15">
        <v>487</v>
      </c>
      <c r="V109" s="15">
        <v>38</v>
      </c>
      <c r="W109" s="15">
        <v>487</v>
      </c>
      <c r="X109" s="15">
        <v>38</v>
      </c>
      <c r="Y109" s="113"/>
    </row>
    <row r="110" spans="1:25" x14ac:dyDescent="0.25">
      <c r="A110" s="99"/>
      <c r="B110" s="99"/>
      <c r="C110" s="100"/>
      <c r="D110" s="101"/>
      <c r="E110" s="101"/>
      <c r="F110" s="102"/>
      <c r="G110" s="100"/>
      <c r="H110" s="100"/>
      <c r="I110" s="100"/>
      <c r="J110" s="103"/>
      <c r="K110" s="103"/>
      <c r="L110" s="104"/>
      <c r="M110" s="76" t="s">
        <v>143</v>
      </c>
      <c r="N110" s="81">
        <v>378</v>
      </c>
      <c r="O110" s="81">
        <v>2000</v>
      </c>
      <c r="P110" s="81">
        <v>384</v>
      </c>
      <c r="Q110" s="81">
        <f t="shared" si="79"/>
        <v>974</v>
      </c>
      <c r="R110" s="81">
        <f t="shared" si="79"/>
        <v>76</v>
      </c>
      <c r="S110" s="83">
        <f t="shared" si="1"/>
        <v>10950</v>
      </c>
      <c r="T110" s="21">
        <v>42838</v>
      </c>
      <c r="U110" s="15">
        <v>487</v>
      </c>
      <c r="V110" s="15">
        <v>38</v>
      </c>
      <c r="W110" s="15">
        <v>487</v>
      </c>
      <c r="X110" s="15">
        <v>38</v>
      </c>
      <c r="Y110" s="113"/>
    </row>
    <row r="111" spans="1:25" x14ac:dyDescent="0.25">
      <c r="A111" s="99"/>
      <c r="B111" s="99"/>
      <c r="C111" s="100"/>
      <c r="D111" s="101"/>
      <c r="E111" s="101"/>
      <c r="F111" s="102"/>
      <c r="G111" s="100"/>
      <c r="H111" s="100"/>
      <c r="I111" s="100"/>
      <c r="J111" s="103"/>
      <c r="K111" s="103"/>
      <c r="L111" s="104"/>
      <c r="M111" s="76" t="s">
        <v>143</v>
      </c>
      <c r="N111" s="81">
        <v>407</v>
      </c>
      <c r="O111" s="81">
        <v>2000</v>
      </c>
      <c r="P111" s="81">
        <v>417</v>
      </c>
      <c r="Q111" s="81">
        <f t="shared" si="79"/>
        <v>974</v>
      </c>
      <c r="R111" s="81">
        <f t="shared" si="79"/>
        <v>76</v>
      </c>
      <c r="S111" s="83">
        <f t="shared" si="1"/>
        <v>18950</v>
      </c>
      <c r="T111" s="21">
        <v>42839</v>
      </c>
      <c r="U111" s="15">
        <v>487</v>
      </c>
      <c r="V111" s="15">
        <v>38</v>
      </c>
      <c r="W111" s="15">
        <v>487</v>
      </c>
      <c r="X111" s="15">
        <v>38</v>
      </c>
      <c r="Y111" s="113"/>
    </row>
    <row r="112" spans="1:25" x14ac:dyDescent="0.25">
      <c r="A112" s="99"/>
      <c r="B112" s="99"/>
      <c r="C112" s="100"/>
      <c r="D112" s="101"/>
      <c r="E112" s="101"/>
      <c r="F112" s="102"/>
      <c r="G112" s="100"/>
      <c r="H112" s="100"/>
      <c r="I112" s="100"/>
      <c r="J112" s="103"/>
      <c r="K112" s="103"/>
      <c r="L112" s="104"/>
      <c r="M112" s="76" t="s">
        <v>143</v>
      </c>
      <c r="N112" s="81">
        <v>434</v>
      </c>
      <c r="O112" s="81">
        <v>2000</v>
      </c>
      <c r="P112" s="81">
        <v>437</v>
      </c>
      <c r="Q112" s="81">
        <f t="shared" si="79"/>
        <v>974</v>
      </c>
      <c r="R112" s="81">
        <f t="shared" si="79"/>
        <v>76</v>
      </c>
      <c r="S112" s="83">
        <f t="shared" si="1"/>
        <v>4950</v>
      </c>
      <c r="T112" s="21">
        <v>42843</v>
      </c>
      <c r="U112" s="15">
        <v>487</v>
      </c>
      <c r="V112" s="15">
        <v>38</v>
      </c>
      <c r="W112" s="15">
        <v>487</v>
      </c>
      <c r="X112" s="15">
        <v>38</v>
      </c>
      <c r="Y112" s="113"/>
    </row>
    <row r="113" spans="1:25" x14ac:dyDescent="0.25">
      <c r="A113" s="99"/>
      <c r="B113" s="99"/>
      <c r="C113" s="100"/>
      <c r="D113" s="101"/>
      <c r="E113" s="101"/>
      <c r="F113" s="102"/>
      <c r="G113" s="100"/>
      <c r="H113" s="100"/>
      <c r="I113" s="100"/>
      <c r="J113" s="103"/>
      <c r="K113" s="103"/>
      <c r="L113" s="104"/>
      <c r="M113" s="76" t="s">
        <v>143</v>
      </c>
      <c r="N113" s="81">
        <v>532</v>
      </c>
      <c r="O113" s="81">
        <v>600</v>
      </c>
      <c r="P113" s="81">
        <v>539</v>
      </c>
      <c r="Q113" s="81">
        <f t="shared" si="79"/>
        <v>544</v>
      </c>
      <c r="R113" s="81">
        <f t="shared" si="79"/>
        <v>42</v>
      </c>
      <c r="S113" s="83">
        <f t="shared" si="1"/>
        <v>3614</v>
      </c>
      <c r="T113" s="21">
        <v>42844</v>
      </c>
      <c r="U113" s="15">
        <v>272</v>
      </c>
      <c r="V113" s="15">
        <v>21</v>
      </c>
      <c r="W113" s="15">
        <v>272</v>
      </c>
      <c r="X113" s="15">
        <v>21</v>
      </c>
      <c r="Y113" s="113"/>
    </row>
    <row r="114" spans="1:25" x14ac:dyDescent="0.25">
      <c r="A114" s="99"/>
      <c r="B114" s="99"/>
      <c r="C114" s="100"/>
      <c r="D114" s="101"/>
      <c r="E114" s="101"/>
      <c r="F114" s="102"/>
      <c r="G114" s="100"/>
      <c r="H114" s="100"/>
      <c r="I114" s="100"/>
      <c r="J114" s="103"/>
      <c r="K114" s="103"/>
      <c r="L114" s="104"/>
      <c r="M114" s="80" t="s">
        <v>146</v>
      </c>
      <c r="N114" s="81">
        <v>615</v>
      </c>
      <c r="O114" s="81">
        <v>500</v>
      </c>
      <c r="P114" s="81">
        <v>626</v>
      </c>
      <c r="Q114" s="81">
        <f t="shared" si="79"/>
        <v>700</v>
      </c>
      <c r="R114" s="81">
        <f t="shared" si="79"/>
        <v>56</v>
      </c>
      <c r="S114" s="83">
        <f t="shared" si="1"/>
        <v>4744</v>
      </c>
      <c r="T114" s="21">
        <v>42845</v>
      </c>
      <c r="U114" s="15">
        <v>350</v>
      </c>
      <c r="V114" s="15">
        <v>28</v>
      </c>
      <c r="W114" s="15">
        <v>350</v>
      </c>
      <c r="X114" s="15">
        <v>28</v>
      </c>
      <c r="Y114" s="113"/>
    </row>
    <row r="115" spans="1:25" x14ac:dyDescent="0.25">
      <c r="A115" s="99"/>
      <c r="B115" s="99"/>
      <c r="C115" s="100"/>
      <c r="D115" s="101"/>
      <c r="E115" s="101"/>
      <c r="F115" s="102"/>
      <c r="G115" s="100"/>
      <c r="H115" s="100"/>
      <c r="I115" s="100"/>
      <c r="J115" s="103"/>
      <c r="K115" s="103"/>
      <c r="L115" s="104"/>
      <c r="M115" s="76" t="s">
        <v>143</v>
      </c>
      <c r="N115" s="81">
        <v>602</v>
      </c>
      <c r="O115" s="81">
        <v>2500</v>
      </c>
      <c r="P115" s="81">
        <v>618.4</v>
      </c>
      <c r="Q115" s="81">
        <f t="shared" si="79"/>
        <v>1708</v>
      </c>
      <c r="R115" s="81">
        <f t="shared" si="79"/>
        <v>134</v>
      </c>
      <c r="S115" s="83">
        <f t="shared" si="1"/>
        <v>39157.999999999942</v>
      </c>
      <c r="T115" s="21">
        <v>42845</v>
      </c>
      <c r="U115" s="15">
        <v>854</v>
      </c>
      <c r="V115" s="15">
        <v>67</v>
      </c>
      <c r="W115" s="15">
        <v>854</v>
      </c>
      <c r="X115" s="15">
        <v>67</v>
      </c>
      <c r="Y115" s="113"/>
    </row>
    <row r="116" spans="1:25" x14ac:dyDescent="0.25">
      <c r="A116" s="99"/>
      <c r="B116" s="99"/>
      <c r="C116" s="100"/>
      <c r="D116" s="101"/>
      <c r="E116" s="101"/>
      <c r="F116" s="102"/>
      <c r="G116" s="100"/>
      <c r="H116" s="100"/>
      <c r="I116" s="100"/>
      <c r="J116" s="103"/>
      <c r="K116" s="103"/>
      <c r="L116" s="104"/>
      <c r="M116" s="76" t="s">
        <v>143</v>
      </c>
      <c r="N116" s="81">
        <v>592.70000000000005</v>
      </c>
      <c r="O116" s="81">
        <v>2500</v>
      </c>
      <c r="P116" s="81">
        <v>606.79999999999995</v>
      </c>
      <c r="Q116" s="81">
        <f t="shared" si="79"/>
        <v>1923</v>
      </c>
      <c r="R116" s="81">
        <f t="shared" si="79"/>
        <v>150</v>
      </c>
      <c r="S116" s="83">
        <f t="shared" si="1"/>
        <v>33176.999999999774</v>
      </c>
      <c r="T116" s="21">
        <v>42846</v>
      </c>
      <c r="U116" s="15">
        <v>974</v>
      </c>
      <c r="V116" s="15">
        <v>76</v>
      </c>
      <c r="W116" s="15">
        <v>949</v>
      </c>
      <c r="X116" s="15">
        <v>74</v>
      </c>
      <c r="Y116" s="113"/>
    </row>
    <row r="117" spans="1:25" x14ac:dyDescent="0.25">
      <c r="A117" s="99"/>
      <c r="B117" s="99"/>
      <c r="C117" s="100"/>
      <c r="D117" s="101"/>
      <c r="E117" s="101"/>
      <c r="F117" s="102"/>
      <c r="G117" s="100"/>
      <c r="H117" s="100"/>
      <c r="I117" s="100"/>
      <c r="J117" s="103"/>
      <c r="K117" s="103"/>
      <c r="L117" s="104"/>
      <c r="M117" s="76" t="s">
        <v>143</v>
      </c>
      <c r="N117" s="81">
        <v>513</v>
      </c>
      <c r="O117" s="81">
        <v>1200</v>
      </c>
      <c r="P117" s="81">
        <v>523</v>
      </c>
      <c r="Q117" s="81">
        <f t="shared" si="79"/>
        <v>974</v>
      </c>
      <c r="R117" s="81">
        <f t="shared" si="79"/>
        <v>76</v>
      </c>
      <c r="S117" s="83">
        <f t="shared" si="1"/>
        <v>10950</v>
      </c>
      <c r="T117" s="21">
        <v>42850</v>
      </c>
      <c r="U117" s="15">
        <v>487</v>
      </c>
      <c r="V117" s="15">
        <v>38</v>
      </c>
      <c r="W117" s="15">
        <v>487</v>
      </c>
      <c r="X117" s="15">
        <v>38</v>
      </c>
      <c r="Y117" s="113"/>
    </row>
    <row r="118" spans="1:25" x14ac:dyDescent="0.25">
      <c r="A118" s="99"/>
      <c r="B118" s="99"/>
      <c r="C118" s="100"/>
      <c r="D118" s="101"/>
      <c r="E118" s="101"/>
      <c r="F118" s="102"/>
      <c r="G118" s="100"/>
      <c r="H118" s="100"/>
      <c r="I118" s="100"/>
      <c r="J118" s="103"/>
      <c r="K118" s="103"/>
      <c r="L118" s="104"/>
      <c r="M118" s="76" t="s">
        <v>143</v>
      </c>
      <c r="N118" s="81">
        <v>486</v>
      </c>
      <c r="O118" s="81">
        <v>2000</v>
      </c>
      <c r="P118" s="81">
        <v>492</v>
      </c>
      <c r="Q118" s="81">
        <f t="shared" si="79"/>
        <v>974</v>
      </c>
      <c r="R118" s="81">
        <f t="shared" si="79"/>
        <v>76</v>
      </c>
      <c r="S118" s="83">
        <f t="shared" si="1"/>
        <v>10950</v>
      </c>
      <c r="T118" s="21">
        <v>42850</v>
      </c>
      <c r="U118" s="15">
        <v>487</v>
      </c>
      <c r="V118" s="15">
        <v>38</v>
      </c>
      <c r="W118" s="15">
        <v>487</v>
      </c>
      <c r="X118" s="15">
        <v>38</v>
      </c>
      <c r="Y118" s="113"/>
    </row>
    <row r="119" spans="1:25" x14ac:dyDescent="0.25">
      <c r="A119" s="99"/>
      <c r="B119" s="99"/>
      <c r="C119" s="100"/>
      <c r="D119" s="101"/>
      <c r="E119" s="101"/>
      <c r="F119" s="102"/>
      <c r="G119" s="100"/>
      <c r="H119" s="100"/>
      <c r="I119" s="100"/>
      <c r="J119" s="103"/>
      <c r="K119" s="103"/>
      <c r="L119" s="104"/>
      <c r="M119" s="80" t="s">
        <v>146</v>
      </c>
      <c r="N119" s="81">
        <v>620</v>
      </c>
      <c r="O119" s="81">
        <v>400</v>
      </c>
      <c r="P119" s="81">
        <v>631</v>
      </c>
      <c r="Q119" s="81">
        <f t="shared" si="79"/>
        <v>500</v>
      </c>
      <c r="R119" s="81">
        <f t="shared" si="79"/>
        <v>40</v>
      </c>
      <c r="S119" s="83">
        <f t="shared" si="1"/>
        <v>3860</v>
      </c>
      <c r="T119" s="21">
        <v>42864</v>
      </c>
      <c r="U119" s="15">
        <v>250</v>
      </c>
      <c r="V119" s="15">
        <v>20</v>
      </c>
      <c r="W119" s="15">
        <v>250</v>
      </c>
      <c r="X119" s="15">
        <v>20</v>
      </c>
      <c r="Y119" s="113"/>
    </row>
    <row r="120" spans="1:25" x14ac:dyDescent="0.25">
      <c r="A120" s="99"/>
      <c r="B120" s="99"/>
      <c r="C120" s="100"/>
      <c r="D120" s="101"/>
      <c r="E120" s="101"/>
      <c r="F120" s="102"/>
      <c r="G120" s="100"/>
      <c r="H120" s="100"/>
      <c r="I120" s="100"/>
      <c r="J120" s="103"/>
      <c r="K120" s="103"/>
      <c r="L120" s="104"/>
      <c r="M120" s="76" t="s">
        <v>143</v>
      </c>
      <c r="N120" s="81">
        <v>558</v>
      </c>
      <c r="O120" s="81">
        <v>900</v>
      </c>
      <c r="P120" s="81">
        <v>580</v>
      </c>
      <c r="Q120" s="81">
        <f t="shared" si="79"/>
        <v>949</v>
      </c>
      <c r="R120" s="81">
        <f t="shared" si="79"/>
        <v>74</v>
      </c>
      <c r="S120" s="83">
        <f t="shared" si="1"/>
        <v>18777</v>
      </c>
      <c r="T120" s="21">
        <v>42864</v>
      </c>
      <c r="U120" s="15">
        <v>462</v>
      </c>
      <c r="V120" s="15">
        <v>36</v>
      </c>
      <c r="W120" s="15">
        <v>487</v>
      </c>
      <c r="X120" s="15">
        <v>38</v>
      </c>
      <c r="Y120" s="113"/>
    </row>
    <row r="121" spans="1:25" x14ac:dyDescent="0.25">
      <c r="A121" s="99"/>
      <c r="B121" s="99"/>
      <c r="C121" s="100"/>
      <c r="D121" s="101"/>
      <c r="E121" s="101"/>
      <c r="F121" s="102"/>
      <c r="G121" s="100"/>
      <c r="H121" s="100"/>
      <c r="I121" s="100"/>
      <c r="J121" s="103"/>
      <c r="K121" s="103"/>
      <c r="L121" s="104"/>
      <c r="M121" s="76" t="s">
        <v>143</v>
      </c>
      <c r="N121" s="77">
        <v>599</v>
      </c>
      <c r="O121" s="77">
        <v>2000</v>
      </c>
      <c r="P121" s="77">
        <v>580</v>
      </c>
      <c r="Q121" s="77">
        <f t="shared" si="79"/>
        <v>1164</v>
      </c>
      <c r="R121" s="77">
        <f t="shared" si="79"/>
        <v>92</v>
      </c>
      <c r="S121" s="79">
        <f t="shared" si="1"/>
        <v>-39256</v>
      </c>
      <c r="T121" s="21">
        <v>42866</v>
      </c>
      <c r="U121" s="15">
        <v>582</v>
      </c>
      <c r="V121" s="15">
        <v>46</v>
      </c>
      <c r="W121" s="15">
        <v>582</v>
      </c>
      <c r="X121" s="15">
        <v>46</v>
      </c>
      <c r="Y121" s="113"/>
    </row>
    <row r="122" spans="1:25" x14ac:dyDescent="0.25">
      <c r="A122" s="99"/>
      <c r="B122" s="99"/>
      <c r="C122" s="100"/>
      <c r="D122" s="101"/>
      <c r="E122" s="101"/>
      <c r="F122" s="102"/>
      <c r="G122" s="100"/>
      <c r="H122" s="100"/>
      <c r="I122" s="100"/>
      <c r="J122" s="103"/>
      <c r="K122" s="103"/>
      <c r="L122" s="104"/>
      <c r="M122" s="76" t="s">
        <v>143</v>
      </c>
      <c r="N122" s="77">
        <v>575</v>
      </c>
      <c r="O122" s="77">
        <v>1000</v>
      </c>
      <c r="P122" s="77">
        <v>551</v>
      </c>
      <c r="Q122" s="77">
        <f t="shared" si="79"/>
        <v>924</v>
      </c>
      <c r="R122" s="77">
        <f t="shared" si="79"/>
        <v>72</v>
      </c>
      <c r="S122" s="79">
        <f t="shared" si="1"/>
        <v>-24996</v>
      </c>
      <c r="T122" s="21">
        <v>42867</v>
      </c>
      <c r="U122" s="15">
        <v>462</v>
      </c>
      <c r="V122" s="15">
        <v>36</v>
      </c>
      <c r="W122" s="15">
        <v>462</v>
      </c>
      <c r="X122" s="15">
        <v>36</v>
      </c>
      <c r="Y122" s="113"/>
    </row>
    <row r="123" spans="1:25" x14ac:dyDescent="0.25">
      <c r="A123" s="99"/>
      <c r="B123" s="99"/>
      <c r="C123" s="100"/>
      <c r="D123" s="101"/>
      <c r="E123" s="101"/>
      <c r="F123" s="102"/>
      <c r="G123" s="100"/>
      <c r="H123" s="100"/>
      <c r="I123" s="100"/>
      <c r="J123" s="103"/>
      <c r="K123" s="103"/>
      <c r="L123" s="104"/>
      <c r="M123" s="76" t="s">
        <v>143</v>
      </c>
      <c r="N123" s="81">
        <v>625</v>
      </c>
      <c r="O123" s="81">
        <v>1000</v>
      </c>
      <c r="P123" s="81">
        <v>631</v>
      </c>
      <c r="Q123" s="81">
        <f t="shared" si="79"/>
        <v>974</v>
      </c>
      <c r="R123" s="81">
        <f t="shared" si="79"/>
        <v>76</v>
      </c>
      <c r="S123" s="83">
        <f t="shared" si="1"/>
        <v>4950</v>
      </c>
      <c r="T123" s="21">
        <v>42874</v>
      </c>
      <c r="U123" s="15">
        <v>487</v>
      </c>
      <c r="V123" s="15">
        <v>38</v>
      </c>
      <c r="W123" s="15">
        <v>487</v>
      </c>
      <c r="X123" s="15">
        <v>38</v>
      </c>
      <c r="Y123" s="113"/>
    </row>
    <row r="124" spans="1:25" x14ac:dyDescent="0.25">
      <c r="A124" s="99"/>
      <c r="B124" s="99"/>
      <c r="C124" s="100"/>
      <c r="D124" s="101"/>
      <c r="E124" s="101"/>
      <c r="F124" s="102"/>
      <c r="G124" s="100"/>
      <c r="H124" s="93"/>
      <c r="I124" s="93"/>
      <c r="J124" s="103"/>
      <c r="K124" s="103"/>
      <c r="L124" s="104"/>
      <c r="M124" s="76" t="s">
        <v>143</v>
      </c>
      <c r="N124" s="81">
        <v>579</v>
      </c>
      <c r="O124" s="81">
        <v>1000</v>
      </c>
      <c r="P124" s="81">
        <v>587</v>
      </c>
      <c r="Q124" s="81">
        <f t="shared" ref="Q124" si="111">U124+W124</f>
        <v>974</v>
      </c>
      <c r="R124" s="81">
        <f t="shared" ref="R124" si="112">V124+X124</f>
        <v>76</v>
      </c>
      <c r="S124" s="83">
        <f t="shared" ref="S124" si="113">(P124-N124)*O124-R124-Q124</f>
        <v>6950</v>
      </c>
      <c r="T124" s="21">
        <v>42878</v>
      </c>
      <c r="U124" s="15">
        <v>487</v>
      </c>
      <c r="V124" s="15">
        <v>38</v>
      </c>
      <c r="W124" s="15">
        <v>487</v>
      </c>
      <c r="X124" s="15">
        <v>38</v>
      </c>
      <c r="Y124" s="113"/>
    </row>
    <row r="125" spans="1:25" x14ac:dyDescent="0.25">
      <c r="A125" s="99"/>
      <c r="B125" s="99"/>
      <c r="C125" s="100"/>
      <c r="D125" s="101"/>
      <c r="E125" s="101"/>
      <c r="F125" s="102"/>
      <c r="G125" s="100"/>
      <c r="H125" s="93"/>
      <c r="I125" s="93"/>
      <c r="J125" s="103"/>
      <c r="K125" s="103"/>
      <c r="L125" s="104"/>
      <c r="M125" s="80" t="s">
        <v>146</v>
      </c>
      <c r="N125" s="77">
        <v>603</v>
      </c>
      <c r="O125" s="77">
        <v>500</v>
      </c>
      <c r="P125" s="77"/>
      <c r="Q125" s="77"/>
      <c r="R125" s="77"/>
      <c r="S125" s="79"/>
      <c r="T125" s="21">
        <v>42880</v>
      </c>
      <c r="U125" s="15">
        <v>350</v>
      </c>
      <c r="V125" s="15">
        <v>28</v>
      </c>
      <c r="Y125" s="113"/>
    </row>
    <row r="126" spans="1:25" x14ac:dyDescent="0.25">
      <c r="A126" s="99"/>
      <c r="B126" s="99"/>
      <c r="C126" s="100"/>
      <c r="D126" s="101"/>
      <c r="E126" s="101"/>
      <c r="F126" s="102"/>
      <c r="G126" s="100"/>
      <c r="H126" s="93"/>
      <c r="I126" s="93"/>
      <c r="J126" s="103"/>
      <c r="K126" s="103"/>
      <c r="L126" s="104"/>
      <c r="M126" s="76" t="s">
        <v>143</v>
      </c>
      <c r="N126" s="81">
        <f>(509*2+527*18)/20</f>
        <v>525.20000000000005</v>
      </c>
      <c r="O126" s="81">
        <v>2000</v>
      </c>
      <c r="P126" s="81">
        <v>548</v>
      </c>
      <c r="Q126" s="81">
        <f t="shared" ref="Q126" si="114">U126+W126</f>
        <v>1229</v>
      </c>
      <c r="R126" s="81">
        <f t="shared" ref="R126" si="115">V126+X126</f>
        <v>96</v>
      </c>
      <c r="S126" s="83">
        <f t="shared" ref="S126" si="116">(P126-N126)*O126-R126-Q126</f>
        <v>44274.999999999913</v>
      </c>
      <c r="T126" s="21">
        <v>42884</v>
      </c>
      <c r="U126" s="15">
        <f>185+462</f>
        <v>647</v>
      </c>
      <c r="V126" s="15">
        <f>14+36</f>
        <v>50</v>
      </c>
      <c r="W126" s="15">
        <v>582</v>
      </c>
      <c r="X126" s="15">
        <v>46</v>
      </c>
      <c r="Y126" s="113"/>
    </row>
    <row r="127" spans="1:25" x14ac:dyDescent="0.25">
      <c r="A127" s="99"/>
      <c r="B127" s="99"/>
      <c r="C127" s="100"/>
      <c r="D127" s="101"/>
      <c r="E127" s="101"/>
      <c r="F127" s="102"/>
      <c r="G127" s="100"/>
      <c r="H127" s="93"/>
      <c r="I127" s="93"/>
      <c r="J127" s="103"/>
      <c r="K127" s="103"/>
      <c r="L127" s="104"/>
      <c r="M127" s="76" t="s">
        <v>143</v>
      </c>
      <c r="N127" s="81">
        <f>(551*20+538*4)/24</f>
        <v>548.83333333333337</v>
      </c>
      <c r="O127" s="81">
        <v>2400</v>
      </c>
      <c r="P127" s="81">
        <v>550</v>
      </c>
      <c r="Q127" s="81">
        <f t="shared" ref="Q127" si="117">U127+W127</f>
        <v>1436</v>
      </c>
      <c r="R127" s="81">
        <f t="shared" ref="R127" si="118">V127+X127</f>
        <v>113</v>
      </c>
      <c r="S127" s="83">
        <f t="shared" ref="S127" si="119">(P127-N127)*O127-R127-Q127</f>
        <v>1250.9999999999091</v>
      </c>
      <c r="T127" s="21">
        <v>42891</v>
      </c>
      <c r="U127" s="15">
        <f>582+272</f>
        <v>854</v>
      </c>
      <c r="V127" s="15">
        <f>46+21</f>
        <v>67</v>
      </c>
      <c r="W127" s="15">
        <v>582</v>
      </c>
      <c r="X127" s="15">
        <v>46</v>
      </c>
      <c r="Y127" s="113"/>
    </row>
    <row r="128" spans="1:25" x14ac:dyDescent="0.25">
      <c r="A128" s="99"/>
      <c r="B128" s="99"/>
      <c r="C128" s="100"/>
      <c r="D128" s="101"/>
      <c r="E128" s="101"/>
      <c r="F128" s="102"/>
      <c r="G128" s="100"/>
      <c r="H128" s="93"/>
      <c r="I128" s="93"/>
      <c r="J128" s="103"/>
      <c r="K128" s="103"/>
      <c r="L128" s="104"/>
      <c r="M128" s="76" t="s">
        <v>493</v>
      </c>
      <c r="N128" s="81">
        <v>520</v>
      </c>
      <c r="O128" s="81">
        <v>2500</v>
      </c>
      <c r="P128" s="81">
        <v>523</v>
      </c>
      <c r="Q128" s="81">
        <f t="shared" ref="Q128" si="120">U128+W128</f>
        <v>1164</v>
      </c>
      <c r="R128" s="81">
        <f t="shared" ref="R128" si="121">V128+X128</f>
        <v>92</v>
      </c>
      <c r="S128" s="83">
        <f t="shared" ref="S128" si="122">(P128-N128)*O128-R128-Q128</f>
        <v>6244</v>
      </c>
      <c r="T128" s="21">
        <v>42902</v>
      </c>
      <c r="U128" s="15">
        <v>582</v>
      </c>
      <c r="V128" s="15">
        <v>46</v>
      </c>
      <c r="W128" s="15">
        <v>582</v>
      </c>
      <c r="X128" s="15">
        <v>46</v>
      </c>
      <c r="Y128" s="113"/>
    </row>
    <row r="129" spans="1:25" x14ac:dyDescent="0.25">
      <c r="A129" s="99"/>
      <c r="B129" s="99"/>
      <c r="C129" s="100"/>
      <c r="D129" s="101"/>
      <c r="E129" s="101"/>
      <c r="F129" s="102"/>
      <c r="G129" s="100"/>
      <c r="H129" s="93"/>
      <c r="I129" s="93"/>
      <c r="J129" s="103"/>
      <c r="K129" s="103"/>
      <c r="L129" s="104"/>
      <c r="M129" s="76" t="s">
        <v>143</v>
      </c>
      <c r="N129" s="81">
        <v>517</v>
      </c>
      <c r="O129" s="81">
        <v>2500</v>
      </c>
      <c r="P129" s="81">
        <v>539</v>
      </c>
      <c r="Q129" s="81">
        <f t="shared" ref="Q129:Q131" si="123">U129+W129</f>
        <v>1135</v>
      </c>
      <c r="R129" s="81">
        <f t="shared" ref="R129:R131" si="124">V129+X129</f>
        <v>90</v>
      </c>
      <c r="S129" s="83">
        <f t="shared" ref="S129:S131" si="125">(P129-N129)*O129-R129-Q129</f>
        <v>53775</v>
      </c>
      <c r="T129" s="21">
        <v>42905</v>
      </c>
      <c r="U129" s="15">
        <v>582</v>
      </c>
      <c r="V129" s="15">
        <v>46</v>
      </c>
      <c r="W129" s="15">
        <v>553</v>
      </c>
      <c r="X129" s="15">
        <v>44</v>
      </c>
      <c r="Y129" s="113"/>
    </row>
    <row r="130" spans="1:25" x14ac:dyDescent="0.25">
      <c r="A130" s="99"/>
      <c r="B130" s="99"/>
      <c r="C130" s="100"/>
      <c r="D130" s="101"/>
      <c r="E130" s="101"/>
      <c r="F130" s="102"/>
      <c r="G130" s="100"/>
      <c r="H130" s="93"/>
      <c r="I130" s="93"/>
      <c r="J130" s="103"/>
      <c r="K130" s="103"/>
      <c r="L130" s="104"/>
      <c r="M130" s="76" t="s">
        <v>143</v>
      </c>
      <c r="N130" s="77">
        <v>506</v>
      </c>
      <c r="O130" s="77">
        <v>1000</v>
      </c>
      <c r="P130" s="77">
        <v>454</v>
      </c>
      <c r="Q130" s="77">
        <f t="shared" si="123"/>
        <v>759</v>
      </c>
      <c r="R130" s="77">
        <f t="shared" si="124"/>
        <v>59</v>
      </c>
      <c r="S130" s="79">
        <f t="shared" si="125"/>
        <v>-52818</v>
      </c>
      <c r="T130" s="21">
        <v>42907</v>
      </c>
      <c r="U130" s="15">
        <v>487</v>
      </c>
      <c r="V130" s="15">
        <v>38</v>
      </c>
      <c r="W130" s="15">
        <v>272</v>
      </c>
      <c r="X130" s="15">
        <v>21</v>
      </c>
      <c r="Y130" s="113"/>
    </row>
    <row r="131" spans="1:25" x14ac:dyDescent="0.25">
      <c r="A131" s="99"/>
      <c r="B131" s="99"/>
      <c r="C131" s="100"/>
      <c r="D131" s="101"/>
      <c r="E131" s="101"/>
      <c r="F131" s="102"/>
      <c r="G131" s="100"/>
      <c r="H131" s="93"/>
      <c r="I131" s="93"/>
      <c r="J131" s="103"/>
      <c r="K131" s="103"/>
      <c r="L131" s="104"/>
      <c r="M131" s="385" t="s">
        <v>51</v>
      </c>
      <c r="N131" s="81">
        <v>381</v>
      </c>
      <c r="O131" s="81">
        <v>1000</v>
      </c>
      <c r="P131" s="81">
        <v>454</v>
      </c>
      <c r="Q131" s="81">
        <f t="shared" si="123"/>
        <v>800</v>
      </c>
      <c r="R131" s="81">
        <f t="shared" si="124"/>
        <v>64</v>
      </c>
      <c r="S131" s="83">
        <f t="shared" si="125"/>
        <v>72136</v>
      </c>
      <c r="T131" s="21">
        <v>42916</v>
      </c>
      <c r="U131" s="15">
        <v>400</v>
      </c>
      <c r="V131" s="15">
        <v>32</v>
      </c>
      <c r="W131" s="15">
        <v>400</v>
      </c>
      <c r="X131" s="15">
        <v>32</v>
      </c>
      <c r="Y131" s="113"/>
    </row>
    <row r="132" spans="1:25" x14ac:dyDescent="0.25">
      <c r="A132" s="99" t="str">
        <f>IPO監視一覧!H20</f>
        <v>D</v>
      </c>
      <c r="B132" s="99" t="str">
        <f>IPO監視一覧!B20</f>
        <v>ティーケーピー</v>
      </c>
      <c r="C132" s="100">
        <f>IPO監視一覧!G20</f>
        <v>6060</v>
      </c>
      <c r="D132" s="101">
        <v>310000</v>
      </c>
      <c r="E132" s="101">
        <v>199200</v>
      </c>
      <c r="F132" s="102">
        <f>IPO監視一覧!T20</f>
        <v>42821</v>
      </c>
      <c r="G132" s="100">
        <f>IPO監視一覧!U20</f>
        <v>10560</v>
      </c>
      <c r="H132" s="93">
        <f>終値履歴!C20</f>
        <v>15010</v>
      </c>
      <c r="I132" s="93">
        <f>参加条件計算!C20</f>
        <v>23700</v>
      </c>
      <c r="J132" s="103">
        <f t="shared" si="110"/>
        <v>358582.5</v>
      </c>
      <c r="K132" s="103">
        <f t="shared" si="77"/>
        <v>354598.25</v>
      </c>
      <c r="L132" s="104">
        <f t="shared" ca="1" si="78"/>
        <v>76</v>
      </c>
      <c r="M132" s="76" t="s">
        <v>143</v>
      </c>
      <c r="N132" s="81">
        <v>12520</v>
      </c>
      <c r="O132" s="81">
        <v>100</v>
      </c>
      <c r="P132" s="81">
        <v>12600</v>
      </c>
      <c r="Q132" s="81">
        <f t="shared" si="79"/>
        <v>1164</v>
      </c>
      <c r="R132" s="81">
        <f t="shared" si="79"/>
        <v>92</v>
      </c>
      <c r="S132" s="83">
        <f t="shared" si="1"/>
        <v>6744</v>
      </c>
      <c r="T132" s="21">
        <v>42825</v>
      </c>
      <c r="U132" s="15">
        <v>582</v>
      </c>
      <c r="V132" s="15">
        <v>46</v>
      </c>
      <c r="W132" s="15">
        <v>582</v>
      </c>
      <c r="X132" s="15">
        <v>46</v>
      </c>
    </row>
    <row r="133" spans="1:25" x14ac:dyDescent="0.25">
      <c r="A133" s="99"/>
      <c r="B133" s="99"/>
      <c r="C133" s="100"/>
      <c r="D133" s="101"/>
      <c r="E133" s="101"/>
      <c r="F133" s="102"/>
      <c r="G133" s="100"/>
      <c r="H133" s="100"/>
      <c r="I133" s="100"/>
      <c r="J133" s="103"/>
      <c r="K133" s="103"/>
      <c r="L133" s="104"/>
      <c r="M133" s="76" t="s">
        <v>143</v>
      </c>
      <c r="N133" s="81">
        <v>12160</v>
      </c>
      <c r="O133" s="81">
        <v>100</v>
      </c>
      <c r="P133" s="81">
        <v>12190</v>
      </c>
      <c r="Q133" s="81">
        <f t="shared" si="79"/>
        <v>1164</v>
      </c>
      <c r="R133" s="81">
        <f t="shared" si="79"/>
        <v>92</v>
      </c>
      <c r="S133" s="83">
        <f t="shared" si="1"/>
        <v>1744</v>
      </c>
      <c r="T133" s="21">
        <v>42844</v>
      </c>
      <c r="U133" s="15">
        <v>582</v>
      </c>
      <c r="V133" s="15">
        <v>46</v>
      </c>
      <c r="W133" s="15">
        <v>582</v>
      </c>
      <c r="X133" s="15">
        <v>46</v>
      </c>
    </row>
    <row r="134" spans="1:25" x14ac:dyDescent="0.25">
      <c r="A134" s="99"/>
      <c r="B134" s="99"/>
      <c r="C134" s="100"/>
      <c r="D134" s="101"/>
      <c r="E134" s="101"/>
      <c r="F134" s="102"/>
      <c r="G134" s="100"/>
      <c r="H134" s="100"/>
      <c r="I134" s="100"/>
      <c r="J134" s="103"/>
      <c r="K134" s="103"/>
      <c r="L134" s="104"/>
      <c r="M134" s="76" t="s">
        <v>143</v>
      </c>
      <c r="N134" s="81">
        <v>11080</v>
      </c>
      <c r="O134" s="81">
        <v>100</v>
      </c>
      <c r="P134" s="81">
        <v>11350</v>
      </c>
      <c r="Q134" s="81">
        <f t="shared" si="79"/>
        <v>1164</v>
      </c>
      <c r="R134" s="81">
        <f t="shared" si="79"/>
        <v>92</v>
      </c>
      <c r="S134" s="83">
        <f t="shared" si="1"/>
        <v>25744</v>
      </c>
      <c r="T134" s="21">
        <v>42849</v>
      </c>
      <c r="U134" s="15">
        <v>582</v>
      </c>
      <c r="V134" s="15">
        <v>46</v>
      </c>
      <c r="W134" s="15">
        <v>582</v>
      </c>
      <c r="X134" s="15">
        <v>46</v>
      </c>
    </row>
    <row r="135" spans="1:25" x14ac:dyDescent="0.25">
      <c r="A135" s="99"/>
      <c r="B135" s="99"/>
      <c r="C135" s="100"/>
      <c r="D135" s="101"/>
      <c r="E135" s="101"/>
      <c r="F135" s="102"/>
      <c r="G135" s="100"/>
      <c r="H135" s="100"/>
      <c r="I135" s="100"/>
      <c r="J135" s="103"/>
      <c r="K135" s="103"/>
      <c r="L135" s="104"/>
      <c r="M135" s="76" t="s">
        <v>143</v>
      </c>
      <c r="N135" s="81">
        <v>13740</v>
      </c>
      <c r="O135" s="81">
        <v>100</v>
      </c>
      <c r="P135" s="81">
        <v>13810</v>
      </c>
      <c r="Q135" s="81">
        <f t="shared" si="79"/>
        <v>1164</v>
      </c>
      <c r="R135" s="81">
        <f t="shared" si="79"/>
        <v>92</v>
      </c>
      <c r="S135" s="83">
        <f t="shared" si="1"/>
        <v>5744</v>
      </c>
      <c r="T135" s="21">
        <v>42867</v>
      </c>
      <c r="U135" s="15">
        <v>582</v>
      </c>
      <c r="V135" s="15">
        <v>46</v>
      </c>
      <c r="W135" s="15">
        <v>582</v>
      </c>
      <c r="X135" s="15">
        <v>46</v>
      </c>
    </row>
    <row r="136" spans="1:25" x14ac:dyDescent="0.25">
      <c r="A136" s="99"/>
      <c r="B136" s="99"/>
      <c r="C136" s="100"/>
      <c r="D136" s="101"/>
      <c r="E136" s="101"/>
      <c r="F136" s="102"/>
      <c r="G136" s="100"/>
      <c r="H136" s="100"/>
      <c r="I136" s="100"/>
      <c r="J136" s="103"/>
      <c r="K136" s="103"/>
      <c r="L136" s="104"/>
      <c r="M136" s="76" t="s">
        <v>143</v>
      </c>
      <c r="N136" s="81">
        <v>13480</v>
      </c>
      <c r="O136" s="81">
        <v>100</v>
      </c>
      <c r="P136" s="81">
        <v>13720</v>
      </c>
      <c r="Q136" s="81">
        <f t="shared" si="79"/>
        <v>1164</v>
      </c>
      <c r="R136" s="81">
        <f t="shared" si="79"/>
        <v>92</v>
      </c>
      <c r="S136" s="83">
        <f t="shared" si="1"/>
        <v>22744</v>
      </c>
      <c r="T136" s="21">
        <v>42871</v>
      </c>
      <c r="U136" s="15">
        <v>582</v>
      </c>
      <c r="V136" s="15">
        <v>46</v>
      </c>
      <c r="W136" s="15">
        <v>582</v>
      </c>
      <c r="X136" s="15">
        <v>46</v>
      </c>
    </row>
    <row r="137" spans="1:25" x14ac:dyDescent="0.25">
      <c r="A137" s="99"/>
      <c r="B137" s="99"/>
      <c r="C137" s="100"/>
      <c r="D137" s="101"/>
      <c r="E137" s="101"/>
      <c r="F137" s="102"/>
      <c r="G137" s="100"/>
      <c r="H137" s="100"/>
      <c r="I137" s="100"/>
      <c r="J137" s="103"/>
      <c r="K137" s="103"/>
      <c r="L137" s="104"/>
      <c r="M137" s="76" t="s">
        <v>143</v>
      </c>
      <c r="N137" s="81">
        <v>14790</v>
      </c>
      <c r="O137" s="81">
        <v>100</v>
      </c>
      <c r="P137" s="81">
        <v>14900</v>
      </c>
      <c r="Q137" s="81">
        <f t="shared" si="79"/>
        <v>1164</v>
      </c>
      <c r="R137" s="81">
        <f t="shared" si="79"/>
        <v>92</v>
      </c>
      <c r="S137" s="83">
        <f t="shared" si="1"/>
        <v>9744</v>
      </c>
      <c r="T137" s="21">
        <v>42874</v>
      </c>
      <c r="U137" s="15">
        <v>582</v>
      </c>
      <c r="V137" s="15">
        <v>46</v>
      </c>
      <c r="W137" s="15">
        <v>582</v>
      </c>
      <c r="X137" s="15">
        <v>46</v>
      </c>
    </row>
    <row r="138" spans="1:25" x14ac:dyDescent="0.25">
      <c r="A138" s="99" t="str">
        <f>IPO監視一覧!H21</f>
        <v>D</v>
      </c>
      <c r="B138" s="99" t="str">
        <f>IPO監視一覧!B21</f>
        <v>ズーム</v>
      </c>
      <c r="C138" s="100">
        <f>IPO監視一覧!G21</f>
        <v>1520</v>
      </c>
      <c r="D138" s="101">
        <v>210000</v>
      </c>
      <c r="E138" s="101">
        <v>421000</v>
      </c>
      <c r="F138" s="102">
        <f>IPO監視一覧!T21</f>
        <v>42822</v>
      </c>
      <c r="G138" s="100">
        <f>IPO監視一覧!U21</f>
        <v>2278</v>
      </c>
      <c r="H138" s="93">
        <f>終値履歴!C21</f>
        <v>1807</v>
      </c>
      <c r="I138" s="93">
        <f>参加条件計算!C21</f>
        <v>8900</v>
      </c>
      <c r="J138" s="103">
        <f t="shared" si="110"/>
        <v>60401.229999999996</v>
      </c>
      <c r="K138" s="103">
        <f t="shared" si="77"/>
        <v>-47100</v>
      </c>
      <c r="L138" s="104">
        <f t="shared" ca="1" si="78"/>
        <v>75</v>
      </c>
      <c r="M138" s="76" t="s">
        <v>143</v>
      </c>
      <c r="N138" s="81">
        <v>1835</v>
      </c>
      <c r="O138" s="81">
        <v>400</v>
      </c>
      <c r="P138" s="81">
        <v>1855</v>
      </c>
      <c r="Q138" s="81">
        <f t="shared" si="79"/>
        <v>1031</v>
      </c>
      <c r="R138" s="81">
        <f t="shared" si="79"/>
        <v>80</v>
      </c>
      <c r="S138" s="83">
        <f t="shared" si="1"/>
        <v>6889</v>
      </c>
      <c r="T138" s="21">
        <v>42823</v>
      </c>
      <c r="U138" s="15">
        <v>544</v>
      </c>
      <c r="V138" s="15">
        <v>42</v>
      </c>
      <c r="W138" s="15">
        <v>487</v>
      </c>
      <c r="X138" s="15">
        <v>38</v>
      </c>
    </row>
    <row r="139" spans="1:25" x14ac:dyDescent="0.25">
      <c r="A139" s="99" t="str">
        <f>IPO監視一覧!H22</f>
        <v>A</v>
      </c>
      <c r="B139" s="99" t="str">
        <f>IPO監視一覧!B22</f>
        <v>Ｎｏ．１</v>
      </c>
      <c r="C139" s="100">
        <f>IPO監視一覧!G22</f>
        <v>1570</v>
      </c>
      <c r="D139" s="101">
        <v>220000</v>
      </c>
      <c r="E139" s="101">
        <v>220000</v>
      </c>
      <c r="F139" s="102">
        <f>IPO監視一覧!T22</f>
        <v>42822</v>
      </c>
      <c r="G139" s="100">
        <f>IPO監視一覧!U22</f>
        <v>3460</v>
      </c>
      <c r="H139" s="93">
        <f>終値履歴!C22</f>
        <v>2750</v>
      </c>
      <c r="I139" s="93">
        <f>参加条件計算!C22</f>
        <v>2800</v>
      </c>
      <c r="J139" s="103">
        <f t="shared" si="110"/>
        <v>150604.65</v>
      </c>
      <c r="K139" s="103">
        <f t="shared" si="77"/>
        <v>-71000</v>
      </c>
      <c r="L139" s="104">
        <f t="shared" ca="1" si="78"/>
        <v>75</v>
      </c>
      <c r="M139" s="76" t="s">
        <v>143</v>
      </c>
      <c r="N139" s="81">
        <v>3943.3</v>
      </c>
      <c r="O139" s="81">
        <v>300</v>
      </c>
      <c r="P139" s="81">
        <v>3960</v>
      </c>
      <c r="Q139" s="81">
        <f t="shared" si="79"/>
        <v>1341</v>
      </c>
      <c r="R139" s="81">
        <f t="shared" si="79"/>
        <v>105</v>
      </c>
      <c r="S139" s="83">
        <f t="shared" si="1"/>
        <v>3563.9999999999454</v>
      </c>
      <c r="T139" s="21">
        <v>42824</v>
      </c>
      <c r="U139" s="15">
        <v>759</v>
      </c>
      <c r="V139" s="15">
        <v>59</v>
      </c>
      <c r="W139" s="15">
        <v>582</v>
      </c>
      <c r="X139" s="15">
        <v>46</v>
      </c>
    </row>
    <row r="140" spans="1:25" x14ac:dyDescent="0.25">
      <c r="A140" s="99"/>
      <c r="B140" s="99"/>
      <c r="C140" s="100"/>
      <c r="D140" s="101"/>
      <c r="E140" s="101"/>
      <c r="F140" s="102"/>
      <c r="G140" s="100"/>
      <c r="H140" s="100"/>
      <c r="I140" s="100"/>
      <c r="J140" s="103"/>
      <c r="K140" s="103">
        <f t="shared" si="77"/>
        <v>0</v>
      </c>
      <c r="L140" s="104"/>
      <c r="M140" s="76" t="s">
        <v>143</v>
      </c>
      <c r="N140" s="81">
        <v>3600</v>
      </c>
      <c r="O140" s="81">
        <v>300</v>
      </c>
      <c r="P140" s="81">
        <v>3740</v>
      </c>
      <c r="Q140" s="81">
        <f t="shared" si="79"/>
        <v>1164</v>
      </c>
      <c r="R140" s="81">
        <f t="shared" si="79"/>
        <v>92</v>
      </c>
      <c r="S140" s="83">
        <f>(P140-N140)*O140-R140-Q140</f>
        <v>40744</v>
      </c>
      <c r="T140" s="21">
        <v>42825</v>
      </c>
      <c r="U140" s="15">
        <v>582</v>
      </c>
      <c r="V140" s="15">
        <v>46</v>
      </c>
      <c r="W140" s="15">
        <v>582</v>
      </c>
      <c r="X140" s="15">
        <v>46</v>
      </c>
    </row>
    <row r="141" spans="1:25" x14ac:dyDescent="0.25">
      <c r="A141" s="99"/>
      <c r="B141" s="99"/>
      <c r="C141" s="100"/>
      <c r="D141" s="101"/>
      <c r="E141" s="101"/>
      <c r="F141" s="102"/>
      <c r="G141" s="100"/>
      <c r="H141" s="100"/>
      <c r="I141" s="100"/>
      <c r="J141" s="103"/>
      <c r="K141" s="103">
        <f t="shared" si="77"/>
        <v>0</v>
      </c>
      <c r="L141" s="104"/>
      <c r="M141" s="76" t="s">
        <v>143</v>
      </c>
      <c r="N141" s="77">
        <v>3490</v>
      </c>
      <c r="O141" s="77">
        <v>100</v>
      </c>
      <c r="P141" s="77">
        <v>2815</v>
      </c>
      <c r="Q141" s="77">
        <f t="shared" si="79"/>
        <v>544</v>
      </c>
      <c r="R141" s="77">
        <f t="shared" si="79"/>
        <v>42</v>
      </c>
      <c r="S141" s="79">
        <f>(P141-N141)*O141-R141-Q141</f>
        <v>-68086</v>
      </c>
      <c r="T141" s="21">
        <v>42829</v>
      </c>
      <c r="U141" s="15">
        <v>272</v>
      </c>
      <c r="V141" s="15">
        <v>21</v>
      </c>
      <c r="W141" s="15">
        <v>272</v>
      </c>
      <c r="X141" s="15">
        <v>21</v>
      </c>
    </row>
    <row r="142" spans="1:25" x14ac:dyDescent="0.25">
      <c r="A142" s="313" t="str">
        <f>IPO監視一覧!H23</f>
        <v>D</v>
      </c>
      <c r="B142" s="313" t="str">
        <f>IPO監視一覧!B23</f>
        <v>オークネット</v>
      </c>
      <c r="C142" s="316">
        <f>IPO監視一覧!G23</f>
        <v>1100</v>
      </c>
      <c r="D142" s="317">
        <v>2200000</v>
      </c>
      <c r="E142" s="317">
        <v>2620000</v>
      </c>
      <c r="F142" s="318">
        <f>IPO監視一覧!T23</f>
        <v>42823</v>
      </c>
      <c r="G142" s="316">
        <f>IPO監視一覧!U23</f>
        <v>1300</v>
      </c>
      <c r="H142" s="319">
        <f>終値履歴!C23</f>
        <v>1414</v>
      </c>
      <c r="I142" s="319">
        <f>参加条件計算!C23</f>
        <v>24000</v>
      </c>
      <c r="J142" s="320">
        <f t="shared" si="110"/>
        <v>15936.999999999998</v>
      </c>
      <c r="K142" s="320">
        <f t="shared" si="77"/>
        <v>9084.09</v>
      </c>
      <c r="L142" s="76">
        <f t="shared" ca="1" si="78"/>
        <v>74</v>
      </c>
      <c r="M142" s="104"/>
      <c r="N142" s="121"/>
      <c r="O142" s="121"/>
      <c r="P142" s="121"/>
      <c r="Q142" s="121"/>
      <c r="R142" s="121"/>
      <c r="S142" s="106">
        <f t="shared" si="1"/>
        <v>0</v>
      </c>
      <c r="T142" s="21">
        <v>42835</v>
      </c>
    </row>
    <row r="143" spans="1:25" x14ac:dyDescent="0.25">
      <c r="A143" s="313" t="str">
        <f>IPO監視一覧!H24</f>
        <v>D</v>
      </c>
      <c r="B143" s="313" t="str">
        <f>IPO監視一覧!B24</f>
        <v>スシローグローバルHD</v>
      </c>
      <c r="C143" s="316">
        <f>IPO監視一覧!G24</f>
        <v>3600</v>
      </c>
      <c r="D143" s="317">
        <v>0</v>
      </c>
      <c r="E143" s="321">
        <v>19123100</v>
      </c>
      <c r="F143" s="318">
        <f>IPO監視一覧!T24</f>
        <v>42824</v>
      </c>
      <c r="G143" s="316">
        <f>IPO監視一覧!U24</f>
        <v>3430</v>
      </c>
      <c r="H143" s="319">
        <f>終値履歴!C24</f>
        <v>3345</v>
      </c>
      <c r="I143" s="319">
        <f>参加条件計算!C24</f>
        <v>90400</v>
      </c>
      <c r="J143" s="320">
        <f t="shared" si="110"/>
        <v>-17000</v>
      </c>
      <c r="K143" s="320">
        <f t="shared" si="77"/>
        <v>-8500</v>
      </c>
      <c r="L143" s="76">
        <f t="shared" ca="1" si="78"/>
        <v>73</v>
      </c>
      <c r="M143" s="120" t="s">
        <v>58</v>
      </c>
      <c r="N143" s="77">
        <v>3600</v>
      </c>
      <c r="O143" s="77">
        <v>100</v>
      </c>
      <c r="P143" s="77">
        <v>3430</v>
      </c>
      <c r="Q143" s="77">
        <f t="shared" ref="Q143:R158" si="126">U143+W143</f>
        <v>1183</v>
      </c>
      <c r="R143" s="77">
        <f t="shared" si="126"/>
        <v>95</v>
      </c>
      <c r="S143" s="79">
        <f>(P143-N143)*O143-R143-Q143</f>
        <v>-18278</v>
      </c>
      <c r="T143" s="21">
        <v>42824</v>
      </c>
      <c r="U143" s="15">
        <v>0</v>
      </c>
      <c r="V143" s="15">
        <v>0</v>
      </c>
      <c r="W143" s="15">
        <v>1183</v>
      </c>
      <c r="X143" s="15">
        <v>95</v>
      </c>
      <c r="Y143" s="113"/>
    </row>
    <row r="144" spans="1:25" x14ac:dyDescent="0.25">
      <c r="A144" s="99" t="str">
        <f>IPO監視一覧!H25</f>
        <v>A</v>
      </c>
      <c r="B144" s="99" t="str">
        <f>IPO監視一覧!B25</f>
        <v>ユーザーローカル</v>
      </c>
      <c r="C144" s="100">
        <f>IPO監視一覧!G25</f>
        <v>2940</v>
      </c>
      <c r="D144" s="101">
        <v>205000</v>
      </c>
      <c r="E144" s="101">
        <v>200000</v>
      </c>
      <c r="F144" s="102">
        <f>IPO監視一覧!T25</f>
        <v>42824</v>
      </c>
      <c r="G144" s="100">
        <f>IPO監視一覧!U25</f>
        <v>12500</v>
      </c>
      <c r="H144" s="93">
        <f>終値履歴!C25</f>
        <v>8450</v>
      </c>
      <c r="I144" s="93">
        <f>参加条件計算!C25</f>
        <v>6100</v>
      </c>
      <c r="J144" s="103">
        <f t="shared" si="110"/>
        <v>761788.6</v>
      </c>
      <c r="K144" s="103">
        <f t="shared" si="77"/>
        <v>-405000</v>
      </c>
      <c r="L144" s="104">
        <f t="shared" ca="1" si="78"/>
        <v>73</v>
      </c>
      <c r="M144" s="76" t="s">
        <v>143</v>
      </c>
      <c r="N144" s="77">
        <v>9710</v>
      </c>
      <c r="O144" s="77">
        <v>100</v>
      </c>
      <c r="P144" s="77">
        <v>9230</v>
      </c>
      <c r="Q144" s="77">
        <f t="shared" si="126"/>
        <v>974</v>
      </c>
      <c r="R144" s="77">
        <f t="shared" si="126"/>
        <v>76</v>
      </c>
      <c r="S144" s="79">
        <f>(P144-N144)*O144-R144-Q144</f>
        <v>-49050</v>
      </c>
      <c r="T144" s="21">
        <v>42835</v>
      </c>
      <c r="U144" s="15">
        <v>487</v>
      </c>
      <c r="V144" s="15">
        <v>38</v>
      </c>
      <c r="W144" s="15">
        <v>487</v>
      </c>
      <c r="X144" s="15">
        <v>38</v>
      </c>
    </row>
    <row r="145" spans="1:24" x14ac:dyDescent="0.25">
      <c r="A145" s="99" t="str">
        <f>IPO監視一覧!H26</f>
        <v>B</v>
      </c>
      <c r="B145" s="99" t="str">
        <f>IPO監視一覧!B26</f>
        <v>ネットマーケティング</v>
      </c>
      <c r="C145" s="100">
        <f>IPO監視一覧!G26</f>
        <v>1140</v>
      </c>
      <c r="D145" s="101">
        <v>280000</v>
      </c>
      <c r="E145" s="101">
        <v>680000</v>
      </c>
      <c r="F145" s="102">
        <f>IPO監視一覧!T26</f>
        <v>42825</v>
      </c>
      <c r="G145" s="100">
        <f>IPO監視一覧!U26</f>
        <v>1552</v>
      </c>
      <c r="H145" s="93">
        <f>終値履歴!C26</f>
        <v>1244</v>
      </c>
      <c r="I145" s="93">
        <f>参加条件計算!C26</f>
        <v>102300</v>
      </c>
      <c r="J145" s="103">
        <f t="shared" si="110"/>
        <v>32830.22</v>
      </c>
      <c r="K145" s="103">
        <f t="shared" si="77"/>
        <v>-30800</v>
      </c>
      <c r="L145" s="104">
        <f ca="1">NETWORKDAYS(F145,TODAY())</f>
        <v>72</v>
      </c>
      <c r="M145" s="76" t="s">
        <v>143</v>
      </c>
      <c r="N145" s="81">
        <v>1598.3</v>
      </c>
      <c r="O145" s="81">
        <v>600</v>
      </c>
      <c r="P145" s="81">
        <v>1615</v>
      </c>
      <c r="Q145" s="81">
        <f t="shared" si="126"/>
        <v>974</v>
      </c>
      <c r="R145" s="81">
        <f t="shared" si="126"/>
        <v>76</v>
      </c>
      <c r="S145" s="83">
        <f t="shared" si="1"/>
        <v>8970.0000000000273</v>
      </c>
      <c r="T145" s="21">
        <v>42825</v>
      </c>
      <c r="U145" s="15">
        <v>487</v>
      </c>
      <c r="V145" s="15">
        <v>38</v>
      </c>
      <c r="W145" s="15">
        <v>487</v>
      </c>
      <c r="X145" s="15">
        <v>38</v>
      </c>
    </row>
    <row r="146" spans="1:24" x14ac:dyDescent="0.25">
      <c r="A146" s="99"/>
      <c r="B146" s="99"/>
      <c r="C146" s="100"/>
      <c r="D146" s="101"/>
      <c r="E146" s="101"/>
      <c r="F146" s="102"/>
      <c r="G146" s="100"/>
      <c r="H146" s="100"/>
      <c r="I146" s="100"/>
      <c r="J146" s="103"/>
      <c r="K146" s="103"/>
      <c r="L146" s="104"/>
      <c r="M146" s="76" t="s">
        <v>143</v>
      </c>
      <c r="N146" s="81">
        <v>1480</v>
      </c>
      <c r="O146" s="81">
        <v>400</v>
      </c>
      <c r="P146" s="81">
        <v>1501.5</v>
      </c>
      <c r="Q146" s="81">
        <f t="shared" si="126"/>
        <v>974</v>
      </c>
      <c r="R146" s="81">
        <f t="shared" si="126"/>
        <v>76</v>
      </c>
      <c r="S146" s="83">
        <f t="shared" si="1"/>
        <v>7550</v>
      </c>
      <c r="T146" s="21">
        <v>42842</v>
      </c>
      <c r="U146" s="15">
        <v>487</v>
      </c>
      <c r="V146" s="15">
        <v>38</v>
      </c>
      <c r="W146" s="15">
        <v>487</v>
      </c>
      <c r="X146" s="15">
        <v>38</v>
      </c>
    </row>
    <row r="147" spans="1:24" x14ac:dyDescent="0.25">
      <c r="A147" s="99"/>
      <c r="B147" s="99"/>
      <c r="C147" s="100"/>
      <c r="D147" s="101"/>
      <c r="E147" s="101"/>
      <c r="F147" s="102"/>
      <c r="G147" s="100"/>
      <c r="H147" s="100"/>
      <c r="I147" s="100"/>
      <c r="J147" s="103"/>
      <c r="K147" s="103"/>
      <c r="L147" s="104"/>
      <c r="M147" s="76" t="s">
        <v>143</v>
      </c>
      <c r="N147" s="81">
        <v>1391</v>
      </c>
      <c r="O147" s="81">
        <v>400</v>
      </c>
      <c r="P147" s="81">
        <v>1395</v>
      </c>
      <c r="Q147" s="81">
        <f t="shared" si="126"/>
        <v>974</v>
      </c>
      <c r="R147" s="81">
        <f t="shared" si="126"/>
        <v>76</v>
      </c>
      <c r="S147" s="83">
        <f t="shared" si="1"/>
        <v>550</v>
      </c>
      <c r="T147" s="21">
        <v>42843</v>
      </c>
      <c r="U147" s="15">
        <v>487</v>
      </c>
      <c r="V147" s="15">
        <v>38</v>
      </c>
      <c r="W147" s="15">
        <v>487</v>
      </c>
      <c r="X147" s="15">
        <v>38</v>
      </c>
    </row>
    <row r="148" spans="1:24" x14ac:dyDescent="0.25">
      <c r="A148" s="99" t="str">
        <f>IPO監視一覧!H27</f>
        <v>A</v>
      </c>
      <c r="B148" s="99" t="str">
        <f>IPO監視一覧!B27</f>
        <v>テモナ</v>
      </c>
      <c r="C148" s="100">
        <f>IPO監視一覧!G27</f>
        <v>2550</v>
      </c>
      <c r="D148" s="101">
        <v>240000</v>
      </c>
      <c r="E148" s="101">
        <v>48800</v>
      </c>
      <c r="F148" s="102">
        <f>IPO監視一覧!T27</f>
        <v>42831</v>
      </c>
      <c r="G148" s="100">
        <f>IPO監視一覧!U27</f>
        <v>8050</v>
      </c>
      <c r="H148" s="93">
        <f>終値履歴!C27</f>
        <v>6500</v>
      </c>
      <c r="I148" s="93">
        <f>参加条件計算!C27</f>
        <v>3200</v>
      </c>
      <c r="J148" s="103">
        <f t="shared" si="110"/>
        <v>438267.5</v>
      </c>
      <c r="K148" s="103">
        <f t="shared" si="77"/>
        <v>-155000</v>
      </c>
      <c r="L148" s="104">
        <f t="shared" ca="1" si="78"/>
        <v>68</v>
      </c>
      <c r="M148" s="76" t="s">
        <v>143</v>
      </c>
      <c r="N148" s="81">
        <v>8050</v>
      </c>
      <c r="O148" s="81">
        <v>100</v>
      </c>
      <c r="P148" s="81">
        <v>8250</v>
      </c>
      <c r="Q148" s="81">
        <f t="shared" si="126"/>
        <v>974</v>
      </c>
      <c r="R148" s="81">
        <f t="shared" si="126"/>
        <v>76</v>
      </c>
      <c r="S148" s="83">
        <f t="shared" si="1"/>
        <v>18950</v>
      </c>
      <c r="T148" s="21">
        <v>42835</v>
      </c>
      <c r="U148" s="15">
        <v>487</v>
      </c>
      <c r="V148" s="15">
        <v>38</v>
      </c>
      <c r="W148" s="15">
        <v>487</v>
      </c>
      <c r="X148" s="15">
        <v>38</v>
      </c>
    </row>
    <row r="149" spans="1:24" x14ac:dyDescent="0.25">
      <c r="A149" s="99"/>
      <c r="B149" s="99"/>
      <c r="C149" s="100"/>
      <c r="D149" s="101"/>
      <c r="E149" s="101"/>
      <c r="F149" s="102"/>
      <c r="G149" s="100"/>
      <c r="H149" s="100"/>
      <c r="I149" s="100"/>
      <c r="J149" s="103"/>
      <c r="K149" s="103"/>
      <c r="L149" s="104"/>
      <c r="M149" s="76" t="s">
        <v>143</v>
      </c>
      <c r="N149" s="81">
        <v>5900</v>
      </c>
      <c r="O149" s="81">
        <v>100</v>
      </c>
      <c r="P149" s="81">
        <v>5960</v>
      </c>
      <c r="Q149" s="81">
        <f t="shared" si="126"/>
        <v>974</v>
      </c>
      <c r="R149" s="81">
        <f t="shared" si="126"/>
        <v>76</v>
      </c>
      <c r="S149" s="83">
        <f t="shared" si="1"/>
        <v>4950</v>
      </c>
      <c r="T149" s="21">
        <v>42838</v>
      </c>
      <c r="U149" s="15">
        <v>487</v>
      </c>
      <c r="V149" s="15">
        <v>38</v>
      </c>
      <c r="W149" s="15">
        <v>487</v>
      </c>
      <c r="X149" s="15">
        <v>38</v>
      </c>
    </row>
    <row r="150" spans="1:24" x14ac:dyDescent="0.25">
      <c r="A150" s="99"/>
      <c r="B150" s="99"/>
      <c r="C150" s="100"/>
      <c r="D150" s="101"/>
      <c r="E150" s="101"/>
      <c r="F150" s="102"/>
      <c r="G150" s="100"/>
      <c r="H150" s="100"/>
      <c r="I150" s="100"/>
      <c r="J150" s="103"/>
      <c r="K150" s="103"/>
      <c r="L150" s="104"/>
      <c r="M150" s="76" t="s">
        <v>143</v>
      </c>
      <c r="N150" s="81">
        <v>5900</v>
      </c>
      <c r="O150" s="81">
        <v>100</v>
      </c>
      <c r="P150" s="81">
        <v>6000</v>
      </c>
      <c r="Q150" s="81">
        <f t="shared" si="126"/>
        <v>974</v>
      </c>
      <c r="R150" s="81">
        <f t="shared" si="126"/>
        <v>76</v>
      </c>
      <c r="S150" s="83">
        <f t="shared" si="1"/>
        <v>8950</v>
      </c>
      <c r="T150" s="21">
        <v>42843</v>
      </c>
      <c r="U150" s="15">
        <v>487</v>
      </c>
      <c r="V150" s="15">
        <v>38</v>
      </c>
      <c r="W150" s="15">
        <v>487</v>
      </c>
      <c r="X150" s="15">
        <v>38</v>
      </c>
    </row>
    <row r="151" spans="1:24" x14ac:dyDescent="0.25">
      <c r="A151" s="99"/>
      <c r="B151" s="99"/>
      <c r="C151" s="100"/>
      <c r="D151" s="101"/>
      <c r="E151" s="101"/>
      <c r="F151" s="102"/>
      <c r="G151" s="100"/>
      <c r="H151" s="100"/>
      <c r="I151" s="100"/>
      <c r="J151" s="103"/>
      <c r="K151" s="103"/>
      <c r="L151" s="104"/>
      <c r="M151" s="76" t="s">
        <v>143</v>
      </c>
      <c r="N151" s="81">
        <v>7450</v>
      </c>
      <c r="O151" s="81">
        <v>100</v>
      </c>
      <c r="P151" s="81">
        <v>7530</v>
      </c>
      <c r="Q151" s="81">
        <f t="shared" si="126"/>
        <v>974</v>
      </c>
      <c r="R151" s="81">
        <f t="shared" si="126"/>
        <v>76</v>
      </c>
      <c r="S151" s="83">
        <f t="shared" si="1"/>
        <v>6950</v>
      </c>
      <c r="T151" s="21">
        <v>42849</v>
      </c>
      <c r="U151" s="15">
        <v>487</v>
      </c>
      <c r="V151" s="15">
        <v>38</v>
      </c>
      <c r="W151" s="15">
        <v>487</v>
      </c>
      <c r="X151" s="15">
        <v>38</v>
      </c>
    </row>
    <row r="152" spans="1:24" x14ac:dyDescent="0.25">
      <c r="A152" s="99"/>
      <c r="B152" s="99"/>
      <c r="C152" s="100"/>
      <c r="D152" s="101"/>
      <c r="E152" s="101"/>
      <c r="F152" s="102"/>
      <c r="G152" s="100"/>
      <c r="H152" s="100"/>
      <c r="I152" s="100"/>
      <c r="J152" s="103"/>
      <c r="K152" s="103"/>
      <c r="L152" s="104"/>
      <c r="M152" s="76" t="s">
        <v>143</v>
      </c>
      <c r="N152" s="77">
        <v>8570</v>
      </c>
      <c r="O152" s="77">
        <v>100</v>
      </c>
      <c r="P152" s="77">
        <v>8460</v>
      </c>
      <c r="Q152" s="77">
        <f t="shared" si="126"/>
        <v>974</v>
      </c>
      <c r="R152" s="77">
        <f t="shared" si="126"/>
        <v>76</v>
      </c>
      <c r="S152" s="79">
        <f t="shared" si="1"/>
        <v>-12050</v>
      </c>
      <c r="T152" s="21">
        <v>42851</v>
      </c>
      <c r="U152" s="15">
        <v>487</v>
      </c>
      <c r="V152" s="15">
        <v>38</v>
      </c>
      <c r="W152" s="15">
        <v>487</v>
      </c>
      <c r="X152" s="15">
        <v>38</v>
      </c>
    </row>
    <row r="153" spans="1:24" x14ac:dyDescent="0.25">
      <c r="A153" s="99"/>
      <c r="B153" s="99"/>
      <c r="C153" s="100"/>
      <c r="D153" s="101"/>
      <c r="E153" s="101"/>
      <c r="F153" s="102"/>
      <c r="G153" s="100"/>
      <c r="H153" s="100"/>
      <c r="I153" s="100"/>
      <c r="J153" s="103"/>
      <c r="K153" s="103"/>
      <c r="L153" s="104"/>
      <c r="M153" s="76" t="s">
        <v>143</v>
      </c>
      <c r="N153" s="81">
        <v>8600</v>
      </c>
      <c r="O153" s="81">
        <v>100</v>
      </c>
      <c r="P153" s="81">
        <v>8820</v>
      </c>
      <c r="Q153" s="81">
        <f t="shared" si="126"/>
        <v>974</v>
      </c>
      <c r="R153" s="81">
        <f t="shared" si="126"/>
        <v>76</v>
      </c>
      <c r="S153" s="83">
        <f t="shared" si="1"/>
        <v>20950</v>
      </c>
      <c r="T153" s="21">
        <v>42864</v>
      </c>
      <c r="U153" s="15">
        <v>487</v>
      </c>
      <c r="V153" s="15">
        <v>38</v>
      </c>
      <c r="W153" s="15">
        <v>487</v>
      </c>
      <c r="X153" s="15">
        <v>38</v>
      </c>
    </row>
    <row r="154" spans="1:24" x14ac:dyDescent="0.25">
      <c r="A154" s="99"/>
      <c r="B154" s="99"/>
      <c r="C154" s="100"/>
      <c r="D154" s="101"/>
      <c r="E154" s="101"/>
      <c r="F154" s="102"/>
      <c r="G154" s="100"/>
      <c r="H154" s="100"/>
      <c r="I154" s="100"/>
      <c r="J154" s="103"/>
      <c r="K154" s="103"/>
      <c r="L154" s="104"/>
      <c r="M154" s="76" t="s">
        <v>143</v>
      </c>
      <c r="N154" s="81">
        <v>8000</v>
      </c>
      <c r="O154" s="81">
        <v>100</v>
      </c>
      <c r="P154" s="81">
        <v>8130</v>
      </c>
      <c r="Q154" s="81">
        <f t="shared" si="126"/>
        <v>974</v>
      </c>
      <c r="R154" s="81">
        <f t="shared" si="126"/>
        <v>76</v>
      </c>
      <c r="S154" s="83">
        <f t="shared" si="1"/>
        <v>11950</v>
      </c>
      <c r="T154" s="21">
        <v>42865</v>
      </c>
      <c r="U154" s="15">
        <v>487</v>
      </c>
      <c r="V154" s="15">
        <v>38</v>
      </c>
      <c r="W154" s="15">
        <v>487</v>
      </c>
      <c r="X154" s="15">
        <v>38</v>
      </c>
    </row>
    <row r="155" spans="1:24" x14ac:dyDescent="0.25">
      <c r="A155" s="99"/>
      <c r="B155" s="99"/>
      <c r="C155" s="100"/>
      <c r="D155" s="101"/>
      <c r="E155" s="101"/>
      <c r="F155" s="102"/>
      <c r="G155" s="100"/>
      <c r="H155" s="100"/>
      <c r="I155" s="100"/>
      <c r="J155" s="103"/>
      <c r="K155" s="103"/>
      <c r="L155" s="104"/>
      <c r="M155" s="76" t="s">
        <v>143</v>
      </c>
      <c r="N155" s="81">
        <v>8270</v>
      </c>
      <c r="O155" s="81">
        <v>100</v>
      </c>
      <c r="P155" s="81">
        <v>8300</v>
      </c>
      <c r="Q155" s="81">
        <f t="shared" si="126"/>
        <v>949</v>
      </c>
      <c r="R155" s="81">
        <f t="shared" si="126"/>
        <v>74</v>
      </c>
      <c r="S155" s="83">
        <f t="shared" si="1"/>
        <v>1977</v>
      </c>
      <c r="T155" s="21">
        <v>42870</v>
      </c>
      <c r="U155" s="15">
        <v>487</v>
      </c>
      <c r="V155" s="15">
        <v>38</v>
      </c>
      <c r="W155" s="15">
        <v>462</v>
      </c>
      <c r="X155" s="15">
        <v>36</v>
      </c>
    </row>
    <row r="156" spans="1:24" x14ac:dyDescent="0.25">
      <c r="A156" s="99"/>
      <c r="B156" s="99"/>
      <c r="C156" s="100"/>
      <c r="D156" s="101"/>
      <c r="E156" s="101"/>
      <c r="F156" s="102"/>
      <c r="G156" s="100"/>
      <c r="H156" s="100"/>
      <c r="I156" s="100"/>
      <c r="J156" s="103"/>
      <c r="K156" s="103"/>
      <c r="L156" s="104"/>
      <c r="M156" s="76" t="s">
        <v>143</v>
      </c>
      <c r="N156" s="81">
        <v>7990</v>
      </c>
      <c r="O156" s="81">
        <v>100</v>
      </c>
      <c r="P156" s="81">
        <v>8050</v>
      </c>
      <c r="Q156" s="81">
        <f t="shared" si="126"/>
        <v>974</v>
      </c>
      <c r="R156" s="81">
        <f t="shared" si="126"/>
        <v>76</v>
      </c>
      <c r="S156" s="83">
        <f t="shared" si="1"/>
        <v>4950</v>
      </c>
      <c r="T156" s="21">
        <v>42871</v>
      </c>
      <c r="U156" s="15">
        <v>487</v>
      </c>
      <c r="V156" s="15">
        <v>38</v>
      </c>
      <c r="W156" s="15">
        <v>487</v>
      </c>
      <c r="X156" s="15">
        <v>38</v>
      </c>
    </row>
    <row r="157" spans="1:24" x14ac:dyDescent="0.25">
      <c r="A157" s="99"/>
      <c r="B157" s="99"/>
      <c r="C157" s="100"/>
      <c r="D157" s="101"/>
      <c r="E157" s="101"/>
      <c r="F157" s="102"/>
      <c r="G157" s="100"/>
      <c r="H157" s="100"/>
      <c r="I157" s="100"/>
      <c r="J157" s="103"/>
      <c r="K157" s="103"/>
      <c r="L157" s="104"/>
      <c r="M157" s="76" t="s">
        <v>143</v>
      </c>
      <c r="N157" s="81">
        <v>8110</v>
      </c>
      <c r="O157" s="81">
        <v>100</v>
      </c>
      <c r="P157" s="81">
        <v>8130</v>
      </c>
      <c r="Q157" s="81">
        <f t="shared" si="126"/>
        <v>974</v>
      </c>
      <c r="R157" s="81">
        <f t="shared" si="126"/>
        <v>76</v>
      </c>
      <c r="S157" s="83">
        <f t="shared" si="1"/>
        <v>950</v>
      </c>
      <c r="T157" s="21">
        <v>42872</v>
      </c>
      <c r="U157" s="15">
        <v>487</v>
      </c>
      <c r="V157" s="15">
        <v>38</v>
      </c>
      <c r="W157" s="15">
        <v>487</v>
      </c>
      <c r="X157" s="15">
        <v>38</v>
      </c>
    </row>
    <row r="158" spans="1:24" x14ac:dyDescent="0.25">
      <c r="A158" s="313" t="str">
        <f>IPO監視一覧!H28</f>
        <v>D</v>
      </c>
      <c r="B158" s="313" t="str">
        <f>IPO監視一覧!B28</f>
        <v>ウェーブロックHD</v>
      </c>
      <c r="C158" s="316">
        <f>IPO監視一覧!G28</f>
        <v>750</v>
      </c>
      <c r="D158" s="317">
        <v>0</v>
      </c>
      <c r="E158" s="322">
        <v>5266500</v>
      </c>
      <c r="F158" s="318">
        <f>IPO監視一覧!T28</f>
        <v>42835</v>
      </c>
      <c r="G158" s="316">
        <f>IPO監視一覧!U28</f>
        <v>721</v>
      </c>
      <c r="H158" s="319">
        <f>終値履歴!C28</f>
        <v>1134</v>
      </c>
      <c r="I158" s="319">
        <f>参加条件計算!C28</f>
        <v>261800</v>
      </c>
      <c r="J158" s="320">
        <f t="shared" si="110"/>
        <v>-2900</v>
      </c>
      <c r="K158" s="320">
        <f t="shared" si="77"/>
        <v>32909.904999999999</v>
      </c>
      <c r="L158" s="76">
        <f t="shared" ca="1" si="78"/>
        <v>66</v>
      </c>
      <c r="M158" s="76" t="s">
        <v>143</v>
      </c>
      <c r="N158" s="81">
        <v>1187</v>
      </c>
      <c r="O158" s="81">
        <v>300</v>
      </c>
      <c r="P158" s="81">
        <v>1208</v>
      </c>
      <c r="Q158" s="81">
        <f t="shared" si="126"/>
        <v>544</v>
      </c>
      <c r="R158" s="81">
        <f t="shared" si="126"/>
        <v>42</v>
      </c>
      <c r="S158" s="83">
        <f t="shared" si="1"/>
        <v>5714</v>
      </c>
      <c r="T158" s="21">
        <v>42886</v>
      </c>
      <c r="U158" s="15">
        <v>272</v>
      </c>
      <c r="V158" s="15">
        <v>21</v>
      </c>
      <c r="W158" s="15">
        <v>272</v>
      </c>
      <c r="X158" s="15">
        <v>21</v>
      </c>
    </row>
    <row r="159" spans="1:24" x14ac:dyDescent="0.25">
      <c r="A159" s="313"/>
      <c r="B159" s="313"/>
      <c r="C159" s="316"/>
      <c r="D159" s="317"/>
      <c r="E159" s="322"/>
      <c r="F159" s="318"/>
      <c r="G159" s="316"/>
      <c r="H159" s="319"/>
      <c r="I159" s="319"/>
      <c r="J159" s="320"/>
      <c r="K159" s="320"/>
      <c r="L159" s="76"/>
      <c r="M159" s="76" t="s">
        <v>143</v>
      </c>
      <c r="N159" s="77">
        <v>1179</v>
      </c>
      <c r="O159" s="77">
        <v>100</v>
      </c>
      <c r="P159" s="77">
        <v>1182</v>
      </c>
      <c r="Q159" s="77">
        <f t="shared" ref="Q159" si="127">U159+W159</f>
        <v>370</v>
      </c>
      <c r="R159" s="77">
        <f t="shared" ref="R159" si="128">V159+X159</f>
        <v>28</v>
      </c>
      <c r="S159" s="79">
        <f t="shared" ref="S159" si="129">(P159-N159)*O159-R159-Q159</f>
        <v>-98</v>
      </c>
      <c r="T159" s="21">
        <v>42887</v>
      </c>
      <c r="U159" s="15">
        <v>185</v>
      </c>
      <c r="V159" s="15">
        <v>14</v>
      </c>
      <c r="W159" s="15">
        <v>185</v>
      </c>
      <c r="X159" s="15">
        <v>14</v>
      </c>
    </row>
    <row r="160" spans="1:24" x14ac:dyDescent="0.25">
      <c r="A160" s="313" t="str">
        <f>IPO監視一覧!H29</f>
        <v>D</v>
      </c>
      <c r="B160" s="313" t="str">
        <f>IPO監視一覧!B29</f>
        <v>LIXILビバ</v>
      </c>
      <c r="C160" s="316">
        <f>IPO監視一覧!G29</f>
        <v>2050</v>
      </c>
      <c r="D160" s="317">
        <v>4720000</v>
      </c>
      <c r="E160" s="322">
        <v>14903800</v>
      </c>
      <c r="F160" s="318">
        <f>IPO監視一覧!T29</f>
        <v>42837</v>
      </c>
      <c r="G160" s="316">
        <f>IPO監視一覧!U29</f>
        <v>1947</v>
      </c>
      <c r="H160" s="319">
        <f>終値履歴!C29</f>
        <v>2003</v>
      </c>
      <c r="I160" s="319">
        <f>参加条件計算!C29</f>
        <v>60400</v>
      </c>
      <c r="J160" s="320">
        <f t="shared" si="110"/>
        <v>-10300</v>
      </c>
      <c r="K160" s="320">
        <f t="shared" si="77"/>
        <v>4462.3599999999997</v>
      </c>
      <c r="L160" s="76">
        <f t="shared" ca="1" si="78"/>
        <v>64</v>
      </c>
      <c r="M160" s="104"/>
      <c r="N160" s="121"/>
      <c r="O160" s="121"/>
      <c r="P160" s="121"/>
      <c r="Q160" s="121">
        <f t="shared" ref="Q160:R171" si="130">U160+W160</f>
        <v>0</v>
      </c>
      <c r="R160" s="121">
        <f t="shared" si="130"/>
        <v>0</v>
      </c>
      <c r="S160" s="106">
        <f t="shared" si="1"/>
        <v>0</v>
      </c>
    </row>
    <row r="161" spans="1:24" x14ac:dyDescent="0.25">
      <c r="A161" s="99" t="str">
        <f>IPO監視一覧!H30</f>
        <v>B</v>
      </c>
      <c r="B161" s="99" t="str">
        <f>IPO監視一覧!B30</f>
        <v>旅工房</v>
      </c>
      <c r="C161" s="100">
        <f>IPO監視一覧!G30</f>
        <v>1370</v>
      </c>
      <c r="D161" s="101">
        <v>450000</v>
      </c>
      <c r="E161" s="101">
        <v>110000</v>
      </c>
      <c r="F161" s="102">
        <f>IPO監視一覧!T30</f>
        <v>42843</v>
      </c>
      <c r="G161" s="100">
        <f>IPO監視一覧!U30</f>
        <v>3750</v>
      </c>
      <c r="H161" s="93">
        <f>終値履歴!C30</f>
        <v>3555</v>
      </c>
      <c r="I161" s="93">
        <f>参加条件計算!C30</f>
        <v>18300</v>
      </c>
      <c r="J161" s="103">
        <f t="shared" si="110"/>
        <v>189650.3</v>
      </c>
      <c r="K161" s="103">
        <f t="shared" si="77"/>
        <v>-19500</v>
      </c>
      <c r="L161" s="104">
        <f ca="1">NETWORKDAYS(F161,TODAY())</f>
        <v>60</v>
      </c>
      <c r="M161" s="76" t="s">
        <v>143</v>
      </c>
      <c r="N161" s="77">
        <v>5030</v>
      </c>
      <c r="O161" s="77">
        <v>100</v>
      </c>
      <c r="P161" s="77">
        <v>4670</v>
      </c>
      <c r="Q161" s="77">
        <f t="shared" si="130"/>
        <v>758</v>
      </c>
      <c r="R161" s="77">
        <f t="shared" si="130"/>
        <v>59</v>
      </c>
      <c r="S161" s="79">
        <f t="shared" si="1"/>
        <v>-36817</v>
      </c>
      <c r="T161" s="21">
        <v>42846</v>
      </c>
      <c r="U161" s="15">
        <v>487</v>
      </c>
      <c r="V161" s="15">
        <v>38</v>
      </c>
      <c r="W161" s="15">
        <v>271</v>
      </c>
      <c r="X161" s="15">
        <v>21</v>
      </c>
    </row>
    <row r="162" spans="1:24" x14ac:dyDescent="0.25">
      <c r="A162" s="99"/>
      <c r="B162" s="99"/>
      <c r="C162" s="100"/>
      <c r="D162" s="101"/>
      <c r="E162" s="101"/>
      <c r="F162" s="102"/>
      <c r="G162" s="100"/>
      <c r="H162" s="100"/>
      <c r="I162" s="100"/>
      <c r="J162" s="103"/>
      <c r="K162" s="103"/>
      <c r="L162" s="104"/>
      <c r="M162" s="76" t="s">
        <v>143</v>
      </c>
      <c r="N162" s="81">
        <v>4310</v>
      </c>
      <c r="O162" s="81">
        <v>100</v>
      </c>
      <c r="P162" s="81">
        <v>4345</v>
      </c>
      <c r="Q162" s="81">
        <f t="shared" si="130"/>
        <v>542</v>
      </c>
      <c r="R162" s="81">
        <f t="shared" si="130"/>
        <v>42</v>
      </c>
      <c r="S162" s="83">
        <f t="shared" si="1"/>
        <v>2916</v>
      </c>
      <c r="T162" s="21">
        <v>42849</v>
      </c>
      <c r="U162" s="15">
        <v>271</v>
      </c>
      <c r="V162" s="15">
        <v>21</v>
      </c>
      <c r="W162" s="15">
        <v>271</v>
      </c>
      <c r="X162" s="15">
        <v>21</v>
      </c>
    </row>
    <row r="163" spans="1:24" x14ac:dyDescent="0.25">
      <c r="A163" s="99"/>
      <c r="B163" s="99"/>
      <c r="C163" s="100"/>
      <c r="D163" s="101"/>
      <c r="E163" s="101"/>
      <c r="F163" s="102"/>
      <c r="G163" s="100"/>
      <c r="H163" s="100"/>
      <c r="I163" s="100"/>
      <c r="J163" s="103"/>
      <c r="K163" s="103"/>
      <c r="L163" s="104"/>
      <c r="M163" s="76" t="s">
        <v>143</v>
      </c>
      <c r="N163" s="81">
        <v>4385</v>
      </c>
      <c r="O163" s="81">
        <v>100</v>
      </c>
      <c r="P163" s="81">
        <v>4410</v>
      </c>
      <c r="Q163" s="81">
        <f t="shared" si="130"/>
        <v>542</v>
      </c>
      <c r="R163" s="81">
        <f t="shared" si="130"/>
        <v>42</v>
      </c>
      <c r="S163" s="83">
        <f t="shared" si="1"/>
        <v>1916</v>
      </c>
      <c r="T163" s="21">
        <v>42850</v>
      </c>
      <c r="U163" s="15">
        <v>271</v>
      </c>
      <c r="V163" s="15">
        <v>21</v>
      </c>
      <c r="W163" s="15">
        <v>271</v>
      </c>
      <c r="X163" s="15">
        <v>21</v>
      </c>
    </row>
    <row r="164" spans="1:24" x14ac:dyDescent="0.25">
      <c r="A164" s="99"/>
      <c r="B164" s="99"/>
      <c r="C164" s="100"/>
      <c r="D164" s="101"/>
      <c r="E164" s="101"/>
      <c r="F164" s="102"/>
      <c r="G164" s="100"/>
      <c r="H164" s="100"/>
      <c r="I164" s="100"/>
      <c r="J164" s="103"/>
      <c r="K164" s="103"/>
      <c r="L164" s="104"/>
      <c r="M164" s="76" t="s">
        <v>143</v>
      </c>
      <c r="N164" s="77">
        <v>5510</v>
      </c>
      <c r="O164" s="77">
        <v>300</v>
      </c>
      <c r="P164" s="77">
        <v>4620</v>
      </c>
      <c r="Q164" s="77">
        <f t="shared" si="130"/>
        <v>1503</v>
      </c>
      <c r="R164" s="77">
        <f t="shared" si="130"/>
        <v>119</v>
      </c>
      <c r="S164" s="79">
        <f t="shared" si="1"/>
        <v>-268622</v>
      </c>
      <c r="T164" s="21">
        <v>42851</v>
      </c>
      <c r="U164" s="15">
        <v>921</v>
      </c>
      <c r="V164" s="15">
        <v>73</v>
      </c>
      <c r="W164" s="15">
        <v>582</v>
      </c>
      <c r="X164" s="15">
        <v>46</v>
      </c>
    </row>
    <row r="165" spans="1:24" x14ac:dyDescent="0.25">
      <c r="A165" s="99"/>
      <c r="B165" s="99"/>
      <c r="C165" s="100"/>
      <c r="D165" s="101"/>
      <c r="E165" s="101"/>
      <c r="F165" s="102"/>
      <c r="G165" s="100"/>
      <c r="H165" s="100"/>
      <c r="I165" s="100"/>
      <c r="J165" s="103"/>
      <c r="K165" s="103"/>
      <c r="L165" s="104"/>
      <c r="M165" s="76" t="s">
        <v>143</v>
      </c>
      <c r="N165" s="81">
        <v>4235</v>
      </c>
      <c r="O165" s="81">
        <v>100</v>
      </c>
      <c r="P165" s="81">
        <v>4305</v>
      </c>
      <c r="Q165" s="81">
        <f t="shared" si="130"/>
        <v>542</v>
      </c>
      <c r="R165" s="81">
        <f t="shared" si="130"/>
        <v>42</v>
      </c>
      <c r="S165" s="83">
        <f t="shared" si="1"/>
        <v>6416</v>
      </c>
      <c r="T165" s="21">
        <v>42870</v>
      </c>
      <c r="U165" s="15">
        <v>271</v>
      </c>
      <c r="V165" s="15">
        <v>21</v>
      </c>
      <c r="W165" s="15">
        <v>271</v>
      </c>
      <c r="X165" s="15">
        <v>21</v>
      </c>
    </row>
    <row r="166" spans="1:24" x14ac:dyDescent="0.25">
      <c r="A166" s="99" t="str">
        <f>IPO監視一覧!H31</f>
        <v>A</v>
      </c>
      <c r="B166" s="99" t="str">
        <f>IPO監視一覧!B31</f>
        <v>アセンテック</v>
      </c>
      <c r="C166" s="100">
        <f>IPO監視一覧!G31</f>
        <v>2000</v>
      </c>
      <c r="D166" s="101">
        <v>120000</v>
      </c>
      <c r="E166" s="101">
        <v>290000</v>
      </c>
      <c r="F166" s="102">
        <f>IPO監視一覧!T31</f>
        <v>42850</v>
      </c>
      <c r="G166" s="100">
        <f>IPO監視一覧!U31</f>
        <v>5950</v>
      </c>
      <c r="H166" s="93">
        <f>終値履歴!C31</f>
        <v>5750</v>
      </c>
      <c r="I166" s="93">
        <f>参加条件計算!C29</f>
        <v>60400</v>
      </c>
      <c r="J166" s="103">
        <f t="shared" si="110"/>
        <v>314755.75</v>
      </c>
      <c r="K166" s="103">
        <f t="shared" si="77"/>
        <v>-20000</v>
      </c>
      <c r="L166" s="104">
        <f ca="1">NETWORKDAYS(F166,TODAY())</f>
        <v>55</v>
      </c>
      <c r="M166" s="76" t="s">
        <v>143</v>
      </c>
      <c r="N166" s="77">
        <f>(6990+6680)/2</f>
        <v>6835</v>
      </c>
      <c r="O166" s="77">
        <v>200</v>
      </c>
      <c r="P166" s="77">
        <v>6800</v>
      </c>
      <c r="Q166" s="77">
        <f t="shared" si="130"/>
        <v>1556</v>
      </c>
      <c r="R166" s="77">
        <f t="shared" si="130"/>
        <v>122</v>
      </c>
      <c r="S166" s="79">
        <f t="shared" si="1"/>
        <v>-8678</v>
      </c>
      <c r="T166" s="21">
        <v>42857</v>
      </c>
      <c r="U166" s="15">
        <f>487*2</f>
        <v>974</v>
      </c>
      <c r="V166" s="15">
        <f>38*2</f>
        <v>76</v>
      </c>
      <c r="W166" s="15">
        <v>582</v>
      </c>
      <c r="X166" s="15">
        <v>46</v>
      </c>
    </row>
    <row r="167" spans="1:24" x14ac:dyDescent="0.25">
      <c r="A167" s="99"/>
      <c r="B167" s="99"/>
      <c r="C167" s="100"/>
      <c r="D167" s="101"/>
      <c r="E167" s="101"/>
      <c r="F167" s="102"/>
      <c r="G167" s="100"/>
      <c r="H167" s="100"/>
      <c r="I167" s="100"/>
      <c r="J167" s="103"/>
      <c r="K167" s="103"/>
      <c r="L167" s="104"/>
      <c r="M167" s="76" t="s">
        <v>143</v>
      </c>
      <c r="N167" s="81">
        <v>6820</v>
      </c>
      <c r="O167" s="81">
        <v>100</v>
      </c>
      <c r="P167" s="81">
        <v>6850</v>
      </c>
      <c r="Q167" s="81">
        <f t="shared" si="130"/>
        <v>974</v>
      </c>
      <c r="R167" s="81">
        <f t="shared" si="130"/>
        <v>76</v>
      </c>
      <c r="S167" s="83">
        <f t="shared" ref="S167:S172" si="131">(P167-N167)*O167-R167-Q167</f>
        <v>1950</v>
      </c>
      <c r="T167" s="21">
        <v>42865</v>
      </c>
      <c r="U167" s="15">
        <v>487</v>
      </c>
      <c r="V167" s="15">
        <v>38</v>
      </c>
      <c r="W167" s="15">
        <v>487</v>
      </c>
      <c r="X167" s="15">
        <v>38</v>
      </c>
    </row>
    <row r="168" spans="1:24" x14ac:dyDescent="0.25">
      <c r="A168" s="99"/>
      <c r="B168" s="99"/>
      <c r="C168" s="100"/>
      <c r="D168" s="101"/>
      <c r="E168" s="101"/>
      <c r="F168" s="102"/>
      <c r="G168" s="100"/>
      <c r="H168" s="100"/>
      <c r="I168" s="100"/>
      <c r="J168" s="103"/>
      <c r="K168" s="103"/>
      <c r="L168" s="104"/>
      <c r="M168" s="76" t="s">
        <v>143</v>
      </c>
      <c r="N168" s="81">
        <v>8160</v>
      </c>
      <c r="O168" s="81">
        <v>100</v>
      </c>
      <c r="P168" s="81">
        <v>8220</v>
      </c>
      <c r="Q168" s="81">
        <f t="shared" si="130"/>
        <v>974</v>
      </c>
      <c r="R168" s="81">
        <f t="shared" si="130"/>
        <v>76</v>
      </c>
      <c r="S168" s="83">
        <f t="shared" si="131"/>
        <v>4950</v>
      </c>
      <c r="T168" s="21">
        <v>42870</v>
      </c>
      <c r="U168" s="15">
        <v>487</v>
      </c>
      <c r="V168" s="15">
        <v>38</v>
      </c>
      <c r="W168" s="15">
        <v>487</v>
      </c>
      <c r="X168" s="15">
        <v>38</v>
      </c>
    </row>
    <row r="169" spans="1:24" x14ac:dyDescent="0.25">
      <c r="A169" s="99"/>
      <c r="B169" s="99"/>
      <c r="C169" s="100"/>
      <c r="D169" s="101"/>
      <c r="E169" s="101"/>
      <c r="F169" s="102"/>
      <c r="G169" s="100"/>
      <c r="H169" s="100"/>
      <c r="I169" s="100"/>
      <c r="J169" s="103"/>
      <c r="K169" s="103"/>
      <c r="L169" s="104"/>
      <c r="M169" s="76" t="s">
        <v>143</v>
      </c>
      <c r="N169" s="81">
        <v>7630</v>
      </c>
      <c r="O169" s="81">
        <v>100</v>
      </c>
      <c r="P169" s="81">
        <v>7690</v>
      </c>
      <c r="Q169" s="81">
        <f t="shared" si="130"/>
        <v>974</v>
      </c>
      <c r="R169" s="81">
        <f t="shared" si="130"/>
        <v>76</v>
      </c>
      <c r="S169" s="83">
        <f t="shared" si="131"/>
        <v>4950</v>
      </c>
      <c r="T169" s="21">
        <v>42871</v>
      </c>
      <c r="U169" s="15">
        <v>487</v>
      </c>
      <c r="V169" s="15">
        <v>38</v>
      </c>
      <c r="W169" s="15">
        <v>487</v>
      </c>
      <c r="X169" s="15">
        <v>38</v>
      </c>
    </row>
    <row r="170" spans="1:24" x14ac:dyDescent="0.25">
      <c r="A170" s="99"/>
      <c r="B170" s="99"/>
      <c r="C170" s="100"/>
      <c r="D170" s="101"/>
      <c r="E170" s="101"/>
      <c r="F170" s="102"/>
      <c r="G170" s="100"/>
      <c r="H170" s="100"/>
      <c r="I170" s="100"/>
      <c r="J170" s="103"/>
      <c r="K170" s="103"/>
      <c r="L170" s="104"/>
      <c r="M170" s="76" t="s">
        <v>143</v>
      </c>
      <c r="N170" s="81">
        <v>7640</v>
      </c>
      <c r="O170" s="81">
        <v>100</v>
      </c>
      <c r="P170" s="81">
        <v>7660</v>
      </c>
      <c r="Q170" s="81">
        <f t="shared" si="130"/>
        <v>974</v>
      </c>
      <c r="R170" s="81">
        <f t="shared" si="130"/>
        <v>76</v>
      </c>
      <c r="S170" s="83">
        <f t="shared" si="131"/>
        <v>950</v>
      </c>
      <c r="T170" s="21">
        <v>42872</v>
      </c>
      <c r="U170" s="15">
        <v>487</v>
      </c>
      <c r="V170" s="15">
        <v>38</v>
      </c>
      <c r="W170" s="15">
        <v>487</v>
      </c>
      <c r="X170" s="15">
        <v>38</v>
      </c>
    </row>
    <row r="171" spans="1:24" x14ac:dyDescent="0.25">
      <c r="A171" s="99"/>
      <c r="B171" s="99"/>
      <c r="C171" s="100"/>
      <c r="D171" s="101"/>
      <c r="E171" s="101"/>
      <c r="F171" s="102"/>
      <c r="G171" s="100"/>
      <c r="H171" s="100"/>
      <c r="I171" s="100"/>
      <c r="J171" s="103"/>
      <c r="K171" s="103"/>
      <c r="L171" s="104"/>
      <c r="M171" s="76" t="s">
        <v>143</v>
      </c>
      <c r="N171" s="81">
        <v>7020</v>
      </c>
      <c r="O171" s="81">
        <v>100</v>
      </c>
      <c r="P171" s="81">
        <v>7050</v>
      </c>
      <c r="Q171" s="81">
        <f t="shared" si="130"/>
        <v>974</v>
      </c>
      <c r="R171" s="81">
        <f t="shared" si="130"/>
        <v>76</v>
      </c>
      <c r="S171" s="83">
        <f t="shared" si="131"/>
        <v>1950</v>
      </c>
      <c r="T171" s="21">
        <v>42873</v>
      </c>
      <c r="U171" s="15">
        <v>487</v>
      </c>
      <c r="V171" s="15">
        <v>38</v>
      </c>
      <c r="W171" s="15">
        <v>487</v>
      </c>
      <c r="X171" s="15">
        <v>38</v>
      </c>
    </row>
    <row r="172" spans="1:24" x14ac:dyDescent="0.25">
      <c r="A172" s="99" t="str">
        <f>IPO監視一覧!H32</f>
        <v>A</v>
      </c>
      <c r="B172" s="99" t="str">
        <f>IPO監視一覧!B32</f>
        <v>ビーブレイクシステムズ</v>
      </c>
      <c r="C172" s="100">
        <f>IPO監視一覧!G32</f>
        <v>1670</v>
      </c>
      <c r="D172" s="101">
        <v>250000</v>
      </c>
      <c r="E172" s="101">
        <v>62000</v>
      </c>
      <c r="F172" s="102">
        <f>IPO監視一覧!T32</f>
        <v>42901</v>
      </c>
      <c r="G172" s="100">
        <f>IPO監視一覧!U32</f>
        <v>7700</v>
      </c>
      <c r="H172" s="100">
        <f>終値履歴!C40</f>
        <v>5940</v>
      </c>
      <c r="I172" s="93">
        <f>参加条件計算!C40</f>
        <v>13300</v>
      </c>
      <c r="J172" s="103">
        <f t="shared" si="110"/>
        <v>480500.55</v>
      </c>
      <c r="K172" s="103">
        <f t="shared" si="77"/>
        <v>-176000</v>
      </c>
      <c r="L172" s="104">
        <f ca="1">NETWORKDAYS(F172,TODAY())</f>
        <v>18</v>
      </c>
      <c r="M172" s="76" t="s">
        <v>143</v>
      </c>
      <c r="N172" s="77">
        <v>7160</v>
      </c>
      <c r="O172" s="77">
        <v>100</v>
      </c>
      <c r="P172" s="77">
        <v>6770</v>
      </c>
      <c r="Q172" s="77">
        <f t="shared" ref="Q172" si="132">U172+W172</f>
        <v>974</v>
      </c>
      <c r="R172" s="77">
        <f t="shared" ref="R172" si="133">V172+X172</f>
        <v>76</v>
      </c>
      <c r="S172" s="79">
        <f t="shared" si="131"/>
        <v>-40050</v>
      </c>
      <c r="T172" s="21">
        <v>42905</v>
      </c>
      <c r="U172" s="15">
        <v>487</v>
      </c>
      <c r="V172" s="15">
        <v>38</v>
      </c>
      <c r="W172" s="15">
        <v>487</v>
      </c>
      <c r="X172" s="15">
        <v>38</v>
      </c>
    </row>
    <row r="173" spans="1:24" x14ac:dyDescent="0.25">
      <c r="A173" s="99" t="str">
        <f>IPO監視一覧!H33</f>
        <v>A</v>
      </c>
      <c r="B173" s="99" t="str">
        <f>IPO監視一覧!B33</f>
        <v>ディーエムソリューションズ</v>
      </c>
      <c r="C173" s="100">
        <f>IPO監視一覧!G33</f>
        <v>2500</v>
      </c>
      <c r="D173" s="101">
        <v>100000</v>
      </c>
      <c r="E173" s="101">
        <v>97000</v>
      </c>
      <c r="F173" s="102">
        <f>IPO監視一覧!T33</f>
        <v>42906</v>
      </c>
      <c r="G173" s="100">
        <f>IPO監視一覧!U33</f>
        <v>7100</v>
      </c>
      <c r="H173" s="100">
        <f>終値履歴!C41</f>
        <v>5760</v>
      </c>
      <c r="I173" s="93">
        <f>参加条件計算!C41</f>
        <v>9300</v>
      </c>
      <c r="J173" s="103">
        <f t="shared" si="110"/>
        <v>366551</v>
      </c>
      <c r="K173" s="103">
        <f t="shared" si="77"/>
        <v>-134000</v>
      </c>
      <c r="L173" s="104">
        <f ca="1">NETWORKDAYS(F173,TODAY())</f>
        <v>15</v>
      </c>
      <c r="M173" s="104"/>
      <c r="N173" s="121"/>
      <c r="O173" s="121"/>
      <c r="P173" s="121"/>
      <c r="Q173" s="121"/>
      <c r="R173" s="121"/>
      <c r="S173" s="106">
        <f>(P173-N173)*O173-R173-Q173</f>
        <v>0</v>
      </c>
    </row>
    <row r="174" spans="1:24" x14ac:dyDescent="0.25">
      <c r="A174" s="99" t="str">
        <f>IPO監視一覧!H34</f>
        <v>A</v>
      </c>
      <c r="B174" s="99" t="str">
        <f>IPO監視一覧!B34</f>
        <v>エコモット</v>
      </c>
      <c r="C174" s="100">
        <f>IPO監視一覧!G34</f>
        <v>2730</v>
      </c>
      <c r="D174" s="101">
        <v>12000</v>
      </c>
      <c r="E174" s="370">
        <v>150000</v>
      </c>
      <c r="F174" s="102">
        <f>IPO監視一覧!T34</f>
        <v>42907</v>
      </c>
      <c r="G174" s="100">
        <f>IPO監視一覧!U34</f>
        <v>4195</v>
      </c>
      <c r="H174" s="100">
        <f>終値履歴!C42</f>
        <v>3810</v>
      </c>
      <c r="I174" s="93">
        <f>参加条件計算!C42</f>
        <v>4900</v>
      </c>
      <c r="J174" s="103">
        <f t="shared" si="110"/>
        <v>116738.52499999999</v>
      </c>
      <c r="K174" s="103">
        <f t="shared" si="77"/>
        <v>-38500</v>
      </c>
      <c r="L174" s="104">
        <f ca="1">NETWORKDAYS(F174,TODAY())</f>
        <v>14</v>
      </c>
      <c r="M174" s="104"/>
      <c r="N174" s="121"/>
      <c r="O174" s="121"/>
      <c r="P174" s="121"/>
      <c r="Q174" s="121"/>
      <c r="R174" s="121"/>
      <c r="S174" s="106">
        <f>(P174-N174)*O174-R174-Q174</f>
        <v>0</v>
      </c>
      <c r="T174" s="66"/>
      <c r="U174" s="66"/>
      <c r="V174" s="66"/>
      <c r="W174" s="66"/>
      <c r="X174" s="66"/>
    </row>
    <row r="175" spans="1:24" x14ac:dyDescent="0.25">
      <c r="A175" s="99" t="str">
        <f>IPO監視一覧!H35</f>
        <v>B</v>
      </c>
      <c r="B175" s="99" t="str">
        <f>IPO監視一覧!B35</f>
        <v>Fringe81</v>
      </c>
      <c r="C175" s="100">
        <f>IPO監視一覧!G35</f>
        <v>2600</v>
      </c>
      <c r="D175" s="101">
        <v>108800</v>
      </c>
      <c r="E175" s="101">
        <v>151300</v>
      </c>
      <c r="F175" s="102">
        <f>IPO監視一覧!T35</f>
        <v>42913</v>
      </c>
      <c r="G175" s="100">
        <f>IPO監視一覧!U35</f>
        <v>6060</v>
      </c>
      <c r="H175" s="100">
        <f>終値履歴!C43</f>
        <v>5900</v>
      </c>
      <c r="I175" s="93">
        <f>参加条件計算!C43</f>
        <v>137000</v>
      </c>
      <c r="J175" s="103">
        <f t="shared" ref="J175:J176" si="134">IF((G175-C175)&gt;0,(G175-C175)*100*0.79685,(G175-C175)*100)</f>
        <v>275710.09999999998</v>
      </c>
      <c r="K175" s="103">
        <f t="shared" ref="K175:K176" si="135">IF((H175-G175)&gt;0,(H175-G175)*100*0.79685,(H175-G175)*100)</f>
        <v>-16000</v>
      </c>
      <c r="L175" s="104">
        <f t="shared" ref="L175:L176" ca="1" si="136">NETWORKDAYS(F175,TODAY())</f>
        <v>10</v>
      </c>
      <c r="M175" s="104"/>
      <c r="N175" s="121"/>
      <c r="O175" s="121"/>
      <c r="P175" s="121"/>
      <c r="Q175" s="121"/>
      <c r="R175" s="121"/>
      <c r="S175" s="106">
        <f t="shared" ref="S175:S176" si="137">(P175-N175)*O175-R175-Q175</f>
        <v>0</v>
      </c>
      <c r="T175" s="66"/>
      <c r="U175" s="66"/>
      <c r="V175" s="66"/>
      <c r="W175" s="66"/>
      <c r="X175" s="66"/>
    </row>
    <row r="176" spans="1:24" x14ac:dyDescent="0.25">
      <c r="A176" s="99" t="str">
        <f>IPO監視一覧!H36</f>
        <v>B</v>
      </c>
      <c r="B176" s="99" t="str">
        <f>IPO監視一覧!B36</f>
        <v>ツナグ・ソリューションズ</v>
      </c>
      <c r="C176" s="100">
        <f>IPO監視一覧!G36</f>
        <v>2130</v>
      </c>
      <c r="D176" s="101">
        <v>270000</v>
      </c>
      <c r="E176" s="101">
        <v>180000</v>
      </c>
      <c r="F176" s="102">
        <f>IPO監視一覧!T36</f>
        <v>42916</v>
      </c>
      <c r="G176" s="100">
        <f>IPO監視一覧!U36</f>
        <v>4515</v>
      </c>
      <c r="H176" s="100">
        <f>終値履歴!C46</f>
        <v>5540</v>
      </c>
      <c r="I176" s="93">
        <f>参加条件計算!C46</f>
        <v>75600</v>
      </c>
      <c r="J176" s="103">
        <f t="shared" si="134"/>
        <v>190048.72499999998</v>
      </c>
      <c r="K176" s="103">
        <f t="shared" si="135"/>
        <v>81677.125</v>
      </c>
      <c r="L176" s="104">
        <f t="shared" ca="1" si="136"/>
        <v>7</v>
      </c>
      <c r="M176" s="104"/>
      <c r="N176" s="121"/>
      <c r="O176" s="121"/>
      <c r="P176" s="121"/>
      <c r="Q176" s="121"/>
      <c r="R176" s="121"/>
      <c r="S176" s="106">
        <f t="shared" si="137"/>
        <v>0</v>
      </c>
      <c r="T176" s="66"/>
      <c r="U176" s="66"/>
      <c r="V176" s="66"/>
      <c r="W176" s="66"/>
      <c r="X176" s="66"/>
    </row>
    <row r="177" spans="1:24" x14ac:dyDescent="0.25">
      <c r="A177" s="99" t="str">
        <f>IPO監視一覧!H37</f>
        <v>B</v>
      </c>
      <c r="B177" s="99" t="str">
        <f>IPO監視一覧!B37</f>
        <v>ＳＹＳホールディングス</v>
      </c>
      <c r="C177" s="100">
        <f>IPO監視一覧!G37</f>
        <v>2560</v>
      </c>
      <c r="D177" s="101">
        <v>200000</v>
      </c>
      <c r="E177" s="101">
        <v>100000</v>
      </c>
      <c r="F177" s="102">
        <f>IPO監視一覧!T37</f>
        <v>42916</v>
      </c>
      <c r="G177" s="100">
        <f>IPO監視一覧!U37</f>
        <v>5530</v>
      </c>
      <c r="H177" s="100">
        <f>終値履歴!C47</f>
        <v>4240</v>
      </c>
      <c r="I177" s="93">
        <f>参加条件計算!C47</f>
        <v>30400</v>
      </c>
      <c r="J177" s="103">
        <f t="shared" ref="J177:J180" si="138">IF((G177-C177)&gt;0,(G177-C177)*100*0.79685,(G177-C177)*100)</f>
        <v>236664.44999999998</v>
      </c>
      <c r="K177" s="103">
        <f t="shared" ref="K177:K180" si="139">IF((H177-G177)&gt;0,(H177-G177)*100*0.79685,(H177-G177)*100)</f>
        <v>-129000</v>
      </c>
      <c r="L177" s="104">
        <f t="shared" ref="L177:L180" ca="1" si="140">NETWORKDAYS(F177,TODAY())</f>
        <v>7</v>
      </c>
      <c r="M177" s="104"/>
      <c r="N177" s="121"/>
      <c r="O177" s="121"/>
      <c r="P177" s="121"/>
      <c r="Q177" s="121"/>
      <c r="R177" s="121"/>
      <c r="S177" s="106">
        <f t="shared" ref="S177:S180" si="141">(P177-N177)*O177-R177-Q177</f>
        <v>0</v>
      </c>
      <c r="T177" s="66"/>
      <c r="U177" s="66"/>
      <c r="V177" s="66"/>
      <c r="W177" s="66"/>
      <c r="X177" s="66"/>
    </row>
    <row r="178" spans="1:24" x14ac:dyDescent="0.25">
      <c r="A178" s="99" t="str">
        <f>IPO監視一覧!H38</f>
        <v>B</v>
      </c>
      <c r="B178" s="99" t="str">
        <f>IPO監視一覧!B38</f>
        <v>GameWith</v>
      </c>
      <c r="C178" s="100">
        <f>IPO監視一覧!G38</f>
        <v>1920</v>
      </c>
      <c r="D178" s="101">
        <v>50000</v>
      </c>
      <c r="E178" s="101">
        <v>683400</v>
      </c>
      <c r="F178" s="102">
        <f>IPO監視一覧!T38</f>
        <v>42916</v>
      </c>
      <c r="G178" s="100">
        <f>IPO監視一覧!U38</f>
        <v>4490</v>
      </c>
      <c r="H178" s="100">
        <f>終値履歴!C48</f>
        <v>4000</v>
      </c>
      <c r="I178" s="93">
        <f>参加条件計算!C48</f>
        <v>170800</v>
      </c>
      <c r="J178" s="103">
        <f t="shared" si="138"/>
        <v>204790.44999999998</v>
      </c>
      <c r="K178" s="103">
        <f t="shared" si="139"/>
        <v>-49000</v>
      </c>
      <c r="L178" s="104">
        <f t="shared" ca="1" si="140"/>
        <v>7</v>
      </c>
      <c r="M178" s="104"/>
      <c r="N178" s="121"/>
      <c r="O178" s="121"/>
      <c r="P178" s="121"/>
      <c r="Q178" s="121"/>
      <c r="R178" s="121"/>
      <c r="S178" s="106">
        <f t="shared" si="141"/>
        <v>0</v>
      </c>
      <c r="T178" s="66"/>
      <c r="U178" s="66"/>
      <c r="V178" s="66"/>
      <c r="W178" s="66"/>
      <c r="X178" s="66"/>
    </row>
    <row r="179" spans="1:24" x14ac:dyDescent="0.25">
      <c r="A179" s="99" t="str">
        <f>IPO監視一覧!H39</f>
        <v>B</v>
      </c>
      <c r="B179" s="122" t="str">
        <f>IPO監視一覧!B39</f>
        <v>ソウルドアウト</v>
      </c>
      <c r="C179" s="123">
        <f>IPO監視一覧!G39</f>
        <v>1200</v>
      </c>
      <c r="D179" s="124">
        <v>410000</v>
      </c>
      <c r="E179" s="124">
        <v>1914000</v>
      </c>
      <c r="F179" s="125">
        <f>IPO監視一覧!T39</f>
        <v>42928</v>
      </c>
      <c r="G179" s="123">
        <f>IPO監視一覧!U39</f>
        <v>0</v>
      </c>
      <c r="H179" s="123"/>
      <c r="I179" s="123"/>
      <c r="J179" s="126">
        <f t="shared" si="138"/>
        <v>-120000</v>
      </c>
      <c r="K179" s="126">
        <f t="shared" si="139"/>
        <v>0</v>
      </c>
      <c r="L179" s="127">
        <f t="shared" ca="1" si="140"/>
        <v>-3</v>
      </c>
      <c r="M179" s="127"/>
      <c r="N179" s="128"/>
      <c r="O179" s="128"/>
      <c r="P179" s="128"/>
      <c r="Q179" s="128"/>
      <c r="R179" s="128"/>
      <c r="S179" s="106">
        <f t="shared" si="141"/>
        <v>0</v>
      </c>
      <c r="T179" s="66"/>
      <c r="U179" s="66"/>
      <c r="V179" s="66"/>
      <c r="W179" s="66"/>
      <c r="X179" s="66"/>
    </row>
    <row r="180" spans="1:24" x14ac:dyDescent="0.25">
      <c r="A180" s="99" t="str">
        <f>IPO監視一覧!H40</f>
        <v>B</v>
      </c>
      <c r="B180" s="122" t="str">
        <f>IPO監視一覧!B40</f>
        <v>ユニフォームネクスト</v>
      </c>
      <c r="C180" s="123">
        <f>IPO監視一覧!G40</f>
        <v>2800</v>
      </c>
      <c r="D180" s="124">
        <v>200000</v>
      </c>
      <c r="E180" s="124">
        <v>0</v>
      </c>
      <c r="F180" s="125">
        <f>IPO監視一覧!T40</f>
        <v>42935</v>
      </c>
      <c r="G180" s="123">
        <f>IPO監視一覧!U40</f>
        <v>0</v>
      </c>
      <c r="H180" s="123"/>
      <c r="I180" s="123"/>
      <c r="J180" s="126">
        <f t="shared" si="138"/>
        <v>-280000</v>
      </c>
      <c r="K180" s="126">
        <f t="shared" si="139"/>
        <v>0</v>
      </c>
      <c r="L180" s="127">
        <f t="shared" ca="1" si="140"/>
        <v>-8</v>
      </c>
      <c r="M180" s="127"/>
      <c r="N180" s="128"/>
      <c r="O180" s="128"/>
      <c r="P180" s="128"/>
      <c r="Q180" s="128"/>
      <c r="R180" s="128"/>
      <c r="S180" s="106">
        <f t="shared" si="141"/>
        <v>0</v>
      </c>
      <c r="T180" s="66"/>
      <c r="U180" s="66"/>
      <c r="V180" s="66"/>
      <c r="W180" s="66"/>
      <c r="X180" s="66"/>
    </row>
    <row r="181" spans="1:24" x14ac:dyDescent="0.25">
      <c r="A181" s="99" t="str">
        <f>IPO監視一覧!H41</f>
        <v>D</v>
      </c>
      <c r="B181" s="122" t="str">
        <f>IPO監視一覧!B41</f>
        <v>ジェイ・エス・ビー</v>
      </c>
      <c r="C181" s="123">
        <f>IPO監視一覧!G41</f>
        <v>3200</v>
      </c>
      <c r="D181" s="124">
        <v>333500</v>
      </c>
      <c r="E181" s="124">
        <v>117200</v>
      </c>
      <c r="F181" s="125">
        <f>IPO監視一覧!T41</f>
        <v>42936</v>
      </c>
      <c r="G181" s="123">
        <f>IPO監視一覧!U41</f>
        <v>0</v>
      </c>
      <c r="H181" s="123"/>
      <c r="I181" s="123"/>
      <c r="J181" s="126">
        <f t="shared" ref="J181:J184" si="142">IF((G181-C181)&gt;0,(G181-C181)*100*0.79685,(G181-C181)*100)</f>
        <v>-320000</v>
      </c>
      <c r="K181" s="126">
        <f t="shared" ref="K181:K184" si="143">IF((H181-G181)&gt;0,(H181-G181)*100*0.79685,(H181-G181)*100)</f>
        <v>0</v>
      </c>
      <c r="L181" s="127">
        <f t="shared" ref="L181:L184" ca="1" si="144">NETWORKDAYS(F181,TODAY())</f>
        <v>-9</v>
      </c>
      <c r="M181" s="127"/>
      <c r="N181" s="128"/>
      <c r="O181" s="128"/>
      <c r="P181" s="128"/>
      <c r="Q181" s="128"/>
      <c r="R181" s="128"/>
      <c r="S181" s="106">
        <f t="shared" ref="S181:S184" si="145">(P181-N181)*O181-R181-Q181</f>
        <v>0</v>
      </c>
      <c r="T181" s="66"/>
      <c r="U181" s="66"/>
      <c r="V181" s="66"/>
      <c r="W181" s="66"/>
      <c r="X181" s="66"/>
    </row>
    <row r="182" spans="1:24" x14ac:dyDescent="0.25">
      <c r="A182" s="99" t="str">
        <f>IPO監視一覧!H42</f>
        <v>C</v>
      </c>
      <c r="B182" s="122" t="str">
        <f>IPO監視一覧!B42</f>
        <v>クロスフォー</v>
      </c>
      <c r="C182" s="123">
        <f>IPO監視一覧!G42</f>
        <v>730</v>
      </c>
      <c r="D182" s="124">
        <v>1500000</v>
      </c>
      <c r="E182" s="124">
        <v>0</v>
      </c>
      <c r="F182" s="125">
        <f>IPO監視一覧!T42</f>
        <v>42936</v>
      </c>
      <c r="G182" s="123">
        <f>IPO監視一覧!U42</f>
        <v>0</v>
      </c>
      <c r="H182" s="123"/>
      <c r="I182" s="123"/>
      <c r="J182" s="126">
        <f t="shared" si="142"/>
        <v>-73000</v>
      </c>
      <c r="K182" s="126">
        <f t="shared" si="143"/>
        <v>0</v>
      </c>
      <c r="L182" s="127">
        <f t="shared" ca="1" si="144"/>
        <v>-9</v>
      </c>
      <c r="M182" s="127"/>
      <c r="N182" s="128"/>
      <c r="O182" s="128"/>
      <c r="P182" s="128"/>
      <c r="Q182" s="128"/>
      <c r="R182" s="128"/>
      <c r="S182" s="106">
        <f t="shared" si="145"/>
        <v>0</v>
      </c>
      <c r="T182" s="66"/>
      <c r="U182" s="66"/>
      <c r="V182" s="66"/>
      <c r="W182" s="66"/>
      <c r="X182" s="66"/>
    </row>
    <row r="183" spans="1:24" x14ac:dyDescent="0.25">
      <c r="A183" s="99">
        <f>IPO監視一覧!H43</f>
        <v>0</v>
      </c>
      <c r="B183" s="122" t="str">
        <f>IPO監視一覧!B43</f>
        <v>シェアリングテクノロジー</v>
      </c>
      <c r="C183" s="123">
        <f>IPO監視一覧!G43</f>
        <v>0</v>
      </c>
      <c r="D183" s="124">
        <v>600000</v>
      </c>
      <c r="E183" s="124">
        <v>600000</v>
      </c>
      <c r="F183" s="125">
        <f>IPO監視一覧!T43</f>
        <v>42950</v>
      </c>
      <c r="G183" s="123">
        <f>IPO監視一覧!U43</f>
        <v>0</v>
      </c>
      <c r="H183" s="123"/>
      <c r="I183" s="123"/>
      <c r="J183" s="126">
        <f t="shared" si="142"/>
        <v>0</v>
      </c>
      <c r="K183" s="126">
        <f t="shared" si="143"/>
        <v>0</v>
      </c>
      <c r="L183" s="127">
        <f t="shared" ca="1" si="144"/>
        <v>-19</v>
      </c>
      <c r="M183" s="127"/>
      <c r="N183" s="128"/>
      <c r="O183" s="128"/>
      <c r="P183" s="128"/>
      <c r="Q183" s="128"/>
      <c r="R183" s="128"/>
      <c r="S183" s="106">
        <f t="shared" si="145"/>
        <v>0</v>
      </c>
      <c r="T183" s="66"/>
      <c r="U183" s="66"/>
      <c r="V183" s="66"/>
      <c r="W183" s="66"/>
      <c r="X183" s="66"/>
    </row>
    <row r="184" spans="1:24" x14ac:dyDescent="0.25">
      <c r="A184" s="99">
        <f>IPO監視一覧!H44</f>
        <v>0</v>
      </c>
      <c r="B184" s="122" t="str">
        <f>IPO監視一覧!B44</f>
        <v>トランザス</v>
      </c>
      <c r="C184" s="123">
        <f>IPO監視一覧!G44</f>
        <v>0</v>
      </c>
      <c r="D184" s="124">
        <v>380000</v>
      </c>
      <c r="E184" s="124">
        <v>360000</v>
      </c>
      <c r="F184" s="125">
        <f>IPO監視一覧!T44</f>
        <v>42956</v>
      </c>
      <c r="G184" s="123">
        <f>IPO監視一覧!U44</f>
        <v>0</v>
      </c>
      <c r="H184" s="123"/>
      <c r="I184" s="123"/>
      <c r="J184" s="126">
        <f t="shared" si="142"/>
        <v>0</v>
      </c>
      <c r="K184" s="126">
        <f t="shared" si="143"/>
        <v>0</v>
      </c>
      <c r="L184" s="127">
        <f t="shared" ca="1" si="144"/>
        <v>-23</v>
      </c>
      <c r="M184" s="127"/>
      <c r="N184" s="128"/>
      <c r="O184" s="128"/>
      <c r="P184" s="128"/>
      <c r="Q184" s="128"/>
      <c r="R184" s="128"/>
      <c r="S184" s="106">
        <f t="shared" si="145"/>
        <v>0</v>
      </c>
      <c r="T184" s="66"/>
      <c r="U184" s="66"/>
      <c r="V184" s="66"/>
      <c r="W184" s="66"/>
      <c r="X184" s="66"/>
    </row>
    <row r="185" spans="1:24" x14ac:dyDescent="0.25">
      <c r="A185" s="99">
        <f>IPO監視一覧!H45</f>
        <v>0</v>
      </c>
      <c r="B185" s="122">
        <f>IPO監視一覧!B45</f>
        <v>0</v>
      </c>
      <c r="C185" s="123">
        <f>IPO監視一覧!G45</f>
        <v>0</v>
      </c>
      <c r="D185" s="124"/>
      <c r="E185" s="124"/>
      <c r="F185" s="125">
        <f>IPO監視一覧!T45</f>
        <v>0</v>
      </c>
      <c r="G185" s="123">
        <f>IPO監視一覧!U45</f>
        <v>0</v>
      </c>
      <c r="H185" s="123"/>
      <c r="I185" s="123"/>
      <c r="J185" s="126">
        <f t="shared" ref="J185:J191" si="146">IF((G185-C185)&gt;0,(G185-C185)*100*0.79685,(G185-C185)*100)</f>
        <v>0</v>
      </c>
      <c r="K185" s="126">
        <f t="shared" ref="K185:K191" si="147">IF((H185-G185)&gt;0,(H185-G185)*100*0.79685,(H185-G185)*100)</f>
        <v>0</v>
      </c>
      <c r="L185" s="127">
        <f t="shared" ref="L185:L191" ca="1" si="148">NETWORKDAYS(F185,TODAY())</f>
        <v>30661</v>
      </c>
      <c r="M185" s="127"/>
      <c r="N185" s="128"/>
      <c r="O185" s="128"/>
      <c r="P185" s="128"/>
      <c r="Q185" s="128"/>
      <c r="R185" s="128"/>
      <c r="S185" s="106">
        <f t="shared" ref="S185:S191" si="149">(P185-N185)*O185-R185-Q185</f>
        <v>0</v>
      </c>
      <c r="T185" s="66"/>
      <c r="U185" s="66"/>
      <c r="V185" s="66"/>
      <c r="W185" s="66"/>
      <c r="X185" s="66"/>
    </row>
    <row r="186" spans="1:24" x14ac:dyDescent="0.25">
      <c r="A186" s="99">
        <f>IPO監視一覧!H46</f>
        <v>0</v>
      </c>
      <c r="B186" s="122">
        <f>IPO監視一覧!B46</f>
        <v>0</v>
      </c>
      <c r="C186" s="123">
        <f>IPO監視一覧!G46</f>
        <v>0</v>
      </c>
      <c r="D186" s="124"/>
      <c r="E186" s="124"/>
      <c r="F186" s="125">
        <f>IPO監視一覧!T46</f>
        <v>0</v>
      </c>
      <c r="G186" s="123">
        <f>IPO監視一覧!U46</f>
        <v>0</v>
      </c>
      <c r="H186" s="123"/>
      <c r="I186" s="123"/>
      <c r="J186" s="126">
        <f t="shared" si="146"/>
        <v>0</v>
      </c>
      <c r="K186" s="126">
        <f t="shared" si="147"/>
        <v>0</v>
      </c>
      <c r="L186" s="127">
        <f t="shared" ca="1" si="148"/>
        <v>30661</v>
      </c>
      <c r="M186" s="127"/>
      <c r="N186" s="128"/>
      <c r="O186" s="128"/>
      <c r="P186" s="128"/>
      <c r="Q186" s="128"/>
      <c r="R186" s="128"/>
      <c r="S186" s="106">
        <f t="shared" si="149"/>
        <v>0</v>
      </c>
      <c r="T186" s="66"/>
      <c r="U186" s="66"/>
      <c r="V186" s="66"/>
      <c r="W186" s="66"/>
      <c r="X186" s="66"/>
    </row>
    <row r="187" spans="1:24" x14ac:dyDescent="0.25">
      <c r="A187" s="99">
        <f>IPO監視一覧!H47</f>
        <v>0</v>
      </c>
      <c r="B187" s="122">
        <f>IPO監視一覧!B47</f>
        <v>0</v>
      </c>
      <c r="C187" s="123">
        <f>IPO監視一覧!G47</f>
        <v>0</v>
      </c>
      <c r="D187" s="124"/>
      <c r="E187" s="124"/>
      <c r="F187" s="125">
        <f>IPO監視一覧!T47</f>
        <v>0</v>
      </c>
      <c r="G187" s="123">
        <f>IPO監視一覧!U47</f>
        <v>0</v>
      </c>
      <c r="H187" s="123"/>
      <c r="I187" s="123"/>
      <c r="J187" s="126">
        <f t="shared" si="146"/>
        <v>0</v>
      </c>
      <c r="K187" s="126">
        <f t="shared" si="147"/>
        <v>0</v>
      </c>
      <c r="L187" s="127">
        <f t="shared" ca="1" si="148"/>
        <v>30661</v>
      </c>
      <c r="M187" s="127"/>
      <c r="N187" s="128"/>
      <c r="O187" s="128"/>
      <c r="P187" s="128"/>
      <c r="Q187" s="128"/>
      <c r="R187" s="128"/>
      <c r="S187" s="106">
        <f t="shared" si="149"/>
        <v>0</v>
      </c>
      <c r="T187" s="66"/>
      <c r="U187" s="66"/>
      <c r="V187" s="66"/>
      <c r="W187" s="66"/>
      <c r="X187" s="66"/>
    </row>
    <row r="188" spans="1:24" x14ac:dyDescent="0.25">
      <c r="A188" s="99">
        <f>IPO監視一覧!H48</f>
        <v>0</v>
      </c>
      <c r="B188" s="122">
        <f>IPO監視一覧!B48</f>
        <v>0</v>
      </c>
      <c r="C188" s="123">
        <f>IPO監視一覧!G48</f>
        <v>0</v>
      </c>
      <c r="D188" s="124"/>
      <c r="E188" s="124"/>
      <c r="F188" s="125">
        <f>IPO監視一覧!T48</f>
        <v>0</v>
      </c>
      <c r="G188" s="123">
        <f>IPO監視一覧!U48</f>
        <v>0</v>
      </c>
      <c r="H188" s="123"/>
      <c r="I188" s="123"/>
      <c r="J188" s="126">
        <f t="shared" si="146"/>
        <v>0</v>
      </c>
      <c r="K188" s="126">
        <f t="shared" si="147"/>
        <v>0</v>
      </c>
      <c r="L188" s="127">
        <f t="shared" ca="1" si="148"/>
        <v>30661</v>
      </c>
      <c r="M188" s="127"/>
      <c r="N188" s="128"/>
      <c r="O188" s="128"/>
      <c r="P188" s="128"/>
      <c r="Q188" s="128"/>
      <c r="R188" s="128"/>
      <c r="S188" s="106">
        <f t="shared" si="149"/>
        <v>0</v>
      </c>
      <c r="T188" s="66"/>
      <c r="U188" s="66"/>
      <c r="V188" s="66"/>
      <c r="W188" s="66"/>
      <c r="X188" s="66"/>
    </row>
    <row r="189" spans="1:24" x14ac:dyDescent="0.25">
      <c r="A189" s="99">
        <f>IPO監視一覧!H49</f>
        <v>0</v>
      </c>
      <c r="B189" s="122">
        <f>IPO監視一覧!B49</f>
        <v>0</v>
      </c>
      <c r="C189" s="123">
        <f>IPO監視一覧!G49</f>
        <v>0</v>
      </c>
      <c r="D189" s="124"/>
      <c r="E189" s="124"/>
      <c r="F189" s="125">
        <f>IPO監視一覧!T49</f>
        <v>0</v>
      </c>
      <c r="G189" s="123">
        <f>IPO監視一覧!U49</f>
        <v>0</v>
      </c>
      <c r="H189" s="123"/>
      <c r="I189" s="123"/>
      <c r="J189" s="126">
        <f t="shared" si="146"/>
        <v>0</v>
      </c>
      <c r="K189" s="126">
        <f t="shared" si="147"/>
        <v>0</v>
      </c>
      <c r="L189" s="127">
        <f t="shared" ca="1" si="148"/>
        <v>30661</v>
      </c>
      <c r="M189" s="127"/>
      <c r="N189" s="128"/>
      <c r="O189" s="128"/>
      <c r="P189" s="128"/>
      <c r="Q189" s="128"/>
      <c r="R189" s="128"/>
      <c r="S189" s="106">
        <f t="shared" si="149"/>
        <v>0</v>
      </c>
      <c r="T189" s="66"/>
      <c r="U189" s="66"/>
      <c r="V189" s="66"/>
      <c r="W189" s="66"/>
      <c r="X189" s="66"/>
    </row>
    <row r="190" spans="1:24" x14ac:dyDescent="0.25">
      <c r="A190" s="99">
        <f>IPO監視一覧!H50</f>
        <v>0</v>
      </c>
      <c r="B190" s="122">
        <f>IPO監視一覧!B50</f>
        <v>0</v>
      </c>
      <c r="C190" s="123">
        <f>IPO監視一覧!G50</f>
        <v>0</v>
      </c>
      <c r="D190" s="124"/>
      <c r="E190" s="124"/>
      <c r="F190" s="125">
        <f>IPO監視一覧!T50</f>
        <v>0</v>
      </c>
      <c r="G190" s="123">
        <f>IPO監視一覧!U50</f>
        <v>0</v>
      </c>
      <c r="H190" s="123"/>
      <c r="I190" s="123"/>
      <c r="J190" s="126">
        <f t="shared" si="146"/>
        <v>0</v>
      </c>
      <c r="K190" s="126">
        <f t="shared" si="147"/>
        <v>0</v>
      </c>
      <c r="L190" s="127">
        <f t="shared" ca="1" si="148"/>
        <v>30661</v>
      </c>
      <c r="M190" s="127"/>
      <c r="N190" s="128"/>
      <c r="O190" s="128"/>
      <c r="P190" s="128"/>
      <c r="Q190" s="128"/>
      <c r="R190" s="128"/>
      <c r="S190" s="106">
        <f t="shared" si="149"/>
        <v>0</v>
      </c>
      <c r="T190" s="66"/>
      <c r="U190" s="66"/>
      <c r="V190" s="66"/>
      <c r="W190" s="66"/>
      <c r="X190" s="66"/>
    </row>
    <row r="191" spans="1:24" x14ac:dyDescent="0.25">
      <c r="A191" s="99">
        <f>IPO監視一覧!H51</f>
        <v>0</v>
      </c>
      <c r="B191" s="122">
        <f>IPO監視一覧!B51</f>
        <v>0</v>
      </c>
      <c r="C191" s="123">
        <f>IPO監視一覧!G51</f>
        <v>0</v>
      </c>
      <c r="D191" s="124"/>
      <c r="E191" s="124"/>
      <c r="F191" s="125">
        <f>IPO監視一覧!T51</f>
        <v>0</v>
      </c>
      <c r="G191" s="123">
        <f>IPO監視一覧!U51</f>
        <v>0</v>
      </c>
      <c r="H191" s="123"/>
      <c r="I191" s="123"/>
      <c r="J191" s="126">
        <f t="shared" si="146"/>
        <v>0</v>
      </c>
      <c r="K191" s="126">
        <f t="shared" si="147"/>
        <v>0</v>
      </c>
      <c r="L191" s="127">
        <f t="shared" ca="1" si="148"/>
        <v>30661</v>
      </c>
      <c r="M191" s="127"/>
      <c r="N191" s="128"/>
      <c r="O191" s="128"/>
      <c r="P191" s="128"/>
      <c r="Q191" s="128"/>
      <c r="R191" s="128"/>
      <c r="S191" s="106">
        <f t="shared" si="149"/>
        <v>0</v>
      </c>
      <c r="T191" s="66"/>
      <c r="U191" s="66"/>
      <c r="V191" s="66"/>
      <c r="W191" s="66"/>
      <c r="X191" s="66"/>
    </row>
  </sheetData>
  <autoFilter ref="A2:AA180"/>
  <mergeCells count="2">
    <mergeCell ref="A1:B1"/>
    <mergeCell ref="J1:K1"/>
  </mergeCells>
  <phoneticPr fontId="2"/>
  <conditionalFormatting sqref="I192:I1048576 I2:I3 I5:I8 I33:I171">
    <cfRule type="cellIs" dxfId="125" priority="19" operator="lessThan">
      <formula>1000000</formula>
    </cfRule>
  </conditionalFormatting>
  <conditionalFormatting sqref="U1">
    <cfRule type="cellIs" dxfId="124" priority="18" operator="lessThan">
      <formula>0</formula>
    </cfRule>
  </conditionalFormatting>
  <conditionalFormatting sqref="P1">
    <cfRule type="cellIs" dxfId="123" priority="17" operator="lessThan">
      <formula>0</formula>
    </cfRule>
  </conditionalFormatting>
  <conditionalFormatting sqref="I1">
    <cfRule type="cellIs" dxfId="122" priority="16" operator="lessThan">
      <formula>0</formula>
    </cfRule>
  </conditionalFormatting>
  <conditionalFormatting sqref="I179:I191">
    <cfRule type="cellIs" dxfId="121" priority="13" operator="lessThan">
      <formula>1000000</formula>
    </cfRule>
  </conditionalFormatting>
  <conditionalFormatting sqref="I4">
    <cfRule type="cellIs" dxfId="120" priority="12" operator="lessThan">
      <formula>1000000</formula>
    </cfRule>
  </conditionalFormatting>
  <conditionalFormatting sqref="I14:I19 I21:I22">
    <cfRule type="cellIs" dxfId="119" priority="11" operator="lessThan">
      <formula>1000000</formula>
    </cfRule>
  </conditionalFormatting>
  <conditionalFormatting sqref="I7:I8">
    <cfRule type="cellIs" dxfId="118" priority="10" operator="lessThan">
      <formula>1000000</formula>
    </cfRule>
  </conditionalFormatting>
  <conditionalFormatting sqref="I9">
    <cfRule type="cellIs" dxfId="117" priority="9" operator="lessThan">
      <formula>1000000</formula>
    </cfRule>
  </conditionalFormatting>
  <conditionalFormatting sqref="I10:I11">
    <cfRule type="cellIs" dxfId="116" priority="8" operator="lessThan">
      <formula>1000000</formula>
    </cfRule>
  </conditionalFormatting>
  <conditionalFormatting sqref="I12:I13">
    <cfRule type="cellIs" dxfId="115" priority="7" operator="lessThan">
      <formula>1000000</formula>
    </cfRule>
  </conditionalFormatting>
  <conditionalFormatting sqref="I23:I30">
    <cfRule type="cellIs" dxfId="114" priority="6" operator="lessThan">
      <formula>1000000</formula>
    </cfRule>
  </conditionalFormatting>
  <conditionalFormatting sqref="I31">
    <cfRule type="cellIs" dxfId="113" priority="5" operator="lessThan">
      <formula>1000000</formula>
    </cfRule>
  </conditionalFormatting>
  <conditionalFormatting sqref="I32">
    <cfRule type="cellIs" dxfId="112" priority="4" operator="lessThan">
      <formula>1000000</formula>
    </cfRule>
  </conditionalFormatting>
  <conditionalFormatting sqref="I20">
    <cfRule type="cellIs" dxfId="111" priority="3" operator="lessThan">
      <formula>1000000</formula>
    </cfRule>
  </conditionalFormatting>
  <conditionalFormatting sqref="I172:I178">
    <cfRule type="cellIs" dxfId="110" priority="2" operator="lessThan">
      <formula>1000000</formula>
    </cfRule>
  </conditionalFormatting>
  <conditionalFormatting sqref="AF1">
    <cfRule type="cellIs" dxfId="109" priority="1" operator="lessThan">
      <formula>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M47:M191 M37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58"/>
  <sheetViews>
    <sheetView tabSelected="1" zoomScale="85" zoomScaleNormal="85" workbookViewId="0">
      <pane ySplit="2" topLeftCell="A15" activePane="bottomLeft" state="frozen"/>
      <selection activeCell="A20" sqref="A20"/>
      <selection pane="bottomLeft" activeCell="G46" sqref="G46"/>
    </sheetView>
  </sheetViews>
  <sheetFormatPr defaultColWidth="8" defaultRowHeight="15.75" x14ac:dyDescent="0.25"/>
  <cols>
    <col min="1" max="1" width="3.21875" style="66" customWidth="1"/>
    <col min="2" max="2" width="26.21875" style="66" bestFit="1" customWidth="1"/>
    <col min="3" max="3" width="12.6640625" style="132" bestFit="1" customWidth="1"/>
    <col min="4" max="7" width="8.109375" style="15" bestFit="1" customWidth="1"/>
    <col min="8" max="8" width="1.77734375" style="66" customWidth="1"/>
    <col min="9" max="10" width="8.88671875" style="133" bestFit="1" customWidth="1"/>
    <col min="11" max="11" width="8.88671875" style="134" bestFit="1" customWidth="1"/>
    <col min="12" max="12" width="1.77734375" style="12" customWidth="1"/>
    <col min="13" max="14" width="9.77734375" style="12" hidden="1" customWidth="1"/>
    <col min="15" max="15" width="8" style="66"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6" customWidth="1"/>
    <col min="23" max="23" width="8" style="66"/>
    <col min="24" max="24" width="8.77734375" style="12" bestFit="1" customWidth="1"/>
    <col min="25" max="16384" width="8" style="66"/>
  </cols>
  <sheetData>
    <row r="1" spans="1:24" x14ac:dyDescent="0.25">
      <c r="A1" s="66" t="s">
        <v>151</v>
      </c>
      <c r="F1" s="15" t="s">
        <v>152</v>
      </c>
      <c r="I1" s="391" t="s">
        <v>153</v>
      </c>
      <c r="J1" s="391"/>
      <c r="K1" s="391"/>
      <c r="M1" s="392" t="s">
        <v>154</v>
      </c>
      <c r="N1" s="392"/>
      <c r="P1" s="69" t="s">
        <v>155</v>
      </c>
    </row>
    <row r="2" spans="1:24" ht="16.5" thickBot="1" x14ac:dyDescent="0.3">
      <c r="B2" s="323" t="s">
        <v>18</v>
      </c>
      <c r="C2" s="325" t="s">
        <v>127</v>
      </c>
      <c r="D2" s="333" t="s">
        <v>156</v>
      </c>
      <c r="E2" s="333" t="s">
        <v>157</v>
      </c>
      <c r="F2" s="333" t="s">
        <v>158</v>
      </c>
      <c r="G2" s="333" t="s">
        <v>159</v>
      </c>
      <c r="I2" s="334" t="s">
        <v>155</v>
      </c>
      <c r="J2" s="334" t="s">
        <v>160</v>
      </c>
      <c r="K2" s="335" t="s">
        <v>161</v>
      </c>
      <c r="M2" s="334" t="s">
        <v>155</v>
      </c>
      <c r="N2" s="334" t="s">
        <v>160</v>
      </c>
      <c r="O2" s="134"/>
      <c r="Q2" s="363" t="s">
        <v>461</v>
      </c>
      <c r="R2" s="363" t="s">
        <v>462</v>
      </c>
      <c r="T2" s="363" t="s">
        <v>463</v>
      </c>
      <c r="W2" s="363" t="s">
        <v>458</v>
      </c>
    </row>
    <row r="3" spans="1:24" ht="16.5" thickTop="1" x14ac:dyDescent="0.25">
      <c r="B3" s="307" t="str">
        <f>IPO監視一覧!B3</f>
        <v>日宣</v>
      </c>
      <c r="C3" s="308">
        <f>株価一覧!H2</f>
        <v>2600</v>
      </c>
      <c r="D3" s="309">
        <f ca="1">OFFSET(終値履歴!A3,0,COUNTA(終値履歴!G3:'終値履歴'!XFD3)+2,1,-1)</f>
        <v>2450</v>
      </c>
      <c r="E3" s="309">
        <f ca="1">OFFSET(終値履歴!A3,0,COUNTA(終値履歴!G3:'終値履歴'!XFD3)+3,1,-1)</f>
        <v>2481</v>
      </c>
      <c r="F3" s="309">
        <f ca="1">OFFSET(終値履歴!A3,0,COUNTA(終値履歴!G3:'終値履歴'!XFD3)+4,1,-1)</f>
        <v>2495</v>
      </c>
      <c r="G3" s="309">
        <f ca="1">OFFSET(終値履歴!A3,0,COUNTA(終値履歴!G3:'終値履歴'!XFD3)+5,1,-1)</f>
        <v>2497</v>
      </c>
      <c r="I3" s="133">
        <f ca="1">(G3-F3)/F3</f>
        <v>8.0160320641282565E-4</v>
      </c>
      <c r="J3" s="133">
        <f ca="1">(G3-E3)/E3</f>
        <v>6.4490124949617093E-3</v>
      </c>
      <c r="K3" s="133">
        <f ca="1">(G3-D3)/D3</f>
        <v>1.9183673469387756E-2</v>
      </c>
      <c r="M3" s="133">
        <f ca="1">(F3-E3)/E3</f>
        <v>5.642885933091495E-3</v>
      </c>
      <c r="N3" s="133">
        <f ca="1">(F3-D3)/D3</f>
        <v>1.8367346938775512E-2</v>
      </c>
      <c r="P3" s="130" t="str">
        <f ca="1">IF(G3-F3 &gt; 0,CONCATENATE("＋",G3-F3),G3-F3)</f>
        <v>＋2</v>
      </c>
      <c r="Q3" s="12" t="str">
        <f t="shared" ref="Q3:Q9" ca="1" si="0">IF(AND(G3&lt;=T3,G3&lt;=R3),"割安",IF(AND(G3&gt;T3,G3&lt;=R3),"普通",IF(AND(G3&lt;=T3,G3&gt;R3),"普通","割高")))</f>
        <v>割高</v>
      </c>
      <c r="R3" s="341">
        <f ca="1">終値履歴!D3</f>
        <v>2486</v>
      </c>
      <c r="S3" s="344">
        <f t="shared" ref="S3:S5" ca="1" si="1">(G3-R3)/E3</f>
        <v>4.4336960902861752E-3</v>
      </c>
      <c r="T3" s="341">
        <f ca="1">終値履歴!E3</f>
        <v>2488.4</v>
      </c>
      <c r="U3" s="344">
        <f t="shared" ref="U3:U42" ca="1" si="2">(G3-T3)/G3</f>
        <v>3.4441329595514252E-3</v>
      </c>
      <c r="W3" s="343">
        <f ca="1">終値履歴!F3</f>
        <v>2450</v>
      </c>
      <c r="X3" s="344">
        <f t="shared" ref="X3:X42" ca="1" si="3">(G3-W3)/G3</f>
        <v>1.8822587104525432E-2</v>
      </c>
    </row>
    <row r="4" spans="1:24" x14ac:dyDescent="0.25">
      <c r="B4" s="99" t="str">
        <f>IPO監視一覧!B4</f>
        <v>レノバ </v>
      </c>
      <c r="C4" s="135">
        <f>株価一覧!H3</f>
        <v>140500</v>
      </c>
      <c r="D4" s="136">
        <f ca="1">OFFSET(終値履歴!A4,0,COUNTA(終値履歴!G4:'終値履歴'!XFD4)+2,1,-1)</f>
        <v>1260</v>
      </c>
      <c r="E4" s="136">
        <f ca="1">OFFSET(終値履歴!A4,0,COUNTA(終値履歴!G4:'終値履歴'!XFD4)+3,1,-1)</f>
        <v>1201</v>
      </c>
      <c r="F4" s="136">
        <f ca="1">OFFSET(終値履歴!A4,0,COUNTA(終値履歴!G4:'終値履歴'!XFD4)+4,1,-1)</f>
        <v>1225</v>
      </c>
      <c r="G4" s="136">
        <f ca="1">OFFSET(終値履歴!A4,0,COUNTA(終値履歴!G4:'終値履歴'!XFD4)+5,1,-1)</f>
        <v>1222</v>
      </c>
      <c r="I4" s="133">
        <f t="shared" ref="I4:I41" ca="1" si="4">(G4-F4)/F4</f>
        <v>-2.4489795918367346E-3</v>
      </c>
      <c r="J4" s="133">
        <f t="shared" ref="J4:J42" ca="1" si="5">(G4-E4)/E4</f>
        <v>1.7485428809325562E-2</v>
      </c>
      <c r="K4" s="133">
        <f t="shared" ref="K4:K42" ca="1" si="6">(G4-D4)/D4</f>
        <v>-3.0158730158730159E-2</v>
      </c>
      <c r="M4" s="133">
        <f t="shared" ref="M4:M42" ca="1" si="7">(F4-E4)/E4</f>
        <v>1.9983347210657785E-2</v>
      </c>
      <c r="N4" s="133">
        <f t="shared" ref="N4:N42" ca="1" si="8">(F4-D4)/D4</f>
        <v>-2.7777777777777776E-2</v>
      </c>
      <c r="P4" s="130">
        <f t="shared" ref="P4:P42" ca="1" si="9">IF(G4-F4 &gt; 0,CONCATENATE("＋",G4-F4),G4-F4)</f>
        <v>-3</v>
      </c>
      <c r="Q4" s="12" t="str">
        <f t="shared" ca="1" si="0"/>
        <v>普通</v>
      </c>
      <c r="R4" s="341">
        <f ca="1">終値履歴!D4</f>
        <v>1225.2</v>
      </c>
      <c r="S4" s="344">
        <f t="shared" ca="1" si="1"/>
        <v>-2.6644462947544093E-3</v>
      </c>
      <c r="T4" s="341">
        <f ca="1">終値履歴!E4</f>
        <v>1171.0999999999999</v>
      </c>
      <c r="U4" s="344">
        <f t="shared" ca="1" si="2"/>
        <v>4.1653027823240665E-2</v>
      </c>
      <c r="W4" s="343">
        <f ca="1">終値履歴!F4</f>
        <v>1083</v>
      </c>
      <c r="X4" s="344">
        <f t="shared" ca="1" si="3"/>
        <v>0.11374795417348608</v>
      </c>
    </row>
    <row r="5" spans="1:24" x14ac:dyDescent="0.25">
      <c r="B5" s="310" t="str">
        <f>IPO監視一覧!B5</f>
        <v>ユナイテッド＆コレクティブ</v>
      </c>
      <c r="C5" s="311">
        <f>株価一覧!H4</f>
        <v>1200</v>
      </c>
      <c r="D5" s="312">
        <f ca="1">OFFSET(終値履歴!A5,0,COUNTA(終値履歴!G5:'終値履歴'!XFD5)+2,1,-1)</f>
        <v>3995</v>
      </c>
      <c r="E5" s="312">
        <f ca="1">OFFSET(終値履歴!A5,0,COUNTA(終値履歴!G5:'終値履歴'!XFD5)+3,1,-1)</f>
        <v>3985</v>
      </c>
      <c r="F5" s="312">
        <f ca="1">OFFSET(終値履歴!A5,0,COUNTA(終値履歴!G5:'終値履歴'!XFD5)+4,1,-1)</f>
        <v>3965</v>
      </c>
      <c r="G5" s="312">
        <f ca="1">OFFSET(終値履歴!A5,0,COUNTA(終値履歴!G5:'終値履歴'!XFD5)+5,1,-1)</f>
        <v>4040</v>
      </c>
      <c r="I5" s="133">
        <f t="shared" ca="1" si="4"/>
        <v>1.8915510718789406E-2</v>
      </c>
      <c r="J5" s="133">
        <f t="shared" ca="1" si="5"/>
        <v>1.3801756587202008E-2</v>
      </c>
      <c r="K5" s="133">
        <f t="shared" ca="1" si="6"/>
        <v>1.1264080100125156E-2</v>
      </c>
      <c r="M5" s="133">
        <f t="shared" ca="1" si="7"/>
        <v>-5.018820577164366E-3</v>
      </c>
      <c r="N5" s="133">
        <f t="shared" ca="1" si="8"/>
        <v>-7.5093867334167707E-3</v>
      </c>
      <c r="P5" s="130" t="str">
        <f t="shared" ca="1" si="9"/>
        <v>＋75</v>
      </c>
      <c r="Q5" s="12" t="str">
        <f t="shared" ca="1" si="0"/>
        <v>普通</v>
      </c>
      <c r="R5" s="341">
        <f ca="1">終値履歴!D5</f>
        <v>3999</v>
      </c>
      <c r="S5" s="344">
        <f t="shared" ca="1" si="1"/>
        <v>1.0288582183186951E-2</v>
      </c>
      <c r="T5" s="341">
        <f ca="1">終値履歴!E5</f>
        <v>4046</v>
      </c>
      <c r="U5" s="344">
        <f t="shared" ca="1" si="2"/>
        <v>-1.4851485148514852E-3</v>
      </c>
      <c r="W5" s="343">
        <f ca="1">終値履歴!F5</f>
        <v>3965</v>
      </c>
      <c r="X5" s="344">
        <f t="shared" ca="1" si="3"/>
        <v>1.8564356435643563E-2</v>
      </c>
    </row>
    <row r="6" spans="1:24" x14ac:dyDescent="0.25">
      <c r="B6" s="310" t="str">
        <f>IPO監視一覧!B6</f>
        <v>ロコンド</v>
      </c>
      <c r="C6" s="311">
        <f>株価一覧!H5</f>
        <v>25600</v>
      </c>
      <c r="D6" s="312">
        <f ca="1">OFFSET(終値履歴!A6,0,COUNTA(終値履歴!G6:'終値履歴'!XFD6)+2,1,-1)</f>
        <v>1999</v>
      </c>
      <c r="E6" s="312">
        <f ca="1">OFFSET(終値履歴!A6,0,COUNTA(終値履歴!G6:'終値履歴'!XFD6)+3,1,-1)</f>
        <v>1946</v>
      </c>
      <c r="F6" s="312">
        <f ca="1">OFFSET(終値履歴!A6,0,COUNTA(終値履歴!G6:'終値履歴'!XFD6)+4,1,-1)</f>
        <v>1990</v>
      </c>
      <c r="G6" s="312">
        <f ca="1">OFFSET(終値履歴!A6,0,COUNTA(終値履歴!G6:'終値履歴'!XFD6)+5,1,-1)</f>
        <v>1967</v>
      </c>
      <c r="I6" s="133">
        <f t="shared" ca="1" si="4"/>
        <v>-1.1557788944723618E-2</v>
      </c>
      <c r="J6" s="133">
        <f t="shared" ca="1" si="5"/>
        <v>1.0791366906474821E-2</v>
      </c>
      <c r="K6" s="133">
        <f t="shared" ca="1" si="6"/>
        <v>-1.6008004002000999E-2</v>
      </c>
      <c r="M6" s="133">
        <f t="shared" ca="1" si="7"/>
        <v>2.2610483042137718E-2</v>
      </c>
      <c r="N6" s="133">
        <f t="shared" ca="1" si="8"/>
        <v>-4.5022511255627812E-3</v>
      </c>
      <c r="P6" s="130">
        <f t="shared" ca="1" si="9"/>
        <v>-23</v>
      </c>
      <c r="Q6" s="12" t="str">
        <f t="shared" ca="1" si="0"/>
        <v>割安</v>
      </c>
      <c r="R6" s="341">
        <f ca="1">終値履歴!D6</f>
        <v>1974.8</v>
      </c>
      <c r="S6" s="344">
        <f ca="1">(G6-R6)/E6</f>
        <v>-4.008221993833481E-3</v>
      </c>
      <c r="T6" s="341">
        <f ca="1">終値履歴!E6</f>
        <v>1989.9</v>
      </c>
      <c r="U6" s="344">
        <f t="shared" ca="1" si="2"/>
        <v>-1.1642094560244072E-2</v>
      </c>
      <c r="W6" s="343">
        <f ca="1">終値履歴!F6</f>
        <v>1946</v>
      </c>
      <c r="X6" s="344">
        <f t="shared" ca="1" si="3"/>
        <v>1.0676156583629894E-2</v>
      </c>
    </row>
    <row r="7" spans="1:24" x14ac:dyDescent="0.25">
      <c r="B7" s="310" t="str">
        <f>IPO監視一覧!B7</f>
        <v>ピーバンドットコム</v>
      </c>
      <c r="C7" s="311">
        <f>株価一覧!H6</f>
        <v>7800</v>
      </c>
      <c r="D7" s="312">
        <f ca="1">OFFSET(終値履歴!A7,0,COUNTA(終値履歴!G7:'終値履歴'!XFD7)+2,1,-1)</f>
        <v>2217</v>
      </c>
      <c r="E7" s="312">
        <f ca="1">OFFSET(終値履歴!A7,0,COUNTA(終値履歴!G7:'終値履歴'!XFD7)+3,1,-1)</f>
        <v>2217</v>
      </c>
      <c r="F7" s="312">
        <f ca="1">OFFSET(終値履歴!A7,0,COUNTA(終値履歴!G7:'終値履歴'!XFD7)+4,1,-1)</f>
        <v>2185</v>
      </c>
      <c r="G7" s="312">
        <f ca="1">OFFSET(終値履歴!A7,0,COUNTA(終値履歴!G7:'終値履歴'!XFD7)+5,1,-1)</f>
        <v>2156</v>
      </c>
      <c r="I7" s="133">
        <f t="shared" ca="1" si="4"/>
        <v>-1.3272311212814645E-2</v>
      </c>
      <c r="J7" s="133">
        <f t="shared" ca="1" si="5"/>
        <v>-2.751465944970681E-2</v>
      </c>
      <c r="K7" s="133">
        <f t="shared" ca="1" si="6"/>
        <v>-2.751465944970681E-2</v>
      </c>
      <c r="M7" s="133">
        <f t="shared" ca="1" si="7"/>
        <v>-1.4433919711321606E-2</v>
      </c>
      <c r="N7" s="133">
        <f t="shared" ca="1" si="8"/>
        <v>-1.4433919711321606E-2</v>
      </c>
      <c r="P7" s="130">
        <f t="shared" ca="1" si="9"/>
        <v>-29</v>
      </c>
      <c r="Q7" s="12" t="str">
        <f t="shared" ca="1" si="0"/>
        <v>割安</v>
      </c>
      <c r="R7" s="341">
        <f ca="1">終値履歴!D7</f>
        <v>2190</v>
      </c>
      <c r="S7" s="344">
        <f t="shared" ref="S7:S43" ca="1" si="10">(G7-R7)/E7</f>
        <v>-1.5336039693279206E-2</v>
      </c>
      <c r="T7" s="341">
        <f ca="1">終値履歴!E7</f>
        <v>2193.8000000000002</v>
      </c>
      <c r="U7" s="344">
        <f t="shared" ca="1" si="2"/>
        <v>-1.7532467532467618E-2</v>
      </c>
      <c r="W7" s="343">
        <f ca="1">終値履歴!F7</f>
        <v>2156</v>
      </c>
      <c r="X7" s="344">
        <f t="shared" ca="1" si="3"/>
        <v>0</v>
      </c>
    </row>
    <row r="8" spans="1:24" x14ac:dyDescent="0.25">
      <c r="B8" s="52" t="str">
        <f>IPO監視一覧!B8</f>
        <v>ファイズ</v>
      </c>
      <c r="C8" s="364">
        <f>株価一覧!H7</f>
        <v>10600</v>
      </c>
      <c r="D8" s="366">
        <f ca="1">OFFSET(終値履歴!A8,0,COUNTA(終値履歴!G8:'終値履歴'!XFD8)+2,1,-1)</f>
        <v>6580</v>
      </c>
      <c r="E8" s="366">
        <f ca="1">OFFSET(終値履歴!A8,0,COUNTA(終値履歴!G8:'終値履歴'!XFD8)+3,1,-1)</f>
        <v>6750</v>
      </c>
      <c r="F8" s="366">
        <f ca="1">OFFSET(終値履歴!A8,0,COUNTA(終値履歴!G8:'終値履歴'!XFD8)+4,1,-1)</f>
        <v>6900</v>
      </c>
      <c r="G8" s="366">
        <f ca="1">OFFSET(終値履歴!A8,0,COUNTA(終値履歴!G8:'終値履歴'!XFD8)+5,1,-1)</f>
        <v>6810</v>
      </c>
      <c r="I8" s="133">
        <f t="shared" ca="1" si="4"/>
        <v>-1.3043478260869565E-2</v>
      </c>
      <c r="J8" s="133">
        <f t="shared" ca="1" si="5"/>
        <v>8.8888888888888889E-3</v>
      </c>
      <c r="K8" s="133">
        <f t="shared" ca="1" si="6"/>
        <v>3.4954407294832825E-2</v>
      </c>
      <c r="M8" s="133">
        <f t="shared" ca="1" si="7"/>
        <v>2.2222222222222223E-2</v>
      </c>
      <c r="N8" s="133">
        <f t="shared" ca="1" si="8"/>
        <v>4.8632218844984802E-2</v>
      </c>
      <c r="P8" s="130">
        <f t="shared" ca="1" si="9"/>
        <v>-90</v>
      </c>
      <c r="Q8" s="12" t="str">
        <f t="shared" ca="1" si="0"/>
        <v>普通</v>
      </c>
      <c r="R8" s="341">
        <f ca="1">終値履歴!D8</f>
        <v>6734</v>
      </c>
      <c r="S8" s="344">
        <f t="shared" ca="1" si="10"/>
        <v>1.1259259259259259E-2</v>
      </c>
      <c r="T8" s="341">
        <f ca="1">終値履歴!E8</f>
        <v>6906</v>
      </c>
      <c r="U8" s="344">
        <f t="shared" ca="1" si="2"/>
        <v>-1.4096916299559472E-2</v>
      </c>
      <c r="W8" s="343">
        <f ca="1">終値履歴!F8</f>
        <v>6580</v>
      </c>
      <c r="X8" s="344">
        <f t="shared" ca="1" si="3"/>
        <v>3.3773861967694566E-2</v>
      </c>
    </row>
    <row r="9" spans="1:24" x14ac:dyDescent="0.25">
      <c r="B9" s="52" t="str">
        <f>IPO監視一覧!B9</f>
        <v>うるる</v>
      </c>
      <c r="C9" s="364">
        <f>株価一覧!H8</f>
        <v>28200</v>
      </c>
      <c r="D9" s="366">
        <f ca="1">OFFSET(終値履歴!A9,0,COUNTA(終値履歴!G9:'終値履歴'!XFD9)+2,1,-1)</f>
        <v>4935</v>
      </c>
      <c r="E9" s="366">
        <f ca="1">OFFSET(終値履歴!A9,0,COUNTA(終値履歴!G9:'終値履歴'!XFD9)+3,1,-1)</f>
        <v>4890</v>
      </c>
      <c r="F9" s="366">
        <f ca="1">OFFSET(終値履歴!A9,0,COUNTA(終値履歴!G9:'終値履歴'!XFD9)+4,1,-1)</f>
        <v>4900</v>
      </c>
      <c r="G9" s="366">
        <f ca="1">OFFSET(終値履歴!A9,0,COUNTA(終値履歴!G9:'終値履歴'!XFD9)+5,1,-1)</f>
        <v>4995</v>
      </c>
      <c r="I9" s="133">
        <f t="shared" ca="1" si="4"/>
        <v>1.9387755102040816E-2</v>
      </c>
      <c r="J9" s="133">
        <f t="shared" ca="1" si="5"/>
        <v>2.1472392638036811E-2</v>
      </c>
      <c r="K9" s="133">
        <f t="shared" ca="1" si="6"/>
        <v>1.2158054711246201E-2</v>
      </c>
      <c r="M9" s="133">
        <f t="shared" ca="1" si="7"/>
        <v>2.0449897750511249E-3</v>
      </c>
      <c r="N9" s="133">
        <f t="shared" ca="1" si="8"/>
        <v>-7.0921985815602835E-3</v>
      </c>
      <c r="P9" s="130" t="str">
        <f t="shared" ca="1" si="9"/>
        <v>＋95</v>
      </c>
      <c r="Q9" s="12" t="str">
        <f t="shared" ca="1" si="0"/>
        <v>割高</v>
      </c>
      <c r="R9" s="341">
        <f ca="1">終値履歴!D9</f>
        <v>4921</v>
      </c>
      <c r="S9" s="344">
        <f t="shared" ca="1" si="10"/>
        <v>1.5132924335378323E-2</v>
      </c>
      <c r="T9" s="341">
        <f ca="1">終値履歴!E9</f>
        <v>4922</v>
      </c>
      <c r="U9" s="344">
        <f t="shared" ca="1" si="2"/>
        <v>1.4614614614614614E-2</v>
      </c>
      <c r="W9" s="343">
        <f ca="1">終値履歴!F9</f>
        <v>4775</v>
      </c>
      <c r="X9" s="344">
        <f t="shared" ca="1" si="3"/>
        <v>4.4044044044044044E-2</v>
      </c>
    </row>
    <row r="10" spans="1:24" x14ac:dyDescent="0.25">
      <c r="B10" s="310" t="str">
        <f>IPO監視一覧!B10</f>
        <v>ほぼ日</v>
      </c>
      <c r="C10" s="311">
        <f>株価一覧!H9</f>
        <v>1400</v>
      </c>
      <c r="D10" s="312">
        <f ca="1">OFFSET(終値履歴!A10,0,COUNTA(終値履歴!G10:'終値履歴'!XFD10)+2,1,-1)</f>
        <v>5270</v>
      </c>
      <c r="E10" s="312">
        <f ca="1">OFFSET(終値履歴!A10,0,COUNTA(終値履歴!G10:'終値履歴'!XFD10)+3,1,-1)</f>
        <v>5250</v>
      </c>
      <c r="F10" s="312">
        <f ca="1">OFFSET(終値履歴!A10,0,COUNTA(終値履歴!G10:'終値履歴'!XFD10)+4,1,-1)</f>
        <v>5250</v>
      </c>
      <c r="G10" s="312">
        <f ca="1">OFFSET(終値履歴!A10,0,COUNTA(終値履歴!G10:'終値履歴'!XFD10)+5,1,-1)</f>
        <v>5270</v>
      </c>
      <c r="I10" s="133">
        <f t="shared" ca="1" si="4"/>
        <v>3.8095238095238095E-3</v>
      </c>
      <c r="J10" s="133">
        <f t="shared" ca="1" si="5"/>
        <v>3.8095238095238095E-3</v>
      </c>
      <c r="K10" s="133">
        <f t="shared" ca="1" si="6"/>
        <v>0</v>
      </c>
      <c r="M10" s="133">
        <f t="shared" ca="1" si="7"/>
        <v>0</v>
      </c>
      <c r="N10" s="133">
        <f t="shared" ca="1" si="8"/>
        <v>-3.7950664136622392E-3</v>
      </c>
      <c r="P10" s="130" t="str">
        <f t="shared" ca="1" si="9"/>
        <v>＋20</v>
      </c>
      <c r="Q10" s="12" t="str">
        <f ca="1">IF(AND(G10&lt;=T10,G10&lt;=R10),"割安",IF(AND(G10&gt;T10,G10&lt;=R10),"普通",IF(AND(G10&lt;=T10,G10&gt;R10),"普通","割高")))</f>
        <v>割高</v>
      </c>
      <c r="R10" s="341">
        <f ca="1">終値履歴!D10</f>
        <v>5266</v>
      </c>
      <c r="S10" s="344">
        <f t="shared" ca="1" si="10"/>
        <v>7.6190476190476193E-4</v>
      </c>
      <c r="T10" s="341">
        <f ca="1">終値履歴!E10</f>
        <v>5265</v>
      </c>
      <c r="U10" s="344">
        <f t="shared" ca="1" si="2"/>
        <v>9.4876660341555979E-4</v>
      </c>
      <c r="W10" s="343">
        <f ca="1">終値履歴!F10</f>
        <v>5200</v>
      </c>
      <c r="X10" s="344">
        <f t="shared" ca="1" si="3"/>
        <v>1.3282732447817837E-2</v>
      </c>
    </row>
    <row r="11" spans="1:24" x14ac:dyDescent="0.25">
      <c r="B11" s="99" t="str">
        <f>IPO監視一覧!B11</f>
        <v>ジャパンエレベーターサービスHD</v>
      </c>
      <c r="C11" s="135">
        <f>株価一覧!H10</f>
        <v>85000</v>
      </c>
      <c r="D11" s="137">
        <f ca="1">OFFSET(終値履歴!A11,0,COUNTA(終値履歴!G11:'終値履歴'!XFD11)+2,1,-1)</f>
        <v>1675</v>
      </c>
      <c r="E11" s="137">
        <f ca="1">OFFSET(終値履歴!A11,0,COUNTA(終値履歴!G11:'終値履歴'!XFD11)+3,1,-1)</f>
        <v>1748</v>
      </c>
      <c r="F11" s="137">
        <f ca="1">OFFSET(終値履歴!A11,0,COUNTA(終値履歴!G11:'終値履歴'!XFD11)+4,1,-1)</f>
        <v>1701</v>
      </c>
      <c r="G11" s="137">
        <f ca="1">OFFSET(終値履歴!A11,0,COUNTA(終値履歴!G11:'終値履歴'!XFD11)+5,1,-1)</f>
        <v>1745</v>
      </c>
      <c r="I11" s="133">
        <f t="shared" ca="1" si="4"/>
        <v>2.5867136978248089E-2</v>
      </c>
      <c r="J11" s="133">
        <f t="shared" ca="1" si="5"/>
        <v>-1.7162471395881006E-3</v>
      </c>
      <c r="K11" s="133">
        <f t="shared" ca="1" si="6"/>
        <v>4.1791044776119404E-2</v>
      </c>
      <c r="M11" s="133">
        <f t="shared" ca="1" si="7"/>
        <v>-2.6887871853546911E-2</v>
      </c>
      <c r="N11" s="133">
        <f t="shared" ca="1" si="8"/>
        <v>1.5522388059701492E-2</v>
      </c>
      <c r="P11" s="130" t="str">
        <f t="shared" ca="1" si="9"/>
        <v>＋44</v>
      </c>
      <c r="Q11" s="12" t="str">
        <f t="shared" ref="Q11:Q42" ca="1" si="11">IF(AND(G11&lt;=T11,G11&lt;=R11),"割安",IF(AND(G11&gt;T11,G11&lt;=R11),"普通",IF(AND(G11&lt;=T11,G11&gt;R11),"普通","割高")))</f>
        <v>割高</v>
      </c>
      <c r="R11" s="341">
        <f ca="1">終値履歴!D11</f>
        <v>1684.2</v>
      </c>
      <c r="S11" s="344">
        <f t="shared" ca="1" si="10"/>
        <v>3.4782608695652147E-2</v>
      </c>
      <c r="T11" s="341">
        <f ca="1">終値履歴!E11</f>
        <v>1627.5</v>
      </c>
      <c r="U11" s="344">
        <f t="shared" ca="1" si="2"/>
        <v>6.73352435530086E-2</v>
      </c>
      <c r="W11" s="343">
        <f ca="1">終値履歴!F11</f>
        <v>1528</v>
      </c>
      <c r="X11" s="344">
        <f t="shared" ca="1" si="3"/>
        <v>0.12435530085959885</v>
      </c>
    </row>
    <row r="12" spans="1:24" x14ac:dyDescent="0.25">
      <c r="B12" s="52" t="str">
        <f>IPO監視一覧!B12</f>
        <v>ビーグリー</v>
      </c>
      <c r="C12" s="364">
        <f>株価一覧!H11</f>
        <v>111000</v>
      </c>
      <c r="D12" s="366">
        <f ca="1">OFFSET(終値履歴!A12,0,COUNTA(終値履歴!G12:'終値履歴'!XFD12)+2,1,-1)</f>
        <v>2018</v>
      </c>
      <c r="E12" s="366">
        <f ca="1">OFFSET(終値履歴!A12,0,COUNTA(終値履歴!G12:'終値履歴'!XFD12)+3,1,-1)</f>
        <v>2071</v>
      </c>
      <c r="F12" s="366">
        <f ca="1">OFFSET(終値履歴!A12,0,COUNTA(終値履歴!G12:'終値履歴'!XFD12)+4,1,-1)</f>
        <v>2080</v>
      </c>
      <c r="G12" s="366">
        <f ca="1">OFFSET(終値履歴!A12,0,COUNTA(終値履歴!G12:'終値履歴'!XFD12)+5,1,-1)</f>
        <v>2170</v>
      </c>
      <c r="I12" s="133">
        <f t="shared" ca="1" si="4"/>
        <v>4.3269230769230768E-2</v>
      </c>
      <c r="J12" s="133">
        <f t="shared" ca="1" si="5"/>
        <v>4.7802993722839207E-2</v>
      </c>
      <c r="K12" s="133">
        <f t="shared" ca="1" si="6"/>
        <v>7.5322101090188304E-2</v>
      </c>
      <c r="M12" s="133">
        <f t="shared" ca="1" si="7"/>
        <v>4.3457267020762915E-3</v>
      </c>
      <c r="N12" s="133">
        <f t="shared" ca="1" si="8"/>
        <v>3.0723488602576808E-2</v>
      </c>
      <c r="P12" s="130" t="str">
        <f t="shared" ca="1" si="9"/>
        <v>＋90</v>
      </c>
      <c r="Q12" s="12" t="str">
        <f t="shared" ca="1" si="11"/>
        <v>割高</v>
      </c>
      <c r="R12" s="341">
        <f ca="1">終値履歴!D12</f>
        <v>2069.4</v>
      </c>
      <c r="S12" s="344">
        <f t="shared" ca="1" si="10"/>
        <v>4.8575567358763838E-2</v>
      </c>
      <c r="T12" s="341">
        <f ca="1">終値履歴!E12</f>
        <v>2080.5</v>
      </c>
      <c r="U12" s="344">
        <f t="shared" ca="1" si="2"/>
        <v>4.1244239631336409E-2</v>
      </c>
      <c r="W12" s="343">
        <f ca="1">終値履歴!F12</f>
        <v>2008</v>
      </c>
      <c r="X12" s="344">
        <f t="shared" ca="1" si="3"/>
        <v>7.4654377880184336E-2</v>
      </c>
    </row>
    <row r="13" spans="1:24" x14ac:dyDescent="0.25">
      <c r="B13" s="310" t="str">
        <f>IPO監視一覧!B13</f>
        <v>力の源HD</v>
      </c>
      <c r="C13" s="311">
        <f>株価一覧!H12</f>
        <v>8000</v>
      </c>
      <c r="D13" s="312">
        <f ca="1">OFFSET(終値履歴!A13,0,COUNTA(終値履歴!G13:'終値履歴'!XFD13)+2,1,-1)</f>
        <v>1992</v>
      </c>
      <c r="E13" s="312">
        <f ca="1">OFFSET(終値履歴!A13,0,COUNTA(終値履歴!G13:'終値履歴'!XFD13)+3,1,-1)</f>
        <v>1985</v>
      </c>
      <c r="F13" s="312">
        <f ca="1">OFFSET(終値履歴!A13,0,COUNTA(終値履歴!G13:'終値履歴'!XFD13)+4,1,-1)</f>
        <v>1977</v>
      </c>
      <c r="G13" s="312">
        <f ca="1">OFFSET(終値履歴!A13,0,COUNTA(終値履歴!G13:'終値履歴'!XFD13)+5,1,-1)</f>
        <v>1982</v>
      </c>
      <c r="I13" s="133">
        <f t="shared" ca="1" si="4"/>
        <v>2.5290844714213456E-3</v>
      </c>
      <c r="J13" s="133">
        <f t="shared" ca="1" si="5"/>
        <v>-1.5113350125944584E-3</v>
      </c>
      <c r="K13" s="133">
        <f t="shared" ca="1" si="6"/>
        <v>-5.0200803212851405E-3</v>
      </c>
      <c r="M13" s="133">
        <f t="shared" ca="1" si="7"/>
        <v>-4.0302267002518891E-3</v>
      </c>
      <c r="N13" s="133">
        <f t="shared" ca="1" si="8"/>
        <v>-7.5301204819277108E-3</v>
      </c>
      <c r="P13" s="130" t="str">
        <f t="shared" ca="1" si="9"/>
        <v>＋5</v>
      </c>
      <c r="Q13" s="12" t="str">
        <f t="shared" ca="1" si="11"/>
        <v>普通</v>
      </c>
      <c r="R13" s="341">
        <f ca="1">終値履歴!D13</f>
        <v>1980.6</v>
      </c>
      <c r="S13" s="344">
        <f t="shared" ca="1" si="10"/>
        <v>7.052896725441264E-4</v>
      </c>
      <c r="T13" s="341">
        <f ca="1">終値履歴!E13</f>
        <v>1987.4</v>
      </c>
      <c r="U13" s="344">
        <f t="shared" ca="1" si="2"/>
        <v>-2.7245206861756261E-3</v>
      </c>
      <c r="W13" s="343">
        <f ca="1">終値履歴!F13</f>
        <v>1967</v>
      </c>
      <c r="X13" s="344">
        <f t="shared" ca="1" si="3"/>
        <v>7.5681130171543895E-3</v>
      </c>
    </row>
    <row r="14" spans="1:24" x14ac:dyDescent="0.25">
      <c r="B14" s="52" t="str">
        <f>IPO監視一覧!B14</f>
        <v>インターネットインフィニティー</v>
      </c>
      <c r="C14" s="364">
        <f>株価一覧!H13</f>
        <v>81200</v>
      </c>
      <c r="D14" s="366">
        <f ca="1">OFFSET(終値履歴!A14,0,COUNTA(終値履歴!G14:'終値履歴'!XFD14)+2,1,-1)</f>
        <v>8240</v>
      </c>
      <c r="E14" s="366">
        <f ca="1">OFFSET(終値履歴!A14,0,COUNTA(終値履歴!G14:'終値履歴'!XFD14)+3,1,-1)</f>
        <v>9110</v>
      </c>
      <c r="F14" s="366">
        <f ca="1">OFFSET(終値履歴!A14,0,COUNTA(終値履歴!G14:'終値履歴'!XFD14)+4,1,-1)</f>
        <v>9430</v>
      </c>
      <c r="G14" s="366">
        <f ca="1">OFFSET(終値履歴!A14,0,COUNTA(終値履歴!G14:'終値履歴'!XFD14)+5,1,-1)</f>
        <v>9130</v>
      </c>
      <c r="I14" s="133">
        <f t="shared" ca="1" si="4"/>
        <v>-3.1813361611876985E-2</v>
      </c>
      <c r="J14" s="133">
        <f t="shared" ca="1" si="5"/>
        <v>2.1953896816684962E-3</v>
      </c>
      <c r="K14" s="133">
        <f t="shared" ca="1" si="6"/>
        <v>0.10800970873786407</v>
      </c>
      <c r="M14" s="133">
        <f t="shared" ca="1" si="7"/>
        <v>3.512623490669594E-2</v>
      </c>
      <c r="N14" s="133">
        <f t="shared" ca="1" si="8"/>
        <v>0.14441747572815533</v>
      </c>
      <c r="P14" s="130">
        <f t="shared" ca="1" si="9"/>
        <v>-300</v>
      </c>
      <c r="Q14" s="12" t="str">
        <f t="shared" ca="1" si="11"/>
        <v>割高</v>
      </c>
      <c r="R14" s="341">
        <f ca="1">終値履歴!D14</f>
        <v>8814</v>
      </c>
      <c r="S14" s="344">
        <f t="shared" ca="1" si="10"/>
        <v>3.4687156970362239E-2</v>
      </c>
      <c r="T14" s="341">
        <f ca="1">終値履歴!E14</f>
        <v>8349</v>
      </c>
      <c r="U14" s="344">
        <f t="shared" ca="1" si="2"/>
        <v>8.5542168674698799E-2</v>
      </c>
      <c r="W14" s="343">
        <f ca="1">終値履歴!F14</f>
        <v>7530</v>
      </c>
      <c r="X14" s="344">
        <f t="shared" ca="1" si="3"/>
        <v>0.17524644030668127</v>
      </c>
    </row>
    <row r="15" spans="1:24" x14ac:dyDescent="0.25">
      <c r="B15" s="313" t="str">
        <f>IPO監視一覧!B15</f>
        <v>フルテック</v>
      </c>
      <c r="C15" s="314">
        <f>株価一覧!H14</f>
        <v>7400</v>
      </c>
      <c r="D15" s="315">
        <f ca="1">OFFSET(終値履歴!A15,0,COUNTA(終値履歴!G15:'終値履歴'!XFD15)+2,1,-1)</f>
        <v>1027</v>
      </c>
      <c r="E15" s="315">
        <f ca="1">OFFSET(終値履歴!A15,0,COUNTA(終値履歴!G15:'終値履歴'!XFD15)+3,1,-1)</f>
        <v>1030</v>
      </c>
      <c r="F15" s="315">
        <f ca="1">OFFSET(終値履歴!A15,0,COUNTA(終値履歴!G15:'終値履歴'!XFD15)+4,1,-1)</f>
        <v>1040</v>
      </c>
      <c r="G15" s="315">
        <f ca="1">OFFSET(終値履歴!A15,0,COUNTA(終値履歴!G15:'終値履歴'!XFD15)+5,1,-1)</f>
        <v>1041</v>
      </c>
      <c r="I15" s="133">
        <f t="shared" ca="1" si="4"/>
        <v>9.6153846153846159E-4</v>
      </c>
      <c r="J15" s="133">
        <f t="shared" ca="1" si="5"/>
        <v>1.0679611650485437E-2</v>
      </c>
      <c r="K15" s="133">
        <f t="shared" ca="1" si="6"/>
        <v>1.3631937682570594E-2</v>
      </c>
      <c r="M15" s="133">
        <f t="shared" ca="1" si="7"/>
        <v>9.7087378640776691E-3</v>
      </c>
      <c r="N15" s="133">
        <f t="shared" ca="1" si="8"/>
        <v>1.2658227848101266E-2</v>
      </c>
      <c r="P15" s="130" t="str">
        <f t="shared" ca="1" si="9"/>
        <v>＋1</v>
      </c>
      <c r="Q15" s="12" t="str">
        <f t="shared" ca="1" si="11"/>
        <v>割高</v>
      </c>
      <c r="R15" s="341">
        <f ca="1">終値履歴!D15</f>
        <v>1033.2</v>
      </c>
      <c r="S15" s="344">
        <f t="shared" ca="1" si="10"/>
        <v>7.5728155339805387E-3</v>
      </c>
      <c r="T15" s="341">
        <f ca="1">終値履歴!E15</f>
        <v>1030.7</v>
      </c>
      <c r="U15" s="344">
        <f t="shared" ca="1" si="2"/>
        <v>9.8943323727184954E-3</v>
      </c>
      <c r="W15" s="343">
        <f ca="1">終値履歴!F15</f>
        <v>1018</v>
      </c>
      <c r="X15" s="344">
        <f t="shared" ca="1" si="3"/>
        <v>2.2094140249759846E-2</v>
      </c>
    </row>
    <row r="16" spans="1:24" x14ac:dyDescent="0.25">
      <c r="B16" s="313" t="str">
        <f>IPO監視一覧!B16</f>
        <v>マクロミル</v>
      </c>
      <c r="C16" s="314">
        <f>株価一覧!H15</f>
        <v>536200</v>
      </c>
      <c r="D16" s="315">
        <f ca="1">OFFSET(終値履歴!A16,0,COUNTA(終値履歴!G16:'終値履歴'!XFD16)+2,1,-1)</f>
        <v>2457</v>
      </c>
      <c r="E16" s="315">
        <f ca="1">OFFSET(終値履歴!A16,0,COUNTA(終値履歴!G16:'終値履歴'!XFD16)+3,1,-1)</f>
        <v>2463</v>
      </c>
      <c r="F16" s="315">
        <f ca="1">OFFSET(終値履歴!A16,0,COUNTA(終値履歴!G16:'終値履歴'!XFD16)+4,1,-1)</f>
        <v>2546</v>
      </c>
      <c r="G16" s="315">
        <f ca="1">OFFSET(終値履歴!A16,0,COUNTA(終値履歴!G16:'終値履歴'!XFD16)+5,1,-1)</f>
        <v>2718</v>
      </c>
      <c r="I16" s="133">
        <f t="shared" ca="1" si="4"/>
        <v>6.7556952081696778E-2</v>
      </c>
      <c r="J16" s="133">
        <f t="shared" ca="1" si="5"/>
        <v>0.10353227771010962</v>
      </c>
      <c r="K16" s="133">
        <f t="shared" ca="1" si="6"/>
        <v>0.10622710622710622</v>
      </c>
      <c r="M16" s="133">
        <f t="shared" ca="1" si="7"/>
        <v>3.3698741372310194E-2</v>
      </c>
      <c r="N16" s="133">
        <f t="shared" ca="1" si="8"/>
        <v>3.6223036223036222E-2</v>
      </c>
      <c r="P16" s="130" t="str">
        <f t="shared" ca="1" si="9"/>
        <v>＋172</v>
      </c>
      <c r="Q16" s="12" t="str">
        <f t="shared" ca="1" si="11"/>
        <v>割高</v>
      </c>
      <c r="R16" s="341">
        <f ca="1">終値履歴!D16</f>
        <v>2532.6</v>
      </c>
      <c r="S16" s="344">
        <f t="shared" ca="1" si="10"/>
        <v>7.5274056029232678E-2</v>
      </c>
      <c r="T16" s="341">
        <f ca="1">終値履歴!E16</f>
        <v>2484.9</v>
      </c>
      <c r="U16" s="344">
        <f t="shared" ca="1" si="2"/>
        <v>8.5761589403973479E-2</v>
      </c>
      <c r="W16" s="343">
        <f ca="1">終値履歴!F16</f>
        <v>2369</v>
      </c>
      <c r="X16" s="344">
        <f t="shared" ca="1" si="3"/>
        <v>0.12840323767476086</v>
      </c>
    </row>
    <row r="17" spans="1:24" x14ac:dyDescent="0.25">
      <c r="B17" s="313" t="str">
        <f>IPO監視一覧!B17</f>
        <v>グリーンズ</v>
      </c>
      <c r="C17" s="314">
        <f>株価一覧!H16</f>
        <v>31600</v>
      </c>
      <c r="D17" s="315">
        <f ca="1">OFFSET(終値履歴!A17,0,COUNTA(終値履歴!G17:'終値履歴'!XFD17)+2,1,-1)</f>
        <v>1412</v>
      </c>
      <c r="E17" s="315">
        <f ca="1">OFFSET(終値履歴!A17,0,COUNTA(終値履歴!G17:'終値履歴'!XFD17)+3,1,-1)</f>
        <v>1416</v>
      </c>
      <c r="F17" s="315">
        <f ca="1">OFFSET(終値履歴!A17,0,COUNTA(終値履歴!G17:'終値履歴'!XFD17)+4,1,-1)</f>
        <v>1415</v>
      </c>
      <c r="G17" s="315">
        <f ca="1">OFFSET(終値履歴!A17,0,COUNTA(終値履歴!G17:'終値履歴'!XFD17)+5,1,-1)</f>
        <v>1426</v>
      </c>
      <c r="I17" s="133">
        <f t="shared" ca="1" si="4"/>
        <v>7.7738515901060075E-3</v>
      </c>
      <c r="J17" s="133">
        <f t="shared" ca="1" si="5"/>
        <v>7.0621468926553672E-3</v>
      </c>
      <c r="K17" s="133">
        <f t="shared" ca="1" si="6"/>
        <v>9.9150141643059488E-3</v>
      </c>
      <c r="M17" s="133">
        <f t="shared" ca="1" si="7"/>
        <v>-7.0621468926553672E-4</v>
      </c>
      <c r="N17" s="133">
        <f t="shared" ca="1" si="8"/>
        <v>2.124645892351275E-3</v>
      </c>
      <c r="P17" s="130" t="str">
        <f t="shared" ca="1" si="9"/>
        <v>＋11</v>
      </c>
      <c r="Q17" s="12" t="str">
        <f t="shared" ca="1" si="11"/>
        <v>割高</v>
      </c>
      <c r="R17" s="341">
        <f ca="1">終値履歴!D17</f>
        <v>1414.8</v>
      </c>
      <c r="S17" s="344">
        <f t="shared" ca="1" si="10"/>
        <v>7.9096045197740439E-3</v>
      </c>
      <c r="T17" s="341">
        <f ca="1">終値履歴!E17</f>
        <v>1411.2</v>
      </c>
      <c r="U17" s="344">
        <f t="shared" ca="1" si="2"/>
        <v>1.0378681626928439E-2</v>
      </c>
      <c r="W17" s="343">
        <f ca="1">終値履歴!F17</f>
        <v>1399</v>
      </c>
      <c r="X17" s="344">
        <f t="shared" ca="1" si="3"/>
        <v>1.8934081346423562E-2</v>
      </c>
    </row>
    <row r="18" spans="1:24" x14ac:dyDescent="0.25">
      <c r="B18" s="310" t="str">
        <f>IPO監視一覧!B18</f>
        <v>オロ</v>
      </c>
      <c r="C18" s="311">
        <f>株価一覧!H17</f>
        <v>6100</v>
      </c>
      <c r="D18" s="312">
        <f ca="1">OFFSET(終値履歴!A18,0,COUNTA(終値履歴!G18:'終値履歴'!XFD18)+2,1,-1)</f>
        <v>3125</v>
      </c>
      <c r="E18" s="312">
        <f ca="1">OFFSET(終値履歴!A18,0,COUNTA(終値履歴!G18:'終値履歴'!XFD18)+3,1,-1)</f>
        <v>3110</v>
      </c>
      <c r="F18" s="312">
        <f ca="1">OFFSET(終値履歴!A18,0,COUNTA(終値履歴!G18:'終値履歴'!XFD18)+4,1,-1)</f>
        <v>3135</v>
      </c>
      <c r="G18" s="312">
        <f ca="1">OFFSET(終値履歴!A18,0,COUNTA(終値履歴!G18:'終値履歴'!XFD18)+5,1,-1)</f>
        <v>3145</v>
      </c>
      <c r="I18" s="133">
        <f t="shared" ca="1" si="4"/>
        <v>3.189792663476874E-3</v>
      </c>
      <c r="J18" s="133">
        <f t="shared" ca="1" si="5"/>
        <v>1.1254019292604502E-2</v>
      </c>
      <c r="K18" s="133">
        <f t="shared" ca="1" si="6"/>
        <v>6.4000000000000003E-3</v>
      </c>
      <c r="M18" s="133">
        <f t="shared" ca="1" si="7"/>
        <v>8.0385852090032149E-3</v>
      </c>
      <c r="N18" s="133">
        <f t="shared" ca="1" si="8"/>
        <v>3.2000000000000002E-3</v>
      </c>
      <c r="P18" s="130" t="str">
        <f t="shared" ca="1" si="9"/>
        <v>＋10</v>
      </c>
      <c r="Q18" s="12" t="str">
        <f t="shared" ca="1" si="11"/>
        <v>普通</v>
      </c>
      <c r="R18" s="341">
        <f ca="1">終値履歴!D18</f>
        <v>3127</v>
      </c>
      <c r="S18" s="344">
        <f t="shared" ca="1" si="10"/>
        <v>5.7877813504823147E-3</v>
      </c>
      <c r="T18" s="341">
        <f ca="1">終値履歴!E18</f>
        <v>3151.5</v>
      </c>
      <c r="U18" s="344">
        <f t="shared" ca="1" si="2"/>
        <v>-2.0667726550079491E-3</v>
      </c>
      <c r="W18" s="343">
        <f ca="1">終値履歴!F18</f>
        <v>3110</v>
      </c>
      <c r="X18" s="344">
        <f t="shared" ca="1" si="3"/>
        <v>1.1128775834658187E-2</v>
      </c>
    </row>
    <row r="19" spans="1:24" x14ac:dyDescent="0.25">
      <c r="B19" s="99" t="str">
        <f>IPO監視一覧!B19</f>
        <v>ソレイジア・ファーマ</v>
      </c>
      <c r="C19" s="135">
        <f>株価一覧!H18</f>
        <v>56492100</v>
      </c>
      <c r="D19" s="136">
        <f ca="1">OFFSET(終値履歴!A19,0,COUNTA(終値履歴!G19:'終値履歴'!XFD19)+2,1,-1)</f>
        <v>382</v>
      </c>
      <c r="E19" s="136">
        <f ca="1">OFFSET(終値履歴!A19,0,COUNTA(終値履歴!G19:'終値履歴'!XFD19)+3,1,-1)</f>
        <v>343</v>
      </c>
      <c r="F19" s="136">
        <f ca="1">OFFSET(終値履歴!A19,0,COUNTA(終値履歴!G19:'終値履歴'!XFD19)+4,1,-1)</f>
        <v>423</v>
      </c>
      <c r="G19" s="136">
        <f ca="1">OFFSET(終値履歴!A19,0,COUNTA(終値履歴!G19:'終値履歴'!XFD19)+5,1,-1)</f>
        <v>401</v>
      </c>
      <c r="I19" s="133">
        <f t="shared" ca="1" si="4"/>
        <v>-5.2009456264775412E-2</v>
      </c>
      <c r="J19" s="133">
        <f t="shared" ca="1" si="5"/>
        <v>0.16909620991253643</v>
      </c>
      <c r="K19" s="133">
        <f t="shared" ca="1" si="6"/>
        <v>4.9738219895287955E-2</v>
      </c>
      <c r="M19" s="133">
        <f t="shared" ca="1" si="7"/>
        <v>0.23323615160349853</v>
      </c>
      <c r="N19" s="133">
        <f t="shared" ca="1" si="8"/>
        <v>0.10732984293193717</v>
      </c>
      <c r="P19" s="130">
        <f t="shared" ca="1" si="9"/>
        <v>-22</v>
      </c>
      <c r="Q19" s="12" t="str">
        <f t="shared" ca="1" si="11"/>
        <v>普通</v>
      </c>
      <c r="R19" s="341">
        <f ca="1">終値履歴!D19</f>
        <v>388.6</v>
      </c>
      <c r="S19" s="344">
        <f t="shared" ca="1" si="10"/>
        <v>3.6151603498542205E-2</v>
      </c>
      <c r="T19" s="341">
        <f ca="1">終値履歴!E19</f>
        <v>410.1</v>
      </c>
      <c r="U19" s="344">
        <f t="shared" ca="1" si="2"/>
        <v>-2.2693266832917763E-2</v>
      </c>
      <c r="W19" s="343">
        <f ca="1">終値履歴!F19</f>
        <v>343</v>
      </c>
      <c r="X19" s="344">
        <f t="shared" ca="1" si="3"/>
        <v>0.14463840399002495</v>
      </c>
    </row>
    <row r="20" spans="1:24" x14ac:dyDescent="0.25">
      <c r="B20" s="52" t="str">
        <f>IPO監視一覧!B20</f>
        <v>ティーケーピー</v>
      </c>
      <c r="C20" s="364">
        <f>株価一覧!H19</f>
        <v>23700</v>
      </c>
      <c r="D20" s="366">
        <f ca="1">OFFSET(終値履歴!A20,0,COUNTA(終値履歴!G20:'終値履歴'!XFD20)+2,1,-1)</f>
        <v>14430</v>
      </c>
      <c r="E20" s="366">
        <f ca="1">OFFSET(終値履歴!A20,0,COUNTA(終値履歴!G20:'終値履歴'!XFD20)+3,1,-1)</f>
        <v>14580</v>
      </c>
      <c r="F20" s="366">
        <f ca="1">OFFSET(終値履歴!A20,0,COUNTA(終値履歴!G20:'終値履歴'!XFD20)+4,1,-1)</f>
        <v>14440</v>
      </c>
      <c r="G20" s="366">
        <f ca="1">OFFSET(終値履歴!A20,0,COUNTA(終値履歴!G20:'終値履歴'!XFD20)+5,1,-1)</f>
        <v>15010</v>
      </c>
      <c r="I20" s="133">
        <f t="shared" ca="1" si="4"/>
        <v>3.9473684210526314E-2</v>
      </c>
      <c r="J20" s="133">
        <f t="shared" ca="1" si="5"/>
        <v>2.9492455418381344E-2</v>
      </c>
      <c r="K20" s="133">
        <f t="shared" ca="1" si="6"/>
        <v>4.0194040194040194E-2</v>
      </c>
      <c r="M20" s="133">
        <f t="shared" ca="1" si="7"/>
        <v>-9.6021947873799734E-3</v>
      </c>
      <c r="N20" s="133">
        <f t="shared" ca="1" si="8"/>
        <v>6.93000693000693E-4</v>
      </c>
      <c r="P20" s="130" t="str">
        <f t="shared" ca="1" si="9"/>
        <v>＋570</v>
      </c>
      <c r="Q20" s="12" t="str">
        <f t="shared" ca="1" si="11"/>
        <v>割高</v>
      </c>
      <c r="R20" s="341">
        <f ca="1">終値履歴!D20</f>
        <v>14612</v>
      </c>
      <c r="S20" s="344">
        <f t="shared" ca="1" si="10"/>
        <v>2.729766803840878E-2</v>
      </c>
      <c r="T20" s="341">
        <f ca="1">終値履歴!E20</f>
        <v>14445</v>
      </c>
      <c r="U20" s="344">
        <f t="shared" ca="1" si="2"/>
        <v>3.764157228514324E-2</v>
      </c>
      <c r="W20" s="343">
        <f ca="1">終値履歴!F20</f>
        <v>14010</v>
      </c>
      <c r="X20" s="344">
        <f t="shared" ca="1" si="3"/>
        <v>6.6622251832111928E-2</v>
      </c>
    </row>
    <row r="21" spans="1:24" x14ac:dyDescent="0.25">
      <c r="B21" s="310" t="str">
        <f>IPO監視一覧!B21</f>
        <v>ズーム</v>
      </c>
      <c r="C21" s="311">
        <f>株価一覧!H20</f>
        <v>8900</v>
      </c>
      <c r="D21" s="312">
        <f ca="1">OFFSET(終値履歴!A21,0,COUNTA(終値履歴!G21:'終値履歴'!XFD21)+2,1,-1)</f>
        <v>1799</v>
      </c>
      <c r="E21" s="312">
        <f ca="1">OFFSET(終値履歴!A21,0,COUNTA(終値履歴!G21:'終値履歴'!XFD21)+3,1,-1)</f>
        <v>1777</v>
      </c>
      <c r="F21" s="312">
        <f ca="1">OFFSET(終値履歴!A21,0,COUNTA(終値履歴!G21:'終値履歴'!XFD21)+4,1,-1)</f>
        <v>1766</v>
      </c>
      <c r="G21" s="312">
        <f ca="1">OFFSET(終値履歴!A21,0,COUNTA(終値履歴!G21:'終値履歴'!XFD21)+5,1,-1)</f>
        <v>1807</v>
      </c>
      <c r="I21" s="133">
        <f t="shared" ca="1" si="4"/>
        <v>2.3216308040770101E-2</v>
      </c>
      <c r="J21" s="133">
        <f t="shared" ca="1" si="5"/>
        <v>1.6882386043894203E-2</v>
      </c>
      <c r="K21" s="133">
        <f t="shared" ca="1" si="6"/>
        <v>4.4469149527515284E-3</v>
      </c>
      <c r="M21" s="133">
        <f t="shared" ca="1" si="7"/>
        <v>-6.1902082160945416E-3</v>
      </c>
      <c r="N21" s="133">
        <f t="shared" ca="1" si="8"/>
        <v>-1.8343524180100056E-2</v>
      </c>
      <c r="P21" s="130" t="str">
        <f t="shared" ca="1" si="9"/>
        <v>＋41</v>
      </c>
      <c r="Q21" s="12" t="str">
        <f t="shared" ca="1" si="11"/>
        <v>割高</v>
      </c>
      <c r="R21" s="341">
        <f ca="1">終値履歴!D21</f>
        <v>1771.8</v>
      </c>
      <c r="S21" s="344">
        <f t="shared" ca="1" si="10"/>
        <v>1.9808666291502557E-2</v>
      </c>
      <c r="T21" s="341">
        <f ca="1">終値履歴!E21</f>
        <v>1758.4</v>
      </c>
      <c r="U21" s="344">
        <f t="shared" ca="1" si="2"/>
        <v>2.689540675152181E-2</v>
      </c>
      <c r="W21" s="343">
        <f ca="1">終値履歴!F21</f>
        <v>1699</v>
      </c>
      <c r="X21" s="344">
        <f t="shared" ca="1" si="3"/>
        <v>5.9767570558937465E-2</v>
      </c>
    </row>
    <row r="22" spans="1:24" x14ac:dyDescent="0.25">
      <c r="B22" s="310" t="str">
        <f>IPO監視一覧!B22</f>
        <v>Ｎｏ．１</v>
      </c>
      <c r="C22" s="311">
        <f>株価一覧!H21</f>
        <v>2800</v>
      </c>
      <c r="D22" s="312">
        <f ca="1">OFFSET(終値履歴!A22,0,COUNTA(終値履歴!G22:'終値履歴'!XFD22)+2,1,-1)</f>
        <v>2709</v>
      </c>
      <c r="E22" s="312">
        <f ca="1">OFFSET(終値履歴!A22,0,COUNTA(終値履歴!G22:'終値履歴'!XFD22)+3,1,-1)</f>
        <v>2720</v>
      </c>
      <c r="F22" s="312">
        <f ca="1">OFFSET(終値履歴!A22,0,COUNTA(終値履歴!G22:'終値履歴'!XFD22)+4,1,-1)</f>
        <v>2700</v>
      </c>
      <c r="G22" s="312">
        <f ca="1">OFFSET(終値履歴!A22,0,COUNTA(終値履歴!G22:'終値履歴'!XFD22)+5,1,-1)</f>
        <v>2750</v>
      </c>
      <c r="I22" s="133">
        <f t="shared" ca="1" si="4"/>
        <v>1.8518518518518517E-2</v>
      </c>
      <c r="J22" s="133">
        <f t="shared" ca="1" si="5"/>
        <v>1.1029411764705883E-2</v>
      </c>
      <c r="K22" s="133">
        <f t="shared" ca="1" si="6"/>
        <v>1.5134736064968624E-2</v>
      </c>
      <c r="M22" s="133">
        <f t="shared" ca="1" si="7"/>
        <v>-7.3529411764705881E-3</v>
      </c>
      <c r="N22" s="133">
        <f t="shared" ca="1" si="8"/>
        <v>-3.3222591362126247E-3</v>
      </c>
      <c r="P22" s="130" t="str">
        <f t="shared" ca="1" si="9"/>
        <v>＋50</v>
      </c>
      <c r="Q22" s="12" t="str">
        <f t="shared" ca="1" si="11"/>
        <v>割高</v>
      </c>
      <c r="R22" s="341">
        <f ca="1">終値履歴!D22</f>
        <v>2723.2</v>
      </c>
      <c r="S22" s="344">
        <f t="shared" ca="1" si="10"/>
        <v>9.8529411764706545E-3</v>
      </c>
      <c r="T22" s="341">
        <f ca="1">終値履歴!E22</f>
        <v>2724.8</v>
      </c>
      <c r="U22" s="344">
        <f t="shared" ca="1" si="2"/>
        <v>9.1636363636362975E-3</v>
      </c>
      <c r="W22" s="343">
        <f ca="1">終値履歴!F22</f>
        <v>2659</v>
      </c>
      <c r="X22" s="344">
        <f t="shared" ca="1" si="3"/>
        <v>3.3090909090909087E-2</v>
      </c>
    </row>
    <row r="23" spans="1:24" x14ac:dyDescent="0.25">
      <c r="B23" s="313" t="str">
        <f>IPO監視一覧!B23</f>
        <v>オークネット</v>
      </c>
      <c r="C23" s="314">
        <f>株価一覧!H22</f>
        <v>24000</v>
      </c>
      <c r="D23" s="315">
        <f ca="1">OFFSET(終値履歴!A23,0,COUNTA(終値履歴!G23:'終値履歴'!XFD23)+2,1,-1)</f>
        <v>1397</v>
      </c>
      <c r="E23" s="315">
        <f ca="1">OFFSET(終値履歴!A23,0,COUNTA(終値履歴!G23:'終値履歴'!XFD23)+3,1,-1)</f>
        <v>1395</v>
      </c>
      <c r="F23" s="315">
        <f ca="1">OFFSET(終値履歴!A23,0,COUNTA(終値履歴!G23:'終値履歴'!XFD23)+4,1,-1)</f>
        <v>1384</v>
      </c>
      <c r="G23" s="315">
        <f ca="1">OFFSET(終値履歴!A23,0,COUNTA(終値履歴!G23:'終値履歴'!XFD23)+5,1,-1)</f>
        <v>1414</v>
      </c>
      <c r="I23" s="133">
        <f t="shared" ca="1" si="4"/>
        <v>2.1676300578034682E-2</v>
      </c>
      <c r="J23" s="133">
        <f t="shared" ca="1" si="5"/>
        <v>1.3620071684587814E-2</v>
      </c>
      <c r="K23" s="133">
        <f t="shared" ca="1" si="6"/>
        <v>1.2168933428775949E-2</v>
      </c>
      <c r="M23" s="133">
        <f t="shared" ca="1" si="7"/>
        <v>-7.8853046594982087E-3</v>
      </c>
      <c r="N23" s="133">
        <f t="shared" ca="1" si="8"/>
        <v>-9.3056549749463129E-3</v>
      </c>
      <c r="P23" s="130" t="str">
        <f t="shared" ca="1" si="9"/>
        <v>＋30</v>
      </c>
      <c r="Q23" s="12" t="str">
        <f t="shared" ca="1" si="11"/>
        <v>割高</v>
      </c>
      <c r="R23" s="341">
        <f ca="1">終値履歴!D23</f>
        <v>1395</v>
      </c>
      <c r="S23" s="344">
        <f t="shared" ca="1" si="10"/>
        <v>1.3620071684587814E-2</v>
      </c>
      <c r="T23" s="341">
        <f ca="1">終値履歴!E23</f>
        <v>1391.4</v>
      </c>
      <c r="U23" s="344">
        <f t="shared" ca="1" si="2"/>
        <v>1.5983026874115919E-2</v>
      </c>
      <c r="W23" s="343">
        <f ca="1">終値履歴!F23</f>
        <v>1384</v>
      </c>
      <c r="X23" s="344">
        <f t="shared" ca="1" si="3"/>
        <v>2.1216407355021217E-2</v>
      </c>
    </row>
    <row r="24" spans="1:24" x14ac:dyDescent="0.25">
      <c r="B24" s="313" t="str">
        <f>IPO監視一覧!B24</f>
        <v>スシローグローバルHD</v>
      </c>
      <c r="C24" s="314">
        <f>株価一覧!H23</f>
        <v>90400</v>
      </c>
      <c r="D24" s="315">
        <f ca="1">OFFSET(終値履歴!A24,0,COUNTA(終値履歴!G24:'終値履歴'!XFD24)+2,1,-1)</f>
        <v>3295</v>
      </c>
      <c r="E24" s="315">
        <f ca="1">OFFSET(終値履歴!A24,0,COUNTA(終値履歴!G24:'終値履歴'!XFD24)+3,1,-1)</f>
        <v>3295</v>
      </c>
      <c r="F24" s="315">
        <f ca="1">OFFSET(終値履歴!A24,0,COUNTA(終値履歴!G24:'終値履歴'!XFD24)+4,1,-1)</f>
        <v>3335</v>
      </c>
      <c r="G24" s="315">
        <f ca="1">OFFSET(終値履歴!A24,0,COUNTA(終値履歴!G24:'終値履歴'!XFD24)+5,1,-1)</f>
        <v>3345</v>
      </c>
      <c r="I24" s="133">
        <f t="shared" ca="1" si="4"/>
        <v>2.9985007496251873E-3</v>
      </c>
      <c r="J24" s="133">
        <f t="shared" ca="1" si="5"/>
        <v>1.5174506828528073E-2</v>
      </c>
      <c r="K24" s="133">
        <f t="shared" ca="1" si="6"/>
        <v>1.5174506828528073E-2</v>
      </c>
      <c r="M24" s="133">
        <f t="shared" ca="1" si="7"/>
        <v>1.2139605462822459E-2</v>
      </c>
      <c r="N24" s="133">
        <f t="shared" ca="1" si="8"/>
        <v>1.2139605462822459E-2</v>
      </c>
      <c r="P24" s="130" t="str">
        <f t="shared" ca="1" si="9"/>
        <v>＋10</v>
      </c>
      <c r="Q24" s="12" t="str">
        <f t="shared" ca="1" si="11"/>
        <v>割高</v>
      </c>
      <c r="R24" s="341">
        <f ca="1">終値履歴!D24</f>
        <v>3314</v>
      </c>
      <c r="S24" s="344">
        <f t="shared" ca="1" si="10"/>
        <v>9.4081942336874044E-3</v>
      </c>
      <c r="T24" s="341">
        <f ca="1">終値履歴!E24</f>
        <v>3317.5</v>
      </c>
      <c r="U24" s="344">
        <f t="shared" ca="1" si="2"/>
        <v>8.2212257100149483E-3</v>
      </c>
      <c r="W24" s="343">
        <f ca="1">終値履歴!F24</f>
        <v>3295</v>
      </c>
      <c r="X24" s="344">
        <f t="shared" ca="1" si="3"/>
        <v>1.4947683109118086E-2</v>
      </c>
    </row>
    <row r="25" spans="1:24" x14ac:dyDescent="0.25">
      <c r="B25" s="310" t="str">
        <f>IPO監視一覧!B25</f>
        <v>ユーザーローカル</v>
      </c>
      <c r="C25" s="311">
        <f>株価一覧!H24</f>
        <v>6100</v>
      </c>
      <c r="D25" s="312">
        <f ca="1">OFFSET(終値履歴!A25,0,COUNTA(終値履歴!G25:'終値履歴'!XFD25)+2,1,-1)</f>
        <v>8550</v>
      </c>
      <c r="E25" s="312">
        <f ca="1">OFFSET(終値履歴!A25,0,COUNTA(終値履歴!G25:'終値履歴'!XFD25)+3,1,-1)</f>
        <v>8480</v>
      </c>
      <c r="F25" s="312">
        <f ca="1">OFFSET(終値履歴!A25,0,COUNTA(終値履歴!G25:'終値履歴'!XFD25)+4,1,-1)</f>
        <v>8400</v>
      </c>
      <c r="G25" s="312">
        <f ca="1">OFFSET(終値履歴!A25,0,COUNTA(終値履歴!G25:'終値履歴'!XFD25)+5,1,-1)</f>
        <v>8450</v>
      </c>
      <c r="I25" s="133">
        <f t="shared" ca="1" si="4"/>
        <v>5.9523809523809521E-3</v>
      </c>
      <c r="J25" s="133">
        <f t="shared" ca="1" si="5"/>
        <v>-3.5377358490566039E-3</v>
      </c>
      <c r="K25" s="133">
        <f t="shared" ca="1" si="6"/>
        <v>-1.1695906432748537E-2</v>
      </c>
      <c r="M25" s="133">
        <f t="shared" ca="1" si="7"/>
        <v>-9.433962264150943E-3</v>
      </c>
      <c r="N25" s="133">
        <f t="shared" ca="1" si="8"/>
        <v>-1.7543859649122806E-2</v>
      </c>
      <c r="P25" s="130" t="str">
        <f t="shared" ca="1" si="9"/>
        <v>＋50</v>
      </c>
      <c r="Q25" s="12" t="str">
        <f t="shared" ca="1" si="11"/>
        <v>割安</v>
      </c>
      <c r="R25" s="341">
        <f ca="1">終値履歴!D25</f>
        <v>8496</v>
      </c>
      <c r="S25" s="344">
        <f t="shared" ca="1" si="10"/>
        <v>-5.4245283018867921E-3</v>
      </c>
      <c r="T25" s="341">
        <f ca="1">終値履歴!E25</f>
        <v>8564</v>
      </c>
      <c r="U25" s="344">
        <f t="shared" ca="1" si="2"/>
        <v>-1.3491124260355029E-2</v>
      </c>
      <c r="W25" s="343">
        <f ca="1">終値履歴!F25</f>
        <v>8400</v>
      </c>
      <c r="X25" s="344">
        <f t="shared" ca="1" si="3"/>
        <v>5.9171597633136093E-3</v>
      </c>
    </row>
    <row r="26" spans="1:24" x14ac:dyDescent="0.25">
      <c r="B26" s="310" t="str">
        <f>IPO監視一覧!B26</f>
        <v>ネットマーケティング</v>
      </c>
      <c r="C26" s="311">
        <f>株価一覧!H25</f>
        <v>102300</v>
      </c>
      <c r="D26" s="312">
        <f ca="1">OFFSET(終値履歴!A26,0,COUNTA(終値履歴!G26:'終値履歴'!XFD26)+2,1,-1)</f>
        <v>1207</v>
      </c>
      <c r="E26" s="312">
        <f ca="1">OFFSET(終値履歴!A26,0,COUNTA(終値履歴!G26:'終値履歴'!XFD26)+3,1,-1)</f>
        <v>1177</v>
      </c>
      <c r="F26" s="312">
        <f ca="1">OFFSET(終値履歴!A26,0,COUNTA(終値履歴!G26:'終値履歴'!XFD26)+4,1,-1)</f>
        <v>1163</v>
      </c>
      <c r="G26" s="312">
        <f ca="1">OFFSET(終値履歴!A26,0,COUNTA(終値履歴!G26:'終値履歴'!XFD26)+5,1,-1)</f>
        <v>1244</v>
      </c>
      <c r="I26" s="133">
        <f ca="1">(G26-F26)/F26</f>
        <v>6.964746345657781E-2</v>
      </c>
      <c r="J26" s="133">
        <f ca="1">(G26-E26)/E26</f>
        <v>5.6924384027187767E-2</v>
      </c>
      <c r="K26" s="133">
        <f ca="1">(G26-D26)/D26</f>
        <v>3.0654515327257662E-2</v>
      </c>
      <c r="M26" s="133">
        <f ca="1">(F26-E26)/E26</f>
        <v>-1.18946474086661E-2</v>
      </c>
      <c r="N26" s="133">
        <f ca="1">(F26-D26)/D26</f>
        <v>-3.6454018227009111E-2</v>
      </c>
      <c r="P26" s="130" t="str">
        <f t="shared" ca="1" si="9"/>
        <v>＋81</v>
      </c>
      <c r="Q26" s="12" t="str">
        <f t="shared" ca="1" si="11"/>
        <v>割高</v>
      </c>
      <c r="R26" s="341">
        <f ca="1">終値履歴!D26</f>
        <v>1196.2</v>
      </c>
      <c r="S26" s="344">
        <f t="shared" ca="1" si="10"/>
        <v>4.0611724723874219E-2</v>
      </c>
      <c r="T26" s="341">
        <f ca="1">終値履歴!E26</f>
        <v>1236.5999999999999</v>
      </c>
      <c r="U26" s="344">
        <f t="shared" ca="1" si="2"/>
        <v>5.9485530546624522E-3</v>
      </c>
      <c r="W26" s="343">
        <f ca="1">終値履歴!F26</f>
        <v>1163</v>
      </c>
      <c r="X26" s="344">
        <f t="shared" ca="1" si="3"/>
        <v>6.5112540192926047E-2</v>
      </c>
    </row>
    <row r="27" spans="1:24" x14ac:dyDescent="0.25">
      <c r="B27" s="310" t="str">
        <f>IPO監視一覧!B27</f>
        <v>テモナ</v>
      </c>
      <c r="C27" s="311">
        <f>株価一覧!H26</f>
        <v>3200</v>
      </c>
      <c r="D27" s="312">
        <f ca="1">OFFSET(終値履歴!A27,0,COUNTA(終値履歴!G27:'終値履歴'!XFD27)+2,1,-1)</f>
        <v>6630</v>
      </c>
      <c r="E27" s="312">
        <f ca="1">OFFSET(終値履歴!A27,0,COUNTA(終値履歴!G27:'終値履歴'!XFD27)+3,1,-1)</f>
        <v>6660</v>
      </c>
      <c r="F27" s="312">
        <f ca="1">OFFSET(終値履歴!A27,0,COUNTA(終値履歴!G27:'終値履歴'!XFD27)+4,1,-1)</f>
        <v>6600</v>
      </c>
      <c r="G27" s="312">
        <f ca="1">OFFSET(終値履歴!A27,0,COUNTA(終値履歴!G27:'終値履歴'!XFD27)+5,1,-1)</f>
        <v>6500</v>
      </c>
      <c r="I27" s="133">
        <f t="shared" ca="1" si="4"/>
        <v>-1.5151515151515152E-2</v>
      </c>
      <c r="J27" s="133">
        <f t="shared" ca="1" si="5"/>
        <v>-2.4024024024024024E-2</v>
      </c>
      <c r="K27" s="133">
        <f t="shared" ca="1" si="6"/>
        <v>-1.9607843137254902E-2</v>
      </c>
      <c r="M27" s="133">
        <f t="shared" ca="1" si="7"/>
        <v>-9.0090090090090089E-3</v>
      </c>
      <c r="N27" s="133">
        <f t="shared" ca="1" si="8"/>
        <v>-4.5248868778280547E-3</v>
      </c>
      <c r="P27" s="130">
        <f t="shared" ca="1" si="9"/>
        <v>-100</v>
      </c>
      <c r="Q27" s="12" t="str">
        <f t="shared" ca="1" si="11"/>
        <v>割安</v>
      </c>
      <c r="R27" s="341">
        <f ca="1">終値履歴!D27</f>
        <v>6560</v>
      </c>
      <c r="S27" s="344">
        <f t="shared" ca="1" si="10"/>
        <v>-9.0090090090090089E-3</v>
      </c>
      <c r="T27" s="341">
        <f ca="1">終値履歴!E27</f>
        <v>6606</v>
      </c>
      <c r="U27" s="344">
        <f t="shared" ca="1" si="2"/>
        <v>-1.6307692307692308E-2</v>
      </c>
      <c r="W27" s="343">
        <f ca="1">終値履歴!F27</f>
        <v>6320</v>
      </c>
      <c r="X27" s="344">
        <f t="shared" ca="1" si="3"/>
        <v>2.7692307692307693E-2</v>
      </c>
    </row>
    <row r="28" spans="1:24" x14ac:dyDescent="0.25">
      <c r="B28" s="313" t="str">
        <f>IPO監視一覧!B28</f>
        <v>ウェーブロックHD</v>
      </c>
      <c r="C28" s="314">
        <f>株価一覧!H27</f>
        <v>261800</v>
      </c>
      <c r="D28" s="315">
        <f ca="1">OFFSET(終値履歴!A28,0,COUNTA(終値履歴!G28:'終値履歴'!XFD28)+2,1,-1)</f>
        <v>1180</v>
      </c>
      <c r="E28" s="315">
        <f ca="1">OFFSET(終値履歴!A28,0,COUNTA(終値履歴!G28:'終値履歴'!XFD28)+3,1,-1)</f>
        <v>1148</v>
      </c>
      <c r="F28" s="315">
        <f ca="1">OFFSET(終値履歴!A28,0,COUNTA(終値履歴!G28:'終値履歴'!XFD28)+4,1,-1)</f>
        <v>1149</v>
      </c>
      <c r="G28" s="315">
        <f ca="1">OFFSET(終値履歴!A28,0,COUNTA(終値履歴!G28:'終値履歴'!XFD28)+5,1,-1)</f>
        <v>1134</v>
      </c>
      <c r="I28" s="133">
        <f t="shared" ca="1" si="4"/>
        <v>-1.3054830287206266E-2</v>
      </c>
      <c r="J28" s="133">
        <f t="shared" ca="1" si="5"/>
        <v>-1.2195121951219513E-2</v>
      </c>
      <c r="K28" s="133">
        <f t="shared" ca="1" si="6"/>
        <v>-3.898305084745763E-2</v>
      </c>
      <c r="M28" s="133">
        <f t="shared" ca="1" si="7"/>
        <v>8.710801393728223E-4</v>
      </c>
      <c r="N28" s="133">
        <f t="shared" ca="1" si="8"/>
        <v>-2.6271186440677965E-2</v>
      </c>
      <c r="P28" s="130">
        <f t="shared" ca="1" si="9"/>
        <v>-15</v>
      </c>
      <c r="Q28" s="12" t="str">
        <f t="shared" ca="1" si="11"/>
        <v>割安</v>
      </c>
      <c r="R28" s="341">
        <f ca="1">終値履歴!D28</f>
        <v>1156.2</v>
      </c>
      <c r="S28" s="344">
        <f t="shared" ca="1" si="10"/>
        <v>-1.9337979094076696E-2</v>
      </c>
      <c r="T28" s="341">
        <f ca="1">終値履歴!E28</f>
        <v>1153.8</v>
      </c>
      <c r="U28" s="344">
        <f t="shared" ca="1" si="2"/>
        <v>-1.7460317460317419E-2</v>
      </c>
      <c r="W28" s="343">
        <f ca="1">終値履歴!F28</f>
        <v>1112</v>
      </c>
      <c r="X28" s="344">
        <f t="shared" ca="1" si="3"/>
        <v>1.9400352733686066E-2</v>
      </c>
    </row>
    <row r="29" spans="1:24" x14ac:dyDescent="0.25">
      <c r="B29" s="313" t="str">
        <f>IPO監視一覧!B29</f>
        <v>LIXILビバ</v>
      </c>
      <c r="C29" s="314">
        <f>株価一覧!H28</f>
        <v>60400</v>
      </c>
      <c r="D29" s="315">
        <f ca="1">OFFSET(終値履歴!A29,0,COUNTA(終値履歴!G29:'終値履歴'!XFD29)+2,1,-1)</f>
        <v>2011</v>
      </c>
      <c r="E29" s="315">
        <f ca="1">OFFSET(終値履歴!A29,0,COUNTA(終値履歴!G29:'終値履歴'!XFD29)+3,1,-1)</f>
        <v>2015</v>
      </c>
      <c r="F29" s="315">
        <f ca="1">OFFSET(終値履歴!A29,0,COUNTA(終値履歴!G29:'終値履歴'!XFD29)+4,1,-1)</f>
        <v>2000</v>
      </c>
      <c r="G29" s="315">
        <f ca="1">OFFSET(終値履歴!A29,0,COUNTA(終値履歴!G29:'終値履歴'!XFD29)+5,1,-1)</f>
        <v>2003</v>
      </c>
      <c r="I29" s="133">
        <f t="shared" ca="1" si="4"/>
        <v>1.5E-3</v>
      </c>
      <c r="J29" s="133">
        <f t="shared" ca="1" si="5"/>
        <v>-5.9553349875930521E-3</v>
      </c>
      <c r="K29" s="133">
        <f t="shared" ca="1" si="6"/>
        <v>-3.9781203381402284E-3</v>
      </c>
      <c r="M29" s="133">
        <f t="shared" ca="1" si="7"/>
        <v>-7.4441687344913151E-3</v>
      </c>
      <c r="N29" s="133">
        <f t="shared" ca="1" si="8"/>
        <v>-5.4699154649428148E-3</v>
      </c>
      <c r="P29" s="130" t="str">
        <f t="shared" ca="1" si="9"/>
        <v>＋3</v>
      </c>
      <c r="Q29" s="12" t="str">
        <f t="shared" ca="1" si="11"/>
        <v>割安</v>
      </c>
      <c r="R29" s="341">
        <f ca="1">終値履歴!D29</f>
        <v>2009.2</v>
      </c>
      <c r="S29" s="344">
        <f t="shared" ca="1" si="10"/>
        <v>-3.0769230769230995E-3</v>
      </c>
      <c r="T29" s="341">
        <f ca="1">終値履歴!E29</f>
        <v>2010.9</v>
      </c>
      <c r="U29" s="344">
        <f t="shared" ca="1" si="2"/>
        <v>-3.9440838741887623E-3</v>
      </c>
      <c r="W29" s="343">
        <f ca="1">終値履歴!F29</f>
        <v>2000</v>
      </c>
      <c r="X29" s="344">
        <f t="shared" ca="1" si="3"/>
        <v>1.4977533699450823E-3</v>
      </c>
    </row>
    <row r="30" spans="1:24" x14ac:dyDescent="0.25">
      <c r="B30" s="310" t="str">
        <f>IPO監視一覧!B30</f>
        <v>旅工房</v>
      </c>
      <c r="C30" s="311">
        <f>株価一覧!H29</f>
        <v>18300</v>
      </c>
      <c r="D30" s="312">
        <f ca="1">OFFSET(終値履歴!A30,0,COUNTA(終値履歴!G30:'終値履歴'!XFD30)+2,1,-1)</f>
        <v>3650</v>
      </c>
      <c r="E30" s="312">
        <f ca="1">OFFSET(終値履歴!A30,0,COUNTA(終値履歴!G30:'終値履歴'!XFD30)+3,1,-1)</f>
        <v>3610</v>
      </c>
      <c r="F30" s="312">
        <f ca="1">OFFSET(終値履歴!A30,0,COUNTA(終値履歴!G30:'終値履歴'!XFD30)+4,1,-1)</f>
        <v>3590</v>
      </c>
      <c r="G30" s="312">
        <f ca="1">OFFSET(終値履歴!A30,0,COUNTA(終値履歴!G30:'終値履歴'!XFD30)+5,1,-1)</f>
        <v>3555</v>
      </c>
      <c r="I30" s="133">
        <f t="shared" ca="1" si="4"/>
        <v>-9.7493036211699167E-3</v>
      </c>
      <c r="J30" s="133">
        <f t="shared" ca="1" si="5"/>
        <v>-1.5235457063711912E-2</v>
      </c>
      <c r="K30" s="133">
        <f t="shared" ca="1" si="6"/>
        <v>-2.6027397260273973E-2</v>
      </c>
      <c r="M30" s="133">
        <f t="shared" ca="1" si="7"/>
        <v>-5.5401662049861496E-3</v>
      </c>
      <c r="N30" s="133">
        <f t="shared" ca="1" si="8"/>
        <v>-1.643835616438356E-2</v>
      </c>
      <c r="P30" s="130">
        <f t="shared" ca="1" si="9"/>
        <v>-35</v>
      </c>
      <c r="Q30" s="12" t="str">
        <f t="shared" ca="1" si="11"/>
        <v>割安</v>
      </c>
      <c r="R30" s="341">
        <f ca="1">終値履歴!D30</f>
        <v>3616</v>
      </c>
      <c r="S30" s="344">
        <f t="shared" ca="1" si="10"/>
        <v>-1.6897506925207757E-2</v>
      </c>
      <c r="T30" s="341">
        <f ca="1">終値履歴!E30</f>
        <v>3740.5</v>
      </c>
      <c r="U30" s="344">
        <f t="shared" ca="1" si="2"/>
        <v>-5.218002812939522E-2</v>
      </c>
      <c r="W30" s="343">
        <f ca="1">終値履歴!F30</f>
        <v>3555</v>
      </c>
      <c r="X30" s="344">
        <f t="shared" ca="1" si="3"/>
        <v>0</v>
      </c>
    </row>
    <row r="31" spans="1:24" x14ac:dyDescent="0.25">
      <c r="B31" s="52" t="str">
        <f>IPO監視一覧!B31</f>
        <v>アセンテック</v>
      </c>
      <c r="C31" s="364">
        <f>株価一覧!H30</f>
        <v>48500</v>
      </c>
      <c r="D31" s="365">
        <f ca="1">OFFSET(終値履歴!A31,0,COUNTA(終値履歴!G31:'終値履歴'!XFD31)+2,1,-1)</f>
        <v>5880</v>
      </c>
      <c r="E31" s="365">
        <f ca="1">OFFSET(終値履歴!A31,0,COUNTA(終値履歴!G31:'終値履歴'!XFD31)+3,1,-1)</f>
        <v>5950</v>
      </c>
      <c r="F31" s="365">
        <f ca="1">OFFSET(終値履歴!A31,0,COUNTA(終値履歴!G31:'終値履歴'!XFD31)+4,1,-1)</f>
        <v>5860</v>
      </c>
      <c r="G31" s="365">
        <f ca="1">OFFSET(終値履歴!A31,0,COUNTA(終値履歴!G31:'終値履歴'!XFD31)+5,1,-1)</f>
        <v>5750</v>
      </c>
      <c r="I31" s="133">
        <f t="shared" ca="1" si="4"/>
        <v>-1.877133105802048E-2</v>
      </c>
      <c r="J31" s="133">
        <f t="shared" ca="1" si="5"/>
        <v>-3.3613445378151259E-2</v>
      </c>
      <c r="K31" s="133">
        <f t="shared" ca="1" si="6"/>
        <v>-2.2108843537414966E-2</v>
      </c>
      <c r="M31" s="133">
        <f t="shared" ca="1" si="7"/>
        <v>-1.5126050420168067E-2</v>
      </c>
      <c r="N31" s="133">
        <f t="shared" ca="1" si="8"/>
        <v>-3.4013605442176869E-3</v>
      </c>
      <c r="P31" s="130">
        <f t="shared" ca="1" si="9"/>
        <v>-110</v>
      </c>
      <c r="Q31" s="12" t="str">
        <f t="shared" ca="1" si="11"/>
        <v>割安</v>
      </c>
      <c r="R31" s="341">
        <f ca="1">終値履歴!D31</f>
        <v>5882</v>
      </c>
      <c r="S31" s="344">
        <f t="shared" ca="1" si="10"/>
        <v>-2.2184873949579832E-2</v>
      </c>
      <c r="T31" s="341">
        <f ca="1">終値履歴!E31</f>
        <v>6006</v>
      </c>
      <c r="U31" s="344">
        <f t="shared" ca="1" si="2"/>
        <v>-4.4521739130434786E-2</v>
      </c>
      <c r="W31" s="343">
        <f ca="1">終値履歴!F31</f>
        <v>5750</v>
      </c>
      <c r="X31" s="344">
        <f t="shared" ca="1" si="3"/>
        <v>0</v>
      </c>
    </row>
    <row r="32" spans="1:24" x14ac:dyDescent="0.25">
      <c r="A32" s="12" t="s">
        <v>477</v>
      </c>
      <c r="B32" s="99" t="str">
        <f>'セカンダリ投資分析(SBI証券)'!B6</f>
        <v>アエリア</v>
      </c>
      <c r="C32" s="138">
        <f>株価一覧!H31</f>
        <v>734900</v>
      </c>
      <c r="D32" s="339">
        <f ca="1">OFFSET(終値履歴!A32,0,COUNTA(終値履歴!G32:'終値履歴'!XFD32)+2,1,-1)</f>
        <v>3285</v>
      </c>
      <c r="E32" s="339">
        <f ca="1">OFFSET(終値履歴!A32,0,COUNTA(終値履歴!G32:'終値履歴'!XFD32)+3,1,-1)</f>
        <v>3285</v>
      </c>
      <c r="F32" s="339">
        <f ca="1">OFFSET(終値履歴!A32,0,COUNTA(終値履歴!G32:'終値履歴'!XFD32)+4,1,-1)</f>
        <v>3255</v>
      </c>
      <c r="G32" s="339">
        <f ca="1">OFFSET(終値履歴!A32,0,COUNTA(終値履歴!G32:'終値履歴'!XFD32)+5,1,-1)</f>
        <v>3225</v>
      </c>
      <c r="I32" s="133">
        <f t="shared" ref="I32:I35" ca="1" si="12">(G32-F32)/F32</f>
        <v>-9.2165898617511521E-3</v>
      </c>
      <c r="J32" s="133">
        <f t="shared" ref="J32:J35" ca="1" si="13">(G32-E32)/E32</f>
        <v>-1.8264840182648401E-2</v>
      </c>
      <c r="K32" s="133">
        <f t="shared" ref="K32:K35" ca="1" si="14">(G32-D32)/D32</f>
        <v>-1.8264840182648401E-2</v>
      </c>
      <c r="M32" s="133">
        <f ca="1">(F32-E32)/E32</f>
        <v>-9.1324200913242004E-3</v>
      </c>
      <c r="N32" s="133">
        <f t="shared" ref="N32:N35" ca="1" si="15">(F32-D32)/D32</f>
        <v>-9.1324200913242004E-3</v>
      </c>
      <c r="P32" s="130">
        <f t="shared" ref="P32:P35" ca="1" si="16">IF(G32-F32 &gt; 0,CONCATENATE("＋",G32-F32),G32-F32)</f>
        <v>-30</v>
      </c>
      <c r="Q32" s="12" t="str">
        <f t="shared" ca="1" si="11"/>
        <v>割安</v>
      </c>
      <c r="R32" s="341">
        <f ca="1">終値履歴!D32</f>
        <v>3293</v>
      </c>
      <c r="S32" s="344">
        <f t="shared" ca="1" si="10"/>
        <v>-2.0700152207001523E-2</v>
      </c>
      <c r="T32" s="341">
        <f ca="1">終値履歴!E32</f>
        <v>3573.5</v>
      </c>
      <c r="U32" s="344">
        <f t="shared" ca="1" si="2"/>
        <v>-0.10806201550387597</v>
      </c>
      <c r="W32" s="341">
        <f ca="1">終値履歴!F32</f>
        <v>2980</v>
      </c>
      <c r="X32" s="344">
        <f t="shared" ca="1" si="3"/>
        <v>7.5968992248062014E-2</v>
      </c>
    </row>
    <row r="33" spans="1:24" x14ac:dyDescent="0.25">
      <c r="A33" s="12" t="s">
        <v>477</v>
      </c>
      <c r="B33" s="99" t="str">
        <f>'セカンダリ投資分析(SBI証券)'!B10</f>
        <v>アカツキ</v>
      </c>
      <c r="C33" s="138">
        <f>株価一覧!H32</f>
        <v>555000</v>
      </c>
      <c r="D33" s="339">
        <f ca="1">OFFSET(終値履歴!A33,0,COUNTA(終値履歴!G33:'終値履歴'!XFD33)+2,1,-1)</f>
        <v>8570</v>
      </c>
      <c r="E33" s="339">
        <f ca="1">OFFSET(終値履歴!A33,0,COUNTA(終値履歴!G33:'終値履歴'!XFD33)+3,1,-1)</f>
        <v>8350</v>
      </c>
      <c r="F33" s="339">
        <f ca="1">OFFSET(終値履歴!A33,0,COUNTA(終値履歴!G33:'終値履歴'!XFD33)+4,1,-1)</f>
        <v>8390</v>
      </c>
      <c r="G33" s="339">
        <f ca="1">OFFSET(終値履歴!A33,0,COUNTA(終値履歴!G33:'終値履歴'!XFD33)+5,1,-1)</f>
        <v>8810</v>
      </c>
      <c r="I33" s="133">
        <f t="shared" ca="1" si="12"/>
        <v>5.0059594755661505E-2</v>
      </c>
      <c r="J33" s="133">
        <f t="shared" ca="1" si="13"/>
        <v>5.5089820359281436E-2</v>
      </c>
      <c r="K33" s="133">
        <f t="shared" ca="1" si="14"/>
        <v>2.8004667444574097E-2</v>
      </c>
      <c r="M33" s="133">
        <f t="shared" ref="M33:M35" ca="1" si="17">(F33-E33)/E33</f>
        <v>4.7904191616766467E-3</v>
      </c>
      <c r="N33" s="133">
        <f t="shared" ca="1" si="15"/>
        <v>-2.1003500583430573E-2</v>
      </c>
      <c r="P33" s="130" t="str">
        <f t="shared" ca="1" si="16"/>
        <v>＋420</v>
      </c>
      <c r="Q33" s="12" t="str">
        <f t="shared" ca="1" si="11"/>
        <v>割高</v>
      </c>
      <c r="R33" s="341">
        <f ca="1">終値履歴!D33</f>
        <v>8494</v>
      </c>
      <c r="S33" s="344">
        <f t="shared" ca="1" si="10"/>
        <v>3.7844311377245511E-2</v>
      </c>
      <c r="T33" s="341">
        <f ca="1">終値履歴!E33</f>
        <v>8626</v>
      </c>
      <c r="U33" s="344">
        <f t="shared" ca="1" si="2"/>
        <v>2.0885357548240637E-2</v>
      </c>
      <c r="W33" s="341">
        <f ca="1">終値履歴!F33</f>
        <v>8350</v>
      </c>
      <c r="X33" s="344">
        <f t="shared" ca="1" si="3"/>
        <v>5.2213393870601588E-2</v>
      </c>
    </row>
    <row r="34" spans="1:24" x14ac:dyDescent="0.25">
      <c r="A34" s="12" t="s">
        <v>477</v>
      </c>
      <c r="B34" s="99" t="str">
        <f>'セカンダリ投資分析(SBI証券)'!B14</f>
        <v>メイコー</v>
      </c>
      <c r="C34" s="138">
        <f>株価一覧!H33</f>
        <v>302000</v>
      </c>
      <c r="D34" s="339">
        <f ca="1">OFFSET(終値履歴!A34,0,COUNTA(終値履歴!G34:'終値履歴'!XFD34)+2,1,-1)</f>
        <v>1472</v>
      </c>
      <c r="E34" s="339">
        <f ca="1">OFFSET(終値履歴!A34,0,COUNTA(終値履歴!G34:'終値履歴'!XFD34)+3,1,-1)</f>
        <v>1464</v>
      </c>
      <c r="F34" s="339">
        <f ca="1">OFFSET(終値履歴!A34,0,COUNTA(終値履歴!G34:'終値履歴'!XFD34)+4,1,-1)</f>
        <v>1481</v>
      </c>
      <c r="G34" s="339">
        <f ca="1">OFFSET(終値履歴!A34,0,COUNTA(終値履歴!G34:'終値履歴'!XFD34)+5,1,-1)</f>
        <v>1471</v>
      </c>
      <c r="I34" s="133">
        <f t="shared" ca="1" si="12"/>
        <v>-6.75219446320054E-3</v>
      </c>
      <c r="J34" s="133">
        <f t="shared" ca="1" si="13"/>
        <v>4.7814207650273225E-3</v>
      </c>
      <c r="K34" s="133">
        <f t="shared" ca="1" si="14"/>
        <v>-6.793478260869565E-4</v>
      </c>
      <c r="M34" s="133">
        <f t="shared" ca="1" si="17"/>
        <v>1.1612021857923498E-2</v>
      </c>
      <c r="N34" s="133">
        <f t="shared" ca="1" si="15"/>
        <v>6.114130434782609E-3</v>
      </c>
      <c r="P34" s="130">
        <f t="shared" ca="1" si="16"/>
        <v>-10</v>
      </c>
      <c r="Q34" s="12" t="str">
        <f t="shared" ca="1" si="11"/>
        <v>割高</v>
      </c>
      <c r="R34" s="341">
        <f ca="1">終値履歴!D34</f>
        <v>1457</v>
      </c>
      <c r="S34" s="344">
        <f t="shared" ca="1" si="10"/>
        <v>9.562841530054645E-3</v>
      </c>
      <c r="T34" s="341">
        <f ca="1">終値履歴!E34</f>
        <v>1456</v>
      </c>
      <c r="U34" s="344">
        <f t="shared" ca="1" si="2"/>
        <v>1.0197144799456152E-2</v>
      </c>
      <c r="W34" s="341">
        <f ca="1">終値履歴!F34</f>
        <v>1397</v>
      </c>
      <c r="X34" s="344">
        <f t="shared" ca="1" si="3"/>
        <v>5.0305914343983682E-2</v>
      </c>
    </row>
    <row r="35" spans="1:24" x14ac:dyDescent="0.25">
      <c r="A35" s="12" t="s">
        <v>477</v>
      </c>
      <c r="B35" s="52" t="str">
        <f>'セカンダリ投資分析(SBI証券)'!B9</f>
        <v>クルーズ</v>
      </c>
      <c r="C35" s="386">
        <f>株価一覧!H34</f>
        <v>395800</v>
      </c>
      <c r="D35" s="386">
        <f ca="1">OFFSET(終値履歴!A35,0,COUNTA(終値履歴!G35:'終値履歴'!XFD35)+2,1,-1)</f>
        <v>2736</v>
      </c>
      <c r="E35" s="386">
        <f ca="1">OFFSET(終値履歴!A35,0,COUNTA(終値履歴!G35:'終値履歴'!XFD35)+3,1,-1)</f>
        <v>2783</v>
      </c>
      <c r="F35" s="386">
        <f ca="1">OFFSET(終値履歴!A35,0,COUNTA(終値履歴!G35:'終値履歴'!XFD35)+4,1,-1)</f>
        <v>2789</v>
      </c>
      <c r="G35" s="386">
        <f ca="1">OFFSET(終値履歴!A35,0,COUNTA(終値履歴!G35:'終値履歴'!XFD35)+5,1,-1)</f>
        <v>2925</v>
      </c>
      <c r="I35" s="133">
        <f t="shared" ca="1" si="12"/>
        <v>4.8762997490139834E-2</v>
      </c>
      <c r="J35" s="133">
        <f t="shared" ca="1" si="13"/>
        <v>5.1024074739489757E-2</v>
      </c>
      <c r="K35" s="133">
        <f t="shared" ca="1" si="14"/>
        <v>6.9078947368421059E-2</v>
      </c>
      <c r="M35" s="133">
        <f t="shared" ca="1" si="17"/>
        <v>2.1559468199784403E-3</v>
      </c>
      <c r="N35" s="133">
        <f t="shared" ca="1" si="15"/>
        <v>1.9371345029239765E-2</v>
      </c>
      <c r="P35" s="130" t="str">
        <f t="shared" ca="1" si="16"/>
        <v>＋136</v>
      </c>
      <c r="Q35" s="12" t="str">
        <f t="shared" ca="1" si="11"/>
        <v>割高</v>
      </c>
      <c r="R35" s="341">
        <f ca="1">終値履歴!D35</f>
        <v>2791.6</v>
      </c>
      <c r="S35" s="344">
        <f t="shared" ca="1" si="10"/>
        <v>4.7933884297520692E-2</v>
      </c>
      <c r="T35" s="341">
        <f ca="1">終値履歴!E35</f>
        <v>2755.9</v>
      </c>
      <c r="U35" s="344">
        <f t="shared" ca="1" si="2"/>
        <v>5.7811965811965779E-2</v>
      </c>
      <c r="W35" s="341">
        <f ca="1">終値履歴!F35</f>
        <v>2687</v>
      </c>
      <c r="X35" s="344">
        <f t="shared" ca="1" si="3"/>
        <v>8.1367521367521373E-2</v>
      </c>
    </row>
    <row r="36" spans="1:24" x14ac:dyDescent="0.25">
      <c r="A36" s="12" t="s">
        <v>477</v>
      </c>
      <c r="B36" s="99" t="str">
        <f>'セカンダリ投資分析(SBI証券)'!B22</f>
        <v>サイバーステップ</v>
      </c>
      <c r="C36" s="138">
        <f>株価一覧!H35</f>
        <v>392300</v>
      </c>
      <c r="D36" s="339">
        <f ca="1">OFFSET(終値履歴!A36,0,COUNTA(終値履歴!G36:'終値履歴'!XFD36)+2,1,-1)</f>
        <v>6930</v>
      </c>
      <c r="E36" s="339">
        <f ca="1">OFFSET(終値履歴!A36,0,COUNTA(終値履歴!G36:'終値履歴'!XFD36)+3,1,-1)</f>
        <v>6370</v>
      </c>
      <c r="F36" s="339">
        <f ca="1">OFFSET(終値履歴!A36,0,COUNTA(終値履歴!G36:'終値履歴'!XFD36)+4,1,-1)</f>
        <v>6730</v>
      </c>
      <c r="G36" s="339">
        <f ca="1">OFFSET(終値履歴!A36,0,COUNTA(終値履歴!G36:'終値履歴'!XFD36)+5,1,-1)</f>
        <v>7050</v>
      </c>
      <c r="I36" s="133">
        <f t="shared" ref="I36" ca="1" si="18">(G36-F36)/F36</f>
        <v>4.7548291233283801E-2</v>
      </c>
      <c r="J36" s="133">
        <f t="shared" ref="J36" ca="1" si="19">(G36-E36)/E36</f>
        <v>0.10675039246467818</v>
      </c>
      <c r="K36" s="133">
        <f t="shared" ref="K36" ca="1" si="20">(G36-D36)/D36</f>
        <v>1.7316017316017316E-2</v>
      </c>
      <c r="M36" s="133">
        <f t="shared" ref="M36" ca="1" si="21">(F36-E36)/E36</f>
        <v>5.6514913657770803E-2</v>
      </c>
      <c r="N36" s="133">
        <f t="shared" ref="N36" ca="1" si="22">(F36-D36)/D36</f>
        <v>-2.886002886002886E-2</v>
      </c>
      <c r="P36" s="130" t="str">
        <f t="shared" ref="P36" ca="1" si="23">IF(G36-F36 &gt; 0,CONCATENATE("＋",G36-F36),G36-F36)</f>
        <v>＋320</v>
      </c>
      <c r="Q36" s="12" t="str">
        <f t="shared" ca="1" si="11"/>
        <v>割高</v>
      </c>
      <c r="R36" s="341">
        <f ca="1">終値履歴!D36</f>
        <v>6906</v>
      </c>
      <c r="S36" s="344">
        <f t="shared" ca="1" si="10"/>
        <v>2.2605965463108321E-2</v>
      </c>
      <c r="T36" s="341">
        <f ca="1">終値履歴!E36</f>
        <v>6793</v>
      </c>
      <c r="U36" s="344">
        <f t="shared" ca="1" si="2"/>
        <v>3.6453900709219861E-2</v>
      </c>
      <c r="W36" s="341">
        <f ca="1">終値履歴!F36</f>
        <v>6070</v>
      </c>
      <c r="X36" s="344">
        <f t="shared" ca="1" si="3"/>
        <v>0.13900709219858157</v>
      </c>
    </row>
    <row r="37" spans="1:24" x14ac:dyDescent="0.25">
      <c r="A37" s="12" t="s">
        <v>477</v>
      </c>
      <c r="B37" s="99" t="str">
        <f>'セカンダリ投資分析(SBI証券)'!B28</f>
        <v>アズジェント</v>
      </c>
      <c r="C37" s="138">
        <f>株価一覧!H36</f>
        <v>285000</v>
      </c>
      <c r="D37" s="339">
        <f ca="1">OFFSET(終値履歴!A37,0,COUNTA(終値履歴!G37:'終値履歴'!XFD37)+2,1,-1)</f>
        <v>3900</v>
      </c>
      <c r="E37" s="339">
        <f ca="1">OFFSET(終値履歴!A37,0,COUNTA(終値履歴!G37:'終値履歴'!XFD37)+3,1,-1)</f>
        <v>3955</v>
      </c>
      <c r="F37" s="339">
        <f ca="1">OFFSET(終値履歴!A37,0,COUNTA(終値履歴!G37:'終値履歴'!XFD37)+4,1,-1)</f>
        <v>3965</v>
      </c>
      <c r="G37" s="339">
        <f ca="1">OFFSET(終値履歴!A37,0,COUNTA(終値履歴!G37:'終値履歴'!XFD37)+5,1,-1)</f>
        <v>4230</v>
      </c>
      <c r="I37" s="133">
        <f t="shared" ref="I37" ca="1" si="24">(G37-F37)/F37</f>
        <v>6.683480453972257E-2</v>
      </c>
      <c r="J37" s="133">
        <f t="shared" ref="J37" ca="1" si="25">(G37-E37)/E37</f>
        <v>6.9532237673830599E-2</v>
      </c>
      <c r="K37" s="133">
        <f t="shared" ref="K37" ca="1" si="26">(G37-D37)/D37</f>
        <v>8.461538461538462E-2</v>
      </c>
      <c r="M37" s="133">
        <f t="shared" ref="M37" ca="1" si="27">(F37-E37)/E37</f>
        <v>2.5284450063211127E-3</v>
      </c>
      <c r="N37" s="133">
        <f t="shared" ref="N37" ca="1" si="28">(F37-D37)/D37</f>
        <v>1.6666666666666666E-2</v>
      </c>
      <c r="P37" s="130" t="str">
        <f t="shared" ref="P37" ca="1" si="29">IF(G37-F37 &gt; 0,CONCATENATE("＋",G37-F37),G37-F37)</f>
        <v>＋265</v>
      </c>
      <c r="Q37" s="12" t="str">
        <f t="shared" ref="Q37" ca="1" si="30">IF(AND(G37&lt;=T37,G37&lt;=R37),"割安",IF(AND(G37&gt;T37,G37&lt;=R37),"普通",IF(AND(G37&lt;=T37,G37&gt;R37),"普通","割高")))</f>
        <v>割高</v>
      </c>
      <c r="R37" s="341">
        <f ca="1">終値履歴!D37</f>
        <v>4001</v>
      </c>
      <c r="S37" s="344">
        <f t="shared" ref="S37" ca="1" si="31">(G37-R37)/E37</f>
        <v>5.7901390644753477E-2</v>
      </c>
      <c r="T37" s="341">
        <f ca="1">終値履歴!E37</f>
        <v>3931.5</v>
      </c>
      <c r="U37" s="344">
        <f t="shared" ref="U37" ca="1" si="32">(G37-T37)/G37</f>
        <v>7.0567375886524827E-2</v>
      </c>
      <c r="W37" s="341">
        <f ca="1">終値履歴!F37</f>
        <v>3425</v>
      </c>
      <c r="X37" s="344">
        <f t="shared" ref="X37" ca="1" si="33">(G37-W37)/G37</f>
        <v>0.19030732860520094</v>
      </c>
    </row>
    <row r="38" spans="1:24" x14ac:dyDescent="0.25">
      <c r="A38" s="12" t="s">
        <v>477</v>
      </c>
      <c r="B38" s="99" t="str">
        <f>'セカンダリ投資分析(SBI証券)'!B30</f>
        <v>リミックスポイント</v>
      </c>
      <c r="C38" s="138">
        <f>株価一覧!H37</f>
        <v>3491600</v>
      </c>
      <c r="D38" s="339">
        <f ca="1">OFFSET(終値履歴!A38,0,COUNTA(終値履歴!G38:'終値履歴'!XFD38)+2,1,-1)</f>
        <v>1130</v>
      </c>
      <c r="E38" s="339">
        <f ca="1">OFFSET(終値履歴!A38,0,COUNTA(終値履歴!G38:'終値履歴'!XFD38)+3,1,-1)</f>
        <v>1123</v>
      </c>
      <c r="F38" s="339">
        <f ca="1">OFFSET(終値履歴!A38,0,COUNTA(終値履歴!G38:'終値履歴'!XFD38)+4,1,-1)</f>
        <v>1218</v>
      </c>
      <c r="G38" s="339">
        <f ca="1">OFFSET(終値履歴!A38,0,COUNTA(終値履歴!G38:'終値履歴'!XFD38)+5,1,-1)</f>
        <v>1140</v>
      </c>
      <c r="I38" s="133">
        <f t="shared" ref="I38" ca="1" si="34">(G38-F38)/F38</f>
        <v>-6.4039408866995079E-2</v>
      </c>
      <c r="J38" s="133">
        <f t="shared" ref="J38" ca="1" si="35">(G38-E38)/E38</f>
        <v>1.5138023152270703E-2</v>
      </c>
      <c r="K38" s="133">
        <f t="shared" ref="K38" ca="1" si="36">(G38-D38)/D38</f>
        <v>8.8495575221238937E-3</v>
      </c>
      <c r="M38" s="133">
        <f t="shared" ref="M38" ca="1" si="37">(F38-E38)/E38</f>
        <v>8.4594835262689225E-2</v>
      </c>
      <c r="N38" s="133">
        <f t="shared" ref="N38" ca="1" si="38">(F38-D38)/D38</f>
        <v>7.7876106194690264E-2</v>
      </c>
      <c r="P38" s="130">
        <f t="shared" ref="P38" ca="1" si="39">IF(G38-F38 &gt; 0,CONCATENATE("＋",G38-F38),G38-F38)</f>
        <v>-78</v>
      </c>
      <c r="Q38" s="12" t="str">
        <f t="shared" ref="Q38" ca="1" si="40">IF(AND(G38&lt;=T38,G38&lt;=R38),"割安",IF(AND(G38&gt;T38,G38&lt;=R38),"普通",IF(AND(G38&lt;=T38,G38&gt;R38),"普通","割高")))</f>
        <v>割安</v>
      </c>
      <c r="R38" s="341">
        <f ca="1">終値履歴!D38</f>
        <v>1189.4000000000001</v>
      </c>
      <c r="S38" s="344">
        <f t="shared" ref="S38" ca="1" si="41">(G38-R38)/E38</f>
        <v>-4.398931433659848E-2</v>
      </c>
      <c r="T38" s="341">
        <f ca="1">終値履歴!E38</f>
        <v>1358.3</v>
      </c>
      <c r="U38" s="344">
        <f t="shared" ref="U38" ca="1" si="42">(G38-T38)/G38</f>
        <v>-0.19149122807017541</v>
      </c>
      <c r="W38" s="341">
        <f ca="1">終値履歴!F38</f>
        <v>1123</v>
      </c>
      <c r="X38" s="344">
        <f t="shared" ref="X38" ca="1" si="43">(G38-W38)/G38</f>
        <v>1.4912280701754385E-2</v>
      </c>
    </row>
    <row r="39" spans="1:24" x14ac:dyDescent="0.25">
      <c r="A39" s="12" t="s">
        <v>477</v>
      </c>
      <c r="B39" s="99" t="str">
        <f>'セカンダリ投資分析(SBI証券)'!B39</f>
        <v>エムアップ</v>
      </c>
      <c r="C39" s="138">
        <f>株価一覧!H38</f>
        <v>595400</v>
      </c>
      <c r="D39" s="339">
        <f ca="1">OFFSET(終値履歴!A39,0,COUNTA(終値履歴!G39:'終値履歴'!XFD39)+2,1,-1)</f>
        <v>1830</v>
      </c>
      <c r="E39" s="339">
        <f ca="1">OFFSET(終値履歴!A39,0,COUNTA(終値履歴!G39:'終値履歴'!XFD39)+3,1,-1)</f>
        <v>1810</v>
      </c>
      <c r="F39" s="339">
        <f ca="1">OFFSET(終値履歴!A39,0,COUNTA(終値履歴!G39:'終値履歴'!XFD39)+4,1,-1)</f>
        <v>1830</v>
      </c>
      <c r="G39" s="339">
        <f ca="1">OFFSET(終値履歴!A39,0,COUNTA(終値履歴!G39:'終値履歴'!XFD39)+5,1,-1)</f>
        <v>1865</v>
      </c>
      <c r="I39" s="133">
        <f t="shared" ref="I39" ca="1" si="44">(G39-F39)/F39</f>
        <v>1.912568306010929E-2</v>
      </c>
      <c r="J39" s="133">
        <f t="shared" ref="J39" ca="1" si="45">(G39-E39)/E39</f>
        <v>3.0386740331491711E-2</v>
      </c>
      <c r="K39" s="133">
        <f t="shared" ref="K39" ca="1" si="46">(G39-D39)/D39</f>
        <v>1.912568306010929E-2</v>
      </c>
      <c r="M39" s="133">
        <f t="shared" ref="M39" ca="1" si="47">(F39-E39)/E39</f>
        <v>1.1049723756906077E-2</v>
      </c>
      <c r="N39" s="133">
        <f t="shared" ref="N39" ca="1" si="48">(F39-D39)/D39</f>
        <v>0</v>
      </c>
      <c r="P39" s="130" t="str">
        <f t="shared" ref="P39" ca="1" si="49">IF(G39-F39 &gt; 0,CONCATENATE("＋",G39-F39),G39-F39)</f>
        <v>＋35</v>
      </c>
      <c r="Q39" s="12" t="str">
        <f t="shared" ref="Q39" ca="1" si="50">IF(AND(G39&lt;=T39,G39&lt;=R39),"割安",IF(AND(G39&gt;T39,G39&lt;=R39),"普通",IF(AND(G39&lt;=T39,G39&gt;R39),"普通","割高")))</f>
        <v>普通</v>
      </c>
      <c r="R39" s="341">
        <f ca="1">終値履歴!D39</f>
        <v>1833</v>
      </c>
      <c r="S39" s="344">
        <f t="shared" ref="S39" ca="1" si="51">(G39-R39)/E39</f>
        <v>1.7679558011049725E-2</v>
      </c>
      <c r="T39" s="341">
        <f ca="1">終値履歴!E39</f>
        <v>1893.6</v>
      </c>
      <c r="U39" s="344">
        <f t="shared" ref="U39" ca="1" si="52">(G39-T39)/G39</f>
        <v>-1.5335120643431586E-2</v>
      </c>
      <c r="W39" s="341">
        <f ca="1">終値履歴!F39</f>
        <v>1810</v>
      </c>
      <c r="X39" s="344">
        <f t="shared" ref="X39" ca="1" si="53">(G39-W39)/G39</f>
        <v>2.9490616621983913E-2</v>
      </c>
    </row>
    <row r="40" spans="1:24" x14ac:dyDescent="0.25">
      <c r="B40" s="52" t="str">
        <f>IPO監視一覧!B32</f>
        <v>ビーブレイクシステムズ</v>
      </c>
      <c r="C40" s="386">
        <f>株価一覧!H39</f>
        <v>13300</v>
      </c>
      <c r="D40" s="387">
        <f ca="1">OFFSET(終値履歴!A40,0,COUNTA(終値履歴!G40:'終値履歴'!XFD40)+2,1,-1)</f>
        <v>6240</v>
      </c>
      <c r="E40" s="387">
        <f ca="1">OFFSET(終値履歴!A40,0,COUNTA(終値履歴!G40:'終値履歴'!XFD40)+3,1,-1)</f>
        <v>5840</v>
      </c>
      <c r="F40" s="387">
        <f ca="1">OFFSET(終値履歴!A40,0,COUNTA(終値履歴!G40:'終値履歴'!XFD40)+4,1,-1)</f>
        <v>5940</v>
      </c>
      <c r="G40" s="387">
        <f ca="1">OFFSET(終値履歴!A40,0,COUNTA(終値履歴!G40:'終値履歴'!XFD40)+5,1,-1)</f>
        <v>5940</v>
      </c>
      <c r="I40" s="133">
        <f t="shared" ca="1" si="4"/>
        <v>0</v>
      </c>
      <c r="J40" s="133">
        <f t="shared" ca="1" si="5"/>
        <v>1.7123287671232876E-2</v>
      </c>
      <c r="K40" s="133">
        <f t="shared" ca="1" si="6"/>
        <v>-4.807692307692308E-2</v>
      </c>
      <c r="M40" s="133">
        <f t="shared" ca="1" si="7"/>
        <v>1.7123287671232876E-2</v>
      </c>
      <c r="N40" s="133">
        <f t="shared" ca="1" si="8"/>
        <v>-4.807692307692308E-2</v>
      </c>
      <c r="P40" s="130">
        <f t="shared" ca="1" si="9"/>
        <v>0</v>
      </c>
      <c r="Q40" s="12" t="str">
        <f t="shared" ca="1" si="11"/>
        <v>割安</v>
      </c>
      <c r="R40" s="341">
        <f ca="1">終値履歴!D40</f>
        <v>6068</v>
      </c>
      <c r="S40" s="344">
        <f t="shared" ca="1" si="10"/>
        <v>-2.1917808219178082E-2</v>
      </c>
      <c r="T40" s="341">
        <f ca="1">終値履歴!E40</f>
        <v>6026</v>
      </c>
      <c r="U40" s="344">
        <f t="shared" ca="1" si="2"/>
        <v>-1.4478114478114479E-2</v>
      </c>
      <c r="W40" s="341">
        <f ca="1">終値履歴!F40</f>
        <v>5740</v>
      </c>
      <c r="X40" s="344">
        <f t="shared" ca="1" si="3"/>
        <v>3.3670033670033669E-2</v>
      </c>
    </row>
    <row r="41" spans="1:24" x14ac:dyDescent="0.25">
      <c r="B41" s="52" t="str">
        <f>IPO監視一覧!B33</f>
        <v>ディーエムソリューションズ</v>
      </c>
      <c r="C41" s="386">
        <f>株価一覧!H40</f>
        <v>9300</v>
      </c>
      <c r="D41" s="387">
        <f ca="1">OFFSET(終値履歴!A41,0,COUNTA(終値履歴!G41:'終値履歴'!XFD41)+2,1,-1)</f>
        <v>6150</v>
      </c>
      <c r="E41" s="387">
        <f ca="1">OFFSET(終値履歴!A41,0,COUNTA(終値履歴!G41:'終値履歴'!XFD41)+3,1,-1)</f>
        <v>6000</v>
      </c>
      <c r="F41" s="387">
        <f ca="1">OFFSET(終値履歴!A41,0,COUNTA(終値履歴!G41:'終値履歴'!XFD41)+4,1,-1)</f>
        <v>5880</v>
      </c>
      <c r="G41" s="387">
        <f ca="1">OFFSET(終値履歴!A41,0,COUNTA(終値履歴!G41:'終値履歴'!XFD41)+5,1,-1)</f>
        <v>5760</v>
      </c>
      <c r="I41" s="133">
        <f t="shared" ca="1" si="4"/>
        <v>-2.0408163265306121E-2</v>
      </c>
      <c r="J41" s="133">
        <f t="shared" ca="1" si="5"/>
        <v>-0.04</v>
      </c>
      <c r="K41" s="133">
        <f t="shared" ca="1" si="6"/>
        <v>-6.3414634146341464E-2</v>
      </c>
      <c r="M41" s="133">
        <f t="shared" ca="1" si="7"/>
        <v>-0.02</v>
      </c>
      <c r="N41" s="133">
        <f t="shared" ca="1" si="8"/>
        <v>-4.3902439024390241E-2</v>
      </c>
      <c r="P41" s="130">
        <f t="shared" ca="1" si="9"/>
        <v>-120</v>
      </c>
      <c r="Q41" s="12" t="str">
        <f t="shared" ca="1" si="11"/>
        <v>割安</v>
      </c>
      <c r="R41" s="341">
        <f ca="1">終値履歴!D41</f>
        <v>6110</v>
      </c>
      <c r="S41" s="344">
        <f t="shared" ca="1" si="10"/>
        <v>-5.8333333333333334E-2</v>
      </c>
      <c r="T41" s="341">
        <f ca="1">終値履歴!E41</f>
        <v>6032</v>
      </c>
      <c r="U41" s="344">
        <f t="shared" ca="1" si="2"/>
        <v>-4.7222222222222221E-2</v>
      </c>
      <c r="W41" s="341">
        <f ca="1">終値履歴!F41</f>
        <v>5690</v>
      </c>
      <c r="X41" s="344">
        <f t="shared" ca="1" si="3"/>
        <v>1.2152777777777778E-2</v>
      </c>
    </row>
    <row r="42" spans="1:24" x14ac:dyDescent="0.25">
      <c r="B42" s="52" t="str">
        <f>IPO監視一覧!B34</f>
        <v>エコモット</v>
      </c>
      <c r="C42" s="386">
        <f>株価一覧!H41</f>
        <v>4900</v>
      </c>
      <c r="D42" s="387">
        <f ca="1">OFFSET(終値履歴!A42,0,COUNTA(終値履歴!G42:'終値履歴'!XFD42)+2,1,-1)</f>
        <v>3775</v>
      </c>
      <c r="E42" s="387">
        <f ca="1">OFFSET(終値履歴!A42,0,COUNTA(終値履歴!G42:'終値履歴'!XFD42)+3,1,-1)</f>
        <v>3835</v>
      </c>
      <c r="F42" s="387">
        <f ca="1">OFFSET(終値履歴!A42,0,COUNTA(終値履歴!G42:'終値履歴'!XFD42)+4,1,-1)</f>
        <v>3750</v>
      </c>
      <c r="G42" s="387">
        <f ca="1">OFFSET(終値履歴!A42,0,COUNTA(終値履歴!G42:'終値履歴'!XFD42)+5,1,-1)</f>
        <v>3810</v>
      </c>
      <c r="I42" s="133">
        <f ca="1">(G42-F42)/F42</f>
        <v>1.6E-2</v>
      </c>
      <c r="J42" s="133">
        <f t="shared" ca="1" si="5"/>
        <v>-6.51890482398957E-3</v>
      </c>
      <c r="K42" s="133">
        <f t="shared" ca="1" si="6"/>
        <v>9.2715231788079479E-3</v>
      </c>
      <c r="M42" s="133">
        <f t="shared" ca="1" si="7"/>
        <v>-2.2164276401564539E-2</v>
      </c>
      <c r="N42" s="133">
        <f t="shared" ca="1" si="8"/>
        <v>-6.6225165562913907E-3</v>
      </c>
      <c r="P42" s="130" t="str">
        <f t="shared" ca="1" si="9"/>
        <v>＋60</v>
      </c>
      <c r="Q42" s="12" t="str">
        <f t="shared" ca="1" si="11"/>
        <v>普通</v>
      </c>
      <c r="R42" s="341">
        <f ca="1">終値履歴!D42</f>
        <v>3790</v>
      </c>
      <c r="S42" s="344">
        <f t="shared" ca="1" si="10"/>
        <v>5.2151238591916557E-3</v>
      </c>
      <c r="T42" s="341">
        <f ca="1">終値履歴!E42</f>
        <v>3841.5</v>
      </c>
      <c r="U42" s="344">
        <f t="shared" ca="1" si="2"/>
        <v>-8.2677165354330708E-3</v>
      </c>
      <c r="W42" s="341">
        <f ca="1">終値履歴!F42</f>
        <v>3735</v>
      </c>
      <c r="X42" s="344">
        <f t="shared" ca="1" si="3"/>
        <v>1.968503937007874E-2</v>
      </c>
    </row>
    <row r="43" spans="1:24" x14ac:dyDescent="0.25">
      <c r="B43" s="99" t="str">
        <f>IPO監視一覧!B35</f>
        <v>Fringe81</v>
      </c>
      <c r="C43" s="138">
        <f>株価一覧!H42</f>
        <v>137000</v>
      </c>
      <c r="D43" s="15">
        <f ca="1">OFFSET(終値履歴!A43,0,COUNTA(終値履歴!G43:'終値履歴'!XFD43)+2,1,-1)</f>
        <v>5380</v>
      </c>
      <c r="E43" s="15">
        <f ca="1">OFFSET(終値履歴!A43,0,COUNTA(終値履歴!G43:'終値履歴'!XFD43)+3,1,-1)</f>
        <v>5820</v>
      </c>
      <c r="F43" s="15">
        <f ca="1">OFFSET(終値履歴!A43,0,COUNTA(終値履歴!G43:'終値履歴'!XFD43)+4,1,-1)</f>
        <v>5610</v>
      </c>
      <c r="G43" s="15">
        <f ca="1">OFFSET(終値履歴!A43,0,COUNTA(終値履歴!G43:'終値履歴'!XFD43)+5,1,-1)</f>
        <v>5900</v>
      </c>
      <c r="I43" s="133">
        <f ca="1">(G43-F43)/F43</f>
        <v>5.1693404634581108E-2</v>
      </c>
      <c r="J43" s="133">
        <f t="shared" ref="J43" ca="1" si="54">(G43-E43)/E43</f>
        <v>1.3745704467353952E-2</v>
      </c>
      <c r="K43" s="133">
        <f t="shared" ref="K43" ca="1" si="55">(G43-D43)/D43</f>
        <v>9.6654275092936809E-2</v>
      </c>
      <c r="M43" s="133">
        <f t="shared" ref="M43" ca="1" si="56">(F43-E43)/E43</f>
        <v>-3.608247422680412E-2</v>
      </c>
      <c r="N43" s="133">
        <f t="shared" ref="N43" ca="1" si="57">(F43-D43)/D43</f>
        <v>4.2750929368029739E-2</v>
      </c>
      <c r="P43" s="130" t="str">
        <f t="shared" ref="P43" ca="1" si="58">IF(G43-F43 &gt; 0,CONCATENATE("＋",G43-F43),G43-F43)</f>
        <v>＋290</v>
      </c>
      <c r="Q43" s="12" t="str">
        <f t="shared" ref="Q43:Q48" ca="1" si="59">IF(AND(G43&lt;=T43,G43&lt;=R43),"割安",IF(AND(G43&gt;T43,G43&lt;=R43),"普通",IF(AND(G43&lt;=T43,G43&gt;R43),"普通","割高")))</f>
        <v>割高</v>
      </c>
      <c r="R43" s="25">
        <f ca="1">終値履歴!D43</f>
        <v>5610</v>
      </c>
      <c r="S43" s="344">
        <f t="shared" ca="1" si="10"/>
        <v>4.9828178694158079E-2</v>
      </c>
      <c r="T43" s="25">
        <f ca="1">終値履歴!E43</f>
        <v>5584</v>
      </c>
      <c r="U43" s="344">
        <f t="shared" ref="U43" ca="1" si="60">(G43-T43)/G43</f>
        <v>5.3559322033898307E-2</v>
      </c>
      <c r="W43" s="25">
        <f ca="1">終値履歴!F43</f>
        <v>4870</v>
      </c>
      <c r="X43" s="344">
        <f t="shared" ref="X43" ca="1" si="61">(G43-W43)/G43</f>
        <v>0.17457627118644067</v>
      </c>
    </row>
    <row r="44" spans="1:24" x14ac:dyDescent="0.25">
      <c r="A44" s="12" t="s">
        <v>477</v>
      </c>
      <c r="B44" s="99" t="str">
        <f>'セカンダリ投資分析(SBI証券)'!B41</f>
        <v>インフォテリア</v>
      </c>
      <c r="C44" s="138">
        <f>株価一覧!H43</f>
        <v>6722900</v>
      </c>
      <c r="D44" s="15">
        <f ca="1">OFFSET(終値履歴!A44,0,COUNTA(終値履歴!G44:'終値履歴'!XFD44)+2,1,-1)</f>
        <v>1520</v>
      </c>
      <c r="E44" s="15">
        <f ca="1">OFFSET(終値履歴!A44,0,COUNTA(終値履歴!G44:'終値履歴'!XFD44)+3,1,-1)</f>
        <v>1484</v>
      </c>
      <c r="F44" s="15">
        <f ca="1">OFFSET(終値履歴!A44,0,COUNTA(終値履歴!G44:'終値履歴'!XFD44)+4,1,-1)</f>
        <v>1490</v>
      </c>
      <c r="G44" s="15">
        <f ca="1">OFFSET(終値履歴!A44,0,COUNTA(終値履歴!G44:'終値履歴'!XFD44)+5,1,-1)</f>
        <v>1440</v>
      </c>
      <c r="I44" s="133">
        <f t="shared" ref="I44:I48" ca="1" si="62">(G44-F44)/F44</f>
        <v>-3.3557046979865772E-2</v>
      </c>
      <c r="J44" s="133">
        <f t="shared" ref="J44:J48" ca="1" si="63">(G44-E44)/E44</f>
        <v>-2.9649595687331536E-2</v>
      </c>
      <c r="K44" s="133">
        <f t="shared" ref="K44:K48" ca="1" si="64">(G44-D44)/D44</f>
        <v>-5.2631578947368418E-2</v>
      </c>
      <c r="M44" s="133"/>
      <c r="N44" s="133"/>
      <c r="P44" s="130"/>
      <c r="Q44" s="12" t="str">
        <f t="shared" ca="1" si="59"/>
        <v>割高</v>
      </c>
      <c r="R44" s="25">
        <f ca="1">終値履歴!D44</f>
        <v>1430.8</v>
      </c>
      <c r="S44" s="344">
        <f t="shared" ref="S44:S48" ca="1" si="65">(G44-R44)/E44</f>
        <v>6.1994609164420789E-3</v>
      </c>
      <c r="T44" s="25">
        <f ca="1">終値履歴!E44</f>
        <v>1179.0999999999999</v>
      </c>
      <c r="U44" s="344">
        <f t="shared" ref="U44:U48" ca="1" si="66">(G44-T44)/G44</f>
        <v>0.18118055555555562</v>
      </c>
      <c r="W44" s="25">
        <f ca="1">終値履歴!F44</f>
        <v>1080</v>
      </c>
      <c r="X44" s="344">
        <f t="shared" ref="X44:X48" ca="1" si="67">(G44-W44)/G44</f>
        <v>0.25</v>
      </c>
    </row>
    <row r="45" spans="1:24" x14ac:dyDescent="0.25">
      <c r="A45" s="12" t="s">
        <v>477</v>
      </c>
      <c r="B45" s="99" t="str">
        <f>'セカンダリ投資分析(SBI証券)'!B43</f>
        <v>GNIグループ</v>
      </c>
      <c r="C45" s="138">
        <f>株価一覧!H44</f>
        <v>2324000</v>
      </c>
      <c r="D45" s="15">
        <f ca="1">OFFSET(終値履歴!A45,0,COUNTA(終値履歴!G45:'終値履歴'!XFD45)+2,1,-1)</f>
        <v>623</v>
      </c>
      <c r="E45" s="15">
        <f ca="1">OFFSET(終値履歴!A45,0,COUNTA(終値履歴!G45:'終値履歴'!XFD45)+3,1,-1)</f>
        <v>631</v>
      </c>
      <c r="F45" s="15">
        <f ca="1">OFFSET(終値履歴!A45,0,COUNTA(終値履歴!G45:'終値履歴'!XFD45)+4,1,-1)</f>
        <v>655</v>
      </c>
      <c r="G45" s="15">
        <f ca="1">OFFSET(終値履歴!A45,0,COUNTA(終値履歴!G45:'終値履歴'!XFD45)+5,1,-1)</f>
        <v>641</v>
      </c>
      <c r="I45" s="133">
        <f t="shared" ca="1" si="62"/>
        <v>-2.1374045801526718E-2</v>
      </c>
      <c r="J45" s="133">
        <f t="shared" ca="1" si="63"/>
        <v>1.5847860538827259E-2</v>
      </c>
      <c r="K45" s="133">
        <f t="shared" ca="1" si="64"/>
        <v>2.8892455858747994E-2</v>
      </c>
      <c r="M45" s="133"/>
      <c r="N45" s="133"/>
      <c r="P45" s="130"/>
      <c r="Q45" s="12" t="str">
        <f t="shared" ca="1" si="59"/>
        <v>割高</v>
      </c>
      <c r="R45" s="25">
        <f ca="1">終値履歴!D45</f>
        <v>633.20000000000005</v>
      </c>
      <c r="S45" s="344">
        <f t="shared" ca="1" si="65"/>
        <v>1.2361331220285189E-2</v>
      </c>
      <c r="T45" s="25">
        <f ca="1">終値履歴!E45</f>
        <v>579.20000000000005</v>
      </c>
      <c r="U45" s="344">
        <f t="shared" ca="1" si="66"/>
        <v>9.64118564742589E-2</v>
      </c>
      <c r="W45" s="25">
        <f ca="1">終値履歴!F45</f>
        <v>616</v>
      </c>
      <c r="X45" s="344">
        <f t="shared" ca="1" si="67"/>
        <v>3.9001560062402497E-2</v>
      </c>
    </row>
    <row r="46" spans="1:24" x14ac:dyDescent="0.25">
      <c r="B46" s="122" t="str">
        <f>IPO監視一覧!B36</f>
        <v>ツナグ・ソリューションズ</v>
      </c>
      <c r="C46" s="138">
        <f>株価一覧!H45</f>
        <v>75600</v>
      </c>
      <c r="D46" s="15">
        <f ca="1">OFFSET(終値履歴!A46,0,COUNTA(終値履歴!G46:'終値履歴'!XFD46)+2,1,-1)</f>
        <v>5650</v>
      </c>
      <c r="E46" s="15">
        <f ca="1">OFFSET(終値履歴!A46,0,COUNTA(終値履歴!G46:'終値履歴'!XFD46)+3,1,-1)</f>
        <v>5350</v>
      </c>
      <c r="F46" s="15">
        <f ca="1">OFFSET(終値履歴!A46,0,COUNTA(終値履歴!G46:'終値履歴'!XFD46)+4,1,-1)</f>
        <v>5800</v>
      </c>
      <c r="G46" s="15">
        <f ca="1">OFFSET(終値履歴!A46,0,COUNTA(終値履歴!G46:'終値履歴'!XFD46)+5,1,-1)</f>
        <v>5540</v>
      </c>
      <c r="I46" s="133">
        <f t="shared" ca="1" si="62"/>
        <v>-4.4827586206896551E-2</v>
      </c>
      <c r="J46" s="133">
        <f t="shared" ca="1" si="63"/>
        <v>3.5514018691588788E-2</v>
      </c>
      <c r="K46" s="133">
        <f t="shared" ca="1" si="64"/>
        <v>-1.9469026548672566E-2</v>
      </c>
      <c r="M46" s="133">
        <f t="shared" ref="M46:M48" ca="1" si="68">(F46-E46)/E46</f>
        <v>8.4112149532710276E-2</v>
      </c>
      <c r="N46" s="133">
        <f t="shared" ref="N46:N48" ca="1" si="69">(F46-D46)/D46</f>
        <v>2.6548672566371681E-2</v>
      </c>
      <c r="P46" s="130">
        <f t="shared" ref="P46:P48" ca="1" si="70">IF(G46-F46 &gt; 0,CONCATENATE("＋",G46-F46),G46-F46)</f>
        <v>-260</v>
      </c>
      <c r="Q46" s="12" t="str">
        <f t="shared" ca="1" si="59"/>
        <v>普通</v>
      </c>
      <c r="R46" s="25">
        <f ca="1">終値履歴!D46</f>
        <v>5686</v>
      </c>
      <c r="S46" s="344">
        <f t="shared" ca="1" si="65"/>
        <v>-2.7289719626168225E-2</v>
      </c>
      <c r="T46" s="25">
        <f ca="1">終値履歴!E46</f>
        <v>3853</v>
      </c>
      <c r="U46" s="344">
        <f t="shared" ca="1" si="66"/>
        <v>0.30451263537906137</v>
      </c>
      <c r="W46" s="25">
        <f ca="1">終値履歴!F46</f>
        <v>0</v>
      </c>
      <c r="X46" s="344">
        <f t="shared" ca="1" si="67"/>
        <v>1</v>
      </c>
    </row>
    <row r="47" spans="1:24" x14ac:dyDescent="0.25">
      <c r="B47" s="122" t="str">
        <f>IPO監視一覧!B37</f>
        <v>ＳＹＳホールディングス</v>
      </c>
      <c r="C47" s="138">
        <f>株価一覧!H46</f>
        <v>30400</v>
      </c>
      <c r="D47" s="15">
        <f ca="1">OFFSET(終値履歴!A47,0,COUNTA(終値履歴!G47:'終値履歴'!XFD47)+2,1,-1)</f>
        <v>4270</v>
      </c>
      <c r="E47" s="15">
        <f ca="1">OFFSET(終値履歴!A47,0,COUNTA(終値履歴!G47:'終値履歴'!XFD47)+3,1,-1)</f>
        <v>4145</v>
      </c>
      <c r="F47" s="15">
        <f ca="1">OFFSET(終値履歴!A47,0,COUNTA(終値履歴!G47:'終値履歴'!XFD47)+4,1,-1)</f>
        <v>4100</v>
      </c>
      <c r="G47" s="15">
        <f ca="1">OFFSET(終値履歴!A47,0,COUNTA(終値履歴!G47:'終値履歴'!XFD47)+5,1,-1)</f>
        <v>4240</v>
      </c>
      <c r="I47" s="133">
        <f t="shared" ca="1" si="62"/>
        <v>3.4146341463414637E-2</v>
      </c>
      <c r="J47" s="133">
        <f t="shared" ca="1" si="63"/>
        <v>2.2919179734620022E-2</v>
      </c>
      <c r="K47" s="133">
        <f t="shared" ca="1" si="64"/>
        <v>-7.0257611241217799E-3</v>
      </c>
      <c r="M47" s="133">
        <f t="shared" ca="1" si="68"/>
        <v>-1.0856453558504222E-2</v>
      </c>
      <c r="N47" s="133">
        <f t="shared" ca="1" si="69"/>
        <v>-3.9812646370023422E-2</v>
      </c>
      <c r="P47" s="130" t="str">
        <f t="shared" ca="1" si="70"/>
        <v>＋140</v>
      </c>
      <c r="Q47" s="12" t="str">
        <f t="shared" ca="1" si="59"/>
        <v>割高</v>
      </c>
      <c r="R47" s="25">
        <f ca="1">終値履歴!D47</f>
        <v>4236</v>
      </c>
      <c r="S47" s="344">
        <f t="shared" ca="1" si="65"/>
        <v>9.6501809408926415E-4</v>
      </c>
      <c r="T47" s="25">
        <f ca="1">終値履歴!E47</f>
        <v>3023</v>
      </c>
      <c r="U47" s="344">
        <f t="shared" ca="1" si="66"/>
        <v>0.28702830188679246</v>
      </c>
      <c r="W47" s="25">
        <f ca="1">終値履歴!F47</f>
        <v>0</v>
      </c>
      <c r="X47" s="344">
        <f t="shared" ca="1" si="67"/>
        <v>1</v>
      </c>
    </row>
    <row r="48" spans="1:24" x14ac:dyDescent="0.25">
      <c r="B48" s="122" t="str">
        <f>IPO監視一覧!B38</f>
        <v>GameWith</v>
      </c>
      <c r="C48" s="138">
        <f>株価一覧!H47</f>
        <v>170800</v>
      </c>
      <c r="D48" s="15">
        <f ca="1">OFFSET(終値履歴!A48,0,COUNTA(終値履歴!G48:'終値履歴'!XFD48)+2,1,-1)</f>
        <v>4350</v>
      </c>
      <c r="E48" s="15">
        <f ca="1">OFFSET(終値履歴!A48,0,COUNTA(終値履歴!G48:'終値履歴'!XFD48)+3,1,-1)</f>
        <v>4205</v>
      </c>
      <c r="F48" s="15">
        <f ca="1">OFFSET(終値履歴!A48,0,COUNTA(終値履歴!G48:'終値履歴'!XFD48)+4,1,-1)</f>
        <v>4100</v>
      </c>
      <c r="G48" s="15">
        <f ca="1">OFFSET(終値履歴!A48,0,COUNTA(終値履歴!G48:'終値履歴'!XFD48)+5,1,-1)</f>
        <v>4000</v>
      </c>
      <c r="I48" s="133">
        <f t="shared" ca="1" si="62"/>
        <v>-2.4390243902439025E-2</v>
      </c>
      <c r="J48" s="133">
        <f t="shared" ca="1" si="63"/>
        <v>-4.8751486325802618E-2</v>
      </c>
      <c r="K48" s="133">
        <f t="shared" ca="1" si="64"/>
        <v>-8.0459770114942528E-2</v>
      </c>
      <c r="M48" s="133">
        <f t="shared" ca="1" si="68"/>
        <v>-2.4970273483947682E-2</v>
      </c>
      <c r="N48" s="133">
        <f t="shared" ca="1" si="69"/>
        <v>-5.7471264367816091E-2</v>
      </c>
      <c r="P48" s="130">
        <f t="shared" ca="1" si="70"/>
        <v>-100</v>
      </c>
      <c r="Q48" s="12" t="str">
        <f t="shared" ca="1" si="59"/>
        <v>普通</v>
      </c>
      <c r="R48" s="25">
        <f ca="1">終値履歴!D48</f>
        <v>4148</v>
      </c>
      <c r="S48" s="344">
        <f t="shared" ca="1" si="65"/>
        <v>-3.5196195005945306E-2</v>
      </c>
      <c r="T48" s="25">
        <f ca="1">終値履歴!E48</f>
        <v>2949.5</v>
      </c>
      <c r="U48" s="344">
        <f t="shared" ca="1" si="66"/>
        <v>0.262625</v>
      </c>
      <c r="W48" s="25">
        <f ca="1">終値履歴!F48</f>
        <v>0</v>
      </c>
      <c r="X48" s="344">
        <f t="shared" ca="1" si="67"/>
        <v>1</v>
      </c>
    </row>
    <row r="49" spans="1:24" x14ac:dyDescent="0.25">
      <c r="A49" s="12" t="s">
        <v>477</v>
      </c>
      <c r="B49" s="99" t="str">
        <f>'セカンダリ投資分析(SBI証券)'!B44</f>
        <v>アンジェス</v>
      </c>
      <c r="C49" s="138">
        <f>株価一覧!H48</f>
        <v>3011100</v>
      </c>
      <c r="D49" s="15">
        <f ca="1">OFFSET(終値履歴!A49,0,COUNTA(終値履歴!G49:'終値履歴'!XFD49)+2,1,-1)</f>
        <v>0</v>
      </c>
      <c r="E49" s="15">
        <f ca="1">OFFSET(終値履歴!A49,0,COUNTA(終値履歴!G49:'終値履歴'!XFD49)+3,1,-1)</f>
        <v>652</v>
      </c>
      <c r="F49" s="15">
        <f ca="1">OFFSET(終値履歴!A49,0,COUNTA(終値履歴!G49:'終値履歴'!XFD49)+4,1,-1)</f>
        <v>675</v>
      </c>
      <c r="G49" s="15">
        <f ca="1">OFFSET(終値履歴!A49,0,COUNTA(終値履歴!G49:'終値履歴'!XFD49)+5,1,-1)</f>
        <v>692</v>
      </c>
      <c r="I49" s="133">
        <f t="shared" ref="I49" ca="1" si="71">(G49-F49)/F49</f>
        <v>2.5185185185185185E-2</v>
      </c>
      <c r="J49" s="133">
        <f t="shared" ref="J49" ca="1" si="72">(G49-E49)/E49</f>
        <v>6.1349693251533742E-2</v>
      </c>
      <c r="K49" s="133" t="e">
        <f t="shared" ref="K49" ca="1" si="73">(G49-D49)/D49</f>
        <v>#DIV/0!</v>
      </c>
      <c r="M49" s="133">
        <f t="shared" ref="M49" ca="1" si="74">(F49-E49)/E49</f>
        <v>3.5276073619631899E-2</v>
      </c>
      <c r="N49" s="133" t="e">
        <f t="shared" ref="N49" ca="1" si="75">(F49-D49)/D49</f>
        <v>#DIV/0!</v>
      </c>
      <c r="P49" s="130" t="str">
        <f t="shared" ref="P49" ca="1" si="76">IF(G49-F49 &gt; 0,CONCATENATE("＋",G49-F49),G49-F49)</f>
        <v>＋17</v>
      </c>
      <c r="Q49" s="12" t="str">
        <f t="shared" ref="Q49" ca="1" si="77">IF(AND(G49&lt;=T49,G49&lt;=R49),"割安",IF(AND(G49&gt;T49,G49&lt;=R49),"普通",IF(AND(G49&lt;=T49,G49&gt;R49),"普通","割高")))</f>
        <v>割高</v>
      </c>
      <c r="R49" s="25">
        <f ca="1">終値履歴!D49</f>
        <v>403.8</v>
      </c>
      <c r="S49" s="344">
        <f t="shared" ref="S49" ca="1" si="78">(G49-R49)/E49</f>
        <v>0.44202453987730062</v>
      </c>
      <c r="T49" s="25">
        <f ca="1">終値履歴!E49</f>
        <v>201.9</v>
      </c>
      <c r="U49" s="344">
        <f t="shared" ref="U49" ca="1" si="79">(G49-T49)/G49</f>
        <v>0.70823699421965325</v>
      </c>
      <c r="W49" s="25">
        <f ca="1">終値履歴!F49</f>
        <v>0</v>
      </c>
      <c r="X49" s="344">
        <f t="shared" ref="X49" ca="1" si="80">(G49-W49)/G49</f>
        <v>1</v>
      </c>
    </row>
    <row r="50" spans="1:24" x14ac:dyDescent="0.25">
      <c r="A50" s="12" t="s">
        <v>477</v>
      </c>
      <c r="B50" s="99" t="str">
        <f>'セカンダリ投資分析(SBI証券)'!B45</f>
        <v>トレイダーズHD</v>
      </c>
      <c r="C50" s="138">
        <f>株価一覧!H49</f>
        <v>42268000</v>
      </c>
      <c r="D50" s="15">
        <f ca="1">OFFSET(終値履歴!A50,0,COUNTA(終値履歴!G50:'終値履歴'!XFD50)+2,1,-1)</f>
        <v>0</v>
      </c>
      <c r="E50" s="15">
        <f ca="1">OFFSET(終値履歴!A50,0,COUNTA(終値履歴!G50:'終値履歴'!XFD50)+3,1,-1)</f>
        <v>328</v>
      </c>
      <c r="F50" s="15">
        <f ca="1">OFFSET(終値履歴!A50,0,COUNTA(終値履歴!G50:'終値履歴'!XFD50)+4,1,-1)</f>
        <v>330</v>
      </c>
      <c r="G50" s="15">
        <f ca="1">OFFSET(終値履歴!A50,0,COUNTA(終値履歴!G50:'終値履歴'!XFD50)+5,1,-1)</f>
        <v>333</v>
      </c>
      <c r="I50" s="133">
        <f t="shared" ref="I50:I58" ca="1" si="81">(G50-F50)/F50</f>
        <v>9.0909090909090905E-3</v>
      </c>
      <c r="J50" s="133">
        <f t="shared" ref="J50:J58" ca="1" si="82">(G50-E50)/E50</f>
        <v>1.524390243902439E-2</v>
      </c>
      <c r="K50" s="133" t="e">
        <f t="shared" ref="K50:K58" ca="1" si="83">(G50-D50)/D50</f>
        <v>#DIV/0!</v>
      </c>
      <c r="M50" s="133">
        <f t="shared" ref="M50:M58" ca="1" si="84">(F50-E50)/E50</f>
        <v>6.0975609756097563E-3</v>
      </c>
      <c r="N50" s="133" t="e">
        <f t="shared" ref="N50:N58" ca="1" si="85">(F50-D50)/D50</f>
        <v>#DIV/0!</v>
      </c>
      <c r="P50" s="130" t="str">
        <f t="shared" ref="P50:P58" ca="1" si="86">IF(G50-F50 &gt; 0,CONCATENATE("＋",G50-F50),G50-F50)</f>
        <v>＋3</v>
      </c>
      <c r="Q50" s="12" t="str">
        <f t="shared" ref="Q50:Q58" ca="1" si="87">IF(AND(G50&lt;=T50,G50&lt;=R50),"割安",IF(AND(G50&gt;T50,G50&lt;=R50),"普通",IF(AND(G50&lt;=T50,G50&gt;R50),"普通","割高")))</f>
        <v>割高</v>
      </c>
      <c r="R50" s="25">
        <f ca="1">終値履歴!D50</f>
        <v>198.2</v>
      </c>
      <c r="S50" s="344">
        <f t="shared" ref="S50:S58" ca="1" si="88">(G50-R50)/E50</f>
        <v>0.41097560975609759</v>
      </c>
      <c r="T50" s="25">
        <f ca="1">終値履歴!E50</f>
        <v>99.1</v>
      </c>
      <c r="U50" s="344">
        <f t="shared" ref="U50:U58" ca="1" si="89">(G50-T50)/G50</f>
        <v>0.70240240240240237</v>
      </c>
      <c r="W50" s="25">
        <f ca="1">終値履歴!F50</f>
        <v>0</v>
      </c>
      <c r="X50" s="344">
        <f t="shared" ref="X50:X58" ca="1" si="90">(G50-W50)/G50</f>
        <v>1</v>
      </c>
    </row>
    <row r="51" spans="1:24" x14ac:dyDescent="0.25">
      <c r="B51" s="122" t="str">
        <f>IPO監視一覧!B39</f>
        <v>ソウルドアウト</v>
      </c>
      <c r="C51" s="138">
        <f>株価一覧!H50</f>
        <v>0</v>
      </c>
      <c r="D51" s="15">
        <f ca="1">OFFSET(終値履歴!A51,0,COUNTA(終値履歴!G51:'終値履歴'!XFD51)+2,1,-1)</f>
        <v>0</v>
      </c>
      <c r="E51" s="15">
        <f ca="1">OFFSET(終値履歴!A51,0,COUNTA(終値履歴!G51:'終値履歴'!XFD51)+3,1,-1)</f>
        <v>0</v>
      </c>
      <c r="F51" s="15">
        <f ca="1">OFFSET(終値履歴!A51,0,COUNTA(終値履歴!G51:'終値履歴'!XFD51)+4,1,-1)</f>
        <v>0</v>
      </c>
      <c r="G51" s="15">
        <f ca="1">OFFSET(終値履歴!A51,0,COUNTA(終値履歴!G51:'終値履歴'!XFD51)+5,1,-1)</f>
        <v>0</v>
      </c>
      <c r="I51" s="133" t="e">
        <f t="shared" ca="1" si="81"/>
        <v>#DIV/0!</v>
      </c>
      <c r="J51" s="133" t="e">
        <f t="shared" ca="1" si="82"/>
        <v>#DIV/0!</v>
      </c>
      <c r="K51" s="133" t="e">
        <f t="shared" ca="1" si="83"/>
        <v>#DIV/0!</v>
      </c>
      <c r="M51" s="133" t="e">
        <f t="shared" ca="1" si="84"/>
        <v>#DIV/0!</v>
      </c>
      <c r="N51" s="133" t="e">
        <f t="shared" ca="1" si="85"/>
        <v>#DIV/0!</v>
      </c>
      <c r="P51" s="130">
        <f t="shared" ca="1" si="86"/>
        <v>0</v>
      </c>
      <c r="Q51" s="12" t="str">
        <f t="shared" ca="1" si="87"/>
        <v>割安</v>
      </c>
      <c r="R51" s="25">
        <f ca="1">終値履歴!D51</f>
        <v>0</v>
      </c>
      <c r="S51" s="344" t="e">
        <f t="shared" ca="1" si="88"/>
        <v>#DIV/0!</v>
      </c>
      <c r="T51" s="25">
        <f ca="1">終値履歴!E51</f>
        <v>0</v>
      </c>
      <c r="U51" s="344" t="e">
        <f t="shared" ca="1" si="89"/>
        <v>#DIV/0!</v>
      </c>
      <c r="W51" s="25">
        <f ca="1">終値履歴!F51</f>
        <v>0</v>
      </c>
      <c r="X51" s="344" t="e">
        <f t="shared" ca="1" si="90"/>
        <v>#DIV/0!</v>
      </c>
    </row>
    <row r="52" spans="1:24" x14ac:dyDescent="0.25">
      <c r="B52" s="122" t="str">
        <f>IPO監視一覧!B40</f>
        <v>ユニフォームネクスト</v>
      </c>
      <c r="C52" s="138">
        <f>株価一覧!H51</f>
        <v>0</v>
      </c>
      <c r="D52" s="15">
        <f ca="1">OFFSET(終値履歴!A52,0,COUNTA(終値履歴!G52:'終値履歴'!XFD52)+2,1,-1)</f>
        <v>0</v>
      </c>
      <c r="E52" s="15">
        <f ca="1">OFFSET(終値履歴!A52,0,COUNTA(終値履歴!G52:'終値履歴'!XFD52)+3,1,-1)</f>
        <v>0</v>
      </c>
      <c r="F52" s="15">
        <f ca="1">OFFSET(終値履歴!A52,0,COUNTA(終値履歴!G52:'終値履歴'!XFD52)+4,1,-1)</f>
        <v>0</v>
      </c>
      <c r="G52" s="15">
        <f ca="1">OFFSET(終値履歴!A52,0,COUNTA(終値履歴!G52:'終値履歴'!XFD52)+5,1,-1)</f>
        <v>0</v>
      </c>
      <c r="I52" s="133" t="e">
        <f t="shared" ca="1" si="81"/>
        <v>#DIV/0!</v>
      </c>
      <c r="J52" s="133" t="e">
        <f t="shared" ca="1" si="82"/>
        <v>#DIV/0!</v>
      </c>
      <c r="K52" s="133" t="e">
        <f t="shared" ca="1" si="83"/>
        <v>#DIV/0!</v>
      </c>
      <c r="M52" s="133" t="e">
        <f t="shared" ca="1" si="84"/>
        <v>#DIV/0!</v>
      </c>
      <c r="N52" s="133" t="e">
        <f t="shared" ca="1" si="85"/>
        <v>#DIV/0!</v>
      </c>
      <c r="P52" s="130">
        <f t="shared" ca="1" si="86"/>
        <v>0</v>
      </c>
      <c r="Q52" s="12" t="str">
        <f t="shared" ca="1" si="87"/>
        <v>割安</v>
      </c>
      <c r="R52" s="25">
        <f ca="1">終値履歴!D52</f>
        <v>0</v>
      </c>
      <c r="S52" s="344" t="e">
        <f t="shared" ca="1" si="88"/>
        <v>#DIV/0!</v>
      </c>
      <c r="T52" s="25">
        <f ca="1">終値履歴!E52</f>
        <v>0</v>
      </c>
      <c r="U52" s="344" t="e">
        <f t="shared" ca="1" si="89"/>
        <v>#DIV/0!</v>
      </c>
      <c r="W52" s="25">
        <f ca="1">終値履歴!F52</f>
        <v>0</v>
      </c>
      <c r="X52" s="344" t="e">
        <f t="shared" ca="1" si="90"/>
        <v>#DIV/0!</v>
      </c>
    </row>
    <row r="53" spans="1:24" x14ac:dyDescent="0.25">
      <c r="B53" s="122" t="str">
        <f>IPO監視一覧!B41</f>
        <v>ジェイ・エス・ビー</v>
      </c>
      <c r="C53" s="138">
        <f>株価一覧!H52</f>
        <v>0</v>
      </c>
      <c r="D53" s="15">
        <f ca="1">OFFSET(終値履歴!A53,0,COUNTA(終値履歴!G53:'終値履歴'!XFD53)+2,1,-1)</f>
        <v>0</v>
      </c>
      <c r="E53" s="15">
        <f ca="1">OFFSET(終値履歴!A53,0,COUNTA(終値履歴!G53:'終値履歴'!XFD53)+3,1,-1)</f>
        <v>0</v>
      </c>
      <c r="F53" s="15">
        <f ca="1">OFFSET(終値履歴!A53,0,COUNTA(終値履歴!G53:'終値履歴'!XFD53)+4,1,-1)</f>
        <v>0</v>
      </c>
      <c r="G53" s="15">
        <f ca="1">OFFSET(終値履歴!A53,0,COUNTA(終値履歴!G53:'終値履歴'!XFD53)+5,1,-1)</f>
        <v>0</v>
      </c>
      <c r="I53" s="133" t="e">
        <f t="shared" ca="1" si="81"/>
        <v>#DIV/0!</v>
      </c>
      <c r="J53" s="133" t="e">
        <f t="shared" ca="1" si="82"/>
        <v>#DIV/0!</v>
      </c>
      <c r="K53" s="133" t="e">
        <f t="shared" ca="1" si="83"/>
        <v>#DIV/0!</v>
      </c>
      <c r="M53" s="133" t="e">
        <f t="shared" ca="1" si="84"/>
        <v>#DIV/0!</v>
      </c>
      <c r="N53" s="133" t="e">
        <f t="shared" ca="1" si="85"/>
        <v>#DIV/0!</v>
      </c>
      <c r="P53" s="130">
        <f t="shared" ca="1" si="86"/>
        <v>0</v>
      </c>
      <c r="Q53" s="12" t="str">
        <f t="shared" ca="1" si="87"/>
        <v>割安</v>
      </c>
      <c r="R53" s="25">
        <f ca="1">終値履歴!D53</f>
        <v>0</v>
      </c>
      <c r="S53" s="344" t="e">
        <f t="shared" ca="1" si="88"/>
        <v>#DIV/0!</v>
      </c>
      <c r="T53" s="25">
        <f ca="1">終値履歴!E53</f>
        <v>0</v>
      </c>
      <c r="U53" s="344" t="e">
        <f t="shared" ca="1" si="89"/>
        <v>#DIV/0!</v>
      </c>
      <c r="W53" s="25">
        <f ca="1">終値履歴!F53</f>
        <v>0</v>
      </c>
      <c r="X53" s="344" t="e">
        <f t="shared" ca="1" si="90"/>
        <v>#DIV/0!</v>
      </c>
    </row>
    <row r="54" spans="1:24" x14ac:dyDescent="0.25">
      <c r="B54" s="122" t="str">
        <f>IPO監視一覧!B42</f>
        <v>クロスフォー</v>
      </c>
      <c r="C54" s="138">
        <f>株価一覧!H53</f>
        <v>0</v>
      </c>
      <c r="D54" s="15">
        <f ca="1">OFFSET(終値履歴!A54,0,COUNTA(終値履歴!G54:'終値履歴'!XFD54)+2,1,-1)</f>
        <v>0</v>
      </c>
      <c r="E54" s="15">
        <f ca="1">OFFSET(終値履歴!A54,0,COUNTA(終値履歴!G54:'終値履歴'!XFD54)+3,1,-1)</f>
        <v>0</v>
      </c>
      <c r="F54" s="15">
        <f ca="1">OFFSET(終値履歴!A54,0,COUNTA(終値履歴!G54:'終値履歴'!XFD54)+4,1,-1)</f>
        <v>0</v>
      </c>
      <c r="G54" s="15">
        <f ca="1">OFFSET(終値履歴!A54,0,COUNTA(終値履歴!G54:'終値履歴'!XFD54)+5,1,-1)</f>
        <v>0</v>
      </c>
      <c r="I54" s="133" t="e">
        <f t="shared" ca="1" si="81"/>
        <v>#DIV/0!</v>
      </c>
      <c r="J54" s="133" t="e">
        <f t="shared" ca="1" si="82"/>
        <v>#DIV/0!</v>
      </c>
      <c r="K54" s="133" t="e">
        <f t="shared" ca="1" si="83"/>
        <v>#DIV/0!</v>
      </c>
      <c r="M54" s="133" t="e">
        <f t="shared" ca="1" si="84"/>
        <v>#DIV/0!</v>
      </c>
      <c r="N54" s="133" t="e">
        <f t="shared" ca="1" si="85"/>
        <v>#DIV/0!</v>
      </c>
      <c r="P54" s="130">
        <f t="shared" ca="1" si="86"/>
        <v>0</v>
      </c>
      <c r="Q54" s="12" t="str">
        <f t="shared" ca="1" si="87"/>
        <v>割安</v>
      </c>
      <c r="R54" s="25">
        <f ca="1">終値履歴!D54</f>
        <v>0</v>
      </c>
      <c r="S54" s="344" t="e">
        <f t="shared" ca="1" si="88"/>
        <v>#DIV/0!</v>
      </c>
      <c r="T54" s="25">
        <f ca="1">終値履歴!E54</f>
        <v>0</v>
      </c>
      <c r="U54" s="344" t="e">
        <f t="shared" ca="1" si="89"/>
        <v>#DIV/0!</v>
      </c>
      <c r="W54" s="25">
        <f ca="1">終値履歴!F54</f>
        <v>0</v>
      </c>
      <c r="X54" s="344" t="e">
        <f t="shared" ca="1" si="90"/>
        <v>#DIV/0!</v>
      </c>
    </row>
    <row r="55" spans="1:24" x14ac:dyDescent="0.25">
      <c r="B55" s="122" t="str">
        <f>IPO監視一覧!B43</f>
        <v>シェアリングテクノロジー</v>
      </c>
      <c r="C55" s="138">
        <f>株価一覧!H54</f>
        <v>0</v>
      </c>
      <c r="D55" s="15">
        <f ca="1">OFFSET(終値履歴!A55,0,COUNTA(終値履歴!G55:'終値履歴'!XFD55)+2,1,-1)</f>
        <v>0</v>
      </c>
      <c r="E55" s="15">
        <f ca="1">OFFSET(終値履歴!A55,0,COUNTA(終値履歴!G55:'終値履歴'!XFD55)+3,1,-1)</f>
        <v>0</v>
      </c>
      <c r="F55" s="15">
        <f ca="1">OFFSET(終値履歴!A55,0,COUNTA(終値履歴!G55:'終値履歴'!XFD55)+4,1,-1)</f>
        <v>0</v>
      </c>
      <c r="G55" s="15">
        <f ca="1">OFFSET(終値履歴!A55,0,COUNTA(終値履歴!G55:'終値履歴'!XFD55)+5,1,-1)</f>
        <v>0</v>
      </c>
      <c r="I55" s="133" t="e">
        <f t="shared" ca="1" si="81"/>
        <v>#DIV/0!</v>
      </c>
      <c r="J55" s="133" t="e">
        <f t="shared" ca="1" si="82"/>
        <v>#DIV/0!</v>
      </c>
      <c r="K55" s="133" t="e">
        <f t="shared" ca="1" si="83"/>
        <v>#DIV/0!</v>
      </c>
      <c r="M55" s="133" t="e">
        <f t="shared" ca="1" si="84"/>
        <v>#DIV/0!</v>
      </c>
      <c r="N55" s="133" t="e">
        <f t="shared" ca="1" si="85"/>
        <v>#DIV/0!</v>
      </c>
      <c r="P55" s="130">
        <f t="shared" ca="1" si="86"/>
        <v>0</v>
      </c>
      <c r="Q55" s="12" t="str">
        <f t="shared" ca="1" si="87"/>
        <v>割安</v>
      </c>
      <c r="R55" s="25">
        <f ca="1">終値履歴!D55</f>
        <v>0</v>
      </c>
      <c r="S55" s="344" t="e">
        <f t="shared" ca="1" si="88"/>
        <v>#DIV/0!</v>
      </c>
      <c r="T55" s="25">
        <f ca="1">終値履歴!E55</f>
        <v>0</v>
      </c>
      <c r="U55" s="344" t="e">
        <f t="shared" ca="1" si="89"/>
        <v>#DIV/0!</v>
      </c>
      <c r="W55" s="25">
        <f ca="1">終値履歴!F55</f>
        <v>0</v>
      </c>
      <c r="X55" s="344" t="e">
        <f t="shared" ca="1" si="90"/>
        <v>#DIV/0!</v>
      </c>
    </row>
    <row r="56" spans="1:24" x14ac:dyDescent="0.25">
      <c r="B56" s="122" t="str">
        <f>IPO監視一覧!B44</f>
        <v>トランザス</v>
      </c>
      <c r="C56" s="138">
        <f>株価一覧!H55</f>
        <v>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0</v>
      </c>
      <c r="I56" s="133" t="e">
        <f t="shared" ca="1" si="81"/>
        <v>#DIV/0!</v>
      </c>
      <c r="J56" s="133" t="e">
        <f t="shared" ca="1" si="82"/>
        <v>#DIV/0!</v>
      </c>
      <c r="K56" s="133" t="e">
        <f t="shared" ca="1" si="83"/>
        <v>#DIV/0!</v>
      </c>
      <c r="M56" s="133" t="e">
        <f t="shared" ca="1" si="84"/>
        <v>#DIV/0!</v>
      </c>
      <c r="N56" s="133" t="e">
        <f t="shared" ca="1" si="85"/>
        <v>#DIV/0!</v>
      </c>
      <c r="P56" s="130">
        <f t="shared" ca="1" si="86"/>
        <v>0</v>
      </c>
      <c r="Q56" s="12" t="str">
        <f t="shared" ca="1" si="87"/>
        <v>割安</v>
      </c>
      <c r="R56" s="25">
        <f ca="1">終値履歴!D56</f>
        <v>0</v>
      </c>
      <c r="S56" s="344" t="e">
        <f t="shared" ca="1" si="88"/>
        <v>#DIV/0!</v>
      </c>
      <c r="T56" s="25">
        <f ca="1">終値履歴!E56</f>
        <v>0</v>
      </c>
      <c r="U56" s="344" t="e">
        <f t="shared" ca="1" si="89"/>
        <v>#DIV/0!</v>
      </c>
      <c r="W56" s="25">
        <f ca="1">終値履歴!F56</f>
        <v>0</v>
      </c>
      <c r="X56" s="344" t="e">
        <f t="shared" ca="1" si="90"/>
        <v>#DIV/0!</v>
      </c>
    </row>
    <row r="57" spans="1:24" x14ac:dyDescent="0.25">
      <c r="B57" s="122">
        <f>IPO監視一覧!B45</f>
        <v>0</v>
      </c>
      <c r="C57" s="138">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33" t="e">
        <f t="shared" ca="1" si="81"/>
        <v>#DIV/0!</v>
      </c>
      <c r="J57" s="133" t="e">
        <f t="shared" ca="1" si="82"/>
        <v>#DIV/0!</v>
      </c>
      <c r="K57" s="133" t="e">
        <f t="shared" ca="1" si="83"/>
        <v>#DIV/0!</v>
      </c>
      <c r="M57" s="133" t="e">
        <f t="shared" ca="1" si="84"/>
        <v>#DIV/0!</v>
      </c>
      <c r="N57" s="133" t="e">
        <f t="shared" ca="1" si="85"/>
        <v>#DIV/0!</v>
      </c>
      <c r="P57" s="130">
        <f t="shared" ca="1" si="86"/>
        <v>0</v>
      </c>
      <c r="Q57" s="12" t="str">
        <f t="shared" ca="1" si="87"/>
        <v>割安</v>
      </c>
      <c r="R57" s="25">
        <f ca="1">終値履歴!D57</f>
        <v>0</v>
      </c>
      <c r="S57" s="344" t="e">
        <f t="shared" ca="1" si="88"/>
        <v>#DIV/0!</v>
      </c>
      <c r="T57" s="25">
        <f ca="1">終値履歴!E57</f>
        <v>0</v>
      </c>
      <c r="U57" s="344" t="e">
        <f t="shared" ca="1" si="89"/>
        <v>#DIV/0!</v>
      </c>
      <c r="W57" s="25">
        <f ca="1">終値履歴!F57</f>
        <v>0</v>
      </c>
      <c r="X57" s="344" t="e">
        <f t="shared" ca="1" si="90"/>
        <v>#DIV/0!</v>
      </c>
    </row>
    <row r="58" spans="1:24" x14ac:dyDescent="0.25">
      <c r="B58" s="122">
        <f>IPO監視一覧!B46</f>
        <v>0</v>
      </c>
      <c r="C58" s="138">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33" t="e">
        <f t="shared" ca="1" si="81"/>
        <v>#DIV/0!</v>
      </c>
      <c r="J58" s="133" t="e">
        <f t="shared" ca="1" si="82"/>
        <v>#DIV/0!</v>
      </c>
      <c r="K58" s="133" t="e">
        <f t="shared" ca="1" si="83"/>
        <v>#DIV/0!</v>
      </c>
      <c r="M58" s="133" t="e">
        <f t="shared" ca="1" si="84"/>
        <v>#DIV/0!</v>
      </c>
      <c r="N58" s="133" t="e">
        <f t="shared" ca="1" si="85"/>
        <v>#DIV/0!</v>
      </c>
      <c r="P58" s="130">
        <f t="shared" ca="1" si="86"/>
        <v>0</v>
      </c>
      <c r="Q58" s="12" t="str">
        <f t="shared" ca="1" si="87"/>
        <v>割安</v>
      </c>
      <c r="R58" s="25">
        <f>終値履歴!D58</f>
        <v>0</v>
      </c>
      <c r="S58" s="344" t="e">
        <f t="shared" ca="1" si="88"/>
        <v>#DIV/0!</v>
      </c>
      <c r="T58" s="25">
        <f>終値履歴!E58</f>
        <v>0</v>
      </c>
      <c r="U58" s="344" t="e">
        <f t="shared" ca="1" si="89"/>
        <v>#DIV/0!</v>
      </c>
      <c r="W58" s="25">
        <f>終値履歴!F58</f>
        <v>0</v>
      </c>
      <c r="X58" s="344" t="e">
        <f t="shared" ca="1" si="90"/>
        <v>#DIV/0!</v>
      </c>
    </row>
  </sheetData>
  <mergeCells count="2">
    <mergeCell ref="I1:K1"/>
    <mergeCell ref="M1:N1"/>
  </mergeCells>
  <phoneticPr fontId="2"/>
  <conditionalFormatting sqref="O2">
    <cfRule type="cellIs" dxfId="108" priority="121" operator="lessThan">
      <formula>-0.1</formula>
    </cfRule>
  </conditionalFormatting>
  <conditionalFormatting sqref="O2">
    <cfRule type="cellIs" dxfId="107" priority="120" operator="lessThan">
      <formula>-0.1</formula>
    </cfRule>
  </conditionalFormatting>
  <conditionalFormatting sqref="I3:N35 I40:N1048576">
    <cfRule type="cellIs" dxfId="106" priority="119" operator="lessThan">
      <formula>-0.07</formula>
    </cfRule>
  </conditionalFormatting>
  <conditionalFormatting sqref="I3:N35 I40:N1048576">
    <cfRule type="cellIs" dxfId="105" priority="118" operator="greaterThan">
      <formula>0</formula>
    </cfRule>
  </conditionalFormatting>
  <conditionalFormatting sqref="C2:C35 C59:C1048576">
    <cfRule type="cellIs" dxfId="104" priority="116" operator="lessThan">
      <formula>100000</formula>
    </cfRule>
    <cfRule type="cellIs" dxfId="103" priority="117" operator="lessThan">
      <formula>1000000</formula>
    </cfRule>
  </conditionalFormatting>
  <conditionalFormatting sqref="P3:P35 P40:P1048576">
    <cfRule type="cellIs" dxfId="102" priority="115" operator="greaterThan">
      <formula>0</formula>
    </cfRule>
  </conditionalFormatting>
  <conditionalFormatting sqref="P1:P35 P40:P1048576">
    <cfRule type="cellIs" dxfId="101" priority="114" operator="lessThan">
      <formula>0</formula>
    </cfRule>
  </conditionalFormatting>
  <conditionalFormatting sqref="U1:U35 U40:U1048576">
    <cfRule type="cellIs" dxfId="100" priority="112" operator="greaterThan">
      <formula>0.04</formula>
    </cfRule>
    <cfRule type="cellIs" dxfId="99" priority="113" operator="lessThan">
      <formula>0</formula>
    </cfRule>
  </conditionalFormatting>
  <conditionalFormatting sqref="B3:B35 B40:B49 B51:B1048576">
    <cfRule type="expression" dxfId="98" priority="110">
      <formula>$U3&gt;=0.1</formula>
    </cfRule>
    <cfRule type="expression" dxfId="97" priority="111">
      <formula>$G3&gt;$T3</formula>
    </cfRule>
  </conditionalFormatting>
  <conditionalFormatting sqref="X3:X35 X40:X1048576">
    <cfRule type="cellIs" dxfId="96" priority="108" operator="greaterThan">
      <formula>0.1</formula>
    </cfRule>
  </conditionalFormatting>
  <conditionalFormatting sqref="I36:N36">
    <cfRule type="cellIs" dxfId="95" priority="107" operator="lessThan">
      <formula>-0.07</formula>
    </cfRule>
  </conditionalFormatting>
  <conditionalFormatting sqref="I36:N36">
    <cfRule type="cellIs" dxfId="94" priority="106" operator="greaterThan">
      <formula>0</formula>
    </cfRule>
  </conditionalFormatting>
  <conditionalFormatting sqref="C36">
    <cfRule type="cellIs" dxfId="93" priority="104" operator="lessThan">
      <formula>100000</formula>
    </cfRule>
    <cfRule type="cellIs" dxfId="92" priority="105" operator="lessThan">
      <formula>1000000</formula>
    </cfRule>
  </conditionalFormatting>
  <conditionalFormatting sqref="P36">
    <cfRule type="cellIs" dxfId="91" priority="103" operator="greaterThan">
      <formula>0</formula>
    </cfRule>
  </conditionalFormatting>
  <conditionalFormatting sqref="P36">
    <cfRule type="cellIs" dxfId="90" priority="102" operator="lessThan">
      <formula>0</formula>
    </cfRule>
  </conditionalFormatting>
  <conditionalFormatting sqref="U36">
    <cfRule type="cellIs" dxfId="89" priority="100" operator="greaterThan">
      <formula>0.04</formula>
    </cfRule>
    <cfRule type="cellIs" dxfId="88" priority="101" operator="lessThan">
      <formula>0</formula>
    </cfRule>
  </conditionalFormatting>
  <conditionalFormatting sqref="B36">
    <cfRule type="expression" dxfId="87" priority="98">
      <formula>$U36&gt;=0.1</formula>
    </cfRule>
    <cfRule type="expression" dxfId="86" priority="99">
      <formula>$G36&gt;$T36</formula>
    </cfRule>
  </conditionalFormatting>
  <conditionalFormatting sqref="X36">
    <cfRule type="cellIs" dxfId="85" priority="97" operator="greaterThan">
      <formula>0.1</formula>
    </cfRule>
  </conditionalFormatting>
  <conditionalFormatting sqref="B3:Q36 T3:XFD36 B59:Q1048576 B40:B49 D40:Q49 T40:XFD49 T59:XFD1048576 H51:H58 B51:B58 D50:G58 Y51:XFD58 I50:Q58 T50:X58">
    <cfRule type="expression" dxfId="84" priority="96">
      <formula>CELL("ROW")=ROW()</formula>
    </cfRule>
  </conditionalFormatting>
  <conditionalFormatting sqref="D11 H1:H36 L1:L36 O1:O36 V1:V36 Y1:Y36 Q1:Q36 A1:A36 A40:A43 Y40:Y49 A46:A48 H40:H49 A51:A1048576 H51:H1048576 Y51:Y1048576 O40:O1048576 L40:L1048576 Q40:Q1048576 V40:V1048576">
    <cfRule type="expression" dxfId="83" priority="95">
      <formula>CELL("ROW")=ROW()</formula>
    </cfRule>
  </conditionalFormatting>
  <conditionalFormatting sqref="S1:S36 S40:S1048576">
    <cfRule type="cellIs" dxfId="82" priority="93" operator="greaterThan">
      <formula>0.04</formula>
    </cfRule>
    <cfRule type="cellIs" dxfId="81" priority="94" operator="lessThan">
      <formula>0</formula>
    </cfRule>
  </conditionalFormatting>
  <conditionalFormatting sqref="S36">
    <cfRule type="cellIs" dxfId="80" priority="91" operator="greaterThan">
      <formula>0.04</formula>
    </cfRule>
    <cfRule type="cellIs" dxfId="79" priority="92" operator="lessThan">
      <formula>0</formula>
    </cfRule>
  </conditionalFormatting>
  <conditionalFormatting sqref="R3:S36 R40:S1048576">
    <cfRule type="expression" dxfId="78" priority="90">
      <formula>CELL("ROW")=ROW()</formula>
    </cfRule>
  </conditionalFormatting>
  <conditionalFormatting sqref="Q1:Q36 Q40:Q1048576">
    <cfRule type="cellIs" dxfId="77" priority="88" operator="equal">
      <formula>"割安"</formula>
    </cfRule>
    <cfRule type="cellIs" dxfId="76" priority="89" operator="equal">
      <formula>"普通"</formula>
    </cfRule>
  </conditionalFormatting>
  <conditionalFormatting sqref="I37:N37">
    <cfRule type="cellIs" dxfId="75" priority="87" operator="lessThan">
      <formula>-0.07</formula>
    </cfRule>
  </conditionalFormatting>
  <conditionalFormatting sqref="I37:N37">
    <cfRule type="cellIs" dxfId="74" priority="86" operator="greaterThan">
      <formula>0</formula>
    </cfRule>
  </conditionalFormatting>
  <conditionalFormatting sqref="C37">
    <cfRule type="cellIs" dxfId="73" priority="84" operator="lessThan">
      <formula>100000</formula>
    </cfRule>
    <cfRule type="cellIs" dxfId="72" priority="85" operator="lessThan">
      <formula>1000000</formula>
    </cfRule>
  </conditionalFormatting>
  <conditionalFormatting sqref="P37">
    <cfRule type="cellIs" dxfId="71" priority="83" operator="greaterThan">
      <formula>0</formula>
    </cfRule>
  </conditionalFormatting>
  <conditionalFormatting sqref="P37">
    <cfRule type="cellIs" dxfId="70" priority="82" operator="lessThan">
      <formula>0</formula>
    </cfRule>
  </conditionalFormatting>
  <conditionalFormatting sqref="U37">
    <cfRule type="cellIs" dxfId="69" priority="80" operator="greaterThan">
      <formula>0.04</formula>
    </cfRule>
    <cfRule type="cellIs" dxfId="68" priority="81" operator="lessThan">
      <formula>0</formula>
    </cfRule>
  </conditionalFormatting>
  <conditionalFormatting sqref="B37">
    <cfRule type="expression" dxfId="67" priority="78">
      <formula>$U37&gt;=0.1</formula>
    </cfRule>
    <cfRule type="expression" dxfId="66" priority="79">
      <formula>$G37&gt;$T37</formula>
    </cfRule>
  </conditionalFormatting>
  <conditionalFormatting sqref="X37">
    <cfRule type="cellIs" dxfId="65" priority="77" operator="greaterThan">
      <formula>0.1</formula>
    </cfRule>
  </conditionalFormatting>
  <conditionalFormatting sqref="B37:Q37 T37:XFD37">
    <cfRule type="expression" dxfId="64" priority="76">
      <formula>CELL("ROW")=ROW()</formula>
    </cfRule>
  </conditionalFormatting>
  <conditionalFormatting sqref="H37 L37 O37 V37 Y37 Q37">
    <cfRule type="expression" dxfId="63" priority="75">
      <formula>CELL("ROW")=ROW()</formula>
    </cfRule>
  </conditionalFormatting>
  <conditionalFormatting sqref="S37">
    <cfRule type="cellIs" dxfId="62" priority="73" operator="greaterThan">
      <formula>0.04</formula>
    </cfRule>
    <cfRule type="cellIs" dxfId="61" priority="74" operator="lessThan">
      <formula>0</formula>
    </cfRule>
  </conditionalFormatting>
  <conditionalFormatting sqref="S37">
    <cfRule type="cellIs" dxfId="60" priority="71" operator="greaterThan">
      <formula>0.04</formula>
    </cfRule>
    <cfRule type="cellIs" dxfId="59" priority="72" operator="lessThan">
      <formula>0</formula>
    </cfRule>
  </conditionalFormatting>
  <conditionalFormatting sqref="R37:S37">
    <cfRule type="expression" dxfId="58" priority="70">
      <formula>CELL("ROW")=ROW()</formula>
    </cfRule>
  </conditionalFormatting>
  <conditionalFormatting sqref="Q37">
    <cfRule type="cellIs" dxfId="57" priority="68" operator="equal">
      <formula>"割安"</formula>
    </cfRule>
    <cfRule type="cellIs" dxfId="56" priority="69" operator="equal">
      <formula>"普通"</formula>
    </cfRule>
  </conditionalFormatting>
  <conditionalFormatting sqref="I38:N38">
    <cfRule type="cellIs" dxfId="55" priority="67" operator="lessThan">
      <formula>-0.07</formula>
    </cfRule>
  </conditionalFormatting>
  <conditionalFormatting sqref="I38:N38">
    <cfRule type="cellIs" dxfId="54" priority="66" operator="greaterThan">
      <formula>0</formula>
    </cfRule>
  </conditionalFormatting>
  <conditionalFormatting sqref="C38">
    <cfRule type="cellIs" dxfId="53" priority="64" operator="lessThan">
      <formula>100000</formula>
    </cfRule>
    <cfRule type="cellIs" dxfId="52" priority="65" operator="lessThan">
      <formula>1000000</formula>
    </cfRule>
  </conditionalFormatting>
  <conditionalFormatting sqref="P38">
    <cfRule type="cellIs" dxfId="51" priority="63" operator="greaterThan">
      <formula>0</formula>
    </cfRule>
  </conditionalFormatting>
  <conditionalFormatting sqref="P38">
    <cfRule type="cellIs" dxfId="50" priority="62" operator="lessThan">
      <formula>0</formula>
    </cfRule>
  </conditionalFormatting>
  <conditionalFormatting sqref="U38">
    <cfRule type="cellIs" dxfId="49" priority="60" operator="greaterThan">
      <formula>0.04</formula>
    </cfRule>
    <cfRule type="cellIs" dxfId="48" priority="61" operator="lessThan">
      <formula>0</formula>
    </cfRule>
  </conditionalFormatting>
  <conditionalFormatting sqref="B38">
    <cfRule type="expression" dxfId="47" priority="58">
      <formula>$U38&gt;=0.1</formula>
    </cfRule>
    <cfRule type="expression" dxfId="46" priority="59">
      <formula>$G38&gt;$T38</formula>
    </cfRule>
  </conditionalFormatting>
  <conditionalFormatting sqref="X38">
    <cfRule type="cellIs" dxfId="45" priority="57" operator="greaterThan">
      <formula>0.1</formula>
    </cfRule>
  </conditionalFormatting>
  <conditionalFormatting sqref="B38:Q38 T38:XFD38">
    <cfRule type="expression" dxfId="44" priority="56">
      <formula>CELL("ROW")=ROW()</formula>
    </cfRule>
  </conditionalFormatting>
  <conditionalFormatting sqref="H38 L38 O38 V38 Y38 Q38">
    <cfRule type="expression" dxfId="43" priority="55">
      <formula>CELL("ROW")=ROW()</formula>
    </cfRule>
  </conditionalFormatting>
  <conditionalFormatting sqref="S38">
    <cfRule type="cellIs" dxfId="42" priority="53" operator="greaterThan">
      <formula>0.04</formula>
    </cfRule>
    <cfRule type="cellIs" dxfId="41" priority="54" operator="lessThan">
      <formula>0</formula>
    </cfRule>
  </conditionalFormatting>
  <conditionalFormatting sqref="S38">
    <cfRule type="cellIs" dxfId="40" priority="51" operator="greaterThan">
      <formula>0.04</formula>
    </cfRule>
    <cfRule type="cellIs" dxfId="39" priority="52" operator="lessThan">
      <formula>0</formula>
    </cfRule>
  </conditionalFormatting>
  <conditionalFormatting sqref="R38:S38">
    <cfRule type="expression" dxfId="38" priority="50">
      <formula>CELL("ROW")=ROW()</formula>
    </cfRule>
  </conditionalFormatting>
  <conditionalFormatting sqref="Q38">
    <cfRule type="cellIs" dxfId="37" priority="48" operator="equal">
      <formula>"割安"</formula>
    </cfRule>
    <cfRule type="cellIs" dxfId="36" priority="49" operator="equal">
      <formula>"普通"</formula>
    </cfRule>
  </conditionalFormatting>
  <conditionalFormatting sqref="A37">
    <cfRule type="expression" dxfId="35" priority="47">
      <formula>CELL("ROW")=ROW()</formula>
    </cfRule>
  </conditionalFormatting>
  <conditionalFormatting sqref="A38">
    <cfRule type="expression" dxfId="34" priority="46">
      <formula>CELL("ROW")=ROW()</formula>
    </cfRule>
  </conditionalFormatting>
  <conditionalFormatting sqref="I39:N39">
    <cfRule type="cellIs" dxfId="33" priority="45" operator="lessThan">
      <formula>-0.07</formula>
    </cfRule>
  </conditionalFormatting>
  <conditionalFormatting sqref="I39:N39">
    <cfRule type="cellIs" dxfId="32" priority="44" operator="greaterThan">
      <formula>0</formula>
    </cfRule>
  </conditionalFormatting>
  <conditionalFormatting sqref="C39:C49">
    <cfRule type="cellIs" dxfId="31" priority="42" operator="lessThan">
      <formula>100000</formula>
    </cfRule>
    <cfRule type="cellIs" dxfId="30" priority="43" operator="lessThan">
      <formula>1000000</formula>
    </cfRule>
  </conditionalFormatting>
  <conditionalFormatting sqref="P39">
    <cfRule type="cellIs" dxfId="29" priority="41" operator="greaterThan">
      <formula>0</formula>
    </cfRule>
  </conditionalFormatting>
  <conditionalFormatting sqref="P39">
    <cfRule type="cellIs" dxfId="28" priority="40" operator="lessThan">
      <formula>0</formula>
    </cfRule>
  </conditionalFormatting>
  <conditionalFormatting sqref="U39">
    <cfRule type="cellIs" dxfId="27" priority="38" operator="greaterThan">
      <formula>0.04</formula>
    </cfRule>
    <cfRule type="cellIs" dxfId="26" priority="39" operator="lessThan">
      <formula>0</formula>
    </cfRule>
  </conditionalFormatting>
  <conditionalFormatting sqref="B39">
    <cfRule type="expression" dxfId="25" priority="36">
      <formula>$U39&gt;=0.1</formula>
    </cfRule>
    <cfRule type="expression" dxfId="24" priority="37">
      <formula>$G39&gt;$T39</formula>
    </cfRule>
  </conditionalFormatting>
  <conditionalFormatting sqref="X39">
    <cfRule type="cellIs" dxfId="23" priority="35" operator="greaterThan">
      <formula>0.1</formula>
    </cfRule>
  </conditionalFormatting>
  <conditionalFormatting sqref="B39:Q39 T39:XFD39 C40:C49">
    <cfRule type="expression" dxfId="22" priority="34">
      <formula>CELL("ROW")=ROW()</formula>
    </cfRule>
  </conditionalFormatting>
  <conditionalFormatting sqref="H39 L39 O39 V39 Y39 Q39">
    <cfRule type="expression" dxfId="21" priority="33">
      <formula>CELL("ROW")=ROW()</formula>
    </cfRule>
  </conditionalFormatting>
  <conditionalFormatting sqref="S39">
    <cfRule type="cellIs" dxfId="20" priority="31" operator="greaterThan">
      <formula>0.04</formula>
    </cfRule>
    <cfRule type="cellIs" dxfId="19" priority="32" operator="lessThan">
      <formula>0</formula>
    </cfRule>
  </conditionalFormatting>
  <conditionalFormatting sqref="S39">
    <cfRule type="cellIs" dxfId="18" priority="29" operator="greaterThan">
      <formula>0.04</formula>
    </cfRule>
    <cfRule type="cellIs" dxfId="17" priority="30" operator="lessThan">
      <formula>0</formula>
    </cfRule>
  </conditionalFormatting>
  <conditionalFormatting sqref="R39:S39">
    <cfRule type="expression" dxfId="16" priority="28">
      <formula>CELL("ROW")=ROW()</formula>
    </cfRule>
  </conditionalFormatting>
  <conditionalFormatting sqref="Q39">
    <cfRule type="cellIs" dxfId="15" priority="26" operator="equal">
      <formula>"割安"</formula>
    </cfRule>
    <cfRule type="cellIs" dxfId="14" priority="27" operator="equal">
      <formula>"普通"</formula>
    </cfRule>
  </conditionalFormatting>
  <conditionalFormatting sqref="A39">
    <cfRule type="expression" dxfId="13" priority="25">
      <formula>CELL("ROW")=ROW()</formula>
    </cfRule>
  </conditionalFormatting>
  <conditionalFormatting sqref="A44">
    <cfRule type="expression" dxfId="12" priority="24">
      <formula>CELL("ROW")=ROW()</formula>
    </cfRule>
  </conditionalFormatting>
  <conditionalFormatting sqref="A45">
    <cfRule type="expression" dxfId="11" priority="23">
      <formula>CELL("ROW")=ROW()</formula>
    </cfRule>
  </conditionalFormatting>
  <conditionalFormatting sqref="A49">
    <cfRule type="expression" dxfId="10" priority="21">
      <formula>CELL("ROW")=ROW()</formula>
    </cfRule>
  </conditionalFormatting>
  <conditionalFormatting sqref="B50">
    <cfRule type="expression" dxfId="9" priority="13">
      <formula>$U50&gt;=0.1</formula>
    </cfRule>
    <cfRule type="expression" dxfId="8" priority="14">
      <formula>$G50&gt;$T50</formula>
    </cfRule>
  </conditionalFormatting>
  <conditionalFormatting sqref="B50 H50 Y50:XFD50">
    <cfRule type="expression" dxfId="7" priority="11">
      <formula>CELL("ROW")=ROW()</formula>
    </cfRule>
  </conditionalFormatting>
  <conditionalFormatting sqref="Y50 H50">
    <cfRule type="expression" dxfId="6" priority="10">
      <formula>CELL("ROW")=ROW()</formula>
    </cfRule>
  </conditionalFormatting>
  <conditionalFormatting sqref="C50:C58">
    <cfRule type="cellIs" dxfId="5" priority="3" operator="lessThan">
      <formula>100000</formula>
    </cfRule>
    <cfRule type="cellIs" dxfId="4" priority="4" operator="lessThan">
      <formula>1000000</formula>
    </cfRule>
  </conditionalFormatting>
  <conditionalFormatting sqref="C50:C58">
    <cfRule type="expression" dxfId="3" priority="2">
      <formula>CELL("ROW")=ROW()</formula>
    </cfRule>
  </conditionalFormatting>
  <conditionalFormatting sqref="A50">
    <cfRule type="expression" dxfId="2"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R77"/>
  <sheetViews>
    <sheetView zoomScale="85" zoomScaleNormal="85" workbookViewId="0">
      <pane xSplit="6" ySplit="2" topLeftCell="CG21" activePane="bottomRight" state="frozen"/>
      <selection pane="topRight" activeCell="E1" sqref="E1"/>
      <selection pane="bottomLeft" activeCell="A3" sqref="A3"/>
      <selection pane="bottomRight" activeCell="CP10" sqref="CP10"/>
    </sheetView>
  </sheetViews>
  <sheetFormatPr defaultColWidth="8" defaultRowHeight="15.75" x14ac:dyDescent="0.25"/>
  <cols>
    <col min="1" max="1" width="4.33203125" style="384" customWidth="1"/>
    <col min="2" max="2" width="26.21875" style="36" bestFit="1" customWidth="1"/>
    <col min="3" max="3" width="15" style="354" customWidth="1"/>
    <col min="4" max="4" width="15" style="355" customWidth="1"/>
    <col min="5" max="5" width="13.77734375" style="355" customWidth="1"/>
    <col min="6" max="6" width="13.77734375" style="356" customWidth="1"/>
    <col min="7" max="8" width="13.21875" style="145" hidden="1" customWidth="1"/>
    <col min="9" max="15" width="11.88671875" style="145" hidden="1" customWidth="1"/>
    <col min="16" max="20" width="13.21875" style="145" hidden="1" customWidth="1"/>
    <col min="21" max="23" width="12.21875" style="145" hidden="1" customWidth="1"/>
    <col min="24" max="30" width="13.21875" style="145" hidden="1" customWidth="1"/>
    <col min="31" max="33" width="11.88671875" style="145" hidden="1" customWidth="1"/>
    <col min="34" max="43" width="13.21875" style="145" hidden="1" customWidth="1"/>
    <col min="44" max="48" width="13.33203125" style="145" hidden="1" customWidth="1"/>
    <col min="49" max="50" width="10.88671875" style="145" hidden="1" customWidth="1"/>
    <col min="51" max="51" width="12" style="145" hidden="1" customWidth="1"/>
    <col min="52" max="52" width="10.77734375" style="145" hidden="1" customWidth="1"/>
    <col min="53" max="54" width="12" style="145" hidden="1" customWidth="1"/>
    <col min="55" max="68" width="11.5546875" style="145" hidden="1" customWidth="1"/>
    <col min="69" max="75" width="10.21875" style="145" hidden="1" customWidth="1"/>
    <col min="76" max="84" width="11.44140625" style="145" hidden="1" customWidth="1"/>
    <col min="85" max="90" width="11.44140625" style="145" bestFit="1" customWidth="1"/>
    <col min="91" max="95" width="11.44140625" style="145" customWidth="1"/>
    <col min="96" max="96" width="11.44140625" style="145" bestFit="1" customWidth="1"/>
    <col min="97" max="16384" width="8" style="145"/>
  </cols>
  <sheetData>
    <row r="1" spans="1:96" s="66" customFormat="1" x14ac:dyDescent="0.25">
      <c r="A1" s="12" t="s">
        <v>162</v>
      </c>
      <c r="B1" s="262" t="s">
        <v>163</v>
      </c>
      <c r="C1" s="373"/>
      <c r="D1" s="374"/>
      <c r="E1" s="374"/>
      <c r="F1" s="375"/>
      <c r="G1" s="12">
        <v>0</v>
      </c>
      <c r="H1" s="66">
        <v>0</v>
      </c>
      <c r="I1" s="66">
        <v>0</v>
      </c>
      <c r="J1" s="139">
        <v>0</v>
      </c>
      <c r="K1" s="66">
        <v>0</v>
      </c>
      <c r="L1" s="66">
        <v>0</v>
      </c>
      <c r="M1" s="140" t="s">
        <v>30</v>
      </c>
      <c r="N1" s="66">
        <v>0</v>
      </c>
      <c r="O1" s="140" t="s">
        <v>30</v>
      </c>
      <c r="P1" s="66">
        <v>0</v>
      </c>
      <c r="Q1" s="66">
        <v>0</v>
      </c>
      <c r="R1" s="66">
        <v>0</v>
      </c>
      <c r="S1" s="66">
        <v>0</v>
      </c>
      <c r="T1" s="140" t="s">
        <v>30</v>
      </c>
      <c r="U1" s="140" t="s">
        <v>30</v>
      </c>
      <c r="V1" s="140" t="s">
        <v>30</v>
      </c>
      <c r="W1" s="140" t="s">
        <v>30</v>
      </c>
      <c r="X1" s="140" t="s">
        <v>30</v>
      </c>
      <c r="Y1" s="140" t="s">
        <v>30</v>
      </c>
      <c r="Z1" s="140" t="s">
        <v>30</v>
      </c>
      <c r="AA1" s="140" t="s">
        <v>30</v>
      </c>
      <c r="AB1" s="140" t="s">
        <v>30</v>
      </c>
      <c r="AC1" s="140" t="s">
        <v>30</v>
      </c>
      <c r="AD1" s="140" t="s">
        <v>30</v>
      </c>
      <c r="AE1" s="66">
        <v>0</v>
      </c>
      <c r="AF1" s="66">
        <v>0</v>
      </c>
      <c r="AG1" s="140" t="s">
        <v>30</v>
      </c>
      <c r="AH1" s="140" t="s">
        <v>30</v>
      </c>
      <c r="AI1" s="66">
        <v>0</v>
      </c>
      <c r="AJ1" s="140" t="s">
        <v>30</v>
      </c>
      <c r="AK1" s="66">
        <v>0</v>
      </c>
      <c r="AL1" s="66">
        <v>0</v>
      </c>
      <c r="AM1" s="66">
        <v>0</v>
      </c>
      <c r="AN1" s="66">
        <v>0</v>
      </c>
      <c r="AO1" s="140" t="s">
        <v>30</v>
      </c>
      <c r="AP1" s="66">
        <v>0</v>
      </c>
      <c r="AQ1" s="66">
        <v>0</v>
      </c>
      <c r="AR1" s="66">
        <v>0</v>
      </c>
      <c r="AS1" s="66">
        <v>0</v>
      </c>
      <c r="AT1" s="140" t="s">
        <v>30</v>
      </c>
      <c r="AU1" s="66">
        <v>0</v>
      </c>
      <c r="AV1" s="66">
        <v>0</v>
      </c>
    </row>
    <row r="2" spans="1:96" s="338" customFormat="1" ht="16.5" thickBot="1" x14ac:dyDescent="0.3">
      <c r="A2" s="377" t="s">
        <v>24</v>
      </c>
      <c r="B2" s="323" t="s">
        <v>18</v>
      </c>
      <c r="C2" s="380" t="s">
        <v>164</v>
      </c>
      <c r="D2" s="323" t="s">
        <v>460</v>
      </c>
      <c r="E2" s="323" t="s">
        <v>456</v>
      </c>
      <c r="F2" s="323" t="s">
        <v>457</v>
      </c>
      <c r="G2" s="336">
        <v>42793</v>
      </c>
      <c r="H2" s="336">
        <v>42794</v>
      </c>
      <c r="I2" s="336">
        <v>42795</v>
      </c>
      <c r="J2" s="336">
        <v>42796</v>
      </c>
      <c r="K2" s="336">
        <v>42797</v>
      </c>
      <c r="L2" s="336">
        <v>42800</v>
      </c>
      <c r="M2" s="337">
        <v>42801</v>
      </c>
      <c r="N2" s="337">
        <v>42802</v>
      </c>
      <c r="O2" s="337">
        <v>42803</v>
      </c>
      <c r="P2" s="337">
        <v>42804</v>
      </c>
      <c r="Q2" s="337">
        <v>42807</v>
      </c>
      <c r="R2" s="337">
        <v>42808</v>
      </c>
      <c r="S2" s="337">
        <v>42809</v>
      </c>
      <c r="T2" s="337">
        <v>42810</v>
      </c>
      <c r="U2" s="337">
        <v>42811</v>
      </c>
      <c r="V2" s="336">
        <v>42815</v>
      </c>
      <c r="W2" s="336">
        <v>42816</v>
      </c>
      <c r="X2" s="336">
        <v>42817</v>
      </c>
      <c r="Y2" s="336">
        <v>42818</v>
      </c>
      <c r="Z2" s="336">
        <v>42821</v>
      </c>
      <c r="AA2" s="336">
        <v>42822</v>
      </c>
      <c r="AB2" s="336">
        <v>42823</v>
      </c>
      <c r="AC2" s="336">
        <v>42824</v>
      </c>
      <c r="AD2" s="336">
        <v>42825</v>
      </c>
      <c r="AE2" s="336">
        <v>42828</v>
      </c>
      <c r="AF2" s="336">
        <v>42831</v>
      </c>
      <c r="AG2" s="336">
        <v>42832</v>
      </c>
      <c r="AH2" s="336">
        <v>42835</v>
      </c>
      <c r="AI2" s="336">
        <v>42836</v>
      </c>
      <c r="AJ2" s="336">
        <v>42837</v>
      </c>
      <c r="AK2" s="336">
        <v>42838</v>
      </c>
      <c r="AL2" s="336">
        <v>42839</v>
      </c>
      <c r="AM2" s="336">
        <v>42842</v>
      </c>
      <c r="AN2" s="336">
        <v>42843</v>
      </c>
      <c r="AO2" s="336">
        <v>42844</v>
      </c>
      <c r="AP2" s="336">
        <v>42845</v>
      </c>
      <c r="AQ2" s="336">
        <v>42846</v>
      </c>
      <c r="AR2" s="336">
        <v>42849</v>
      </c>
      <c r="AS2" s="336">
        <v>42850</v>
      </c>
      <c r="AT2" s="336">
        <v>42851</v>
      </c>
      <c r="AU2" s="336">
        <v>42852</v>
      </c>
      <c r="AV2" s="336">
        <v>42853</v>
      </c>
      <c r="AW2" s="336">
        <v>42856</v>
      </c>
      <c r="AX2" s="336">
        <v>42857</v>
      </c>
      <c r="AY2" s="336">
        <v>42863</v>
      </c>
      <c r="AZ2" s="336">
        <v>42864</v>
      </c>
      <c r="BA2" s="336">
        <v>42865</v>
      </c>
      <c r="BB2" s="336">
        <v>42866</v>
      </c>
      <c r="BC2" s="336">
        <v>42867</v>
      </c>
      <c r="BD2" s="336">
        <v>42870</v>
      </c>
      <c r="BE2" s="336">
        <v>42871</v>
      </c>
      <c r="BF2" s="336">
        <v>42872</v>
      </c>
      <c r="BG2" s="336">
        <v>42873</v>
      </c>
      <c r="BH2" s="336">
        <v>42874</v>
      </c>
      <c r="BI2" s="336">
        <v>42877</v>
      </c>
      <c r="BJ2" s="336">
        <v>42878</v>
      </c>
      <c r="BK2" s="336">
        <v>42879</v>
      </c>
      <c r="BL2" s="336">
        <v>42880</v>
      </c>
      <c r="BM2" s="336">
        <v>42881</v>
      </c>
      <c r="BN2" s="336">
        <v>42884</v>
      </c>
      <c r="BO2" s="336">
        <v>42885</v>
      </c>
      <c r="BP2" s="336">
        <v>42886</v>
      </c>
      <c r="BQ2" s="336">
        <v>42887</v>
      </c>
      <c r="BR2" s="336">
        <v>42888</v>
      </c>
      <c r="BS2" s="336">
        <v>42891</v>
      </c>
      <c r="BT2" s="336">
        <v>42892</v>
      </c>
      <c r="BU2" s="336">
        <v>42893</v>
      </c>
      <c r="BV2" s="336">
        <v>42894</v>
      </c>
      <c r="BW2" s="336">
        <v>42895</v>
      </c>
      <c r="BX2" s="336">
        <v>42898</v>
      </c>
      <c r="BY2" s="336">
        <v>42899</v>
      </c>
      <c r="BZ2" s="336">
        <v>42900</v>
      </c>
      <c r="CA2" s="336">
        <v>42901</v>
      </c>
      <c r="CB2" s="336">
        <v>42902</v>
      </c>
      <c r="CC2" s="336">
        <v>42905</v>
      </c>
      <c r="CD2" s="336">
        <v>42906</v>
      </c>
      <c r="CE2" s="336">
        <v>42907</v>
      </c>
      <c r="CF2" s="336">
        <v>42908</v>
      </c>
      <c r="CG2" s="336">
        <v>42909</v>
      </c>
      <c r="CH2" s="336">
        <v>42912</v>
      </c>
      <c r="CI2" s="336">
        <v>42913</v>
      </c>
      <c r="CJ2" s="336">
        <v>42914</v>
      </c>
      <c r="CK2" s="336">
        <v>42915</v>
      </c>
      <c r="CL2" s="336">
        <v>42916</v>
      </c>
      <c r="CM2" s="336">
        <v>42919</v>
      </c>
      <c r="CN2" s="336">
        <v>42920</v>
      </c>
      <c r="CO2" s="336">
        <v>42921</v>
      </c>
      <c r="CP2" s="336">
        <v>42922</v>
      </c>
      <c r="CQ2" s="336">
        <v>42923</v>
      </c>
      <c r="CR2" s="336">
        <v>42926</v>
      </c>
    </row>
    <row r="3" spans="1:96" s="144" customFormat="1" ht="16.5" thickTop="1" x14ac:dyDescent="0.25">
      <c r="A3" s="378"/>
      <c r="B3" s="92" t="str">
        <f>IPO監視一覧!B3</f>
        <v>日宣</v>
      </c>
      <c r="C3" s="381">
        <f>株価一覧!E2</f>
        <v>2497</v>
      </c>
      <c r="D3" s="347">
        <f t="shared" ref="D3:D42" ca="1" si="0">AVERAGE(OFFSET(A3,0,COUNTA(G3:XFD3)+5,1,-5))</f>
        <v>2486</v>
      </c>
      <c r="E3" s="347">
        <f t="shared" ref="E3:E42" ca="1" si="1">AVERAGE(OFFSET(A3,0,COUNTA(G3:XFD3)+5,1,-10))</f>
        <v>2488.4</v>
      </c>
      <c r="F3" s="348">
        <f t="shared" ref="F3:F42" ca="1" si="2">MIN(OFFSET(B3,0,COUNTA(G3:XFD3)+5,1,-10))</f>
        <v>2450</v>
      </c>
      <c r="G3" s="142">
        <v>2645</v>
      </c>
      <c r="H3" s="142">
        <v>2593</v>
      </c>
      <c r="I3" s="142">
        <v>2617</v>
      </c>
      <c r="J3" s="142">
        <v>2599</v>
      </c>
      <c r="K3" s="142">
        <v>2579</v>
      </c>
      <c r="L3" s="142">
        <v>2571</v>
      </c>
      <c r="M3" s="143">
        <v>2519</v>
      </c>
      <c r="N3" s="143">
        <v>2603</v>
      </c>
      <c r="O3" s="143">
        <v>2592</v>
      </c>
      <c r="P3" s="143">
        <v>2632</v>
      </c>
      <c r="Q3" s="143">
        <v>2648</v>
      </c>
      <c r="R3" s="143">
        <v>2550</v>
      </c>
      <c r="S3" s="143">
        <v>2530</v>
      </c>
      <c r="T3" s="143">
        <v>2497</v>
      </c>
      <c r="U3" s="143">
        <v>2383</v>
      </c>
      <c r="V3" s="142">
        <v>2390</v>
      </c>
      <c r="W3" s="142">
        <v>2392</v>
      </c>
      <c r="X3" s="142">
        <v>2399</v>
      </c>
      <c r="Y3" s="144">
        <v>2408</v>
      </c>
      <c r="Z3" s="142">
        <v>2393</v>
      </c>
      <c r="AA3" s="142">
        <v>2365</v>
      </c>
      <c r="AB3" s="144">
        <v>2440</v>
      </c>
      <c r="AC3" s="144">
        <v>2460</v>
      </c>
      <c r="AD3" s="144">
        <v>2480</v>
      </c>
      <c r="AE3" s="144">
        <v>2440</v>
      </c>
      <c r="AF3" s="144">
        <v>2350</v>
      </c>
      <c r="AG3" s="142">
        <v>2347</v>
      </c>
      <c r="AH3" s="142">
        <v>2389</v>
      </c>
      <c r="AI3" s="142">
        <v>2447</v>
      </c>
      <c r="AJ3" s="142">
        <v>2343</v>
      </c>
      <c r="AK3" s="142">
        <v>2335</v>
      </c>
      <c r="AL3" s="142">
        <v>2310</v>
      </c>
      <c r="AM3" s="142">
        <v>2310</v>
      </c>
      <c r="AN3" s="142">
        <v>2353</v>
      </c>
      <c r="AO3" s="142">
        <v>2400</v>
      </c>
      <c r="AP3" s="142">
        <v>2379</v>
      </c>
      <c r="AQ3" s="142">
        <v>2494</v>
      </c>
      <c r="AR3" s="142">
        <v>2490</v>
      </c>
      <c r="AS3" s="142">
        <v>2462</v>
      </c>
      <c r="AT3" s="142">
        <v>2500</v>
      </c>
      <c r="AU3" s="142">
        <v>2488</v>
      </c>
      <c r="AV3" s="142">
        <v>2494</v>
      </c>
      <c r="AW3" s="142">
        <v>2509</v>
      </c>
      <c r="AX3" s="142">
        <v>2502</v>
      </c>
      <c r="AY3" s="142">
        <v>2570</v>
      </c>
      <c r="AZ3" s="142">
        <v>2539</v>
      </c>
      <c r="BA3" s="142">
        <v>2515</v>
      </c>
      <c r="BB3" s="142">
        <v>2482</v>
      </c>
      <c r="BC3" s="142">
        <v>2510</v>
      </c>
      <c r="BD3" s="142">
        <v>2498</v>
      </c>
      <c r="BE3" s="142">
        <v>2486</v>
      </c>
      <c r="BF3" s="142">
        <v>2440</v>
      </c>
      <c r="BG3" s="142">
        <v>2413</v>
      </c>
      <c r="BH3" s="142">
        <v>2408</v>
      </c>
      <c r="BI3" s="142">
        <v>2409</v>
      </c>
      <c r="BJ3" s="142">
        <v>2403</v>
      </c>
      <c r="BK3" s="142">
        <v>2417</v>
      </c>
      <c r="BL3" s="142">
        <v>2411</v>
      </c>
      <c r="BM3" s="142">
        <v>2388</v>
      </c>
      <c r="BN3" s="142">
        <v>2360</v>
      </c>
      <c r="BO3" s="142">
        <v>2376</v>
      </c>
      <c r="BP3" s="142">
        <v>2376</v>
      </c>
      <c r="BQ3" s="144">
        <v>2400</v>
      </c>
      <c r="BR3" s="144">
        <v>2405</v>
      </c>
      <c r="BS3" s="144">
        <v>2422</v>
      </c>
      <c r="BT3" s="144">
        <v>2414</v>
      </c>
      <c r="BU3" s="144">
        <v>2414</v>
      </c>
      <c r="BV3" s="144">
        <v>2411</v>
      </c>
      <c r="BW3" s="144">
        <v>2402</v>
      </c>
      <c r="BX3" s="144">
        <v>2403</v>
      </c>
      <c r="BY3" s="144">
        <v>2463</v>
      </c>
      <c r="BZ3" s="144">
        <v>2525</v>
      </c>
      <c r="CA3" s="144">
        <v>2485</v>
      </c>
      <c r="CB3" s="144">
        <v>2460</v>
      </c>
      <c r="CC3" s="144">
        <v>2415</v>
      </c>
      <c r="CD3" s="144">
        <v>2441</v>
      </c>
      <c r="CE3" s="144">
        <v>2435</v>
      </c>
      <c r="CF3" s="144">
        <v>2424</v>
      </c>
      <c r="CG3" s="144">
        <v>2495</v>
      </c>
      <c r="CH3" s="144">
        <v>2500</v>
      </c>
      <c r="CI3" s="144">
        <v>2506</v>
      </c>
      <c r="CJ3" s="144">
        <v>2460</v>
      </c>
      <c r="CK3" s="144">
        <v>2479</v>
      </c>
      <c r="CL3" s="144">
        <v>2479</v>
      </c>
      <c r="CM3" s="144">
        <v>2530</v>
      </c>
      <c r="CN3" s="144">
        <v>2507</v>
      </c>
      <c r="CO3" s="144">
        <v>2450</v>
      </c>
      <c r="CP3" s="144">
        <v>2481</v>
      </c>
      <c r="CQ3" s="144">
        <v>2495</v>
      </c>
      <c r="CR3" s="144">
        <v>2497</v>
      </c>
    </row>
    <row r="4" spans="1:96" x14ac:dyDescent="0.25">
      <c r="A4" s="379" t="str">
        <f>IPO監視一覧!H4</f>
        <v>C</v>
      </c>
      <c r="B4" s="99" t="str">
        <f>IPO監視一覧!B4</f>
        <v>レノバ </v>
      </c>
      <c r="C4" s="351">
        <f>株価一覧!E3</f>
        <v>1222</v>
      </c>
      <c r="D4" s="376">
        <f t="shared" ca="1" si="0"/>
        <v>1225.2</v>
      </c>
      <c r="E4" s="349">
        <f t="shared" ca="1" si="1"/>
        <v>1171.0999999999999</v>
      </c>
      <c r="F4" s="350">
        <f t="shared" ca="1" si="2"/>
        <v>1083</v>
      </c>
      <c r="G4" s="143">
        <v>1825</v>
      </c>
      <c r="H4" s="143">
        <v>2135</v>
      </c>
      <c r="I4" s="143">
        <v>2004</v>
      </c>
      <c r="J4" s="143">
        <v>2138</v>
      </c>
      <c r="K4" s="143">
        <v>2145</v>
      </c>
      <c r="L4" s="143">
        <v>2060</v>
      </c>
      <c r="M4" s="143">
        <v>1990</v>
      </c>
      <c r="N4" s="143">
        <v>1915</v>
      </c>
      <c r="O4" s="143">
        <v>1872</v>
      </c>
      <c r="P4" s="143">
        <v>2073</v>
      </c>
      <c r="Q4" s="143">
        <v>1880</v>
      </c>
      <c r="R4" s="143">
        <v>1900</v>
      </c>
      <c r="S4" s="143">
        <v>1930</v>
      </c>
      <c r="T4" s="143">
        <v>1890</v>
      </c>
      <c r="U4" s="143">
        <v>1750</v>
      </c>
      <c r="V4" s="143">
        <v>1611</v>
      </c>
      <c r="W4" s="143">
        <v>1657</v>
      </c>
      <c r="X4" s="143">
        <v>1670</v>
      </c>
      <c r="Y4" s="145">
        <v>1699</v>
      </c>
      <c r="Z4" s="143">
        <v>1710</v>
      </c>
      <c r="AA4" s="143">
        <v>1680</v>
      </c>
      <c r="AB4" s="145">
        <v>1685</v>
      </c>
      <c r="AC4" s="145">
        <v>1680</v>
      </c>
      <c r="AD4" s="145">
        <v>1710</v>
      </c>
      <c r="AE4" s="145">
        <v>1718</v>
      </c>
      <c r="AF4" s="145">
        <v>1560</v>
      </c>
      <c r="AG4" s="143">
        <v>1660</v>
      </c>
      <c r="AH4" s="143">
        <v>1505</v>
      </c>
      <c r="AI4" s="143">
        <v>1370</v>
      </c>
      <c r="AJ4" s="143">
        <v>1239</v>
      </c>
      <c r="AK4" s="143">
        <v>1301</v>
      </c>
      <c r="AL4" s="143">
        <v>1258</v>
      </c>
      <c r="AM4" s="143">
        <v>1279</v>
      </c>
      <c r="AN4" s="143">
        <v>1273</v>
      </c>
      <c r="AO4" s="143">
        <v>1282</v>
      </c>
      <c r="AP4" s="143">
        <v>1305</v>
      </c>
      <c r="AQ4" s="143">
        <v>1390</v>
      </c>
      <c r="AR4" s="143">
        <v>1310</v>
      </c>
      <c r="AS4" s="143">
        <v>1324</v>
      </c>
      <c r="AT4" s="143">
        <v>1343</v>
      </c>
      <c r="AU4" s="143">
        <v>1359</v>
      </c>
      <c r="AV4" s="143">
        <v>1308</v>
      </c>
      <c r="AW4" s="143">
        <v>1280</v>
      </c>
      <c r="AX4" s="143">
        <v>1291</v>
      </c>
      <c r="AY4" s="143">
        <v>1302</v>
      </c>
      <c r="AZ4" s="143">
        <v>1389</v>
      </c>
      <c r="BA4" s="143">
        <v>1383</v>
      </c>
      <c r="BB4" s="143">
        <v>1369</v>
      </c>
      <c r="BC4" s="143">
        <v>1322</v>
      </c>
      <c r="BD4" s="143">
        <v>1292</v>
      </c>
      <c r="BE4" s="143">
        <v>1292</v>
      </c>
      <c r="BF4" s="143">
        <v>1263</v>
      </c>
      <c r="BG4" s="143">
        <v>1295</v>
      </c>
      <c r="BH4" s="143">
        <v>1356</v>
      </c>
      <c r="BI4" s="143">
        <v>1359</v>
      </c>
      <c r="BJ4" s="143">
        <v>1325</v>
      </c>
      <c r="BK4" s="143">
        <v>1341</v>
      </c>
      <c r="BL4" s="143">
        <v>1335</v>
      </c>
      <c r="BM4" s="143">
        <v>1296</v>
      </c>
      <c r="BN4" s="143">
        <v>1282</v>
      </c>
      <c r="BO4" s="143">
        <v>1273</v>
      </c>
      <c r="BP4" s="143">
        <v>1251</v>
      </c>
      <c r="BQ4" s="145">
        <v>1248</v>
      </c>
      <c r="BR4" s="145">
        <v>1244</v>
      </c>
      <c r="BS4" s="145">
        <v>1250</v>
      </c>
      <c r="BT4" s="145">
        <v>1239</v>
      </c>
      <c r="BU4" s="145">
        <v>1227</v>
      </c>
      <c r="BV4" s="145">
        <v>1222</v>
      </c>
      <c r="BW4" s="145">
        <v>1228</v>
      </c>
      <c r="BX4" s="145">
        <v>1187</v>
      </c>
      <c r="BY4" s="145">
        <v>1159</v>
      </c>
      <c r="BZ4" s="145">
        <v>1153</v>
      </c>
      <c r="CA4" s="145">
        <v>1134</v>
      </c>
      <c r="CB4" s="145">
        <v>1155</v>
      </c>
      <c r="CC4" s="145">
        <v>1227</v>
      </c>
      <c r="CD4" s="145">
        <v>1198</v>
      </c>
      <c r="CE4" s="145">
        <v>1185</v>
      </c>
      <c r="CF4" s="145">
        <v>1161</v>
      </c>
      <c r="CG4" s="145">
        <v>1151</v>
      </c>
      <c r="CH4" s="145">
        <v>1152</v>
      </c>
      <c r="CI4" s="145">
        <v>1149</v>
      </c>
      <c r="CJ4" s="145">
        <v>1107</v>
      </c>
      <c r="CK4" s="145">
        <v>1083</v>
      </c>
      <c r="CL4" s="145">
        <v>1102</v>
      </c>
      <c r="CM4" s="145">
        <v>1144</v>
      </c>
      <c r="CN4" s="145">
        <v>1218</v>
      </c>
      <c r="CO4" s="145">
        <v>1260</v>
      </c>
      <c r="CP4" s="145">
        <v>1201</v>
      </c>
      <c r="CQ4" s="145">
        <v>1225</v>
      </c>
      <c r="CR4" s="145">
        <v>1222</v>
      </c>
    </row>
    <row r="5" spans="1:96" x14ac:dyDescent="0.25">
      <c r="A5" s="379" t="str">
        <f>IPO監視一覧!H5</f>
        <v>B</v>
      </c>
      <c r="B5" s="99" t="str">
        <f>IPO監視一覧!B5</f>
        <v>ユナイテッド＆コレクティブ</v>
      </c>
      <c r="C5" s="351">
        <f>株価一覧!E4</f>
        <v>4040</v>
      </c>
      <c r="D5" s="376">
        <f t="shared" ca="1" si="0"/>
        <v>3999</v>
      </c>
      <c r="E5" s="349">
        <f t="shared" ca="1" si="1"/>
        <v>4046</v>
      </c>
      <c r="F5" s="350">
        <f t="shared" ca="1" si="2"/>
        <v>3965</v>
      </c>
      <c r="G5" s="143">
        <v>6200</v>
      </c>
      <c r="H5" s="143">
        <v>6520</v>
      </c>
      <c r="I5" s="143">
        <v>6290</v>
      </c>
      <c r="J5" s="143">
        <v>6540</v>
      </c>
      <c r="K5" s="143">
        <v>6190</v>
      </c>
      <c r="L5" s="143">
        <v>5640</v>
      </c>
      <c r="M5" s="143">
        <v>5600</v>
      </c>
      <c r="N5" s="143">
        <v>5380</v>
      </c>
      <c r="O5" s="143">
        <v>5550</v>
      </c>
      <c r="P5" s="143">
        <v>5320</v>
      </c>
      <c r="Q5" s="143">
        <v>5320</v>
      </c>
      <c r="R5" s="146">
        <v>5890</v>
      </c>
      <c r="S5" s="143">
        <v>5450</v>
      </c>
      <c r="T5" s="143">
        <v>5460</v>
      </c>
      <c r="U5" s="143">
        <v>5140</v>
      </c>
      <c r="V5" s="143">
        <v>4860</v>
      </c>
      <c r="W5" s="143">
        <v>4850</v>
      </c>
      <c r="X5" s="143">
        <v>4995</v>
      </c>
      <c r="Y5" s="145">
        <v>5000</v>
      </c>
      <c r="Z5" s="143">
        <v>4880</v>
      </c>
      <c r="AA5" s="143">
        <v>4940</v>
      </c>
      <c r="AB5" s="145">
        <v>5030</v>
      </c>
      <c r="AC5" s="145">
        <v>5190</v>
      </c>
      <c r="AD5" s="145">
        <v>5300</v>
      </c>
      <c r="AE5" s="145">
        <v>5430</v>
      </c>
      <c r="AF5" s="145">
        <v>4995</v>
      </c>
      <c r="AG5" s="143">
        <v>5050</v>
      </c>
      <c r="AH5" s="143">
        <v>4975</v>
      </c>
      <c r="AI5" s="143">
        <v>4900</v>
      </c>
      <c r="AJ5" s="143">
        <v>4515</v>
      </c>
      <c r="AK5" s="143">
        <v>4400</v>
      </c>
      <c r="AL5" s="143">
        <v>4300</v>
      </c>
      <c r="AM5" s="143">
        <v>3900</v>
      </c>
      <c r="AN5" s="143">
        <v>3935</v>
      </c>
      <c r="AO5" s="143">
        <v>3900</v>
      </c>
      <c r="AP5" s="143">
        <v>4120</v>
      </c>
      <c r="AQ5" s="143">
        <v>4265</v>
      </c>
      <c r="AR5" s="143">
        <v>4000</v>
      </c>
      <c r="AS5" s="143">
        <v>4050</v>
      </c>
      <c r="AT5" s="143">
        <v>4535</v>
      </c>
      <c r="AU5" s="143">
        <v>4570</v>
      </c>
      <c r="AV5" s="143">
        <v>4375</v>
      </c>
      <c r="AW5" s="143">
        <v>4335</v>
      </c>
      <c r="AX5" s="143">
        <v>4285</v>
      </c>
      <c r="AY5" s="143">
        <v>4355</v>
      </c>
      <c r="AZ5" s="143">
        <v>4410</v>
      </c>
      <c r="BA5" s="143">
        <v>4765</v>
      </c>
      <c r="BB5" s="143">
        <v>4810</v>
      </c>
      <c r="BC5" s="143">
        <v>4710</v>
      </c>
      <c r="BD5" s="143">
        <v>4715</v>
      </c>
      <c r="BE5" s="143">
        <v>4715</v>
      </c>
      <c r="BF5" s="143">
        <v>4535</v>
      </c>
      <c r="BG5" s="143">
        <v>4365</v>
      </c>
      <c r="BH5" s="143">
        <v>4500</v>
      </c>
      <c r="BI5" s="143">
        <v>4560</v>
      </c>
      <c r="BJ5" s="143">
        <v>4490</v>
      </c>
      <c r="BK5" s="143">
        <v>4550</v>
      </c>
      <c r="BL5" s="143">
        <v>4470</v>
      </c>
      <c r="BM5" s="143">
        <v>4440</v>
      </c>
      <c r="BN5" s="143">
        <v>4455</v>
      </c>
      <c r="BO5" s="143">
        <v>4500</v>
      </c>
      <c r="BP5" s="143">
        <v>4430</v>
      </c>
      <c r="BQ5" s="145">
        <v>4475</v>
      </c>
      <c r="BR5" s="145">
        <v>4495</v>
      </c>
      <c r="BS5" s="145">
        <v>4630</v>
      </c>
      <c r="BT5" s="145">
        <v>4615</v>
      </c>
      <c r="BU5" s="145">
        <v>4610</v>
      </c>
      <c r="BV5" s="145">
        <v>4530</v>
      </c>
      <c r="BW5" s="145">
        <v>4450</v>
      </c>
      <c r="BX5" s="145">
        <v>4400</v>
      </c>
      <c r="BY5" s="145">
        <v>4335</v>
      </c>
      <c r="BZ5" s="145">
        <v>4215</v>
      </c>
      <c r="CA5" s="145">
        <v>4305</v>
      </c>
      <c r="CB5" s="145">
        <v>4210</v>
      </c>
      <c r="CC5" s="145">
        <v>4210</v>
      </c>
      <c r="CD5" s="145">
        <v>4200</v>
      </c>
      <c r="CE5" s="145">
        <v>4195</v>
      </c>
      <c r="CF5" s="145">
        <v>4180</v>
      </c>
      <c r="CG5" s="145">
        <v>4135</v>
      </c>
      <c r="CH5" s="145">
        <v>4145</v>
      </c>
      <c r="CI5" s="145">
        <v>4155</v>
      </c>
      <c r="CJ5" s="145">
        <v>4145</v>
      </c>
      <c r="CK5" s="145">
        <v>4100</v>
      </c>
      <c r="CL5" s="145">
        <v>4020</v>
      </c>
      <c r="CM5" s="145">
        <v>4045</v>
      </c>
      <c r="CN5" s="145">
        <v>4010</v>
      </c>
      <c r="CO5" s="145">
        <v>3995</v>
      </c>
      <c r="CP5" s="145">
        <v>3985</v>
      </c>
      <c r="CQ5" s="145">
        <v>3965</v>
      </c>
      <c r="CR5" s="145">
        <v>4040</v>
      </c>
    </row>
    <row r="6" spans="1:96" x14ac:dyDescent="0.25">
      <c r="A6" s="379" t="str">
        <f>IPO監視一覧!H6</f>
        <v>D</v>
      </c>
      <c r="B6" s="99" t="str">
        <f>IPO監視一覧!B6</f>
        <v>ロコンド</v>
      </c>
      <c r="C6" s="351">
        <f>株価一覧!E5</f>
        <v>1967</v>
      </c>
      <c r="D6" s="376">
        <f t="shared" ca="1" si="0"/>
        <v>1974.8</v>
      </c>
      <c r="E6" s="349">
        <f t="shared" ca="1" si="1"/>
        <v>1989.9</v>
      </c>
      <c r="F6" s="350">
        <f t="shared" ca="1" si="2"/>
        <v>1946</v>
      </c>
      <c r="G6" s="145">
        <v>0</v>
      </c>
      <c r="H6" s="145">
        <v>0</v>
      </c>
      <c r="I6" s="145">
        <v>0</v>
      </c>
      <c r="J6" s="145">
        <v>0</v>
      </c>
      <c r="K6" s="145">
        <v>0</v>
      </c>
      <c r="L6" s="145">
        <v>0</v>
      </c>
      <c r="M6" s="147">
        <v>2735</v>
      </c>
      <c r="N6" s="143">
        <v>2402</v>
      </c>
      <c r="O6" s="143">
        <v>2270</v>
      </c>
      <c r="P6" s="143">
        <v>2351</v>
      </c>
      <c r="Q6" s="143">
        <v>2409</v>
      </c>
      <c r="R6" s="146">
        <v>2316</v>
      </c>
      <c r="S6" s="143">
        <v>2295</v>
      </c>
      <c r="T6" s="143">
        <v>2349</v>
      </c>
      <c r="U6" s="143">
        <v>2268</v>
      </c>
      <c r="V6" s="143">
        <v>2264</v>
      </c>
      <c r="W6" s="143">
        <v>2190</v>
      </c>
      <c r="X6" s="143">
        <v>2214</v>
      </c>
      <c r="Y6" s="145">
        <v>2190</v>
      </c>
      <c r="Z6" s="143">
        <v>2155</v>
      </c>
      <c r="AA6" s="143">
        <v>2145</v>
      </c>
      <c r="AB6" s="145">
        <v>2171</v>
      </c>
      <c r="AC6" s="145">
        <v>2128</v>
      </c>
      <c r="AD6" s="145">
        <v>2151</v>
      </c>
      <c r="AE6" s="145">
        <v>2136</v>
      </c>
      <c r="AF6" s="145">
        <v>2079</v>
      </c>
      <c r="AG6" s="143">
        <v>2103</v>
      </c>
      <c r="AH6" s="143">
        <v>2296</v>
      </c>
      <c r="AI6" s="143">
        <v>1939</v>
      </c>
      <c r="AJ6" s="143">
        <v>1744</v>
      </c>
      <c r="AK6" s="143">
        <v>1681</v>
      </c>
      <c r="AL6" s="143">
        <v>1680</v>
      </c>
      <c r="AM6" s="143">
        <v>1749</v>
      </c>
      <c r="AN6" s="143">
        <v>1837</v>
      </c>
      <c r="AO6" s="143">
        <v>1878</v>
      </c>
      <c r="AP6" s="143">
        <v>1751</v>
      </c>
      <c r="AQ6" s="143">
        <v>1674</v>
      </c>
      <c r="AR6" s="143">
        <v>1630</v>
      </c>
      <c r="AS6" s="143">
        <v>1671</v>
      </c>
      <c r="AT6" s="143">
        <v>1727</v>
      </c>
      <c r="AU6" s="143">
        <v>1681</v>
      </c>
      <c r="AV6" s="143">
        <v>1728</v>
      </c>
      <c r="AW6" s="143">
        <v>1744</v>
      </c>
      <c r="AX6" s="143">
        <v>1736</v>
      </c>
      <c r="AY6" s="143">
        <v>1759</v>
      </c>
      <c r="AZ6" s="143">
        <v>1754</v>
      </c>
      <c r="BA6" s="143">
        <v>1750</v>
      </c>
      <c r="BB6" s="143">
        <v>1850</v>
      </c>
      <c r="BC6" s="143">
        <v>1921</v>
      </c>
      <c r="BD6" s="143">
        <v>2090</v>
      </c>
      <c r="BE6" s="143">
        <v>1969</v>
      </c>
      <c r="BF6" s="143">
        <v>1883</v>
      </c>
      <c r="BG6" s="143">
        <v>1790</v>
      </c>
      <c r="BH6" s="143">
        <v>1822</v>
      </c>
      <c r="BI6" s="143">
        <v>1843</v>
      </c>
      <c r="BJ6" s="143">
        <v>1980</v>
      </c>
      <c r="BK6" s="143">
        <v>1923</v>
      </c>
      <c r="BL6" s="143">
        <v>1953</v>
      </c>
      <c r="BM6" s="143">
        <v>1950</v>
      </c>
      <c r="BN6" s="143">
        <v>2226</v>
      </c>
      <c r="BO6" s="143">
        <v>2188</v>
      </c>
      <c r="BP6" s="143">
        <v>2227</v>
      </c>
      <c r="BQ6" s="145">
        <v>2296</v>
      </c>
      <c r="BR6" s="145">
        <v>2122</v>
      </c>
      <c r="BS6" s="145">
        <v>2000</v>
      </c>
      <c r="BT6" s="145">
        <v>1953</v>
      </c>
      <c r="BU6" s="145">
        <v>1962</v>
      </c>
      <c r="BV6" s="145">
        <v>2001</v>
      </c>
      <c r="BW6" s="145">
        <v>1963</v>
      </c>
      <c r="BX6" s="145">
        <v>1880</v>
      </c>
      <c r="BY6" s="145">
        <v>1886</v>
      </c>
      <c r="BZ6" s="145">
        <v>1970</v>
      </c>
      <c r="CA6" s="145">
        <v>1965</v>
      </c>
      <c r="CB6" s="145">
        <v>1942</v>
      </c>
      <c r="CC6" s="145">
        <v>1990</v>
      </c>
      <c r="CD6" s="145">
        <v>1995</v>
      </c>
      <c r="CE6" s="145">
        <v>2062</v>
      </c>
      <c r="CF6" s="145">
        <v>2089</v>
      </c>
      <c r="CG6" s="145">
        <v>2010</v>
      </c>
      <c r="CH6" s="145">
        <v>2068</v>
      </c>
      <c r="CI6" s="145">
        <v>2037</v>
      </c>
      <c r="CJ6" s="145">
        <v>1985</v>
      </c>
      <c r="CK6" s="145">
        <v>2000</v>
      </c>
      <c r="CL6" s="145">
        <v>1995</v>
      </c>
      <c r="CM6" s="145">
        <v>2008</v>
      </c>
      <c r="CN6" s="145">
        <v>1972</v>
      </c>
      <c r="CO6" s="145">
        <v>1999</v>
      </c>
      <c r="CP6" s="145">
        <v>1946</v>
      </c>
      <c r="CQ6" s="145">
        <v>1990</v>
      </c>
      <c r="CR6" s="145">
        <v>1967</v>
      </c>
    </row>
    <row r="7" spans="1:96" x14ac:dyDescent="0.25">
      <c r="A7" s="379" t="str">
        <f>IPO監視一覧!H7</f>
        <v>C</v>
      </c>
      <c r="B7" s="107" t="str">
        <f>IPO監視一覧!B7</f>
        <v>ピーバンドットコム</v>
      </c>
      <c r="C7" s="351">
        <f>株価一覧!E6</f>
        <v>2156</v>
      </c>
      <c r="D7" s="376">
        <f t="shared" ca="1" si="0"/>
        <v>2190</v>
      </c>
      <c r="E7" s="349">
        <f t="shared" ca="1" si="1"/>
        <v>2193.8000000000002</v>
      </c>
      <c r="F7" s="350">
        <f t="shared" ca="1" si="2"/>
        <v>2156</v>
      </c>
      <c r="G7" s="145">
        <v>0</v>
      </c>
      <c r="H7" s="145">
        <v>0</v>
      </c>
      <c r="I7" s="145">
        <v>0</v>
      </c>
      <c r="J7" s="145">
        <v>0</v>
      </c>
      <c r="K7" s="145">
        <v>0</v>
      </c>
      <c r="L7" s="145">
        <v>0</v>
      </c>
      <c r="M7" s="145">
        <v>0</v>
      </c>
      <c r="N7" s="145">
        <v>0</v>
      </c>
      <c r="O7" s="147">
        <v>2850</v>
      </c>
      <c r="P7" s="143">
        <v>3350</v>
      </c>
      <c r="Q7" s="143">
        <v>2866</v>
      </c>
      <c r="R7" s="146">
        <v>3050</v>
      </c>
      <c r="S7" s="143">
        <v>2825</v>
      </c>
      <c r="T7" s="143">
        <v>2883</v>
      </c>
      <c r="U7" s="143">
        <v>2720</v>
      </c>
      <c r="V7" s="143">
        <v>2560</v>
      </c>
      <c r="W7" s="143">
        <v>2472</v>
      </c>
      <c r="X7" s="143">
        <v>2660</v>
      </c>
      <c r="Y7" s="145">
        <v>2640</v>
      </c>
      <c r="Z7" s="143">
        <v>2488</v>
      </c>
      <c r="AA7" s="143">
        <v>2381</v>
      </c>
      <c r="AB7" s="145">
        <v>2414</v>
      </c>
      <c r="AC7" s="145">
        <v>2454</v>
      </c>
      <c r="AD7" s="145">
        <v>2525</v>
      </c>
      <c r="AE7" s="145">
        <v>2738</v>
      </c>
      <c r="AF7" s="145">
        <v>2468</v>
      </c>
      <c r="AG7" s="143">
        <v>2515</v>
      </c>
      <c r="AH7" s="143">
        <v>2489</v>
      </c>
      <c r="AI7" s="143">
        <v>2318</v>
      </c>
      <c r="AJ7" s="143">
        <v>2140</v>
      </c>
      <c r="AK7" s="143">
        <v>2150</v>
      </c>
      <c r="AL7" s="143">
        <v>2053</v>
      </c>
      <c r="AM7" s="143">
        <v>2158</v>
      </c>
      <c r="AN7" s="143">
        <v>2179</v>
      </c>
      <c r="AO7" s="143">
        <v>2175</v>
      </c>
      <c r="AP7" s="143">
        <v>2312</v>
      </c>
      <c r="AQ7" s="143">
        <v>2262</v>
      </c>
      <c r="AR7" s="143">
        <v>2217</v>
      </c>
      <c r="AS7" s="143">
        <v>2214</v>
      </c>
      <c r="AT7" s="143">
        <v>2260</v>
      </c>
      <c r="AU7" s="143">
        <v>2485</v>
      </c>
      <c r="AV7" s="143">
        <v>2415</v>
      </c>
      <c r="AW7" s="143">
        <v>2490</v>
      </c>
      <c r="AX7" s="143">
        <v>2473</v>
      </c>
      <c r="AY7" s="143">
        <v>2440</v>
      </c>
      <c r="AZ7" s="143">
        <v>2449</v>
      </c>
      <c r="BA7" s="143">
        <v>2460</v>
      </c>
      <c r="BB7" s="143">
        <v>2435</v>
      </c>
      <c r="BC7" s="143">
        <v>2418</v>
      </c>
      <c r="BD7" s="143">
        <v>2330</v>
      </c>
      <c r="BE7" s="143">
        <v>2255</v>
      </c>
      <c r="BF7" s="143">
        <v>2263</v>
      </c>
      <c r="BG7" s="143">
        <v>2212</v>
      </c>
      <c r="BH7" s="143">
        <v>2250</v>
      </c>
      <c r="BI7" s="143">
        <v>2298</v>
      </c>
      <c r="BJ7" s="143">
        <v>2340</v>
      </c>
      <c r="BK7" s="143">
        <v>2335</v>
      </c>
      <c r="BL7" s="143">
        <v>2307</v>
      </c>
      <c r="BM7" s="143">
        <v>2305</v>
      </c>
      <c r="BN7" s="143">
        <v>2470</v>
      </c>
      <c r="BO7" s="143">
        <v>2437</v>
      </c>
      <c r="BP7" s="143">
        <v>2410</v>
      </c>
      <c r="BQ7" s="145">
        <v>2370</v>
      </c>
      <c r="BR7" s="145">
        <v>2415</v>
      </c>
      <c r="BS7" s="145">
        <v>2390</v>
      </c>
      <c r="BT7" s="145">
        <v>2319</v>
      </c>
      <c r="BU7" s="145">
        <v>2318</v>
      </c>
      <c r="BV7" s="145">
        <v>2280</v>
      </c>
      <c r="BW7" s="145">
        <v>2262</v>
      </c>
      <c r="BX7" s="145">
        <v>2208</v>
      </c>
      <c r="BY7" s="145">
        <v>2242</v>
      </c>
      <c r="BZ7" s="145">
        <v>2245</v>
      </c>
      <c r="CA7" s="145">
        <v>2243</v>
      </c>
      <c r="CB7" s="145">
        <v>2208</v>
      </c>
      <c r="CC7" s="145">
        <v>2292</v>
      </c>
      <c r="CD7" s="145">
        <v>2283</v>
      </c>
      <c r="CE7" s="145">
        <v>2244</v>
      </c>
      <c r="CF7" s="145">
        <v>2204</v>
      </c>
      <c r="CG7" s="145">
        <v>2221</v>
      </c>
      <c r="CH7" s="145">
        <v>2177</v>
      </c>
      <c r="CI7" s="145">
        <v>2170</v>
      </c>
      <c r="CJ7" s="145">
        <v>2205</v>
      </c>
      <c r="CK7" s="145">
        <v>2230</v>
      </c>
      <c r="CL7" s="145">
        <v>2216</v>
      </c>
      <c r="CM7" s="145">
        <v>2167</v>
      </c>
      <c r="CN7" s="145">
        <v>2175</v>
      </c>
      <c r="CO7" s="145">
        <v>2217</v>
      </c>
      <c r="CP7" s="145">
        <v>2217</v>
      </c>
      <c r="CQ7" s="145">
        <v>2185</v>
      </c>
      <c r="CR7" s="145">
        <v>2156</v>
      </c>
    </row>
    <row r="8" spans="1:96" x14ac:dyDescent="0.25">
      <c r="A8" s="379" t="str">
        <f>IPO監視一覧!H8</f>
        <v>A</v>
      </c>
      <c r="B8" s="99" t="str">
        <f>IPO監視一覧!B8</f>
        <v>ファイズ</v>
      </c>
      <c r="C8" s="351">
        <f>株価一覧!E7</f>
        <v>6810</v>
      </c>
      <c r="D8" s="376">
        <f t="shared" ca="1" si="0"/>
        <v>6734</v>
      </c>
      <c r="E8" s="349">
        <f t="shared" ca="1" si="1"/>
        <v>6906</v>
      </c>
      <c r="F8" s="350">
        <f t="shared" ca="1" si="2"/>
        <v>6580</v>
      </c>
      <c r="G8" s="145">
        <v>0</v>
      </c>
      <c r="H8" s="145">
        <v>0</v>
      </c>
      <c r="I8" s="145">
        <v>0</v>
      </c>
      <c r="J8" s="145">
        <v>0</v>
      </c>
      <c r="K8" s="145">
        <v>0</v>
      </c>
      <c r="L8" s="145">
        <v>0</v>
      </c>
      <c r="M8" s="145">
        <v>0</v>
      </c>
      <c r="N8" s="145">
        <v>0</v>
      </c>
      <c r="O8" s="145">
        <v>0</v>
      </c>
      <c r="P8" s="145">
        <v>0</v>
      </c>
      <c r="Q8" s="145">
        <v>0</v>
      </c>
      <c r="R8" s="145">
        <v>0</v>
      </c>
      <c r="S8" s="145">
        <v>0</v>
      </c>
      <c r="T8" s="147">
        <v>3950</v>
      </c>
      <c r="U8" s="143">
        <v>3670</v>
      </c>
      <c r="V8" s="143">
        <v>3400</v>
      </c>
      <c r="W8" s="145">
        <v>4100</v>
      </c>
      <c r="X8" s="143">
        <v>4265</v>
      </c>
      <c r="Y8" s="145">
        <v>4165</v>
      </c>
      <c r="Z8" s="143">
        <v>4130</v>
      </c>
      <c r="AA8" s="143">
        <v>4165</v>
      </c>
      <c r="AB8" s="145">
        <v>4395</v>
      </c>
      <c r="AC8" s="145">
        <v>5100</v>
      </c>
      <c r="AD8" s="145">
        <v>6100</v>
      </c>
      <c r="AE8" s="145">
        <v>6200</v>
      </c>
      <c r="AF8" s="145">
        <v>6770</v>
      </c>
      <c r="AG8" s="143">
        <v>7450</v>
      </c>
      <c r="AH8" s="143">
        <v>8250</v>
      </c>
      <c r="AI8" s="143">
        <v>7550</v>
      </c>
      <c r="AJ8" s="143">
        <v>6360</v>
      </c>
      <c r="AK8" s="143">
        <v>6600</v>
      </c>
      <c r="AL8" s="143">
        <v>5600</v>
      </c>
      <c r="AM8" s="143">
        <v>5890</v>
      </c>
      <c r="AN8" s="143">
        <v>6760</v>
      </c>
      <c r="AO8" s="143">
        <v>7400</v>
      </c>
      <c r="AP8" s="143">
        <v>7280</v>
      </c>
      <c r="AQ8" s="143">
        <v>7000</v>
      </c>
      <c r="AR8" s="143">
        <v>6450</v>
      </c>
      <c r="AS8" s="143">
        <v>7150</v>
      </c>
      <c r="AT8" s="143">
        <v>7030</v>
      </c>
      <c r="AU8" s="143">
        <v>7030</v>
      </c>
      <c r="AV8" s="143">
        <v>7070</v>
      </c>
      <c r="AW8" s="143">
        <v>7780</v>
      </c>
      <c r="AX8" s="143">
        <v>7790</v>
      </c>
      <c r="AY8" s="143">
        <v>8090</v>
      </c>
      <c r="AZ8" s="143">
        <v>8450</v>
      </c>
      <c r="BA8" s="143">
        <v>8350</v>
      </c>
      <c r="BB8" s="143">
        <v>8180</v>
      </c>
      <c r="BC8" s="143">
        <v>8180</v>
      </c>
      <c r="BD8" s="143">
        <v>7970</v>
      </c>
      <c r="BE8" s="143">
        <v>7700</v>
      </c>
      <c r="BF8" s="143">
        <v>8150</v>
      </c>
      <c r="BG8" s="143">
        <v>8000</v>
      </c>
      <c r="BH8" s="143">
        <v>7980</v>
      </c>
      <c r="BI8" s="143">
        <v>7920</v>
      </c>
      <c r="BJ8" s="143">
        <v>7720</v>
      </c>
      <c r="BK8" s="143">
        <v>8080</v>
      </c>
      <c r="BL8" s="143">
        <v>7870</v>
      </c>
      <c r="BM8" s="143">
        <v>7750</v>
      </c>
      <c r="BN8" s="143">
        <v>7940</v>
      </c>
      <c r="BO8" s="143">
        <v>7960</v>
      </c>
      <c r="BP8" s="143">
        <v>7900</v>
      </c>
      <c r="BQ8" s="145">
        <v>7840</v>
      </c>
      <c r="BR8" s="145">
        <v>7400</v>
      </c>
      <c r="BS8" s="145">
        <v>7350</v>
      </c>
      <c r="BT8" s="145">
        <v>6920</v>
      </c>
      <c r="BU8" s="145">
        <v>7070</v>
      </c>
      <c r="BV8" s="145">
        <v>6810</v>
      </c>
      <c r="BW8" s="145">
        <v>6770</v>
      </c>
      <c r="BX8" s="145">
        <v>6610</v>
      </c>
      <c r="BY8" s="145">
        <v>6400</v>
      </c>
      <c r="BZ8" s="145">
        <v>6530</v>
      </c>
      <c r="CA8" s="145">
        <v>6490</v>
      </c>
      <c r="CB8" s="145">
        <v>6550</v>
      </c>
      <c r="CC8" s="145">
        <v>6520</v>
      </c>
      <c r="CD8" s="145">
        <v>6530</v>
      </c>
      <c r="CE8" s="145">
        <v>7130</v>
      </c>
      <c r="CF8" s="145">
        <v>8100</v>
      </c>
      <c r="CG8" s="145">
        <v>7620</v>
      </c>
      <c r="CH8" s="145">
        <v>7500</v>
      </c>
      <c r="CI8" s="145">
        <v>7450</v>
      </c>
      <c r="CJ8" s="145">
        <v>7010</v>
      </c>
      <c r="CK8" s="145">
        <v>7100</v>
      </c>
      <c r="CL8" s="145">
        <v>6950</v>
      </c>
      <c r="CM8" s="145">
        <v>6880</v>
      </c>
      <c r="CN8" s="145">
        <v>6630</v>
      </c>
      <c r="CO8" s="145">
        <v>6580</v>
      </c>
      <c r="CP8" s="145">
        <v>6750</v>
      </c>
      <c r="CQ8" s="145">
        <v>6900</v>
      </c>
      <c r="CR8" s="145">
        <v>6810</v>
      </c>
    </row>
    <row r="9" spans="1:96" x14ac:dyDescent="0.25">
      <c r="A9" s="379" t="str">
        <f>IPO監視一覧!H9</f>
        <v>D</v>
      </c>
      <c r="B9" s="99" t="str">
        <f>IPO監視一覧!B9</f>
        <v>うるる</v>
      </c>
      <c r="C9" s="351">
        <f>株価一覧!E8</f>
        <v>4995</v>
      </c>
      <c r="D9" s="376">
        <f t="shared" ca="1" si="0"/>
        <v>4921</v>
      </c>
      <c r="E9" s="349">
        <f t="shared" ca="1" si="1"/>
        <v>4922</v>
      </c>
      <c r="F9" s="350">
        <f t="shared" ca="1" si="2"/>
        <v>4775</v>
      </c>
      <c r="G9" s="145">
        <v>0</v>
      </c>
      <c r="H9" s="145">
        <v>0</v>
      </c>
      <c r="I9" s="145">
        <v>0</v>
      </c>
      <c r="J9" s="145">
        <v>0</v>
      </c>
      <c r="K9" s="145">
        <v>0</v>
      </c>
      <c r="L9" s="145">
        <v>0</v>
      </c>
      <c r="M9" s="145">
        <v>0</v>
      </c>
      <c r="N9" s="145">
        <v>0</v>
      </c>
      <c r="O9" s="145">
        <v>0</v>
      </c>
      <c r="P9" s="145">
        <v>0</v>
      </c>
      <c r="Q9" s="145">
        <v>0</v>
      </c>
      <c r="R9" s="145">
        <v>0</v>
      </c>
      <c r="S9" s="145">
        <v>0</v>
      </c>
      <c r="T9" s="147">
        <v>3480</v>
      </c>
      <c r="U9" s="143">
        <v>3690</v>
      </c>
      <c r="V9" s="143">
        <v>3510</v>
      </c>
      <c r="W9" s="145">
        <v>3630</v>
      </c>
      <c r="X9" s="143">
        <v>4020</v>
      </c>
      <c r="Y9" s="145">
        <v>3950</v>
      </c>
      <c r="Z9" s="143">
        <v>4075</v>
      </c>
      <c r="AA9" s="143">
        <v>3770</v>
      </c>
      <c r="AB9" s="145">
        <v>3790</v>
      </c>
      <c r="AC9" s="145">
        <v>3780</v>
      </c>
      <c r="AD9" s="145">
        <v>3995</v>
      </c>
      <c r="AE9" s="145">
        <v>3885</v>
      </c>
      <c r="AF9" s="145">
        <v>3400</v>
      </c>
      <c r="AG9" s="143">
        <v>3450</v>
      </c>
      <c r="AH9" s="143">
        <v>3525</v>
      </c>
      <c r="AI9" s="143">
        <v>3365</v>
      </c>
      <c r="AJ9" s="143">
        <v>3105</v>
      </c>
      <c r="AK9" s="143">
        <v>3115</v>
      </c>
      <c r="AL9" s="143">
        <v>3040</v>
      </c>
      <c r="AM9" s="143">
        <v>3440</v>
      </c>
      <c r="AN9" s="143">
        <v>3495</v>
      </c>
      <c r="AO9" s="143">
        <v>3610</v>
      </c>
      <c r="AP9" s="143">
        <v>3630</v>
      </c>
      <c r="AQ9" s="143">
        <v>3530</v>
      </c>
      <c r="AR9" s="143">
        <v>3535</v>
      </c>
      <c r="AS9" s="143">
        <v>3625</v>
      </c>
      <c r="AT9" s="143">
        <v>3910</v>
      </c>
      <c r="AU9" s="143">
        <v>3870</v>
      </c>
      <c r="AV9" s="143">
        <v>3940</v>
      </c>
      <c r="AW9" s="143">
        <v>3890</v>
      </c>
      <c r="AX9" s="143">
        <v>3755</v>
      </c>
      <c r="AY9" s="143">
        <v>3735</v>
      </c>
      <c r="AZ9" s="143">
        <v>3710</v>
      </c>
      <c r="BA9" s="143">
        <v>3795</v>
      </c>
      <c r="BB9" s="143">
        <v>4000</v>
      </c>
      <c r="BC9" s="143">
        <v>3950</v>
      </c>
      <c r="BD9" s="143">
        <v>3865</v>
      </c>
      <c r="BE9" s="143">
        <v>4080</v>
      </c>
      <c r="BF9" s="143">
        <v>4375</v>
      </c>
      <c r="BG9" s="143">
        <v>4265</v>
      </c>
      <c r="BH9" s="143">
        <v>4395</v>
      </c>
      <c r="BI9" s="143">
        <v>4715</v>
      </c>
      <c r="BJ9" s="143">
        <v>4560</v>
      </c>
      <c r="BK9" s="143">
        <v>4605</v>
      </c>
      <c r="BL9" s="143">
        <v>4915</v>
      </c>
      <c r="BM9" s="143">
        <v>4785</v>
      </c>
      <c r="BN9" s="143">
        <v>5050</v>
      </c>
      <c r="BO9" s="143">
        <v>5110</v>
      </c>
      <c r="BP9" s="143">
        <v>5210</v>
      </c>
      <c r="BQ9" s="145">
        <v>5450</v>
      </c>
      <c r="BR9" s="145">
        <v>5210</v>
      </c>
      <c r="BS9" s="145">
        <v>5280</v>
      </c>
      <c r="BT9" s="145">
        <v>4925</v>
      </c>
      <c r="BU9" s="145">
        <v>5050</v>
      </c>
      <c r="BV9" s="145">
        <v>5070</v>
      </c>
      <c r="BW9" s="145">
        <v>5270</v>
      </c>
      <c r="BX9" s="145">
        <v>5090</v>
      </c>
      <c r="BY9" s="145">
        <v>5030</v>
      </c>
      <c r="BZ9" s="145">
        <v>4845</v>
      </c>
      <c r="CA9" s="145">
        <v>4760</v>
      </c>
      <c r="CB9" s="145">
        <v>4595</v>
      </c>
      <c r="CC9" s="145">
        <v>4765</v>
      </c>
      <c r="CD9" s="145">
        <v>5020</v>
      </c>
      <c r="CE9" s="145">
        <v>4995</v>
      </c>
      <c r="CF9" s="145">
        <v>5290</v>
      </c>
      <c r="CG9" s="145">
        <v>5100</v>
      </c>
      <c r="CH9" s="145">
        <v>5190</v>
      </c>
      <c r="CI9" s="145">
        <v>5200</v>
      </c>
      <c r="CJ9" s="145">
        <v>4925</v>
      </c>
      <c r="CK9" s="145">
        <v>4820</v>
      </c>
      <c r="CL9" s="145">
        <v>4775</v>
      </c>
      <c r="CM9" s="145">
        <v>4895</v>
      </c>
      <c r="CN9" s="145">
        <v>4885</v>
      </c>
      <c r="CO9" s="145">
        <v>4935</v>
      </c>
      <c r="CP9" s="145">
        <v>4890</v>
      </c>
      <c r="CQ9" s="145">
        <v>4900</v>
      </c>
      <c r="CR9" s="145">
        <v>4995</v>
      </c>
    </row>
    <row r="10" spans="1:96" x14ac:dyDescent="0.25">
      <c r="A10" s="379" t="str">
        <f>IPO監視一覧!H10</f>
        <v>A</v>
      </c>
      <c r="B10" s="99" t="str">
        <f>IPO監視一覧!B10</f>
        <v>ほぼ日</v>
      </c>
      <c r="C10" s="351">
        <f>株価一覧!E9</f>
        <v>5270</v>
      </c>
      <c r="D10" s="376">
        <f t="shared" ca="1" si="0"/>
        <v>5266</v>
      </c>
      <c r="E10" s="349">
        <f t="shared" ca="1" si="1"/>
        <v>5265</v>
      </c>
      <c r="F10" s="350">
        <f t="shared" ca="1" si="2"/>
        <v>5200</v>
      </c>
      <c r="G10" s="145">
        <v>0</v>
      </c>
      <c r="H10" s="145">
        <v>0</v>
      </c>
      <c r="I10" s="145">
        <v>0</v>
      </c>
      <c r="J10" s="145">
        <v>0</v>
      </c>
      <c r="K10" s="145">
        <v>0</v>
      </c>
      <c r="L10" s="145">
        <v>0</v>
      </c>
      <c r="M10" s="145">
        <v>0</v>
      </c>
      <c r="N10" s="145">
        <v>0</v>
      </c>
      <c r="O10" s="145">
        <v>0</v>
      </c>
      <c r="P10" s="145">
        <v>0</v>
      </c>
      <c r="Q10" s="145">
        <v>0</v>
      </c>
      <c r="R10" s="145">
        <v>0</v>
      </c>
      <c r="S10" s="145">
        <v>0</v>
      </c>
      <c r="T10" s="145">
        <v>0</v>
      </c>
      <c r="U10" s="147">
        <v>5020</v>
      </c>
      <c r="V10" s="143">
        <v>4435</v>
      </c>
      <c r="W10" s="145">
        <v>4520</v>
      </c>
      <c r="X10" s="143">
        <v>4640</v>
      </c>
      <c r="Y10" s="145">
        <v>4415</v>
      </c>
      <c r="Z10" s="143">
        <v>4320</v>
      </c>
      <c r="AA10" s="143">
        <v>4430</v>
      </c>
      <c r="AB10" s="145">
        <v>4590</v>
      </c>
      <c r="AC10" s="145">
        <v>4440</v>
      </c>
      <c r="AD10" s="145">
        <v>4405</v>
      </c>
      <c r="AE10" s="145">
        <v>4480</v>
      </c>
      <c r="AF10" s="145">
        <v>4315</v>
      </c>
      <c r="AG10" s="143">
        <v>4260</v>
      </c>
      <c r="AH10" s="143">
        <v>4310</v>
      </c>
      <c r="AI10" s="143">
        <v>4300</v>
      </c>
      <c r="AJ10" s="143">
        <v>4245</v>
      </c>
      <c r="AK10" s="143">
        <v>4230</v>
      </c>
      <c r="AL10" s="143">
        <v>4235</v>
      </c>
      <c r="AM10" s="143">
        <v>4350</v>
      </c>
      <c r="AN10" s="143">
        <v>4415</v>
      </c>
      <c r="AO10" s="143">
        <v>4455</v>
      </c>
      <c r="AP10" s="143">
        <v>4540</v>
      </c>
      <c r="AQ10" s="143">
        <v>4405</v>
      </c>
      <c r="AR10" s="143">
        <v>4550</v>
      </c>
      <c r="AS10" s="143">
        <v>4795</v>
      </c>
      <c r="AT10" s="143">
        <v>4945</v>
      </c>
      <c r="AU10" s="143">
        <v>5010</v>
      </c>
      <c r="AV10" s="143">
        <v>5090</v>
      </c>
      <c r="AW10" s="143">
        <v>5050</v>
      </c>
      <c r="AX10" s="143">
        <v>4965</v>
      </c>
      <c r="AY10" s="143">
        <v>5670</v>
      </c>
      <c r="AZ10" s="143">
        <v>5670</v>
      </c>
      <c r="BA10" s="143">
        <v>6290</v>
      </c>
      <c r="BB10" s="143">
        <v>6160</v>
      </c>
      <c r="BC10" s="143">
        <v>5970</v>
      </c>
      <c r="BD10" s="143">
        <v>5850</v>
      </c>
      <c r="BE10" s="143">
        <v>5710</v>
      </c>
      <c r="BF10" s="143">
        <v>5560</v>
      </c>
      <c r="BG10" s="143">
        <v>5600</v>
      </c>
      <c r="BH10" s="143">
        <v>5710</v>
      </c>
      <c r="BI10" s="143">
        <v>5770</v>
      </c>
      <c r="BJ10" s="143">
        <v>5770</v>
      </c>
      <c r="BK10" s="143">
        <v>5830</v>
      </c>
      <c r="BL10" s="143">
        <v>5760</v>
      </c>
      <c r="BM10" s="143">
        <v>5610</v>
      </c>
      <c r="BN10" s="143">
        <v>5450</v>
      </c>
      <c r="BO10" s="143">
        <v>5290</v>
      </c>
      <c r="BP10" s="143">
        <v>5200</v>
      </c>
      <c r="BQ10" s="145">
        <v>5230</v>
      </c>
      <c r="BR10" s="145">
        <v>5300</v>
      </c>
      <c r="BS10" s="145">
        <v>5330</v>
      </c>
      <c r="BT10" s="145">
        <v>5250</v>
      </c>
      <c r="BU10" s="145">
        <v>5240</v>
      </c>
      <c r="BV10" s="145">
        <v>5180</v>
      </c>
      <c r="BW10" s="145">
        <v>5220</v>
      </c>
      <c r="BX10" s="145">
        <v>5120</v>
      </c>
      <c r="BY10" s="145">
        <v>5270</v>
      </c>
      <c r="BZ10" s="145">
        <v>5320</v>
      </c>
      <c r="CA10" s="145">
        <v>5200</v>
      </c>
      <c r="CB10" s="145">
        <v>5220</v>
      </c>
      <c r="CC10" s="145">
        <v>5250</v>
      </c>
      <c r="CD10" s="145">
        <v>5300</v>
      </c>
      <c r="CE10" s="145">
        <v>5230</v>
      </c>
      <c r="CF10" s="145">
        <v>5230</v>
      </c>
      <c r="CG10" s="145">
        <v>5270</v>
      </c>
      <c r="CH10" s="145">
        <v>5380</v>
      </c>
      <c r="CI10" s="145">
        <v>5280</v>
      </c>
      <c r="CJ10" s="145">
        <v>5260</v>
      </c>
      <c r="CK10" s="145">
        <v>5280</v>
      </c>
      <c r="CL10" s="145">
        <v>5200</v>
      </c>
      <c r="CM10" s="145">
        <v>5300</v>
      </c>
      <c r="CN10" s="145">
        <v>5290</v>
      </c>
      <c r="CO10" s="145">
        <v>5270</v>
      </c>
      <c r="CP10" s="145">
        <v>5250</v>
      </c>
      <c r="CQ10" s="145">
        <v>5250</v>
      </c>
      <c r="CR10" s="145">
        <v>5270</v>
      </c>
    </row>
    <row r="11" spans="1:96" x14ac:dyDescent="0.25">
      <c r="A11" s="379" t="str">
        <f>IPO監視一覧!H11</f>
        <v>C</v>
      </c>
      <c r="B11" s="99" t="str">
        <f>IPO監視一覧!B11</f>
        <v>ジャパンエレベーターサービスHD</v>
      </c>
      <c r="C11" s="351">
        <f>株価一覧!E10</f>
        <v>1745</v>
      </c>
      <c r="D11" s="376">
        <f t="shared" ca="1" si="0"/>
        <v>1684.2</v>
      </c>
      <c r="E11" s="349">
        <f t="shared" ca="1" si="1"/>
        <v>1627.5</v>
      </c>
      <c r="F11" s="350">
        <f t="shared" ca="1" si="2"/>
        <v>1528</v>
      </c>
      <c r="G11" s="145">
        <v>0</v>
      </c>
      <c r="H11" s="145">
        <v>0</v>
      </c>
      <c r="I11" s="145">
        <v>0</v>
      </c>
      <c r="J11" s="145">
        <v>0</v>
      </c>
      <c r="K11" s="145">
        <v>0</v>
      </c>
      <c r="L11" s="145">
        <v>0</v>
      </c>
      <c r="M11" s="145">
        <v>0</v>
      </c>
      <c r="N11" s="145">
        <v>0</v>
      </c>
      <c r="O11" s="145">
        <v>0</v>
      </c>
      <c r="P11" s="145">
        <v>0</v>
      </c>
      <c r="Q11" s="145">
        <v>0</v>
      </c>
      <c r="R11" s="145">
        <v>0</v>
      </c>
      <c r="S11" s="145">
        <v>0</v>
      </c>
      <c r="T11" s="145">
        <v>0</v>
      </c>
      <c r="U11" s="147">
        <v>1040</v>
      </c>
      <c r="V11" s="143">
        <v>1139</v>
      </c>
      <c r="W11" s="145">
        <v>1100</v>
      </c>
      <c r="X11" s="143">
        <v>1258</v>
      </c>
      <c r="Y11" s="145">
        <v>1150</v>
      </c>
      <c r="Z11" s="143">
        <v>1089</v>
      </c>
      <c r="AA11" s="143">
        <v>1040</v>
      </c>
      <c r="AB11" s="145">
        <v>1034</v>
      </c>
      <c r="AC11" s="145">
        <v>1119</v>
      </c>
      <c r="AD11" s="145">
        <v>1132</v>
      </c>
      <c r="AE11" s="145">
        <v>1079</v>
      </c>
      <c r="AF11" s="145">
        <v>1110</v>
      </c>
      <c r="AG11" s="143">
        <v>1124</v>
      </c>
      <c r="AH11" s="143">
        <v>1209</v>
      </c>
      <c r="AI11" s="143">
        <v>1112</v>
      </c>
      <c r="AJ11" s="143">
        <v>1057</v>
      </c>
      <c r="AK11" s="143">
        <v>1060</v>
      </c>
      <c r="AL11" s="143">
        <v>1021</v>
      </c>
      <c r="AM11" s="143">
        <v>1036</v>
      </c>
      <c r="AN11" s="143">
        <v>1040</v>
      </c>
      <c r="AO11" s="143">
        <v>1023</v>
      </c>
      <c r="AP11" s="143">
        <v>1060</v>
      </c>
      <c r="AQ11" s="143">
        <v>1088</v>
      </c>
      <c r="AR11" s="143">
        <v>1060</v>
      </c>
      <c r="AS11" s="143">
        <v>1096</v>
      </c>
      <c r="AT11" s="143">
        <v>1155</v>
      </c>
      <c r="AU11" s="143">
        <v>1175</v>
      </c>
      <c r="AV11" s="143">
        <v>1249</v>
      </c>
      <c r="AW11" s="143">
        <v>1243</v>
      </c>
      <c r="AX11" s="143">
        <v>1200</v>
      </c>
      <c r="AY11" s="143">
        <v>1149</v>
      </c>
      <c r="AZ11" s="143">
        <v>1150</v>
      </c>
      <c r="BA11" s="143">
        <v>1148</v>
      </c>
      <c r="BB11" s="143">
        <v>1210</v>
      </c>
      <c r="BC11" s="143">
        <v>1210</v>
      </c>
      <c r="BD11" s="143">
        <v>1393</v>
      </c>
      <c r="BE11" s="143">
        <v>1416</v>
      </c>
      <c r="BF11" s="143">
        <v>1401</v>
      </c>
      <c r="BG11" s="143">
        <v>1445</v>
      </c>
      <c r="BH11" s="143">
        <v>1650</v>
      </c>
      <c r="BI11" s="143">
        <v>1622</v>
      </c>
      <c r="BJ11" s="143">
        <v>1713</v>
      </c>
      <c r="BK11" s="143">
        <v>1748</v>
      </c>
      <c r="BL11" s="143">
        <v>1690</v>
      </c>
      <c r="BM11" s="143">
        <v>1587</v>
      </c>
      <c r="BN11" s="143">
        <v>1584</v>
      </c>
      <c r="BO11" s="143">
        <v>1583</v>
      </c>
      <c r="BP11" s="143">
        <v>1540</v>
      </c>
      <c r="BQ11" s="145">
        <v>1470</v>
      </c>
      <c r="BR11" s="145">
        <v>1455</v>
      </c>
      <c r="BS11" s="145">
        <v>1580</v>
      </c>
      <c r="BT11" s="145">
        <v>1514</v>
      </c>
      <c r="BU11" s="145">
        <v>1500</v>
      </c>
      <c r="BV11" s="145">
        <v>1489</v>
      </c>
      <c r="BW11" s="145">
        <v>1560</v>
      </c>
      <c r="BX11" s="145">
        <v>1560</v>
      </c>
      <c r="BY11" s="145">
        <v>1648</v>
      </c>
      <c r="BZ11" s="145">
        <v>1576</v>
      </c>
      <c r="CA11" s="145">
        <v>1500</v>
      </c>
      <c r="CB11" s="145">
        <v>1495</v>
      </c>
      <c r="CC11" s="145">
        <v>1510</v>
      </c>
      <c r="CD11" s="145">
        <v>1526</v>
      </c>
      <c r="CE11" s="145">
        <v>1500</v>
      </c>
      <c r="CF11" s="145">
        <v>1506</v>
      </c>
      <c r="CG11" s="145">
        <v>1506</v>
      </c>
      <c r="CH11" s="145">
        <v>1497</v>
      </c>
      <c r="CI11" s="145">
        <v>1609</v>
      </c>
      <c r="CJ11" s="145">
        <v>1528</v>
      </c>
      <c r="CK11" s="145">
        <v>1574</v>
      </c>
      <c r="CL11" s="145">
        <v>1575</v>
      </c>
      <c r="CM11" s="145">
        <v>1568</v>
      </c>
      <c r="CN11" s="145">
        <v>1552</v>
      </c>
      <c r="CO11" s="145">
        <v>1675</v>
      </c>
      <c r="CP11" s="145">
        <v>1748</v>
      </c>
      <c r="CQ11" s="145">
        <v>1701</v>
      </c>
      <c r="CR11" s="145">
        <v>1745</v>
      </c>
    </row>
    <row r="12" spans="1:96" x14ac:dyDescent="0.25">
      <c r="A12" s="379" t="str">
        <f>IPO監視一覧!H12</f>
        <v>D</v>
      </c>
      <c r="B12" s="99" t="str">
        <f>IPO監視一覧!B12</f>
        <v>ビーグリー</v>
      </c>
      <c r="C12" s="351">
        <f>株価一覧!E11</f>
        <v>2170</v>
      </c>
      <c r="D12" s="376">
        <f t="shared" ca="1" si="0"/>
        <v>2069.4</v>
      </c>
      <c r="E12" s="349">
        <f t="shared" ca="1" si="1"/>
        <v>2080.5</v>
      </c>
      <c r="F12" s="350">
        <f t="shared" ca="1" si="2"/>
        <v>2008</v>
      </c>
      <c r="G12" s="145">
        <v>0</v>
      </c>
      <c r="H12" s="145">
        <v>0</v>
      </c>
      <c r="I12" s="145">
        <v>0</v>
      </c>
      <c r="J12" s="145">
        <v>0</v>
      </c>
      <c r="K12" s="145">
        <v>0</v>
      </c>
      <c r="L12" s="145">
        <v>0</v>
      </c>
      <c r="M12" s="145">
        <v>0</v>
      </c>
      <c r="N12" s="145">
        <v>0</v>
      </c>
      <c r="O12" s="145">
        <v>0</v>
      </c>
      <c r="P12" s="145">
        <v>0</v>
      </c>
      <c r="Q12" s="145">
        <v>0</v>
      </c>
      <c r="R12" s="145">
        <v>0</v>
      </c>
      <c r="S12" s="145">
        <v>0</v>
      </c>
      <c r="T12" s="145">
        <v>0</v>
      </c>
      <c r="U12" s="147">
        <v>2078</v>
      </c>
      <c r="V12" s="143">
        <v>2100</v>
      </c>
      <c r="W12" s="145">
        <v>2500</v>
      </c>
      <c r="X12" s="143">
        <v>2317</v>
      </c>
      <c r="Y12" s="145">
        <v>2291</v>
      </c>
      <c r="Z12" s="143">
        <v>2410</v>
      </c>
      <c r="AA12" s="143">
        <v>2328</v>
      </c>
      <c r="AB12" s="145">
        <v>2350</v>
      </c>
      <c r="AC12" s="145">
        <v>2298</v>
      </c>
      <c r="AD12" s="145">
        <v>2350</v>
      </c>
      <c r="AE12" s="145">
        <v>2305</v>
      </c>
      <c r="AF12" s="145">
        <v>1998</v>
      </c>
      <c r="AG12" s="143">
        <v>1951</v>
      </c>
      <c r="AH12" s="143">
        <v>1906</v>
      </c>
      <c r="AI12" s="143">
        <v>1958</v>
      </c>
      <c r="AJ12" s="143">
        <v>1776</v>
      </c>
      <c r="AK12" s="143">
        <v>1819</v>
      </c>
      <c r="AL12" s="143">
        <v>1717</v>
      </c>
      <c r="AM12" s="143">
        <v>1743</v>
      </c>
      <c r="AN12" s="143">
        <v>1858</v>
      </c>
      <c r="AO12" s="143">
        <v>1950</v>
      </c>
      <c r="AP12" s="143">
        <v>1865</v>
      </c>
      <c r="AQ12" s="143">
        <v>1897</v>
      </c>
      <c r="AR12" s="143">
        <v>1870</v>
      </c>
      <c r="AS12" s="143">
        <v>1863</v>
      </c>
      <c r="AT12" s="143">
        <v>1949</v>
      </c>
      <c r="AU12" s="143">
        <v>1916</v>
      </c>
      <c r="AV12" s="143">
        <v>1873</v>
      </c>
      <c r="AW12" s="143">
        <v>1888</v>
      </c>
      <c r="AX12" s="143">
        <v>1880</v>
      </c>
      <c r="AY12" s="143">
        <v>2010</v>
      </c>
      <c r="AZ12" s="143">
        <v>2112</v>
      </c>
      <c r="BA12" s="143">
        <v>2044</v>
      </c>
      <c r="BB12" s="143">
        <v>1993</v>
      </c>
      <c r="BC12" s="143">
        <v>1990</v>
      </c>
      <c r="BD12" s="143">
        <v>2012</v>
      </c>
      <c r="BE12" s="143">
        <v>2170</v>
      </c>
      <c r="BF12" s="143">
        <v>2325</v>
      </c>
      <c r="BG12" s="143">
        <v>2315</v>
      </c>
      <c r="BH12" s="143">
        <v>2280</v>
      </c>
      <c r="BI12" s="143">
        <v>2424</v>
      </c>
      <c r="BJ12" s="143">
        <v>2375</v>
      </c>
      <c r="BK12" s="143">
        <v>2317</v>
      </c>
      <c r="BL12" s="143">
        <v>2282</v>
      </c>
      <c r="BM12" s="143">
        <v>2290</v>
      </c>
      <c r="BN12" s="143">
        <v>2480</v>
      </c>
      <c r="BO12" s="143">
        <v>2438</v>
      </c>
      <c r="BP12" s="143">
        <v>2381</v>
      </c>
      <c r="BQ12" s="145">
        <v>2366</v>
      </c>
      <c r="BR12" s="145">
        <v>2262</v>
      </c>
      <c r="BS12" s="145">
        <v>2238</v>
      </c>
      <c r="BT12" s="145">
        <v>2320</v>
      </c>
      <c r="BU12" s="145">
        <v>2349</v>
      </c>
      <c r="BV12" s="145">
        <v>2281</v>
      </c>
      <c r="BW12" s="145">
        <v>2302</v>
      </c>
      <c r="BX12" s="145">
        <v>2193</v>
      </c>
      <c r="BY12" s="145">
        <v>2116</v>
      </c>
      <c r="BZ12" s="145">
        <v>2198</v>
      </c>
      <c r="CA12" s="145">
        <v>2164</v>
      </c>
      <c r="CB12" s="145">
        <v>2110</v>
      </c>
      <c r="CC12" s="145">
        <v>2119</v>
      </c>
      <c r="CD12" s="145">
        <v>2092</v>
      </c>
      <c r="CE12" s="145">
        <v>2107</v>
      </c>
      <c r="CF12" s="145">
        <v>2174</v>
      </c>
      <c r="CG12" s="145">
        <v>2081</v>
      </c>
      <c r="CH12" s="145">
        <v>2119</v>
      </c>
      <c r="CI12" s="145">
        <v>2168</v>
      </c>
      <c r="CJ12" s="145">
        <v>2075</v>
      </c>
      <c r="CK12" s="145">
        <v>2071</v>
      </c>
      <c r="CL12" s="145">
        <v>2087</v>
      </c>
      <c r="CM12" s="145">
        <v>2057</v>
      </c>
      <c r="CN12" s="145">
        <v>2008</v>
      </c>
      <c r="CO12" s="145">
        <v>2018</v>
      </c>
      <c r="CP12" s="145">
        <v>2071</v>
      </c>
      <c r="CQ12" s="145">
        <v>2080</v>
      </c>
      <c r="CR12" s="145">
        <v>2170</v>
      </c>
    </row>
    <row r="13" spans="1:96" x14ac:dyDescent="0.25">
      <c r="A13" s="379" t="str">
        <f>IPO監視一覧!H13</f>
        <v>A</v>
      </c>
      <c r="B13" s="99" t="str">
        <f>IPO監視一覧!B13</f>
        <v>力の源HD</v>
      </c>
      <c r="C13" s="351">
        <f>株価一覧!E12</f>
        <v>1982</v>
      </c>
      <c r="D13" s="376">
        <f t="shared" ca="1" si="0"/>
        <v>1980.6</v>
      </c>
      <c r="E13" s="349">
        <f t="shared" ca="1" si="1"/>
        <v>1987.4</v>
      </c>
      <c r="F13" s="350">
        <f t="shared" ca="1" si="2"/>
        <v>1967</v>
      </c>
      <c r="G13" s="145">
        <v>0</v>
      </c>
      <c r="H13" s="145">
        <v>0</v>
      </c>
      <c r="I13" s="145">
        <v>0</v>
      </c>
      <c r="J13" s="145">
        <v>0</v>
      </c>
      <c r="K13" s="145">
        <v>0</v>
      </c>
      <c r="L13" s="145">
        <v>0</v>
      </c>
      <c r="M13" s="145">
        <v>0</v>
      </c>
      <c r="N13" s="145">
        <v>0</v>
      </c>
      <c r="O13" s="145">
        <v>0</v>
      </c>
      <c r="P13" s="145">
        <v>0</v>
      </c>
      <c r="Q13" s="145">
        <v>0</v>
      </c>
      <c r="R13" s="145">
        <v>0</v>
      </c>
      <c r="S13" s="145">
        <v>0</v>
      </c>
      <c r="T13" s="145">
        <v>0</v>
      </c>
      <c r="U13" s="143">
        <v>0</v>
      </c>
      <c r="V13" s="148">
        <v>0</v>
      </c>
      <c r="W13" s="149">
        <v>2630</v>
      </c>
      <c r="X13" s="143">
        <v>3130</v>
      </c>
      <c r="Y13" s="145">
        <v>3200</v>
      </c>
      <c r="Z13" s="143">
        <v>2900</v>
      </c>
      <c r="AA13" s="143">
        <v>2699</v>
      </c>
      <c r="AB13" s="145">
        <v>2730</v>
      </c>
      <c r="AC13" s="145">
        <v>2700</v>
      </c>
      <c r="AD13" s="145">
        <v>2639</v>
      </c>
      <c r="AE13" s="145">
        <v>2515</v>
      </c>
      <c r="AF13" s="145">
        <v>2310</v>
      </c>
      <c r="AG13" s="143">
        <v>2208</v>
      </c>
      <c r="AH13" s="143">
        <v>2079</v>
      </c>
      <c r="AI13" s="143">
        <v>2075</v>
      </c>
      <c r="AJ13" s="143">
        <v>1955</v>
      </c>
      <c r="AK13" s="143">
        <v>1945</v>
      </c>
      <c r="AL13" s="143">
        <v>1989</v>
      </c>
      <c r="AM13" s="143">
        <v>2315</v>
      </c>
      <c r="AN13" s="143">
        <v>2250</v>
      </c>
      <c r="AO13" s="143">
        <v>2250</v>
      </c>
      <c r="AP13" s="143">
        <v>2291</v>
      </c>
      <c r="AQ13" s="143">
        <v>2217</v>
      </c>
      <c r="AR13" s="143">
        <v>2148</v>
      </c>
      <c r="AS13" s="143">
        <v>2192</v>
      </c>
      <c r="AT13" s="143">
        <v>2208</v>
      </c>
      <c r="AU13" s="143">
        <v>2190</v>
      </c>
      <c r="AV13" s="143">
        <v>2211</v>
      </c>
      <c r="AW13" s="143">
        <v>2212</v>
      </c>
      <c r="AX13" s="143">
        <v>2180</v>
      </c>
      <c r="AY13" s="143">
        <v>2176</v>
      </c>
      <c r="AZ13" s="143">
        <v>2171</v>
      </c>
      <c r="BA13" s="143">
        <v>2141</v>
      </c>
      <c r="BB13" s="143">
        <v>2107</v>
      </c>
      <c r="BC13" s="143">
        <v>2351</v>
      </c>
      <c r="BD13" s="143">
        <v>2282</v>
      </c>
      <c r="BE13" s="143">
        <v>2249</v>
      </c>
      <c r="BF13" s="143">
        <v>2253</v>
      </c>
      <c r="BG13" s="143">
        <v>2180</v>
      </c>
      <c r="BH13" s="143">
        <v>2130</v>
      </c>
      <c r="BI13" s="143">
        <v>2154</v>
      </c>
      <c r="BJ13" s="143">
        <v>2130</v>
      </c>
      <c r="BK13" s="143">
        <v>2122</v>
      </c>
      <c r="BL13" s="143">
        <v>2205</v>
      </c>
      <c r="BM13" s="143">
        <v>2170</v>
      </c>
      <c r="BN13" s="143">
        <v>2178</v>
      </c>
      <c r="BO13" s="143">
        <v>2164</v>
      </c>
      <c r="BP13" s="143">
        <v>2140</v>
      </c>
      <c r="BQ13" s="145">
        <v>2131</v>
      </c>
      <c r="BR13" s="145">
        <v>2159</v>
      </c>
      <c r="BS13" s="145">
        <v>2185</v>
      </c>
      <c r="BT13" s="145">
        <v>2171</v>
      </c>
      <c r="BU13" s="145">
        <v>2179</v>
      </c>
      <c r="BV13" s="145">
        <v>2146</v>
      </c>
      <c r="BW13" s="145">
        <v>2152</v>
      </c>
      <c r="BX13" s="145">
        <v>2128</v>
      </c>
      <c r="BY13" s="145">
        <v>2101</v>
      </c>
      <c r="BZ13" s="145">
        <v>2114</v>
      </c>
      <c r="CA13" s="145">
        <v>2088</v>
      </c>
      <c r="CB13" s="145">
        <v>2052</v>
      </c>
      <c r="CC13" s="145">
        <v>2002</v>
      </c>
      <c r="CD13" s="145">
        <v>2011</v>
      </c>
      <c r="CE13" s="145">
        <v>1984</v>
      </c>
      <c r="CF13" s="145">
        <v>1956</v>
      </c>
      <c r="CG13" s="145">
        <v>1934</v>
      </c>
      <c r="CH13" s="145">
        <v>1955</v>
      </c>
      <c r="CI13" s="145">
        <v>2014</v>
      </c>
      <c r="CJ13" s="145">
        <v>2001</v>
      </c>
      <c r="CK13" s="145">
        <v>1987</v>
      </c>
      <c r="CL13" s="145">
        <v>1981</v>
      </c>
      <c r="CM13" s="145">
        <v>1988</v>
      </c>
      <c r="CN13" s="145">
        <v>1967</v>
      </c>
      <c r="CO13" s="145">
        <v>1992</v>
      </c>
      <c r="CP13" s="145">
        <v>1985</v>
      </c>
      <c r="CQ13" s="145">
        <v>1977</v>
      </c>
      <c r="CR13" s="145">
        <v>1982</v>
      </c>
    </row>
    <row r="14" spans="1:96" x14ac:dyDescent="0.25">
      <c r="A14" s="379" t="str">
        <f>IPO監視一覧!H14</f>
        <v>A</v>
      </c>
      <c r="B14" s="99" t="str">
        <f>IPO監視一覧!B14</f>
        <v>インターネットインフィニティー</v>
      </c>
      <c r="C14" s="351">
        <f>株価一覧!E13</f>
        <v>9130</v>
      </c>
      <c r="D14" s="376">
        <f t="shared" ca="1" si="0"/>
        <v>8814</v>
      </c>
      <c r="E14" s="349">
        <f t="shared" ca="1" si="1"/>
        <v>8349</v>
      </c>
      <c r="F14" s="350">
        <f t="shared" ca="1" si="2"/>
        <v>7530</v>
      </c>
      <c r="G14" s="145">
        <v>0</v>
      </c>
      <c r="H14" s="145">
        <v>0</v>
      </c>
      <c r="I14" s="145">
        <v>0</v>
      </c>
      <c r="J14" s="145">
        <v>0</v>
      </c>
      <c r="K14" s="145">
        <v>0</v>
      </c>
      <c r="L14" s="145">
        <v>0</v>
      </c>
      <c r="M14" s="145">
        <v>0</v>
      </c>
      <c r="N14" s="145">
        <v>0</v>
      </c>
      <c r="O14" s="145">
        <v>0</v>
      </c>
      <c r="P14" s="145">
        <v>0</v>
      </c>
      <c r="Q14" s="145">
        <v>0</v>
      </c>
      <c r="R14" s="145">
        <v>0</v>
      </c>
      <c r="S14" s="145">
        <v>0</v>
      </c>
      <c r="T14" s="145">
        <v>0</v>
      </c>
      <c r="U14" s="145">
        <v>0</v>
      </c>
      <c r="V14" s="148">
        <v>0</v>
      </c>
      <c r="W14" s="149">
        <v>4450</v>
      </c>
      <c r="X14" s="143">
        <v>5150</v>
      </c>
      <c r="Y14" s="145">
        <v>5000</v>
      </c>
      <c r="Z14" s="143">
        <v>4750</v>
      </c>
      <c r="AA14" s="143">
        <v>4495</v>
      </c>
      <c r="AB14" s="145">
        <v>4750</v>
      </c>
      <c r="AC14" s="145">
        <v>4695</v>
      </c>
      <c r="AD14" s="145">
        <v>5400</v>
      </c>
      <c r="AE14" s="145">
        <v>5450</v>
      </c>
      <c r="AF14" s="145">
        <v>5050</v>
      </c>
      <c r="AG14" s="143">
        <v>4985</v>
      </c>
      <c r="AH14" s="143">
        <v>4790</v>
      </c>
      <c r="AI14" s="143">
        <v>4465</v>
      </c>
      <c r="AJ14" s="143">
        <v>4105</v>
      </c>
      <c r="AK14" s="143">
        <v>4110</v>
      </c>
      <c r="AL14" s="143">
        <v>3930</v>
      </c>
      <c r="AM14" s="143">
        <v>4190</v>
      </c>
      <c r="AN14" s="143">
        <v>4260</v>
      </c>
      <c r="AO14" s="143">
        <v>4230</v>
      </c>
      <c r="AP14" s="143">
        <v>4410</v>
      </c>
      <c r="AQ14" s="143">
        <v>4350</v>
      </c>
      <c r="AR14" s="143">
        <v>4130</v>
      </c>
      <c r="AS14" s="143">
        <v>4830</v>
      </c>
      <c r="AT14" s="143">
        <v>5150</v>
      </c>
      <c r="AU14" s="143">
        <v>5050</v>
      </c>
      <c r="AV14" s="143">
        <v>5180</v>
      </c>
      <c r="AW14" s="143">
        <v>5080</v>
      </c>
      <c r="AX14" s="143">
        <v>4905</v>
      </c>
      <c r="AY14" s="143">
        <v>4940</v>
      </c>
      <c r="AZ14" s="143">
        <v>5020</v>
      </c>
      <c r="BA14" s="143">
        <v>4930</v>
      </c>
      <c r="BB14" s="143">
        <v>5000</v>
      </c>
      <c r="BC14" s="143">
        <v>4900</v>
      </c>
      <c r="BD14" s="143">
        <v>4690</v>
      </c>
      <c r="BE14" s="143">
        <v>5390</v>
      </c>
      <c r="BF14" s="143">
        <v>5160</v>
      </c>
      <c r="BG14" s="143">
        <v>5090</v>
      </c>
      <c r="BH14" s="143">
        <v>5070</v>
      </c>
      <c r="BI14" s="143">
        <v>5680</v>
      </c>
      <c r="BJ14" s="143">
        <v>5490</v>
      </c>
      <c r="BK14" s="143">
        <v>5880</v>
      </c>
      <c r="BL14" s="143">
        <v>6180</v>
      </c>
      <c r="BM14" s="143">
        <v>6200</v>
      </c>
      <c r="BN14" s="143">
        <v>5840</v>
      </c>
      <c r="BO14" s="143">
        <v>6140</v>
      </c>
      <c r="BP14" s="143">
        <v>5990</v>
      </c>
      <c r="BQ14" s="145">
        <v>5900</v>
      </c>
      <c r="BR14" s="145">
        <v>5790</v>
      </c>
      <c r="BS14" s="145">
        <v>5700</v>
      </c>
      <c r="BT14" s="145">
        <v>5550</v>
      </c>
      <c r="BU14" s="145">
        <v>5840</v>
      </c>
      <c r="BV14" s="145">
        <v>5650</v>
      </c>
      <c r="BW14" s="145">
        <v>5770</v>
      </c>
      <c r="BX14" s="145">
        <v>5670</v>
      </c>
      <c r="BY14" s="145">
        <v>5970</v>
      </c>
      <c r="BZ14" s="145">
        <v>5900</v>
      </c>
      <c r="CA14" s="145">
        <v>5830</v>
      </c>
      <c r="CB14" s="145">
        <v>6430</v>
      </c>
      <c r="CC14" s="145">
        <v>6400</v>
      </c>
      <c r="CD14" s="145">
        <v>6890</v>
      </c>
      <c r="CE14" s="145">
        <v>7800</v>
      </c>
      <c r="CF14" s="145">
        <v>8140</v>
      </c>
      <c r="CG14" s="145">
        <v>8600</v>
      </c>
      <c r="CH14" s="145">
        <v>8500</v>
      </c>
      <c r="CI14" s="145">
        <v>8070</v>
      </c>
      <c r="CJ14" s="145">
        <v>7530</v>
      </c>
      <c r="CK14" s="145">
        <v>7800</v>
      </c>
      <c r="CL14" s="145">
        <v>7760</v>
      </c>
      <c r="CM14" s="145">
        <v>8260</v>
      </c>
      <c r="CN14" s="145">
        <v>8160</v>
      </c>
      <c r="CO14" s="145">
        <v>8240</v>
      </c>
      <c r="CP14" s="145">
        <v>9110</v>
      </c>
      <c r="CQ14" s="145">
        <v>9430</v>
      </c>
      <c r="CR14" s="145">
        <v>9130</v>
      </c>
    </row>
    <row r="15" spans="1:96" x14ac:dyDescent="0.25">
      <c r="A15" s="379" t="str">
        <f>IPO監視一覧!H15</f>
        <v>D</v>
      </c>
      <c r="B15" s="99" t="str">
        <f>IPO監視一覧!B15</f>
        <v>フルテック</v>
      </c>
      <c r="C15" s="351">
        <f>株価一覧!E14</f>
        <v>1041</v>
      </c>
      <c r="D15" s="376">
        <f t="shared" ca="1" si="0"/>
        <v>1033.2</v>
      </c>
      <c r="E15" s="349">
        <f t="shared" ca="1" si="1"/>
        <v>1030.7</v>
      </c>
      <c r="F15" s="350">
        <f t="shared" ca="1" si="2"/>
        <v>1018</v>
      </c>
      <c r="G15" s="145">
        <v>0</v>
      </c>
      <c r="H15" s="145">
        <v>0</v>
      </c>
      <c r="I15" s="145">
        <v>0</v>
      </c>
      <c r="J15" s="145">
        <v>0</v>
      </c>
      <c r="K15" s="145">
        <v>0</v>
      </c>
      <c r="L15" s="145">
        <v>0</v>
      </c>
      <c r="M15" s="145">
        <v>0</v>
      </c>
      <c r="N15" s="145">
        <v>0</v>
      </c>
      <c r="O15" s="145">
        <v>0</v>
      </c>
      <c r="P15" s="145">
        <v>0</v>
      </c>
      <c r="Q15" s="145">
        <v>0</v>
      </c>
      <c r="R15" s="145">
        <v>0</v>
      </c>
      <c r="S15" s="145">
        <v>0</v>
      </c>
      <c r="T15" s="145">
        <v>0</v>
      </c>
      <c r="U15" s="145">
        <v>0</v>
      </c>
      <c r="V15" s="145">
        <v>0</v>
      </c>
      <c r="W15" s="149">
        <v>985</v>
      </c>
      <c r="X15" s="143">
        <v>1135</v>
      </c>
      <c r="Y15" s="145">
        <v>1029</v>
      </c>
      <c r="Z15" s="143">
        <v>980</v>
      </c>
      <c r="AA15" s="143">
        <v>919</v>
      </c>
      <c r="AB15" s="145">
        <v>928</v>
      </c>
      <c r="AC15" s="145">
        <v>941</v>
      </c>
      <c r="AD15" s="145">
        <v>964</v>
      </c>
      <c r="AE15" s="145">
        <v>1049</v>
      </c>
      <c r="AF15" s="145">
        <v>979</v>
      </c>
      <c r="AG15" s="143">
        <v>962</v>
      </c>
      <c r="AH15" s="143">
        <v>968</v>
      </c>
      <c r="AI15" s="143">
        <v>929</v>
      </c>
      <c r="AJ15" s="143">
        <v>887</v>
      </c>
      <c r="AK15" s="143">
        <v>860</v>
      </c>
      <c r="AL15" s="143">
        <v>853</v>
      </c>
      <c r="AM15" s="143">
        <v>872</v>
      </c>
      <c r="AN15" s="143">
        <v>878</v>
      </c>
      <c r="AO15" s="143">
        <v>910</v>
      </c>
      <c r="AP15" s="143">
        <v>909</v>
      </c>
      <c r="AQ15" s="143">
        <v>922</v>
      </c>
      <c r="AR15" s="143">
        <v>903</v>
      </c>
      <c r="AS15" s="143">
        <v>936</v>
      </c>
      <c r="AT15" s="143">
        <v>931</v>
      </c>
      <c r="AU15" s="143">
        <v>935</v>
      </c>
      <c r="AV15" s="143">
        <v>925</v>
      </c>
      <c r="AW15" s="143">
        <v>903</v>
      </c>
      <c r="AX15" s="143">
        <v>902</v>
      </c>
      <c r="AY15" s="143">
        <v>908</v>
      </c>
      <c r="AZ15" s="143">
        <v>905</v>
      </c>
      <c r="BA15" s="143">
        <v>878</v>
      </c>
      <c r="BB15" s="143">
        <v>885</v>
      </c>
      <c r="BC15" s="143">
        <v>890</v>
      </c>
      <c r="BD15" s="143">
        <v>877</v>
      </c>
      <c r="BE15" s="143">
        <v>925</v>
      </c>
      <c r="BF15" s="143">
        <v>965</v>
      </c>
      <c r="BG15" s="143">
        <v>930</v>
      </c>
      <c r="BH15" s="143">
        <v>922</v>
      </c>
      <c r="BI15" s="143">
        <v>937</v>
      </c>
      <c r="BJ15" s="143">
        <v>939</v>
      </c>
      <c r="BK15" s="143">
        <v>969</v>
      </c>
      <c r="BL15" s="143">
        <v>997</v>
      </c>
      <c r="BM15" s="143">
        <v>982</v>
      </c>
      <c r="BN15" s="143">
        <v>1079</v>
      </c>
      <c r="BO15" s="143">
        <v>1124</v>
      </c>
      <c r="BP15" s="143">
        <v>1088</v>
      </c>
      <c r="BQ15" s="145">
        <v>1086</v>
      </c>
      <c r="BR15" s="145">
        <v>1044</v>
      </c>
      <c r="BS15" s="145">
        <v>1062</v>
      </c>
      <c r="BT15" s="145">
        <v>1039</v>
      </c>
      <c r="BU15" s="145">
        <v>1058</v>
      </c>
      <c r="BV15" s="145">
        <v>1045</v>
      </c>
      <c r="BW15" s="145">
        <v>1045</v>
      </c>
      <c r="BX15" s="145">
        <v>1046</v>
      </c>
      <c r="BY15" s="145">
        <v>1052</v>
      </c>
      <c r="BZ15" s="145">
        <v>1049</v>
      </c>
      <c r="CA15" s="145">
        <v>1040</v>
      </c>
      <c r="CB15" s="145">
        <v>1034</v>
      </c>
      <c r="CC15" s="145">
        <v>1025</v>
      </c>
      <c r="CD15" s="145">
        <v>1033</v>
      </c>
      <c r="CE15" s="145">
        <v>1042</v>
      </c>
      <c r="CF15" s="145">
        <v>1060</v>
      </c>
      <c r="CG15" s="145">
        <v>1049</v>
      </c>
      <c r="CH15" s="145">
        <v>1044</v>
      </c>
      <c r="CI15" s="145">
        <v>1037</v>
      </c>
      <c r="CJ15" s="145">
        <v>1018</v>
      </c>
      <c r="CK15" s="145">
        <v>1021</v>
      </c>
      <c r="CL15" s="145">
        <v>1030</v>
      </c>
      <c r="CM15" s="145">
        <v>1035</v>
      </c>
      <c r="CN15" s="145">
        <v>1028</v>
      </c>
      <c r="CO15" s="145">
        <v>1027</v>
      </c>
      <c r="CP15" s="145">
        <v>1030</v>
      </c>
      <c r="CQ15" s="145">
        <v>1040</v>
      </c>
      <c r="CR15" s="145">
        <v>1041</v>
      </c>
    </row>
    <row r="16" spans="1:96" x14ac:dyDescent="0.25">
      <c r="A16" s="379" t="str">
        <f>IPO監視一覧!H16</f>
        <v>D</v>
      </c>
      <c r="B16" s="99" t="str">
        <f>IPO監視一覧!B16</f>
        <v>マクロミル</v>
      </c>
      <c r="C16" s="351">
        <f>株価一覧!E15</f>
        <v>2718</v>
      </c>
      <c r="D16" s="376">
        <f t="shared" ca="1" si="0"/>
        <v>2532.6</v>
      </c>
      <c r="E16" s="349">
        <f t="shared" ca="1" si="1"/>
        <v>2484.9</v>
      </c>
      <c r="F16" s="350">
        <f t="shared" ca="1" si="2"/>
        <v>2369</v>
      </c>
      <c r="G16" s="145">
        <v>0</v>
      </c>
      <c r="H16" s="145">
        <v>0</v>
      </c>
      <c r="I16" s="145">
        <v>0</v>
      </c>
      <c r="J16" s="145">
        <v>0</v>
      </c>
      <c r="K16" s="145">
        <v>0</v>
      </c>
      <c r="L16" s="145">
        <v>0</v>
      </c>
      <c r="M16" s="145">
        <v>0</v>
      </c>
      <c r="N16" s="145">
        <v>0</v>
      </c>
      <c r="O16" s="145">
        <v>0</v>
      </c>
      <c r="P16" s="145">
        <v>0</v>
      </c>
      <c r="Q16" s="145">
        <v>0</v>
      </c>
      <c r="R16" s="145">
        <v>0</v>
      </c>
      <c r="S16" s="145">
        <v>0</v>
      </c>
      <c r="T16" s="145">
        <v>0</v>
      </c>
      <c r="U16" s="145">
        <v>0</v>
      </c>
      <c r="V16" s="145">
        <v>0</v>
      </c>
      <c r="W16" s="149">
        <v>1680</v>
      </c>
      <c r="X16" s="143">
        <v>1805</v>
      </c>
      <c r="Y16" s="145">
        <v>1753</v>
      </c>
      <c r="Z16" s="143">
        <v>1735</v>
      </c>
      <c r="AA16" s="143">
        <v>1719</v>
      </c>
      <c r="AB16" s="145">
        <v>1750</v>
      </c>
      <c r="AC16" s="145">
        <v>1822</v>
      </c>
      <c r="AD16" s="145">
        <v>1892</v>
      </c>
      <c r="AE16" s="145">
        <v>1801</v>
      </c>
      <c r="AF16" s="145">
        <v>1910</v>
      </c>
      <c r="AG16" s="143">
        <v>1888</v>
      </c>
      <c r="AH16" s="143">
        <v>1892</v>
      </c>
      <c r="AI16" s="143">
        <v>1910</v>
      </c>
      <c r="AJ16" s="143">
        <v>1940</v>
      </c>
      <c r="AK16" s="143">
        <v>1939</v>
      </c>
      <c r="AL16" s="143">
        <v>1915</v>
      </c>
      <c r="AM16" s="143">
        <v>1905</v>
      </c>
      <c r="AN16" s="143">
        <v>1927</v>
      </c>
      <c r="AO16" s="143">
        <v>1926</v>
      </c>
      <c r="AP16" s="143">
        <v>1947</v>
      </c>
      <c r="AQ16" s="143">
        <v>1951</v>
      </c>
      <c r="AR16" s="143">
        <v>1962</v>
      </c>
      <c r="AS16" s="143">
        <v>1935</v>
      </c>
      <c r="AT16" s="143">
        <v>1915</v>
      </c>
      <c r="AU16" s="143">
        <v>1950</v>
      </c>
      <c r="AV16" s="143">
        <v>1954</v>
      </c>
      <c r="AW16" s="143">
        <v>1961</v>
      </c>
      <c r="AX16" s="143">
        <v>2000</v>
      </c>
      <c r="AY16" s="143">
        <v>1973</v>
      </c>
      <c r="AZ16" s="143">
        <v>1958</v>
      </c>
      <c r="BA16" s="143">
        <v>1975</v>
      </c>
      <c r="BB16" s="143">
        <v>1999</v>
      </c>
      <c r="BC16" s="143">
        <v>1995</v>
      </c>
      <c r="BD16" s="143">
        <v>1992</v>
      </c>
      <c r="BE16" s="143">
        <v>1965</v>
      </c>
      <c r="BF16" s="143">
        <v>1951</v>
      </c>
      <c r="BG16" s="143">
        <v>1911</v>
      </c>
      <c r="BH16" s="143">
        <v>1973</v>
      </c>
      <c r="BI16" s="143">
        <v>1950</v>
      </c>
      <c r="BJ16" s="143">
        <v>1968</v>
      </c>
      <c r="BK16" s="143">
        <v>1995</v>
      </c>
      <c r="BL16" s="143">
        <v>2081</v>
      </c>
      <c r="BM16" s="143">
        <v>2065</v>
      </c>
      <c r="BN16" s="143">
        <v>2044</v>
      </c>
      <c r="BO16" s="143">
        <v>2052</v>
      </c>
      <c r="BP16" s="143">
        <v>2015</v>
      </c>
      <c r="BQ16" s="145">
        <v>2027</v>
      </c>
      <c r="BR16" s="145">
        <v>2038</v>
      </c>
      <c r="BS16" s="145">
        <v>2070</v>
      </c>
      <c r="BT16" s="145">
        <v>2087</v>
      </c>
      <c r="BU16" s="145">
        <v>2171</v>
      </c>
      <c r="BV16" s="145">
        <v>2245</v>
      </c>
      <c r="BW16" s="145">
        <v>2363</v>
      </c>
      <c r="BX16" s="145">
        <v>2304</v>
      </c>
      <c r="BY16" s="145">
        <v>2295</v>
      </c>
      <c r="BZ16" s="145">
        <v>2222</v>
      </c>
      <c r="CA16" s="145">
        <v>2167</v>
      </c>
      <c r="CB16" s="145">
        <v>2182</v>
      </c>
      <c r="CC16" s="145">
        <v>2266</v>
      </c>
      <c r="CD16" s="145">
        <v>2447</v>
      </c>
      <c r="CE16" s="145">
        <v>2544</v>
      </c>
      <c r="CF16" s="145">
        <v>2596</v>
      </c>
      <c r="CG16" s="145">
        <v>2522</v>
      </c>
      <c r="CH16" s="145">
        <v>2560</v>
      </c>
      <c r="CI16" s="145">
        <v>2567</v>
      </c>
      <c r="CJ16" s="145">
        <v>2405</v>
      </c>
      <c r="CK16" s="145">
        <v>2380</v>
      </c>
      <c r="CL16" s="145">
        <v>2369</v>
      </c>
      <c r="CM16" s="145">
        <v>2465</v>
      </c>
      <c r="CN16" s="145">
        <v>2479</v>
      </c>
      <c r="CO16" s="145">
        <v>2457</v>
      </c>
      <c r="CP16" s="145">
        <v>2463</v>
      </c>
      <c r="CQ16" s="145">
        <v>2546</v>
      </c>
      <c r="CR16" s="145">
        <v>2718</v>
      </c>
    </row>
    <row r="17" spans="1:96" x14ac:dyDescent="0.25">
      <c r="A17" s="379" t="str">
        <f>IPO監視一覧!H17</f>
        <v>D</v>
      </c>
      <c r="B17" s="99" t="str">
        <f>IPO監視一覧!B17</f>
        <v>グリーンズ</v>
      </c>
      <c r="C17" s="351">
        <f>株価一覧!E16</f>
        <v>1426</v>
      </c>
      <c r="D17" s="376">
        <f t="shared" ca="1" si="0"/>
        <v>1414.8</v>
      </c>
      <c r="E17" s="349">
        <f t="shared" ca="1" si="1"/>
        <v>1411.2</v>
      </c>
      <c r="F17" s="350">
        <f t="shared" ca="1" si="2"/>
        <v>1399</v>
      </c>
      <c r="G17" s="145">
        <v>0</v>
      </c>
      <c r="H17" s="145">
        <v>0</v>
      </c>
      <c r="I17" s="145">
        <v>0</v>
      </c>
      <c r="J17" s="145">
        <v>0</v>
      </c>
      <c r="K17" s="145">
        <v>0</v>
      </c>
      <c r="L17" s="145">
        <v>0</v>
      </c>
      <c r="M17" s="145">
        <v>0</v>
      </c>
      <c r="N17" s="145">
        <v>0</v>
      </c>
      <c r="O17" s="145">
        <v>0</v>
      </c>
      <c r="P17" s="145">
        <v>0</v>
      </c>
      <c r="Q17" s="145">
        <v>0</v>
      </c>
      <c r="R17" s="145">
        <v>0</v>
      </c>
      <c r="S17" s="145">
        <v>0</v>
      </c>
      <c r="T17" s="145">
        <v>0</v>
      </c>
      <c r="U17" s="145">
        <v>0</v>
      </c>
      <c r="V17" s="145">
        <v>0</v>
      </c>
      <c r="W17" s="143">
        <v>0</v>
      </c>
      <c r="X17" s="147">
        <v>1579</v>
      </c>
      <c r="Y17" s="145">
        <v>1560</v>
      </c>
      <c r="Z17" s="143">
        <v>1502</v>
      </c>
      <c r="AA17" s="143">
        <v>1434</v>
      </c>
      <c r="AB17" s="145">
        <v>1489</v>
      </c>
      <c r="AC17" s="145">
        <v>1450</v>
      </c>
      <c r="AD17" s="145">
        <v>1453</v>
      </c>
      <c r="AE17" s="145">
        <v>1520</v>
      </c>
      <c r="AF17" s="145">
        <v>1382</v>
      </c>
      <c r="AG17" s="143">
        <v>1385</v>
      </c>
      <c r="AH17" s="143">
        <v>1352</v>
      </c>
      <c r="AI17" s="143">
        <v>1300</v>
      </c>
      <c r="AJ17" s="143">
        <v>1266</v>
      </c>
      <c r="AK17" s="143">
        <v>1295</v>
      </c>
      <c r="AL17" s="143">
        <v>1309</v>
      </c>
      <c r="AM17" s="143">
        <v>1297</v>
      </c>
      <c r="AN17" s="143">
        <v>1320</v>
      </c>
      <c r="AO17" s="143">
        <v>1355</v>
      </c>
      <c r="AP17" s="143">
        <v>1375</v>
      </c>
      <c r="AQ17" s="143">
        <v>1376</v>
      </c>
      <c r="AR17" s="143">
        <v>1380</v>
      </c>
      <c r="AS17" s="143">
        <v>1428</v>
      </c>
      <c r="AT17" s="143">
        <v>1405</v>
      </c>
      <c r="AU17" s="143">
        <v>1392</v>
      </c>
      <c r="AV17" s="143">
        <v>1403</v>
      </c>
      <c r="AW17" s="143">
        <v>1399</v>
      </c>
      <c r="AX17" s="143">
        <v>1403</v>
      </c>
      <c r="AY17" s="143">
        <v>1418</v>
      </c>
      <c r="AZ17" s="143">
        <v>1436</v>
      </c>
      <c r="BA17" s="143">
        <v>1449</v>
      </c>
      <c r="BB17" s="143">
        <v>1448</v>
      </c>
      <c r="BC17" s="143">
        <v>1424</v>
      </c>
      <c r="BD17" s="143">
        <v>1429</v>
      </c>
      <c r="BE17" s="143">
        <v>1406</v>
      </c>
      <c r="BF17" s="143">
        <v>1405</v>
      </c>
      <c r="BG17" s="143">
        <v>1370</v>
      </c>
      <c r="BH17" s="143">
        <v>1389</v>
      </c>
      <c r="BI17" s="143">
        <v>1420</v>
      </c>
      <c r="BJ17" s="143">
        <v>1478</v>
      </c>
      <c r="BK17" s="143">
        <v>1495</v>
      </c>
      <c r="BL17" s="143">
        <v>1455</v>
      </c>
      <c r="BM17" s="143">
        <v>1453</v>
      </c>
      <c r="BN17" s="143">
        <v>1438</v>
      </c>
      <c r="BO17" s="143">
        <v>1442</v>
      </c>
      <c r="BP17" s="143">
        <v>1437</v>
      </c>
      <c r="BQ17" s="145">
        <v>1450</v>
      </c>
      <c r="BR17" s="145">
        <v>1456</v>
      </c>
      <c r="BS17" s="145">
        <v>1435</v>
      </c>
      <c r="BT17" s="145">
        <v>1445</v>
      </c>
      <c r="BU17" s="145">
        <v>1438</v>
      </c>
      <c r="BV17" s="145">
        <v>1440</v>
      </c>
      <c r="BW17" s="145">
        <v>1437</v>
      </c>
      <c r="BX17" s="145">
        <v>1423</v>
      </c>
      <c r="BY17" s="145">
        <v>1397</v>
      </c>
      <c r="BZ17" s="145">
        <v>1398</v>
      </c>
      <c r="CA17" s="145">
        <v>1387</v>
      </c>
      <c r="CB17" s="145">
        <v>1408</v>
      </c>
      <c r="CC17" s="145">
        <v>1417</v>
      </c>
      <c r="CD17" s="145">
        <v>1403</v>
      </c>
      <c r="CE17" s="145">
        <v>1400</v>
      </c>
      <c r="CF17" s="145">
        <v>1408</v>
      </c>
      <c r="CG17" s="145">
        <v>1409</v>
      </c>
      <c r="CH17" s="145">
        <v>1434</v>
      </c>
      <c r="CI17" s="145">
        <v>1427</v>
      </c>
      <c r="CJ17" s="145">
        <v>1399</v>
      </c>
      <c r="CK17" s="145">
        <v>1404</v>
      </c>
      <c r="CL17" s="145">
        <v>1399</v>
      </c>
      <c r="CM17" s="145">
        <v>1409</v>
      </c>
      <c r="CN17" s="145">
        <v>1405</v>
      </c>
      <c r="CO17" s="145">
        <v>1412</v>
      </c>
      <c r="CP17" s="145">
        <v>1416</v>
      </c>
      <c r="CQ17" s="145">
        <v>1415</v>
      </c>
      <c r="CR17" s="145">
        <v>1426</v>
      </c>
    </row>
    <row r="18" spans="1:96" x14ac:dyDescent="0.25">
      <c r="A18" s="379" t="str">
        <f>IPO監視一覧!H18</f>
        <v>C</v>
      </c>
      <c r="B18" s="99" t="str">
        <f>IPO監視一覧!B18</f>
        <v>オロ</v>
      </c>
      <c r="C18" s="351">
        <f>株価一覧!E17</f>
        <v>3145</v>
      </c>
      <c r="D18" s="376">
        <f t="shared" ca="1" si="0"/>
        <v>3127</v>
      </c>
      <c r="E18" s="349">
        <f t="shared" ca="1" si="1"/>
        <v>3151.5</v>
      </c>
      <c r="F18" s="350">
        <f t="shared" ca="1" si="2"/>
        <v>3110</v>
      </c>
      <c r="G18" s="145">
        <v>0</v>
      </c>
      <c r="H18" s="145">
        <v>0</v>
      </c>
      <c r="I18" s="145">
        <v>0</v>
      </c>
      <c r="J18" s="145">
        <v>0</v>
      </c>
      <c r="K18" s="145">
        <v>0</v>
      </c>
      <c r="L18" s="145">
        <v>0</v>
      </c>
      <c r="M18" s="145">
        <v>0</v>
      </c>
      <c r="N18" s="145">
        <v>0</v>
      </c>
      <c r="O18" s="145">
        <v>0</v>
      </c>
      <c r="P18" s="145">
        <v>0</v>
      </c>
      <c r="Q18" s="145">
        <v>0</v>
      </c>
      <c r="R18" s="145">
        <v>0</v>
      </c>
      <c r="S18" s="145">
        <v>0</v>
      </c>
      <c r="T18" s="145">
        <v>0</v>
      </c>
      <c r="U18" s="145">
        <v>0</v>
      </c>
      <c r="V18" s="145">
        <v>0</v>
      </c>
      <c r="W18" s="145">
        <v>0</v>
      </c>
      <c r="X18" s="145">
        <v>0</v>
      </c>
      <c r="Y18" s="149">
        <v>4390</v>
      </c>
      <c r="Z18" s="143">
        <v>3830</v>
      </c>
      <c r="AA18" s="143">
        <v>3560</v>
      </c>
      <c r="AB18" s="145">
        <v>3770</v>
      </c>
      <c r="AC18" s="145">
        <v>3895</v>
      </c>
      <c r="AD18" s="145">
        <v>3890</v>
      </c>
      <c r="AE18" s="145">
        <v>3665</v>
      </c>
      <c r="AF18" s="145">
        <v>3475</v>
      </c>
      <c r="AG18" s="143">
        <v>3300</v>
      </c>
      <c r="AH18" s="143">
        <v>3210</v>
      </c>
      <c r="AI18" s="143">
        <v>2999</v>
      </c>
      <c r="AJ18" s="143">
        <v>2734</v>
      </c>
      <c r="AK18" s="143">
        <v>2750</v>
      </c>
      <c r="AL18" s="143">
        <v>2660</v>
      </c>
      <c r="AM18" s="143">
        <v>2920</v>
      </c>
      <c r="AN18" s="143">
        <v>2971</v>
      </c>
      <c r="AO18" s="143">
        <v>3080</v>
      </c>
      <c r="AP18" s="143">
        <v>3400</v>
      </c>
      <c r="AQ18" s="143">
        <v>3215</v>
      </c>
      <c r="AR18" s="143">
        <v>3035</v>
      </c>
      <c r="AS18" s="143">
        <v>3210</v>
      </c>
      <c r="AT18" s="143">
        <v>3295</v>
      </c>
      <c r="AU18" s="143">
        <v>3290</v>
      </c>
      <c r="AV18" s="143">
        <v>3265</v>
      </c>
      <c r="AW18" s="143">
        <v>3495</v>
      </c>
      <c r="AX18" s="143">
        <v>3410</v>
      </c>
      <c r="AY18" s="143">
        <v>3370</v>
      </c>
      <c r="AZ18" s="143">
        <v>3310</v>
      </c>
      <c r="BA18" s="143">
        <v>3410</v>
      </c>
      <c r="BB18" s="143">
        <v>3330</v>
      </c>
      <c r="BC18" s="143">
        <v>3205</v>
      </c>
      <c r="BD18" s="143">
        <v>3430</v>
      </c>
      <c r="BE18" s="143">
        <v>3260</v>
      </c>
      <c r="BF18" s="143">
        <v>3160</v>
      </c>
      <c r="BG18" s="143">
        <v>3115</v>
      </c>
      <c r="BH18" s="143">
        <v>3190</v>
      </c>
      <c r="BI18" s="143">
        <v>3110</v>
      </c>
      <c r="BJ18" s="143">
        <v>3190</v>
      </c>
      <c r="BK18" s="143">
        <v>3185</v>
      </c>
      <c r="BL18" s="143">
        <v>3325</v>
      </c>
      <c r="BM18" s="143">
        <v>3335</v>
      </c>
      <c r="BN18" s="143">
        <v>3250</v>
      </c>
      <c r="BO18" s="143">
        <v>3485</v>
      </c>
      <c r="BP18" s="143">
        <v>3425</v>
      </c>
      <c r="BQ18" s="145">
        <v>3315</v>
      </c>
      <c r="BR18" s="145">
        <v>3290</v>
      </c>
      <c r="BS18" s="145">
        <v>3300</v>
      </c>
      <c r="BT18" s="145">
        <v>3225</v>
      </c>
      <c r="BU18" s="145">
        <v>3230</v>
      </c>
      <c r="BV18" s="145">
        <v>3215</v>
      </c>
      <c r="BW18" s="145">
        <v>3240</v>
      </c>
      <c r="BX18" s="145">
        <v>3125</v>
      </c>
      <c r="BY18" s="145">
        <v>3050</v>
      </c>
      <c r="BZ18" s="145">
        <v>3115</v>
      </c>
      <c r="CA18" s="145">
        <v>3070</v>
      </c>
      <c r="CB18" s="145">
        <v>3290</v>
      </c>
      <c r="CC18" s="145">
        <v>3295</v>
      </c>
      <c r="CD18" s="145">
        <v>3210</v>
      </c>
      <c r="CE18" s="145">
        <v>3185</v>
      </c>
      <c r="CF18" s="145">
        <v>3215</v>
      </c>
      <c r="CG18" s="145">
        <v>3150</v>
      </c>
      <c r="CH18" s="145">
        <v>3225</v>
      </c>
      <c r="CI18" s="145">
        <v>3245</v>
      </c>
      <c r="CJ18" s="145">
        <v>3235</v>
      </c>
      <c r="CK18" s="145">
        <v>3110</v>
      </c>
      <c r="CL18" s="145">
        <v>3130</v>
      </c>
      <c r="CM18" s="145">
        <v>3160</v>
      </c>
      <c r="CN18" s="145">
        <v>3120</v>
      </c>
      <c r="CO18" s="145">
        <v>3125</v>
      </c>
      <c r="CP18" s="145">
        <v>3110</v>
      </c>
      <c r="CQ18" s="145">
        <v>3135</v>
      </c>
      <c r="CR18" s="145">
        <v>3145</v>
      </c>
    </row>
    <row r="19" spans="1:96" x14ac:dyDescent="0.25">
      <c r="A19" s="379" t="str">
        <f>IPO監視一覧!H19</f>
        <v>D</v>
      </c>
      <c r="B19" s="99" t="str">
        <f>IPO監視一覧!B19</f>
        <v>ソレイジア・ファーマ</v>
      </c>
      <c r="C19" s="351">
        <f>株価一覧!E18</f>
        <v>401</v>
      </c>
      <c r="D19" s="376">
        <f t="shared" ca="1" si="0"/>
        <v>388.6</v>
      </c>
      <c r="E19" s="349">
        <f t="shared" ca="1" si="1"/>
        <v>410.1</v>
      </c>
      <c r="F19" s="350">
        <f t="shared" ca="1" si="2"/>
        <v>343</v>
      </c>
      <c r="G19" s="145">
        <v>0</v>
      </c>
      <c r="H19" s="145">
        <v>0</v>
      </c>
      <c r="I19" s="145">
        <v>0</v>
      </c>
      <c r="J19" s="145">
        <v>0</v>
      </c>
      <c r="K19" s="145">
        <v>0</v>
      </c>
      <c r="L19" s="145">
        <v>0</v>
      </c>
      <c r="M19" s="145">
        <v>0</v>
      </c>
      <c r="N19" s="145">
        <v>0</v>
      </c>
      <c r="O19" s="145">
        <v>0</v>
      </c>
      <c r="P19" s="145">
        <v>0</v>
      </c>
      <c r="Q19" s="145">
        <v>0</v>
      </c>
      <c r="R19" s="145">
        <v>0</v>
      </c>
      <c r="S19" s="145">
        <v>0</v>
      </c>
      <c r="T19" s="145">
        <v>0</v>
      </c>
      <c r="U19" s="145">
        <v>0</v>
      </c>
      <c r="V19" s="145">
        <v>0</v>
      </c>
      <c r="W19" s="145">
        <v>0</v>
      </c>
      <c r="X19" s="145">
        <v>0</v>
      </c>
      <c r="Y19" s="149">
        <v>272</v>
      </c>
      <c r="Z19" s="143">
        <v>238</v>
      </c>
      <c r="AA19" s="143">
        <v>228</v>
      </c>
      <c r="AB19" s="145">
        <v>237</v>
      </c>
      <c r="AC19" s="145">
        <v>253</v>
      </c>
      <c r="AD19" s="145">
        <v>249</v>
      </c>
      <c r="AE19" s="145">
        <v>329</v>
      </c>
      <c r="AF19" s="145">
        <v>310</v>
      </c>
      <c r="AG19" s="143">
        <v>323</v>
      </c>
      <c r="AH19" s="143">
        <v>367</v>
      </c>
      <c r="AI19" s="143">
        <v>401</v>
      </c>
      <c r="AJ19" s="143">
        <v>384</v>
      </c>
      <c r="AK19" s="143">
        <v>391</v>
      </c>
      <c r="AL19" s="143">
        <v>397</v>
      </c>
      <c r="AM19" s="143">
        <v>444</v>
      </c>
      <c r="AN19" s="143">
        <v>459</v>
      </c>
      <c r="AO19" s="143">
        <v>539</v>
      </c>
      <c r="AP19" s="143">
        <v>606</v>
      </c>
      <c r="AQ19" s="143">
        <v>594</v>
      </c>
      <c r="AR19" s="143">
        <v>558</v>
      </c>
      <c r="AS19" s="143">
        <v>470</v>
      </c>
      <c r="AT19" s="143">
        <v>540</v>
      </c>
      <c r="AU19" s="143">
        <v>549</v>
      </c>
      <c r="AV19" s="143">
        <v>530</v>
      </c>
      <c r="AW19" s="143">
        <v>500</v>
      </c>
      <c r="AX19" s="143">
        <v>524</v>
      </c>
      <c r="AY19" s="143">
        <v>600</v>
      </c>
      <c r="AZ19" s="143">
        <v>560</v>
      </c>
      <c r="BA19" s="143">
        <v>594</v>
      </c>
      <c r="BB19" s="143">
        <v>598</v>
      </c>
      <c r="BC19" s="143">
        <v>576</v>
      </c>
      <c r="BD19" s="143">
        <v>548</v>
      </c>
      <c r="BE19" s="143">
        <v>625</v>
      </c>
      <c r="BF19" s="143">
        <v>615</v>
      </c>
      <c r="BG19" s="143">
        <v>623</v>
      </c>
      <c r="BH19" s="143">
        <v>627</v>
      </c>
      <c r="BI19" s="143">
        <v>607</v>
      </c>
      <c r="BJ19" s="143">
        <v>620</v>
      </c>
      <c r="BK19" s="143">
        <v>618</v>
      </c>
      <c r="BL19" s="143">
        <v>595</v>
      </c>
      <c r="BM19" s="143">
        <v>570</v>
      </c>
      <c r="BN19" s="143">
        <v>509</v>
      </c>
      <c r="BO19" s="143">
        <v>524</v>
      </c>
      <c r="BP19" s="143">
        <v>482</v>
      </c>
      <c r="BQ19" s="145">
        <v>486</v>
      </c>
      <c r="BR19" s="145">
        <v>562</v>
      </c>
      <c r="BS19" s="145">
        <v>532</v>
      </c>
      <c r="BT19" s="145">
        <v>506</v>
      </c>
      <c r="BU19" s="145">
        <v>514</v>
      </c>
      <c r="BV19" s="145">
        <v>498</v>
      </c>
      <c r="BW19" s="145">
        <v>505</v>
      </c>
      <c r="BX19" s="145">
        <v>573</v>
      </c>
      <c r="BY19" s="145">
        <v>545</v>
      </c>
      <c r="BZ19" s="145">
        <v>540</v>
      </c>
      <c r="CA19" s="145">
        <v>520</v>
      </c>
      <c r="CB19" s="145">
        <v>524</v>
      </c>
      <c r="CC19" s="145">
        <v>539</v>
      </c>
      <c r="CD19" s="145">
        <v>521</v>
      </c>
      <c r="CE19" s="145">
        <v>503</v>
      </c>
      <c r="CF19" s="145">
        <v>498</v>
      </c>
      <c r="CG19" s="145">
        <v>483</v>
      </c>
      <c r="CH19" s="145">
        <v>480</v>
      </c>
      <c r="CI19" s="145">
        <v>498</v>
      </c>
      <c r="CJ19" s="145">
        <v>483</v>
      </c>
      <c r="CK19" s="145">
        <v>411</v>
      </c>
      <c r="CL19" s="145">
        <v>379</v>
      </c>
      <c r="CM19" s="145">
        <v>387</v>
      </c>
      <c r="CN19" s="145">
        <v>394</v>
      </c>
      <c r="CO19" s="145">
        <v>382</v>
      </c>
      <c r="CP19" s="145">
        <v>343</v>
      </c>
      <c r="CQ19" s="145">
        <v>423</v>
      </c>
      <c r="CR19" s="145">
        <v>401</v>
      </c>
    </row>
    <row r="20" spans="1:96" x14ac:dyDescent="0.25">
      <c r="A20" s="379" t="str">
        <f>IPO監視一覧!H20</f>
        <v>D</v>
      </c>
      <c r="B20" s="99" t="str">
        <f>IPO監視一覧!B20</f>
        <v>ティーケーピー</v>
      </c>
      <c r="C20" s="351">
        <f>株価一覧!E19</f>
        <v>15010</v>
      </c>
      <c r="D20" s="376">
        <f t="shared" ca="1" si="0"/>
        <v>14612</v>
      </c>
      <c r="E20" s="349">
        <f t="shared" ca="1" si="1"/>
        <v>14445</v>
      </c>
      <c r="F20" s="350">
        <f t="shared" ca="1" si="2"/>
        <v>14010</v>
      </c>
      <c r="G20" s="145">
        <v>0</v>
      </c>
      <c r="H20" s="145">
        <v>0</v>
      </c>
      <c r="I20" s="145">
        <v>0</v>
      </c>
      <c r="J20" s="145">
        <v>0</v>
      </c>
      <c r="K20" s="145">
        <v>0</v>
      </c>
      <c r="L20" s="145">
        <v>0</v>
      </c>
      <c r="M20" s="145">
        <v>0</v>
      </c>
      <c r="N20" s="145">
        <v>0</v>
      </c>
      <c r="O20" s="145">
        <v>0</v>
      </c>
      <c r="P20" s="145">
        <v>0</v>
      </c>
      <c r="Q20" s="145">
        <v>0</v>
      </c>
      <c r="R20" s="145">
        <v>0</v>
      </c>
      <c r="S20" s="145">
        <v>0</v>
      </c>
      <c r="T20" s="145">
        <v>0</v>
      </c>
      <c r="U20" s="145">
        <v>0</v>
      </c>
      <c r="V20" s="145">
        <v>0</v>
      </c>
      <c r="W20" s="145">
        <v>0</v>
      </c>
      <c r="X20" s="145">
        <v>0</v>
      </c>
      <c r="Y20" s="145">
        <v>0</v>
      </c>
      <c r="Z20" s="147">
        <v>9970</v>
      </c>
      <c r="AA20" s="143">
        <v>11460</v>
      </c>
      <c r="AB20" s="145">
        <v>11340</v>
      </c>
      <c r="AC20" s="145">
        <v>12500</v>
      </c>
      <c r="AD20" s="145">
        <v>12920</v>
      </c>
      <c r="AE20" s="145">
        <v>13410</v>
      </c>
      <c r="AF20" s="145">
        <v>11770</v>
      </c>
      <c r="AG20" s="143">
        <v>11890</v>
      </c>
      <c r="AH20" s="143">
        <v>12610</v>
      </c>
      <c r="AI20" s="143">
        <v>11900</v>
      </c>
      <c r="AJ20" s="143">
        <v>10570</v>
      </c>
      <c r="AK20" s="143">
        <v>10450</v>
      </c>
      <c r="AL20" s="143">
        <v>10030</v>
      </c>
      <c r="AM20" s="143">
        <v>11400</v>
      </c>
      <c r="AN20" s="143">
        <v>12300</v>
      </c>
      <c r="AO20" s="143">
        <v>11900</v>
      </c>
      <c r="AP20" s="143">
        <v>11870</v>
      </c>
      <c r="AQ20" s="143">
        <v>11680</v>
      </c>
      <c r="AR20" s="143">
        <v>11080</v>
      </c>
      <c r="AS20" s="143">
        <v>12610</v>
      </c>
      <c r="AT20" s="143">
        <v>12820</v>
      </c>
      <c r="AU20" s="143">
        <v>13790</v>
      </c>
      <c r="AV20" s="143">
        <v>14200</v>
      </c>
      <c r="AW20" s="143">
        <v>14050</v>
      </c>
      <c r="AX20" s="143">
        <v>13690</v>
      </c>
      <c r="AY20" s="143">
        <v>13330</v>
      </c>
      <c r="AZ20" s="143">
        <v>14210</v>
      </c>
      <c r="BA20" s="143">
        <v>14000</v>
      </c>
      <c r="BB20" s="143">
        <v>13770</v>
      </c>
      <c r="BC20" s="143">
        <v>13850</v>
      </c>
      <c r="BD20" s="143">
        <v>13770</v>
      </c>
      <c r="BE20" s="143">
        <v>13400</v>
      </c>
      <c r="BF20" s="143">
        <v>14750</v>
      </c>
      <c r="BG20" s="143">
        <v>14760</v>
      </c>
      <c r="BH20" s="143">
        <v>14770</v>
      </c>
      <c r="BI20" s="143">
        <v>15090</v>
      </c>
      <c r="BJ20" s="143">
        <v>15200</v>
      </c>
      <c r="BK20" s="143">
        <v>15050</v>
      </c>
      <c r="BL20" s="143">
        <v>14820</v>
      </c>
      <c r="BM20" s="143">
        <v>14910</v>
      </c>
      <c r="BN20" s="143">
        <v>14750</v>
      </c>
      <c r="BO20" s="143">
        <v>14970</v>
      </c>
      <c r="BP20" s="143">
        <v>14760</v>
      </c>
      <c r="BQ20" s="145">
        <v>15390</v>
      </c>
      <c r="BR20" s="145">
        <v>14730</v>
      </c>
      <c r="BS20" s="145">
        <v>14810</v>
      </c>
      <c r="BT20" s="145">
        <v>14520</v>
      </c>
      <c r="BU20" s="145">
        <v>14280</v>
      </c>
      <c r="BV20" s="145">
        <v>14180</v>
      </c>
      <c r="BW20" s="145">
        <v>14580</v>
      </c>
      <c r="BX20" s="145">
        <v>14210</v>
      </c>
      <c r="BY20" s="145">
        <v>14540</v>
      </c>
      <c r="BZ20" s="145">
        <v>14680</v>
      </c>
      <c r="CA20" s="145">
        <v>15290</v>
      </c>
      <c r="CB20" s="145">
        <v>15300</v>
      </c>
      <c r="CC20" s="145">
        <v>14910</v>
      </c>
      <c r="CD20" s="145">
        <v>14750</v>
      </c>
      <c r="CE20" s="145">
        <v>14670</v>
      </c>
      <c r="CF20" s="145">
        <v>14770</v>
      </c>
      <c r="CG20" s="145">
        <v>14570</v>
      </c>
      <c r="CH20" s="145">
        <v>14710</v>
      </c>
      <c r="CI20" s="145">
        <v>14560</v>
      </c>
      <c r="CJ20" s="145">
        <v>14350</v>
      </c>
      <c r="CK20" s="145">
        <v>14110</v>
      </c>
      <c r="CL20" s="145">
        <v>14010</v>
      </c>
      <c r="CM20" s="145">
        <v>14360</v>
      </c>
      <c r="CN20" s="145">
        <v>14600</v>
      </c>
      <c r="CO20" s="145">
        <v>14430</v>
      </c>
      <c r="CP20" s="145">
        <v>14580</v>
      </c>
      <c r="CQ20" s="145">
        <v>14440</v>
      </c>
      <c r="CR20" s="145">
        <v>15010</v>
      </c>
    </row>
    <row r="21" spans="1:96" x14ac:dyDescent="0.25">
      <c r="A21" s="379" t="str">
        <f>IPO監視一覧!H21</f>
        <v>D</v>
      </c>
      <c r="B21" s="99" t="str">
        <f>IPO監視一覧!B21</f>
        <v>ズーム</v>
      </c>
      <c r="C21" s="351">
        <f>株価一覧!E20</f>
        <v>1807</v>
      </c>
      <c r="D21" s="376">
        <f t="shared" ca="1" si="0"/>
        <v>1771.8</v>
      </c>
      <c r="E21" s="349">
        <f t="shared" ca="1" si="1"/>
        <v>1758.4</v>
      </c>
      <c r="F21" s="350">
        <f t="shared" ca="1" si="2"/>
        <v>1699</v>
      </c>
      <c r="G21" s="145">
        <v>0</v>
      </c>
      <c r="H21" s="145">
        <v>0</v>
      </c>
      <c r="I21" s="145">
        <v>0</v>
      </c>
      <c r="J21" s="145">
        <v>0</v>
      </c>
      <c r="K21" s="145">
        <v>0</v>
      </c>
      <c r="L21" s="145">
        <v>0</v>
      </c>
      <c r="M21" s="145">
        <v>0</v>
      </c>
      <c r="N21" s="145">
        <v>0</v>
      </c>
      <c r="O21" s="145">
        <v>0</v>
      </c>
      <c r="P21" s="145">
        <v>0</v>
      </c>
      <c r="Q21" s="145">
        <v>0</v>
      </c>
      <c r="R21" s="145">
        <v>0</v>
      </c>
      <c r="S21" s="145">
        <v>0</v>
      </c>
      <c r="T21" s="145">
        <v>0</v>
      </c>
      <c r="U21" s="145">
        <v>0</v>
      </c>
      <c r="V21" s="145">
        <v>0</v>
      </c>
      <c r="W21" s="145">
        <v>0</v>
      </c>
      <c r="X21" s="145">
        <v>0</v>
      </c>
      <c r="Y21" s="145">
        <v>0</v>
      </c>
      <c r="Z21" s="145">
        <v>0</v>
      </c>
      <c r="AA21" s="147">
        <v>1885</v>
      </c>
      <c r="AB21" s="145">
        <v>1820</v>
      </c>
      <c r="AC21" s="145">
        <v>1835</v>
      </c>
      <c r="AD21" s="145">
        <v>1812</v>
      </c>
      <c r="AE21" s="145">
        <v>1769</v>
      </c>
      <c r="AF21" s="145">
        <v>1636</v>
      </c>
      <c r="AG21" s="143">
        <v>1600</v>
      </c>
      <c r="AH21" s="143">
        <v>1685</v>
      </c>
      <c r="AI21" s="143">
        <v>1610</v>
      </c>
      <c r="AJ21" s="143">
        <v>1518</v>
      </c>
      <c r="AK21" s="143">
        <v>1500</v>
      </c>
      <c r="AL21" s="143">
        <v>1446</v>
      </c>
      <c r="AM21" s="143">
        <v>1447</v>
      </c>
      <c r="AN21" s="143">
        <v>1516</v>
      </c>
      <c r="AO21" s="143">
        <v>1530</v>
      </c>
      <c r="AP21" s="143">
        <v>1669</v>
      </c>
      <c r="AQ21" s="143">
        <v>1594</v>
      </c>
      <c r="AR21" s="143">
        <v>1540</v>
      </c>
      <c r="AS21" s="143">
        <v>1545</v>
      </c>
      <c r="AT21" s="143">
        <v>1575</v>
      </c>
      <c r="AU21" s="143">
        <v>1630</v>
      </c>
      <c r="AV21" s="143">
        <v>1606</v>
      </c>
      <c r="AW21" s="143">
        <v>1625</v>
      </c>
      <c r="AX21" s="143">
        <v>1623</v>
      </c>
      <c r="AY21" s="143">
        <v>1739</v>
      </c>
      <c r="AZ21" s="143">
        <v>1660</v>
      </c>
      <c r="BA21" s="143">
        <v>1599</v>
      </c>
      <c r="BB21" s="143">
        <v>1619</v>
      </c>
      <c r="BC21" s="143">
        <v>1607</v>
      </c>
      <c r="BD21" s="143">
        <v>1625</v>
      </c>
      <c r="BE21" s="143">
        <v>1680</v>
      </c>
      <c r="BF21" s="143">
        <v>1699</v>
      </c>
      <c r="BG21" s="143">
        <v>1695</v>
      </c>
      <c r="BH21" s="143">
        <v>1725</v>
      </c>
      <c r="BI21" s="143">
        <v>1761</v>
      </c>
      <c r="BJ21" s="143">
        <v>1837</v>
      </c>
      <c r="BK21" s="143">
        <v>1810</v>
      </c>
      <c r="BL21" s="143">
        <v>1952</v>
      </c>
      <c r="BM21" s="143">
        <v>1940</v>
      </c>
      <c r="BN21" s="143">
        <v>1890</v>
      </c>
      <c r="BO21" s="143">
        <v>1836</v>
      </c>
      <c r="BP21" s="143">
        <v>1943</v>
      </c>
      <c r="BQ21" s="145">
        <v>1915</v>
      </c>
      <c r="BR21" s="145">
        <v>1925</v>
      </c>
      <c r="BS21" s="145">
        <v>2020</v>
      </c>
      <c r="BT21" s="145">
        <v>2009</v>
      </c>
      <c r="BU21" s="145">
        <v>2002</v>
      </c>
      <c r="BV21" s="145">
        <v>1993</v>
      </c>
      <c r="BW21" s="145">
        <v>1991</v>
      </c>
      <c r="BX21" s="145">
        <v>1978</v>
      </c>
      <c r="BY21" s="145">
        <v>1904</v>
      </c>
      <c r="BZ21" s="145">
        <v>1902</v>
      </c>
      <c r="CA21" s="145">
        <v>1890</v>
      </c>
      <c r="CB21" s="145">
        <v>1969</v>
      </c>
      <c r="CC21" s="145">
        <v>1985</v>
      </c>
      <c r="CD21" s="145">
        <v>1931</v>
      </c>
      <c r="CE21" s="145">
        <v>1924</v>
      </c>
      <c r="CF21" s="145">
        <v>1924</v>
      </c>
      <c r="CG21" s="145">
        <v>1842</v>
      </c>
      <c r="CH21" s="145">
        <v>1798</v>
      </c>
      <c r="CI21" s="145">
        <v>1813</v>
      </c>
      <c r="CJ21" s="145">
        <v>1755</v>
      </c>
      <c r="CK21" s="145">
        <v>1750</v>
      </c>
      <c r="CL21" s="145">
        <v>1699</v>
      </c>
      <c r="CM21" s="145">
        <v>1708</v>
      </c>
      <c r="CN21" s="145">
        <v>1710</v>
      </c>
      <c r="CO21" s="145">
        <v>1799</v>
      </c>
      <c r="CP21" s="145">
        <v>1777</v>
      </c>
      <c r="CQ21" s="145">
        <v>1766</v>
      </c>
      <c r="CR21" s="145">
        <v>1807</v>
      </c>
    </row>
    <row r="22" spans="1:96" x14ac:dyDescent="0.25">
      <c r="A22" s="379" t="str">
        <f>IPO監視一覧!H22</f>
        <v>A</v>
      </c>
      <c r="B22" s="99" t="str">
        <f>IPO監視一覧!B22</f>
        <v>Ｎｏ．１</v>
      </c>
      <c r="C22" s="351">
        <f>株価一覧!E21</f>
        <v>2750</v>
      </c>
      <c r="D22" s="376">
        <f t="shared" ca="1" si="0"/>
        <v>2723.2</v>
      </c>
      <c r="E22" s="349">
        <f t="shared" ca="1" si="1"/>
        <v>2724.8</v>
      </c>
      <c r="F22" s="350">
        <f t="shared" ca="1" si="2"/>
        <v>2659</v>
      </c>
      <c r="G22" s="145">
        <v>0</v>
      </c>
      <c r="H22" s="145">
        <v>0</v>
      </c>
      <c r="I22" s="145">
        <v>0</v>
      </c>
      <c r="J22" s="145">
        <v>0</v>
      </c>
      <c r="K22" s="145">
        <v>0</v>
      </c>
      <c r="L22" s="145">
        <v>0</v>
      </c>
      <c r="M22" s="145">
        <v>0</v>
      </c>
      <c r="N22" s="145">
        <v>0</v>
      </c>
      <c r="O22" s="145">
        <v>0</v>
      </c>
      <c r="P22" s="145">
        <v>0</v>
      </c>
      <c r="Q22" s="145">
        <v>0</v>
      </c>
      <c r="R22" s="145">
        <v>0</v>
      </c>
      <c r="S22" s="145">
        <v>0</v>
      </c>
      <c r="T22" s="145">
        <v>0</v>
      </c>
      <c r="U22" s="145">
        <v>0</v>
      </c>
      <c r="V22" s="145">
        <v>0</v>
      </c>
      <c r="W22" s="145">
        <v>0</v>
      </c>
      <c r="X22" s="145">
        <v>0</v>
      </c>
      <c r="Y22" s="145">
        <v>0</v>
      </c>
      <c r="Z22" s="145">
        <v>0</v>
      </c>
      <c r="AA22" s="147">
        <v>3220</v>
      </c>
      <c r="AB22" s="145">
        <v>3920</v>
      </c>
      <c r="AC22" s="145">
        <v>3650</v>
      </c>
      <c r="AD22" s="145">
        <v>3525</v>
      </c>
      <c r="AE22" s="145">
        <v>3480</v>
      </c>
      <c r="AF22" s="145">
        <v>2914</v>
      </c>
      <c r="AG22" s="143">
        <v>2800</v>
      </c>
      <c r="AH22" s="143">
        <v>2750</v>
      </c>
      <c r="AI22" s="143">
        <v>2694</v>
      </c>
      <c r="AJ22" s="143">
        <v>2525</v>
      </c>
      <c r="AK22" s="143">
        <v>2517</v>
      </c>
      <c r="AL22" s="143">
        <v>2455</v>
      </c>
      <c r="AM22" s="143">
        <v>2486</v>
      </c>
      <c r="AN22" s="143">
        <v>2674</v>
      </c>
      <c r="AO22" s="143">
        <v>2650</v>
      </c>
      <c r="AP22" s="143">
        <v>2701</v>
      </c>
      <c r="AQ22" s="143">
        <v>2656</v>
      </c>
      <c r="AR22" s="143">
        <v>2463</v>
      </c>
      <c r="AS22" s="143">
        <v>2505</v>
      </c>
      <c r="AT22" s="143">
        <v>2565</v>
      </c>
      <c r="AU22" s="143">
        <v>2575</v>
      </c>
      <c r="AV22" s="143">
        <v>2654</v>
      </c>
      <c r="AW22" s="143">
        <v>2700</v>
      </c>
      <c r="AX22" s="143">
        <v>2660</v>
      </c>
      <c r="AY22" s="143">
        <v>2682</v>
      </c>
      <c r="AZ22" s="143">
        <v>2628</v>
      </c>
      <c r="BA22" s="143">
        <v>2581</v>
      </c>
      <c r="BB22" s="143">
        <v>2557</v>
      </c>
      <c r="BC22" s="143">
        <v>2555</v>
      </c>
      <c r="BD22" s="143">
        <v>2755</v>
      </c>
      <c r="BE22" s="143">
        <v>2976</v>
      </c>
      <c r="BF22" s="143">
        <v>2811</v>
      </c>
      <c r="BG22" s="143">
        <v>2719</v>
      </c>
      <c r="BH22" s="143">
        <v>3030</v>
      </c>
      <c r="BI22" s="143">
        <v>3320</v>
      </c>
      <c r="BJ22" s="143">
        <v>3230</v>
      </c>
      <c r="BK22" s="143">
        <v>3315</v>
      </c>
      <c r="BL22" s="143">
        <v>3270</v>
      </c>
      <c r="BM22" s="143">
        <v>3125</v>
      </c>
      <c r="BN22" s="143">
        <v>2985</v>
      </c>
      <c r="BO22" s="143">
        <v>3000</v>
      </c>
      <c r="BP22" s="143">
        <v>2969</v>
      </c>
      <c r="BQ22" s="145">
        <v>3080</v>
      </c>
      <c r="BR22" s="145">
        <v>3010</v>
      </c>
      <c r="BS22" s="145">
        <v>2995</v>
      </c>
      <c r="BT22" s="145">
        <v>2907</v>
      </c>
      <c r="BU22" s="145">
        <v>2864</v>
      </c>
      <c r="BV22" s="145">
        <v>2940</v>
      </c>
      <c r="BW22" s="145">
        <v>2860</v>
      </c>
      <c r="BX22" s="145">
        <v>2843</v>
      </c>
      <c r="BY22" s="145">
        <v>2837</v>
      </c>
      <c r="BZ22" s="145">
        <v>2836</v>
      </c>
      <c r="CA22" s="145">
        <v>2738</v>
      </c>
      <c r="CB22" s="145">
        <v>2718</v>
      </c>
      <c r="CC22" s="145">
        <v>2781</v>
      </c>
      <c r="CD22" s="145">
        <v>2813</v>
      </c>
      <c r="CE22" s="145">
        <v>2848</v>
      </c>
      <c r="CF22" s="145">
        <v>2801</v>
      </c>
      <c r="CG22" s="145">
        <v>2766</v>
      </c>
      <c r="CH22" s="145">
        <v>2828</v>
      </c>
      <c r="CI22" s="145">
        <v>2807</v>
      </c>
      <c r="CJ22" s="145">
        <v>2741</v>
      </c>
      <c r="CK22" s="145">
        <v>2725</v>
      </c>
      <c r="CL22" s="145">
        <v>2659</v>
      </c>
      <c r="CM22" s="145">
        <v>2700</v>
      </c>
      <c r="CN22" s="145">
        <v>2737</v>
      </c>
      <c r="CO22" s="145">
        <v>2709</v>
      </c>
      <c r="CP22" s="145">
        <v>2720</v>
      </c>
      <c r="CQ22" s="145">
        <v>2700</v>
      </c>
      <c r="CR22" s="145">
        <v>2750</v>
      </c>
    </row>
    <row r="23" spans="1:96" x14ac:dyDescent="0.25">
      <c r="A23" s="379" t="str">
        <f>IPO監視一覧!H23</f>
        <v>D</v>
      </c>
      <c r="B23" s="99" t="str">
        <f>IPO監視一覧!B23</f>
        <v>オークネット</v>
      </c>
      <c r="C23" s="351">
        <f>株価一覧!E22</f>
        <v>1414</v>
      </c>
      <c r="D23" s="376">
        <f t="shared" ca="1" si="0"/>
        <v>1395</v>
      </c>
      <c r="E23" s="349">
        <f t="shared" ca="1" si="1"/>
        <v>1391.4</v>
      </c>
      <c r="F23" s="350">
        <f t="shared" ca="1" si="2"/>
        <v>1384</v>
      </c>
      <c r="G23" s="145">
        <v>0</v>
      </c>
      <c r="H23" s="145">
        <v>0</v>
      </c>
      <c r="I23" s="145">
        <v>0</v>
      </c>
      <c r="J23" s="145">
        <v>0</v>
      </c>
      <c r="K23" s="145">
        <v>0</v>
      </c>
      <c r="L23" s="145">
        <v>0</v>
      </c>
      <c r="M23" s="145">
        <v>0</v>
      </c>
      <c r="N23" s="145">
        <v>0</v>
      </c>
      <c r="O23" s="145">
        <v>0</v>
      </c>
      <c r="P23" s="145">
        <v>0</v>
      </c>
      <c r="Q23" s="145">
        <v>0</v>
      </c>
      <c r="R23" s="145">
        <v>0</v>
      </c>
      <c r="S23" s="145">
        <v>0</v>
      </c>
      <c r="T23" s="145">
        <v>0</v>
      </c>
      <c r="U23" s="145">
        <v>0</v>
      </c>
      <c r="V23" s="145">
        <v>0</v>
      </c>
      <c r="W23" s="145">
        <v>0</v>
      </c>
      <c r="X23" s="145">
        <v>0</v>
      </c>
      <c r="Y23" s="145">
        <v>0</v>
      </c>
      <c r="Z23" s="145">
        <v>0</v>
      </c>
      <c r="AA23" s="145">
        <v>0</v>
      </c>
      <c r="AB23" s="149">
        <v>1235</v>
      </c>
      <c r="AC23" s="145">
        <v>1283</v>
      </c>
      <c r="AD23" s="145">
        <v>1233</v>
      </c>
      <c r="AE23" s="145">
        <v>1230</v>
      </c>
      <c r="AF23" s="145">
        <v>1216</v>
      </c>
      <c r="AG23" s="143">
        <v>1193</v>
      </c>
      <c r="AH23" s="143">
        <v>1247</v>
      </c>
      <c r="AI23" s="143">
        <v>1265</v>
      </c>
      <c r="AJ23" s="143">
        <v>1275</v>
      </c>
      <c r="AK23" s="143">
        <v>1325</v>
      </c>
      <c r="AL23" s="143">
        <v>1290</v>
      </c>
      <c r="AM23" s="143">
        <v>1295</v>
      </c>
      <c r="AN23" s="143">
        <v>1279</v>
      </c>
      <c r="AO23" s="143">
        <v>1302</v>
      </c>
      <c r="AP23" s="143">
        <v>1299</v>
      </c>
      <c r="AQ23" s="143">
        <v>1300</v>
      </c>
      <c r="AR23" s="143">
        <v>1306</v>
      </c>
      <c r="AS23" s="143">
        <v>1301</v>
      </c>
      <c r="AT23" s="143">
        <v>1305</v>
      </c>
      <c r="AU23" s="143">
        <v>1333</v>
      </c>
      <c r="AV23" s="143">
        <v>1345</v>
      </c>
      <c r="AW23" s="143">
        <v>1311</v>
      </c>
      <c r="AX23" s="143">
        <v>1270</v>
      </c>
      <c r="AY23" s="143">
        <v>1285</v>
      </c>
      <c r="AZ23" s="143">
        <v>1274</v>
      </c>
      <c r="BA23" s="143">
        <v>1266</v>
      </c>
      <c r="BB23" s="143">
        <v>1274</v>
      </c>
      <c r="BC23" s="143">
        <v>1272</v>
      </c>
      <c r="BD23" s="143">
        <v>1295</v>
      </c>
      <c r="BE23" s="143">
        <v>1274</v>
      </c>
      <c r="BF23" s="143">
        <v>1375</v>
      </c>
      <c r="BG23" s="143">
        <v>1367</v>
      </c>
      <c r="BH23" s="143">
        <v>1359</v>
      </c>
      <c r="BI23" s="143">
        <v>1350</v>
      </c>
      <c r="BJ23" s="143">
        <v>1400</v>
      </c>
      <c r="BK23" s="143">
        <v>1421</v>
      </c>
      <c r="BL23" s="143">
        <v>1424</v>
      </c>
      <c r="BM23" s="143">
        <v>1444</v>
      </c>
      <c r="BN23" s="143">
        <v>1423</v>
      </c>
      <c r="BO23" s="143">
        <v>1440</v>
      </c>
      <c r="BP23" s="143">
        <v>1406</v>
      </c>
      <c r="BQ23" s="145">
        <v>1390</v>
      </c>
      <c r="BR23" s="145">
        <v>1387</v>
      </c>
      <c r="BS23" s="145">
        <v>1381</v>
      </c>
      <c r="BT23" s="145">
        <v>1361</v>
      </c>
      <c r="BU23" s="145">
        <v>1372</v>
      </c>
      <c r="BV23" s="145">
        <v>1359</v>
      </c>
      <c r="BW23" s="145">
        <v>1364</v>
      </c>
      <c r="BX23" s="145">
        <v>1356</v>
      </c>
      <c r="BY23" s="145">
        <v>1340</v>
      </c>
      <c r="BZ23" s="145">
        <v>1333</v>
      </c>
      <c r="CA23" s="145">
        <v>1306</v>
      </c>
      <c r="CB23" s="145">
        <v>1324</v>
      </c>
      <c r="CC23" s="145">
        <v>1330</v>
      </c>
      <c r="CD23" s="145">
        <v>1333</v>
      </c>
      <c r="CE23" s="145">
        <v>1311</v>
      </c>
      <c r="CF23" s="145">
        <v>1335</v>
      </c>
      <c r="CG23" s="145">
        <v>1339</v>
      </c>
      <c r="CH23" s="145">
        <v>1351</v>
      </c>
      <c r="CI23" s="145">
        <v>1343</v>
      </c>
      <c r="CJ23" s="145">
        <v>1395</v>
      </c>
      <c r="CK23" s="145">
        <v>1402</v>
      </c>
      <c r="CL23" s="145">
        <v>1395</v>
      </c>
      <c r="CM23" s="145">
        <v>1404</v>
      </c>
      <c r="CN23" s="145">
        <v>1385</v>
      </c>
      <c r="CO23" s="145">
        <v>1397</v>
      </c>
      <c r="CP23" s="145">
        <v>1395</v>
      </c>
      <c r="CQ23" s="145">
        <v>1384</v>
      </c>
      <c r="CR23" s="145">
        <v>1414</v>
      </c>
    </row>
    <row r="24" spans="1:96" x14ac:dyDescent="0.25">
      <c r="A24" s="379" t="str">
        <f>IPO監視一覧!H24</f>
        <v>D</v>
      </c>
      <c r="B24" s="99" t="str">
        <f>IPO監視一覧!B24</f>
        <v>スシローグローバルHD</v>
      </c>
      <c r="C24" s="351">
        <f>株価一覧!E23</f>
        <v>3345</v>
      </c>
      <c r="D24" s="376">
        <f t="shared" ca="1" si="0"/>
        <v>3314</v>
      </c>
      <c r="E24" s="349">
        <f t="shared" ca="1" si="1"/>
        <v>3317.5</v>
      </c>
      <c r="F24" s="350">
        <f t="shared" ca="1" si="2"/>
        <v>3295</v>
      </c>
      <c r="G24" s="145">
        <v>0</v>
      </c>
      <c r="H24" s="145">
        <v>0</v>
      </c>
      <c r="I24" s="145">
        <v>0</v>
      </c>
      <c r="J24" s="145">
        <v>0</v>
      </c>
      <c r="K24" s="145">
        <v>0</v>
      </c>
      <c r="L24" s="145">
        <v>0</v>
      </c>
      <c r="M24" s="145">
        <v>0</v>
      </c>
      <c r="N24" s="145">
        <v>0</v>
      </c>
      <c r="O24" s="145">
        <v>0</v>
      </c>
      <c r="P24" s="145">
        <v>0</v>
      </c>
      <c r="Q24" s="145">
        <v>0</v>
      </c>
      <c r="R24" s="145">
        <v>0</v>
      </c>
      <c r="S24" s="145">
        <v>0</v>
      </c>
      <c r="T24" s="145">
        <v>0</v>
      </c>
      <c r="U24" s="145">
        <v>0</v>
      </c>
      <c r="V24" s="145">
        <v>0</v>
      </c>
      <c r="W24" s="145">
        <v>0</v>
      </c>
      <c r="X24" s="145">
        <v>0</v>
      </c>
      <c r="Y24" s="145">
        <v>0</v>
      </c>
      <c r="Z24" s="145">
        <v>0</v>
      </c>
      <c r="AA24" s="145">
        <v>0</v>
      </c>
      <c r="AB24" s="145">
        <v>0</v>
      </c>
      <c r="AC24" s="149">
        <v>3410</v>
      </c>
      <c r="AD24" s="145">
        <v>3495</v>
      </c>
      <c r="AE24" s="145">
        <v>3515</v>
      </c>
      <c r="AF24" s="145">
        <v>3415</v>
      </c>
      <c r="AG24" s="143">
        <v>3415</v>
      </c>
      <c r="AH24" s="143">
        <v>3495</v>
      </c>
      <c r="AI24" s="143">
        <v>3540</v>
      </c>
      <c r="AJ24" s="143">
        <v>3525</v>
      </c>
      <c r="AK24" s="143">
        <v>3555</v>
      </c>
      <c r="AL24" s="143">
        <v>3545</v>
      </c>
      <c r="AM24" s="143">
        <v>3545</v>
      </c>
      <c r="AN24" s="143">
        <v>3590</v>
      </c>
      <c r="AO24" s="143">
        <v>3570</v>
      </c>
      <c r="AP24" s="143">
        <v>3525</v>
      </c>
      <c r="AQ24" s="143">
        <v>3515</v>
      </c>
      <c r="AR24" s="143">
        <v>3475</v>
      </c>
      <c r="AS24" s="143">
        <v>3435</v>
      </c>
      <c r="AT24" s="143">
        <v>3465</v>
      </c>
      <c r="AU24" s="143">
        <v>3535</v>
      </c>
      <c r="AV24" s="143">
        <v>3615</v>
      </c>
      <c r="AW24" s="143">
        <v>3595</v>
      </c>
      <c r="AX24" s="143">
        <v>3595</v>
      </c>
      <c r="AY24" s="143">
        <v>3550</v>
      </c>
      <c r="AZ24" s="143">
        <v>3480</v>
      </c>
      <c r="BA24" s="143">
        <v>3490</v>
      </c>
      <c r="BB24" s="143">
        <v>3555</v>
      </c>
      <c r="BC24" s="143">
        <v>3550</v>
      </c>
      <c r="BD24" s="143">
        <v>3535</v>
      </c>
      <c r="BE24" s="143">
        <v>3470</v>
      </c>
      <c r="BF24" s="143">
        <v>3455</v>
      </c>
      <c r="BG24" s="143">
        <v>3435</v>
      </c>
      <c r="BH24" s="143">
        <v>3435</v>
      </c>
      <c r="BI24" s="143">
        <v>3440</v>
      </c>
      <c r="BJ24" s="143">
        <v>3445</v>
      </c>
      <c r="BK24" s="143">
        <v>3445</v>
      </c>
      <c r="BL24" s="143">
        <v>3435</v>
      </c>
      <c r="BM24" s="143">
        <v>3425</v>
      </c>
      <c r="BN24" s="143">
        <v>3410</v>
      </c>
      <c r="BO24" s="143">
        <v>3395</v>
      </c>
      <c r="BP24" s="143">
        <v>3375</v>
      </c>
      <c r="BQ24" s="145">
        <v>3320</v>
      </c>
      <c r="BR24" s="145">
        <v>3315</v>
      </c>
      <c r="BS24" s="145">
        <v>3250</v>
      </c>
      <c r="BT24" s="145">
        <v>3295</v>
      </c>
      <c r="BU24" s="145">
        <v>3330</v>
      </c>
      <c r="BV24" s="145">
        <v>3400</v>
      </c>
      <c r="BW24" s="145">
        <v>3340</v>
      </c>
      <c r="BX24" s="145">
        <v>3275</v>
      </c>
      <c r="BY24" s="145">
        <v>3300</v>
      </c>
      <c r="BZ24" s="145">
        <v>3300</v>
      </c>
      <c r="CA24" s="145">
        <v>3325</v>
      </c>
      <c r="CB24" s="145">
        <v>3370</v>
      </c>
      <c r="CC24" s="145">
        <v>3410</v>
      </c>
      <c r="CD24" s="145">
        <v>3360</v>
      </c>
      <c r="CE24" s="145">
        <v>3340</v>
      </c>
      <c r="CF24" s="145">
        <v>3300</v>
      </c>
      <c r="CG24" s="145">
        <v>3340</v>
      </c>
      <c r="CH24" s="145">
        <v>3335</v>
      </c>
      <c r="CI24" s="145">
        <v>3315</v>
      </c>
      <c r="CJ24" s="145">
        <v>3325</v>
      </c>
      <c r="CK24" s="145">
        <v>3320</v>
      </c>
      <c r="CL24" s="145">
        <v>3310</v>
      </c>
      <c r="CM24" s="145">
        <v>3335</v>
      </c>
      <c r="CN24" s="145">
        <v>3300</v>
      </c>
      <c r="CO24" s="145">
        <v>3295</v>
      </c>
      <c r="CP24" s="145">
        <v>3295</v>
      </c>
      <c r="CQ24" s="145">
        <v>3335</v>
      </c>
      <c r="CR24" s="145">
        <v>3345</v>
      </c>
    </row>
    <row r="25" spans="1:96" x14ac:dyDescent="0.25">
      <c r="A25" s="379" t="str">
        <f>IPO監視一覧!H25</f>
        <v>A</v>
      </c>
      <c r="B25" s="99" t="str">
        <f>IPO監視一覧!B25</f>
        <v>ユーザーローカル</v>
      </c>
      <c r="C25" s="351">
        <f>株価一覧!E24</f>
        <v>8450</v>
      </c>
      <c r="D25" s="376">
        <f t="shared" ca="1" si="0"/>
        <v>8496</v>
      </c>
      <c r="E25" s="349">
        <f t="shared" ca="1" si="1"/>
        <v>8564</v>
      </c>
      <c r="F25" s="350">
        <f t="shared" ca="1" si="2"/>
        <v>8400</v>
      </c>
      <c r="G25" s="145">
        <v>0</v>
      </c>
      <c r="H25" s="145">
        <v>0</v>
      </c>
      <c r="I25" s="145">
        <v>0</v>
      </c>
      <c r="J25" s="145">
        <v>0</v>
      </c>
      <c r="K25" s="145">
        <v>0</v>
      </c>
      <c r="L25" s="145">
        <v>0</v>
      </c>
      <c r="M25" s="145">
        <v>0</v>
      </c>
      <c r="N25" s="145">
        <v>0</v>
      </c>
      <c r="O25" s="145">
        <v>0</v>
      </c>
      <c r="P25" s="145">
        <v>0</v>
      </c>
      <c r="Q25" s="145">
        <v>0</v>
      </c>
      <c r="R25" s="145">
        <v>0</v>
      </c>
      <c r="S25" s="145">
        <v>0</v>
      </c>
      <c r="T25" s="145">
        <v>0</v>
      </c>
      <c r="U25" s="145">
        <v>0</v>
      </c>
      <c r="V25" s="145">
        <v>0</v>
      </c>
      <c r="W25" s="145">
        <v>0</v>
      </c>
      <c r="X25" s="145">
        <v>0</v>
      </c>
      <c r="Y25" s="145">
        <v>0</v>
      </c>
      <c r="Z25" s="145">
        <v>0</v>
      </c>
      <c r="AA25" s="145">
        <v>0</v>
      </c>
      <c r="AB25" s="145">
        <v>0</v>
      </c>
      <c r="AC25" s="148">
        <v>0</v>
      </c>
      <c r="AD25" s="149">
        <v>12470</v>
      </c>
      <c r="AE25" s="145">
        <v>11400</v>
      </c>
      <c r="AF25" s="145">
        <v>10960</v>
      </c>
      <c r="AG25" s="143">
        <v>10400</v>
      </c>
      <c r="AH25" s="143">
        <v>9620</v>
      </c>
      <c r="AI25" s="143">
        <v>8600</v>
      </c>
      <c r="AJ25" s="143">
        <v>7680</v>
      </c>
      <c r="AK25" s="143">
        <v>8400</v>
      </c>
      <c r="AL25" s="143">
        <v>7920</v>
      </c>
      <c r="AM25" s="143">
        <v>8220</v>
      </c>
      <c r="AN25" s="143">
        <v>8890</v>
      </c>
      <c r="AO25" s="143">
        <v>8720</v>
      </c>
      <c r="AP25" s="143">
        <v>10220</v>
      </c>
      <c r="AQ25" s="143">
        <v>9330</v>
      </c>
      <c r="AR25" s="143">
        <v>8770</v>
      </c>
      <c r="AS25" s="143">
        <v>9390</v>
      </c>
      <c r="AT25" s="143">
        <v>9570</v>
      </c>
      <c r="AU25" s="143">
        <v>9310</v>
      </c>
      <c r="AV25" s="143">
        <v>9400</v>
      </c>
      <c r="AW25" s="143">
        <v>9370</v>
      </c>
      <c r="AX25" s="143">
        <v>9490</v>
      </c>
      <c r="AY25" s="143">
        <v>9420</v>
      </c>
      <c r="AZ25" s="143">
        <v>9080</v>
      </c>
      <c r="BA25" s="143">
        <v>9000</v>
      </c>
      <c r="BB25" s="143">
        <v>9220</v>
      </c>
      <c r="BC25" s="143">
        <v>8930</v>
      </c>
      <c r="BD25" s="143">
        <v>8750</v>
      </c>
      <c r="BE25" s="143">
        <v>8610</v>
      </c>
      <c r="BF25" s="143">
        <v>8570</v>
      </c>
      <c r="BG25" s="143">
        <v>8280</v>
      </c>
      <c r="BH25" s="143">
        <v>8290</v>
      </c>
      <c r="BI25" s="143">
        <v>8270</v>
      </c>
      <c r="BJ25" s="143">
        <v>8610</v>
      </c>
      <c r="BK25" s="143">
        <v>10110</v>
      </c>
      <c r="BL25" s="143">
        <v>10140</v>
      </c>
      <c r="BM25" s="143">
        <v>9850</v>
      </c>
      <c r="BN25" s="143">
        <v>9890</v>
      </c>
      <c r="BO25" s="143">
        <v>9390</v>
      </c>
      <c r="BP25" s="143">
        <v>9290</v>
      </c>
      <c r="BQ25" s="145">
        <v>9090</v>
      </c>
      <c r="BR25" s="145">
        <v>9680</v>
      </c>
      <c r="BS25" s="145">
        <v>9570</v>
      </c>
      <c r="BT25" s="145">
        <v>9370</v>
      </c>
      <c r="BU25" s="145">
        <v>9290</v>
      </c>
      <c r="BV25" s="145">
        <v>9200</v>
      </c>
      <c r="BW25" s="145">
        <v>9260</v>
      </c>
      <c r="BX25" s="145">
        <v>9000</v>
      </c>
      <c r="BY25" s="145">
        <v>8850</v>
      </c>
      <c r="BZ25" s="145">
        <v>8740</v>
      </c>
      <c r="CA25" s="145">
        <v>8580</v>
      </c>
      <c r="CB25" s="145">
        <v>8710</v>
      </c>
      <c r="CC25" s="145">
        <v>8950</v>
      </c>
      <c r="CD25" s="145">
        <v>9110</v>
      </c>
      <c r="CE25" s="145">
        <v>9150</v>
      </c>
      <c r="CF25" s="145">
        <v>9100</v>
      </c>
      <c r="CG25" s="145">
        <v>8740</v>
      </c>
      <c r="CH25" s="145">
        <v>8820</v>
      </c>
      <c r="CI25" s="145">
        <v>8880</v>
      </c>
      <c r="CJ25" s="145">
        <v>8560</v>
      </c>
      <c r="CK25" s="145">
        <v>8710</v>
      </c>
      <c r="CL25" s="145">
        <v>8580</v>
      </c>
      <c r="CM25" s="145">
        <v>8430</v>
      </c>
      <c r="CN25" s="145">
        <v>8600</v>
      </c>
      <c r="CO25" s="145">
        <v>8550</v>
      </c>
      <c r="CP25" s="145">
        <v>8480</v>
      </c>
      <c r="CQ25" s="145">
        <v>8400</v>
      </c>
      <c r="CR25" s="145">
        <v>8450</v>
      </c>
    </row>
    <row r="26" spans="1:96" x14ac:dyDescent="0.25">
      <c r="A26" s="379" t="str">
        <f>IPO監視一覧!H26</f>
        <v>B</v>
      </c>
      <c r="B26" s="99" t="str">
        <f>IPO監視一覧!B26</f>
        <v>ネットマーケティング</v>
      </c>
      <c r="C26" s="351">
        <f>株価一覧!E25</f>
        <v>1244</v>
      </c>
      <c r="D26" s="376">
        <f t="shared" ca="1" si="0"/>
        <v>1196.2</v>
      </c>
      <c r="E26" s="349">
        <f t="shared" ca="1" si="1"/>
        <v>1236.5999999999999</v>
      </c>
      <c r="F26" s="350">
        <f t="shared" ca="1" si="2"/>
        <v>1163</v>
      </c>
      <c r="G26" s="145">
        <v>0</v>
      </c>
      <c r="H26" s="145">
        <v>0</v>
      </c>
      <c r="I26" s="145">
        <v>0</v>
      </c>
      <c r="J26" s="145">
        <v>0</v>
      </c>
      <c r="K26" s="145">
        <v>0</v>
      </c>
      <c r="L26" s="145">
        <v>0</v>
      </c>
      <c r="M26" s="145">
        <v>0</v>
      </c>
      <c r="N26" s="145">
        <v>0</v>
      </c>
      <c r="O26" s="145">
        <v>0</v>
      </c>
      <c r="P26" s="145">
        <v>0</v>
      </c>
      <c r="Q26" s="145">
        <v>0</v>
      </c>
      <c r="R26" s="145">
        <v>0</v>
      </c>
      <c r="S26" s="145">
        <v>0</v>
      </c>
      <c r="T26" s="145">
        <v>0</v>
      </c>
      <c r="U26" s="145">
        <v>0</v>
      </c>
      <c r="V26" s="145">
        <v>0</v>
      </c>
      <c r="W26" s="145">
        <v>0</v>
      </c>
      <c r="X26" s="145">
        <v>0</v>
      </c>
      <c r="Y26" s="145">
        <v>0</v>
      </c>
      <c r="Z26" s="145">
        <v>0</v>
      </c>
      <c r="AA26" s="145">
        <v>0</v>
      </c>
      <c r="AB26" s="145">
        <v>0</v>
      </c>
      <c r="AC26" s="148">
        <v>0</v>
      </c>
      <c r="AD26" s="149">
        <v>1630</v>
      </c>
      <c r="AE26" s="145">
        <v>1530</v>
      </c>
      <c r="AF26" s="145">
        <v>1446</v>
      </c>
      <c r="AG26" s="143">
        <v>1310</v>
      </c>
      <c r="AH26" s="143">
        <v>1205</v>
      </c>
      <c r="AI26" s="143">
        <v>1240</v>
      </c>
      <c r="AJ26" s="143">
        <v>1115</v>
      </c>
      <c r="AK26" s="143">
        <v>1123</v>
      </c>
      <c r="AL26" s="143">
        <v>1300</v>
      </c>
      <c r="AM26" s="143">
        <v>1411</v>
      </c>
      <c r="AN26" s="143">
        <v>1370</v>
      </c>
      <c r="AO26" s="143">
        <v>1377</v>
      </c>
      <c r="AP26" s="143">
        <v>1440</v>
      </c>
      <c r="AQ26" s="143">
        <v>1345</v>
      </c>
      <c r="AR26" s="143">
        <v>1305</v>
      </c>
      <c r="AS26" s="143">
        <v>1311</v>
      </c>
      <c r="AT26" s="143">
        <v>1360</v>
      </c>
      <c r="AU26" s="143">
        <v>1329</v>
      </c>
      <c r="AV26" s="143">
        <v>1294</v>
      </c>
      <c r="AW26" s="143">
        <v>1336</v>
      </c>
      <c r="AX26" s="143">
        <v>1393</v>
      </c>
      <c r="AY26" s="143">
        <v>1469</v>
      </c>
      <c r="AZ26" s="143">
        <v>1470</v>
      </c>
      <c r="BA26" s="143">
        <v>1405</v>
      </c>
      <c r="BB26" s="143">
        <v>1340</v>
      </c>
      <c r="BC26" s="143">
        <v>1349</v>
      </c>
      <c r="BD26" s="143">
        <v>1369</v>
      </c>
      <c r="BE26" s="143">
        <v>1383</v>
      </c>
      <c r="BF26" s="143">
        <v>1357</v>
      </c>
      <c r="BG26" s="143">
        <v>1325</v>
      </c>
      <c r="BH26" s="143">
        <v>1318</v>
      </c>
      <c r="BI26" s="143">
        <v>1368</v>
      </c>
      <c r="BJ26" s="143">
        <v>1438</v>
      </c>
      <c r="BK26" s="143">
        <v>1435</v>
      </c>
      <c r="BL26" s="143">
        <v>1400</v>
      </c>
      <c r="BM26" s="143">
        <v>1342</v>
      </c>
      <c r="BN26" s="143">
        <v>1336</v>
      </c>
      <c r="BO26" s="143">
        <v>1331</v>
      </c>
      <c r="BP26" s="143">
        <v>1346</v>
      </c>
      <c r="BQ26" s="145">
        <v>1343</v>
      </c>
      <c r="BR26" s="145">
        <v>1336</v>
      </c>
      <c r="BS26" s="145">
        <v>1384</v>
      </c>
      <c r="BT26" s="145">
        <v>1420</v>
      </c>
      <c r="BU26" s="145">
        <v>1555</v>
      </c>
      <c r="BV26" s="145">
        <v>1511</v>
      </c>
      <c r="BW26" s="145">
        <v>1650</v>
      </c>
      <c r="BX26" s="145">
        <v>1520</v>
      </c>
      <c r="BY26" s="145">
        <v>1491</v>
      </c>
      <c r="BZ26" s="145">
        <v>1476</v>
      </c>
      <c r="CA26" s="145">
        <v>1448</v>
      </c>
      <c r="CB26" s="145">
        <v>1439</v>
      </c>
      <c r="CC26" s="145">
        <v>1462</v>
      </c>
      <c r="CD26" s="145">
        <v>1478</v>
      </c>
      <c r="CE26" s="145">
        <v>1446</v>
      </c>
      <c r="CF26" s="145">
        <v>1372</v>
      </c>
      <c r="CG26" s="145">
        <v>1340</v>
      </c>
      <c r="CH26" s="145">
        <v>1319</v>
      </c>
      <c r="CI26" s="145">
        <v>1316</v>
      </c>
      <c r="CJ26" s="145">
        <v>1296</v>
      </c>
      <c r="CK26" s="145">
        <v>1277</v>
      </c>
      <c r="CL26" s="145">
        <v>1273</v>
      </c>
      <c r="CM26" s="145">
        <v>1223</v>
      </c>
      <c r="CN26" s="145">
        <v>1190</v>
      </c>
      <c r="CO26" s="145">
        <v>1207</v>
      </c>
      <c r="CP26" s="145">
        <v>1177</v>
      </c>
      <c r="CQ26" s="145">
        <v>1163</v>
      </c>
      <c r="CR26" s="145">
        <v>1244</v>
      </c>
    </row>
    <row r="27" spans="1:96" x14ac:dyDescent="0.25">
      <c r="A27" s="379" t="str">
        <f>IPO監視一覧!H27</f>
        <v>A</v>
      </c>
      <c r="B27" s="99" t="str">
        <f>IPO監視一覧!B27</f>
        <v>テモナ</v>
      </c>
      <c r="C27" s="351">
        <f>株価一覧!E26</f>
        <v>6500</v>
      </c>
      <c r="D27" s="376">
        <f t="shared" ca="1" si="0"/>
        <v>6560</v>
      </c>
      <c r="E27" s="349">
        <f t="shared" ca="1" si="1"/>
        <v>6606</v>
      </c>
      <c r="F27" s="350">
        <f t="shared" ca="1" si="2"/>
        <v>6320</v>
      </c>
      <c r="G27" s="145">
        <v>0</v>
      </c>
      <c r="H27" s="145">
        <v>0</v>
      </c>
      <c r="I27" s="145">
        <v>0</v>
      </c>
      <c r="J27" s="145">
        <v>0</v>
      </c>
      <c r="K27" s="145">
        <v>0</v>
      </c>
      <c r="L27" s="145">
        <v>0</v>
      </c>
      <c r="M27" s="145">
        <v>0</v>
      </c>
      <c r="N27" s="145">
        <v>0</v>
      </c>
      <c r="O27" s="145">
        <v>0</v>
      </c>
      <c r="P27" s="145">
        <v>0</v>
      </c>
      <c r="Q27" s="145">
        <v>0</v>
      </c>
      <c r="R27" s="145">
        <v>0</v>
      </c>
      <c r="S27" s="145">
        <v>0</v>
      </c>
      <c r="T27" s="145">
        <v>0</v>
      </c>
      <c r="U27" s="145">
        <v>0</v>
      </c>
      <c r="V27" s="145">
        <v>0</v>
      </c>
      <c r="W27" s="145">
        <v>0</v>
      </c>
      <c r="X27" s="145">
        <v>0</v>
      </c>
      <c r="Y27" s="145">
        <v>0</v>
      </c>
      <c r="Z27" s="145">
        <v>0</v>
      </c>
      <c r="AA27" s="145">
        <v>0</v>
      </c>
      <c r="AB27" s="145">
        <v>0</v>
      </c>
      <c r="AC27" s="145">
        <v>0</v>
      </c>
      <c r="AD27" s="145">
        <v>0</v>
      </c>
      <c r="AE27" s="145">
        <v>0</v>
      </c>
      <c r="AF27" s="145">
        <v>0</v>
      </c>
      <c r="AG27" s="147">
        <v>7800</v>
      </c>
      <c r="AH27" s="143">
        <v>7200</v>
      </c>
      <c r="AI27" s="143">
        <v>6460</v>
      </c>
      <c r="AJ27" s="143">
        <v>5840</v>
      </c>
      <c r="AK27" s="143">
        <v>5900</v>
      </c>
      <c r="AL27" s="143">
        <v>5280</v>
      </c>
      <c r="AM27" s="143">
        <v>5510</v>
      </c>
      <c r="AN27" s="143">
        <v>5980</v>
      </c>
      <c r="AO27" s="143">
        <v>5930</v>
      </c>
      <c r="AP27" s="143">
        <v>6930</v>
      </c>
      <c r="AQ27" s="143">
        <v>7930</v>
      </c>
      <c r="AR27" s="143">
        <v>6940</v>
      </c>
      <c r="AS27" s="143">
        <v>7940</v>
      </c>
      <c r="AT27" s="143">
        <v>8150</v>
      </c>
      <c r="AU27" s="143">
        <v>8100</v>
      </c>
      <c r="AV27" s="143">
        <v>9600</v>
      </c>
      <c r="AW27" s="143">
        <v>9150</v>
      </c>
      <c r="AX27" s="143">
        <v>9490</v>
      </c>
      <c r="AY27" s="143">
        <v>9250</v>
      </c>
      <c r="AZ27" s="143">
        <v>8690</v>
      </c>
      <c r="BA27" s="143">
        <v>8100</v>
      </c>
      <c r="BB27" s="143">
        <v>8450</v>
      </c>
      <c r="BC27" s="143">
        <v>8600</v>
      </c>
      <c r="BD27" s="143">
        <v>8260</v>
      </c>
      <c r="BE27" s="143">
        <v>8000</v>
      </c>
      <c r="BF27" s="143">
        <v>8130</v>
      </c>
      <c r="BG27" s="143">
        <v>7950</v>
      </c>
      <c r="BH27" s="143">
        <v>8370</v>
      </c>
      <c r="BI27" s="143">
        <v>8750</v>
      </c>
      <c r="BJ27" s="143">
        <v>8350</v>
      </c>
      <c r="BK27" s="143">
        <v>9090</v>
      </c>
      <c r="BL27" s="143">
        <v>9250</v>
      </c>
      <c r="BM27" s="143">
        <v>8900</v>
      </c>
      <c r="BN27" s="143">
        <v>8520</v>
      </c>
      <c r="BO27" s="143">
        <v>8280</v>
      </c>
      <c r="BP27" s="143">
        <v>8120</v>
      </c>
      <c r="BQ27" s="145">
        <v>8100</v>
      </c>
      <c r="BR27" s="145">
        <v>7880</v>
      </c>
      <c r="BS27" s="145">
        <v>8080</v>
      </c>
      <c r="BT27" s="145">
        <v>7790</v>
      </c>
      <c r="BU27" s="145">
        <v>7780</v>
      </c>
      <c r="BV27" s="145">
        <v>7850</v>
      </c>
      <c r="BW27" s="145">
        <v>7850</v>
      </c>
      <c r="BX27" s="145">
        <v>7890</v>
      </c>
      <c r="BY27" s="145">
        <v>7630</v>
      </c>
      <c r="BZ27" s="145">
        <v>7300</v>
      </c>
      <c r="CA27" s="145">
        <v>7070</v>
      </c>
      <c r="CB27" s="145">
        <v>7200</v>
      </c>
      <c r="CC27" s="145">
        <v>7130</v>
      </c>
      <c r="CD27" s="145">
        <v>7020</v>
      </c>
      <c r="CE27" s="145">
        <v>6900</v>
      </c>
      <c r="CF27" s="145">
        <v>7650</v>
      </c>
      <c r="CG27" s="145">
        <v>7090</v>
      </c>
      <c r="CH27" s="145">
        <v>7000</v>
      </c>
      <c r="CI27" s="145">
        <v>7130</v>
      </c>
      <c r="CJ27" s="145">
        <v>6800</v>
      </c>
      <c r="CK27" s="145">
        <v>6560</v>
      </c>
      <c r="CL27" s="145">
        <v>6320</v>
      </c>
      <c r="CM27" s="145">
        <v>6450</v>
      </c>
      <c r="CN27" s="145">
        <v>6410</v>
      </c>
      <c r="CO27" s="145">
        <v>6630</v>
      </c>
      <c r="CP27" s="145">
        <v>6660</v>
      </c>
      <c r="CQ27" s="145">
        <v>6600</v>
      </c>
      <c r="CR27" s="145">
        <v>6500</v>
      </c>
    </row>
    <row r="28" spans="1:96" x14ac:dyDescent="0.25">
      <c r="A28" s="379" t="str">
        <f>IPO監視一覧!H28</f>
        <v>D</v>
      </c>
      <c r="B28" s="99" t="str">
        <f>IPO監視一覧!B28</f>
        <v>ウェーブロックHD</v>
      </c>
      <c r="C28" s="351">
        <f>株価一覧!E27</f>
        <v>1134</v>
      </c>
      <c r="D28" s="376">
        <f t="shared" ca="1" si="0"/>
        <v>1156.2</v>
      </c>
      <c r="E28" s="349">
        <f t="shared" ca="1" si="1"/>
        <v>1153.8</v>
      </c>
      <c r="F28" s="350">
        <f t="shared" ca="1" si="2"/>
        <v>1112</v>
      </c>
      <c r="G28" s="145">
        <v>0</v>
      </c>
      <c r="H28" s="145">
        <v>0</v>
      </c>
      <c r="I28" s="145">
        <v>0</v>
      </c>
      <c r="J28" s="145">
        <v>0</v>
      </c>
      <c r="K28" s="145">
        <v>0</v>
      </c>
      <c r="L28" s="145">
        <v>0</v>
      </c>
      <c r="M28" s="145">
        <v>0</v>
      </c>
      <c r="N28" s="145">
        <v>0</v>
      </c>
      <c r="O28" s="145">
        <v>0</v>
      </c>
      <c r="P28" s="145">
        <v>0</v>
      </c>
      <c r="Q28" s="145">
        <v>0</v>
      </c>
      <c r="R28" s="145">
        <v>0</v>
      </c>
      <c r="S28" s="145">
        <v>0</v>
      </c>
      <c r="T28" s="145">
        <v>0</v>
      </c>
      <c r="U28" s="145">
        <v>0</v>
      </c>
      <c r="V28" s="145">
        <v>0</v>
      </c>
      <c r="W28" s="145">
        <v>0</v>
      </c>
      <c r="X28" s="145">
        <v>0</v>
      </c>
      <c r="Y28" s="145">
        <v>0</v>
      </c>
      <c r="Z28" s="145">
        <v>0</v>
      </c>
      <c r="AA28" s="145">
        <v>0</v>
      </c>
      <c r="AB28" s="145">
        <v>0</v>
      </c>
      <c r="AC28" s="145">
        <v>0</v>
      </c>
      <c r="AD28" s="145">
        <v>0</v>
      </c>
      <c r="AE28" s="145">
        <v>0</v>
      </c>
      <c r="AF28" s="145">
        <v>0</v>
      </c>
      <c r="AG28" s="143">
        <v>0</v>
      </c>
      <c r="AH28" s="147">
        <v>693</v>
      </c>
      <c r="AI28" s="143">
        <v>655</v>
      </c>
      <c r="AJ28" s="143">
        <v>634</v>
      </c>
      <c r="AK28" s="143">
        <v>661</v>
      </c>
      <c r="AL28" s="143">
        <v>632</v>
      </c>
      <c r="AM28" s="143">
        <v>636</v>
      </c>
      <c r="AN28" s="143">
        <v>651</v>
      </c>
      <c r="AO28" s="143">
        <v>662</v>
      </c>
      <c r="AP28" s="143">
        <v>698</v>
      </c>
      <c r="AQ28" s="143">
        <v>675</v>
      </c>
      <c r="AR28" s="143">
        <v>671</v>
      </c>
      <c r="AS28" s="143">
        <v>688</v>
      </c>
      <c r="AT28" s="143">
        <v>694</v>
      </c>
      <c r="AU28" s="143">
        <v>692</v>
      </c>
      <c r="AV28" s="143">
        <v>681</v>
      </c>
      <c r="AW28" s="143">
        <v>690</v>
      </c>
      <c r="AX28" s="143">
        <v>704</v>
      </c>
      <c r="AY28" s="143">
        <v>718</v>
      </c>
      <c r="AZ28" s="143">
        <v>724</v>
      </c>
      <c r="BA28" s="143">
        <v>715</v>
      </c>
      <c r="BB28" s="143">
        <v>865</v>
      </c>
      <c r="BC28" s="143">
        <v>881</v>
      </c>
      <c r="BD28" s="143">
        <v>1031</v>
      </c>
      <c r="BE28" s="143">
        <v>1007</v>
      </c>
      <c r="BF28" s="143">
        <v>1000</v>
      </c>
      <c r="BG28" s="143">
        <v>956</v>
      </c>
      <c r="BH28" s="143">
        <v>914</v>
      </c>
      <c r="BI28" s="143">
        <v>944</v>
      </c>
      <c r="BJ28" s="143">
        <v>941</v>
      </c>
      <c r="BK28" s="143">
        <v>1091</v>
      </c>
      <c r="BL28" s="143">
        <v>1070</v>
      </c>
      <c r="BM28" s="143">
        <v>1234</v>
      </c>
      <c r="BN28" s="143">
        <v>1193</v>
      </c>
      <c r="BO28" s="143">
        <v>1227</v>
      </c>
      <c r="BP28" s="143">
        <v>1182</v>
      </c>
      <c r="BQ28" s="145">
        <v>1170</v>
      </c>
      <c r="BR28" s="145">
        <v>1108</v>
      </c>
      <c r="BS28" s="145">
        <v>1179</v>
      </c>
      <c r="BT28" s="145">
        <v>1199</v>
      </c>
      <c r="BU28" s="145">
        <v>1225</v>
      </c>
      <c r="BV28" s="145">
        <v>1172</v>
      </c>
      <c r="BW28" s="145">
        <v>1178</v>
      </c>
      <c r="BX28" s="145">
        <v>1160</v>
      </c>
      <c r="BY28" s="145">
        <v>1209</v>
      </c>
      <c r="BZ28" s="145">
        <v>1260</v>
      </c>
      <c r="CA28" s="145">
        <v>1280</v>
      </c>
      <c r="CB28" s="145">
        <v>1226</v>
      </c>
      <c r="CC28" s="145">
        <v>1230</v>
      </c>
      <c r="CD28" s="145">
        <v>1268</v>
      </c>
      <c r="CE28" s="145">
        <v>1310</v>
      </c>
      <c r="CF28" s="145">
        <v>1348</v>
      </c>
      <c r="CG28" s="145">
        <v>1260</v>
      </c>
      <c r="CH28" s="145">
        <v>1275</v>
      </c>
      <c r="CI28" s="145">
        <v>1249</v>
      </c>
      <c r="CJ28" s="145">
        <v>1138</v>
      </c>
      <c r="CK28" s="145">
        <v>1118</v>
      </c>
      <c r="CL28" s="145">
        <v>1112</v>
      </c>
      <c r="CM28" s="145">
        <v>1140</v>
      </c>
      <c r="CN28" s="145">
        <v>1170</v>
      </c>
      <c r="CO28" s="145">
        <v>1180</v>
      </c>
      <c r="CP28" s="145">
        <v>1148</v>
      </c>
      <c r="CQ28" s="145">
        <v>1149</v>
      </c>
      <c r="CR28" s="145">
        <v>1134</v>
      </c>
    </row>
    <row r="29" spans="1:96" x14ac:dyDescent="0.25">
      <c r="A29" s="379" t="str">
        <f>IPO監視一覧!H29</f>
        <v>D</v>
      </c>
      <c r="B29" s="99" t="str">
        <f>IPO監視一覧!B29</f>
        <v>LIXILビバ</v>
      </c>
      <c r="C29" s="351">
        <f>株価一覧!E28</f>
        <v>2003</v>
      </c>
      <c r="D29" s="376">
        <f t="shared" ca="1" si="0"/>
        <v>2009.2</v>
      </c>
      <c r="E29" s="349">
        <f t="shared" ca="1" si="1"/>
        <v>2010.9</v>
      </c>
      <c r="F29" s="350">
        <f t="shared" ca="1" si="2"/>
        <v>2000</v>
      </c>
      <c r="G29" s="145">
        <v>0</v>
      </c>
      <c r="H29" s="145">
        <v>0</v>
      </c>
      <c r="I29" s="145">
        <v>0</v>
      </c>
      <c r="J29" s="145">
        <v>0</v>
      </c>
      <c r="K29" s="145">
        <v>0</v>
      </c>
      <c r="L29" s="145">
        <v>0</v>
      </c>
      <c r="M29" s="145">
        <v>0</v>
      </c>
      <c r="N29" s="145">
        <v>0</v>
      </c>
      <c r="O29" s="145">
        <v>0</v>
      </c>
      <c r="P29" s="145">
        <v>0</v>
      </c>
      <c r="Q29" s="145">
        <v>0</v>
      </c>
      <c r="R29" s="145">
        <v>0</v>
      </c>
      <c r="S29" s="145">
        <v>0</v>
      </c>
      <c r="T29" s="145">
        <v>0</v>
      </c>
      <c r="U29" s="145">
        <v>0</v>
      </c>
      <c r="V29" s="145">
        <v>0</v>
      </c>
      <c r="W29" s="145">
        <v>0</v>
      </c>
      <c r="X29" s="145">
        <v>0</v>
      </c>
      <c r="Y29" s="145">
        <v>0</v>
      </c>
      <c r="Z29" s="145">
        <v>0</v>
      </c>
      <c r="AA29" s="145">
        <v>0</v>
      </c>
      <c r="AB29" s="145">
        <v>0</v>
      </c>
      <c r="AC29" s="145">
        <v>0</v>
      </c>
      <c r="AD29" s="145">
        <v>0</v>
      </c>
      <c r="AE29" s="145">
        <v>0</v>
      </c>
      <c r="AF29" s="145">
        <v>0</v>
      </c>
      <c r="AG29" s="143">
        <v>0</v>
      </c>
      <c r="AH29" s="143">
        <v>0</v>
      </c>
      <c r="AI29" s="143">
        <v>0</v>
      </c>
      <c r="AJ29" s="147">
        <v>2055</v>
      </c>
      <c r="AK29" s="143">
        <v>2068</v>
      </c>
      <c r="AL29" s="143">
        <v>2072</v>
      </c>
      <c r="AM29" s="143">
        <v>2067</v>
      </c>
      <c r="AN29" s="143">
        <v>2072</v>
      </c>
      <c r="AO29" s="143">
        <v>2075</v>
      </c>
      <c r="AP29" s="143">
        <v>2027</v>
      </c>
      <c r="AQ29" s="143">
        <v>2037</v>
      </c>
      <c r="AR29" s="143">
        <v>2049</v>
      </c>
      <c r="AS29" s="143">
        <v>2043</v>
      </c>
      <c r="AT29" s="143">
        <v>2034</v>
      </c>
      <c r="AU29" s="143">
        <v>2016</v>
      </c>
      <c r="AV29" s="143">
        <v>2006</v>
      </c>
      <c r="AW29" s="143">
        <v>1991</v>
      </c>
      <c r="AX29" s="143">
        <v>2017</v>
      </c>
      <c r="AY29" s="143">
        <v>2024</v>
      </c>
      <c r="AZ29" s="143">
        <v>2029</v>
      </c>
      <c r="BA29" s="143">
        <v>2047</v>
      </c>
      <c r="BB29" s="143">
        <v>2079</v>
      </c>
      <c r="BC29" s="143">
        <v>2075</v>
      </c>
      <c r="BD29" s="143">
        <v>2080</v>
      </c>
      <c r="BE29" s="143">
        <v>2094</v>
      </c>
      <c r="BF29" s="143">
        <v>2070</v>
      </c>
      <c r="BG29" s="143">
        <v>2068</v>
      </c>
      <c r="BH29" s="143">
        <v>2054</v>
      </c>
      <c r="BI29" s="143">
        <v>2070</v>
      </c>
      <c r="BJ29" s="143">
        <v>2079</v>
      </c>
      <c r="BK29" s="143">
        <v>2097</v>
      </c>
      <c r="BL29" s="143">
        <v>2083</v>
      </c>
      <c r="BM29" s="143">
        <v>2077</v>
      </c>
      <c r="BN29" s="143">
        <v>2070</v>
      </c>
      <c r="BO29" s="143">
        <v>2066</v>
      </c>
      <c r="BP29" s="143">
        <v>2057</v>
      </c>
      <c r="BQ29" s="145">
        <v>2050</v>
      </c>
      <c r="BR29" s="145">
        <v>2011</v>
      </c>
      <c r="BS29" s="145">
        <v>1992</v>
      </c>
      <c r="BT29" s="145">
        <v>2047</v>
      </c>
      <c r="BU29" s="145">
        <v>2021</v>
      </c>
      <c r="BV29" s="145">
        <v>2037</v>
      </c>
      <c r="BW29" s="145">
        <v>2001</v>
      </c>
      <c r="BX29" s="145">
        <v>2026</v>
      </c>
      <c r="BY29" s="145">
        <v>2023</v>
      </c>
      <c r="BZ29" s="145">
        <v>2027</v>
      </c>
      <c r="CA29" s="145">
        <v>2057</v>
      </c>
      <c r="CB29" s="145">
        <v>2045</v>
      </c>
      <c r="CC29" s="145">
        <v>2035</v>
      </c>
      <c r="CD29" s="145">
        <v>2050</v>
      </c>
      <c r="CE29" s="145">
        <v>2038</v>
      </c>
      <c r="CF29" s="145">
        <v>2033</v>
      </c>
      <c r="CG29" s="145">
        <v>2013</v>
      </c>
      <c r="CH29" s="145">
        <v>2000</v>
      </c>
      <c r="CI29" s="145">
        <v>2009</v>
      </c>
      <c r="CJ29" s="145">
        <v>2003</v>
      </c>
      <c r="CK29" s="145">
        <v>2008</v>
      </c>
      <c r="CL29" s="145">
        <v>2027</v>
      </c>
      <c r="CM29" s="145">
        <v>2016</v>
      </c>
      <c r="CN29" s="145">
        <v>2017</v>
      </c>
      <c r="CO29" s="145">
        <v>2011</v>
      </c>
      <c r="CP29" s="145">
        <v>2015</v>
      </c>
      <c r="CQ29" s="145">
        <v>2000</v>
      </c>
      <c r="CR29" s="145">
        <v>2003</v>
      </c>
    </row>
    <row r="30" spans="1:96" x14ac:dyDescent="0.25">
      <c r="A30" s="379" t="str">
        <f>IPO監視一覧!H30</f>
        <v>B</v>
      </c>
      <c r="B30" s="99" t="str">
        <f>IPO監視一覧!B30</f>
        <v>旅工房</v>
      </c>
      <c r="C30" s="351">
        <f>株価一覧!E29</f>
        <v>3555</v>
      </c>
      <c r="D30" s="376">
        <f t="shared" ca="1" si="0"/>
        <v>3616</v>
      </c>
      <c r="E30" s="349">
        <f t="shared" ca="1" si="1"/>
        <v>3740.5</v>
      </c>
      <c r="F30" s="350">
        <f t="shared" ca="1" si="2"/>
        <v>3555</v>
      </c>
      <c r="G30" s="145">
        <v>0</v>
      </c>
      <c r="H30" s="145">
        <v>0</v>
      </c>
      <c r="I30" s="145">
        <v>0</v>
      </c>
      <c r="J30" s="145">
        <v>0</v>
      </c>
      <c r="K30" s="145">
        <v>0</v>
      </c>
      <c r="L30" s="145">
        <v>0</v>
      </c>
      <c r="M30" s="145">
        <v>0</v>
      </c>
      <c r="N30" s="145">
        <v>0</v>
      </c>
      <c r="O30" s="145">
        <v>0</v>
      </c>
      <c r="P30" s="145">
        <v>0</v>
      </c>
      <c r="Q30" s="145">
        <v>0</v>
      </c>
      <c r="R30" s="145">
        <v>0</v>
      </c>
      <c r="S30" s="145">
        <v>0</v>
      </c>
      <c r="T30" s="145">
        <v>0</v>
      </c>
      <c r="U30" s="145">
        <v>0</v>
      </c>
      <c r="V30" s="145">
        <v>0</v>
      </c>
      <c r="W30" s="145">
        <v>0</v>
      </c>
      <c r="X30" s="145">
        <v>0</v>
      </c>
      <c r="Y30" s="145">
        <v>0</v>
      </c>
      <c r="Z30" s="145">
        <v>0</v>
      </c>
      <c r="AA30" s="145">
        <v>0</v>
      </c>
      <c r="AB30" s="145">
        <v>0</v>
      </c>
      <c r="AC30" s="145">
        <v>0</v>
      </c>
      <c r="AD30" s="145">
        <v>0</v>
      </c>
      <c r="AE30" s="145">
        <v>0</v>
      </c>
      <c r="AF30" s="145">
        <v>0</v>
      </c>
      <c r="AG30" s="145">
        <v>0</v>
      </c>
      <c r="AH30" s="145">
        <v>0</v>
      </c>
      <c r="AI30" s="145">
        <v>0</v>
      </c>
      <c r="AJ30" s="145">
        <v>0</v>
      </c>
      <c r="AK30" s="145">
        <v>0</v>
      </c>
      <c r="AL30" s="145">
        <v>0</v>
      </c>
      <c r="AM30" s="145">
        <v>0</v>
      </c>
      <c r="AN30" s="143">
        <v>0</v>
      </c>
      <c r="AO30" s="147">
        <v>4140</v>
      </c>
      <c r="AP30" s="143">
        <v>4840</v>
      </c>
      <c r="AQ30" s="143">
        <v>4995</v>
      </c>
      <c r="AR30" s="143">
        <v>4295</v>
      </c>
      <c r="AS30" s="143">
        <v>4995</v>
      </c>
      <c r="AT30" s="143">
        <v>4935</v>
      </c>
      <c r="AU30" s="143">
        <v>5070</v>
      </c>
      <c r="AV30" s="143">
        <v>4870</v>
      </c>
      <c r="AW30" s="143">
        <v>4630</v>
      </c>
      <c r="AX30" s="143">
        <v>4700</v>
      </c>
      <c r="AY30" s="143">
        <v>4720</v>
      </c>
      <c r="AZ30" s="143">
        <v>4600</v>
      </c>
      <c r="BA30" s="143">
        <v>4770</v>
      </c>
      <c r="BB30" s="143">
        <v>4680</v>
      </c>
      <c r="BC30" s="143">
        <v>4635</v>
      </c>
      <c r="BD30" s="143">
        <v>4290</v>
      </c>
      <c r="BE30" s="143">
        <v>4335</v>
      </c>
      <c r="BF30" s="143">
        <v>4380</v>
      </c>
      <c r="BG30" s="143">
        <v>4195</v>
      </c>
      <c r="BH30" s="143">
        <v>4175</v>
      </c>
      <c r="BI30" s="143">
        <v>4070</v>
      </c>
      <c r="BJ30" s="143">
        <v>4175</v>
      </c>
      <c r="BK30" s="143">
        <v>4425</v>
      </c>
      <c r="BL30" s="143">
        <v>4410</v>
      </c>
      <c r="BM30" s="143">
        <v>4240</v>
      </c>
      <c r="BN30" s="143">
        <v>4125</v>
      </c>
      <c r="BO30" s="143">
        <v>4075</v>
      </c>
      <c r="BP30" s="143">
        <v>4090</v>
      </c>
      <c r="BQ30" s="145">
        <v>4145</v>
      </c>
      <c r="BR30" s="145">
        <v>4065</v>
      </c>
      <c r="BS30" s="145">
        <v>4010</v>
      </c>
      <c r="BT30" s="145">
        <v>3885</v>
      </c>
      <c r="BU30" s="145">
        <v>3875</v>
      </c>
      <c r="BV30" s="145">
        <v>3815</v>
      </c>
      <c r="BW30" s="145">
        <v>3780</v>
      </c>
      <c r="BX30" s="145">
        <v>3610</v>
      </c>
      <c r="BY30" s="145">
        <v>3560</v>
      </c>
      <c r="BZ30" s="145">
        <v>3620</v>
      </c>
      <c r="CA30" s="145">
        <v>3655</v>
      </c>
      <c r="CB30" s="145">
        <v>3625</v>
      </c>
      <c r="CC30" s="145">
        <v>3645</v>
      </c>
      <c r="CD30" s="145">
        <v>3615</v>
      </c>
      <c r="CE30" s="145">
        <v>3625</v>
      </c>
      <c r="CF30" s="145">
        <v>3865</v>
      </c>
      <c r="CG30" s="145">
        <v>3885</v>
      </c>
      <c r="CH30" s="145">
        <v>3975</v>
      </c>
      <c r="CI30" s="145">
        <v>4000</v>
      </c>
      <c r="CJ30" s="145">
        <v>3945</v>
      </c>
      <c r="CK30" s="145">
        <v>3830</v>
      </c>
      <c r="CL30" s="145">
        <v>3755</v>
      </c>
      <c r="CM30" s="145">
        <v>3795</v>
      </c>
      <c r="CN30" s="145">
        <v>3675</v>
      </c>
      <c r="CO30" s="145">
        <v>3650</v>
      </c>
      <c r="CP30" s="145">
        <v>3610</v>
      </c>
      <c r="CQ30" s="145">
        <v>3590</v>
      </c>
      <c r="CR30" s="145">
        <v>3555</v>
      </c>
    </row>
    <row r="31" spans="1:96" x14ac:dyDescent="0.25">
      <c r="A31" s="379" t="str">
        <f>IPO監視一覧!H31</f>
        <v>A</v>
      </c>
      <c r="B31" s="99" t="str">
        <f>IPO監視一覧!B31</f>
        <v>アセンテック</v>
      </c>
      <c r="C31" s="351">
        <f>株価一覧!E30</f>
        <v>5750</v>
      </c>
      <c r="D31" s="376">
        <f t="shared" ca="1" si="0"/>
        <v>5882</v>
      </c>
      <c r="E31" s="349">
        <f t="shared" ca="1" si="1"/>
        <v>6006</v>
      </c>
      <c r="F31" s="350">
        <f t="shared" ca="1" si="2"/>
        <v>5750</v>
      </c>
      <c r="G31" s="145">
        <v>0</v>
      </c>
      <c r="H31" s="145">
        <v>0</v>
      </c>
      <c r="I31" s="145">
        <v>0</v>
      </c>
      <c r="J31" s="145">
        <v>0</v>
      </c>
      <c r="K31" s="145">
        <v>0</v>
      </c>
      <c r="L31" s="145">
        <v>0</v>
      </c>
      <c r="M31" s="145">
        <v>0</v>
      </c>
      <c r="N31" s="145">
        <v>0</v>
      </c>
      <c r="O31" s="145">
        <v>0</v>
      </c>
      <c r="P31" s="145">
        <v>0</v>
      </c>
      <c r="Q31" s="145">
        <v>0</v>
      </c>
      <c r="R31" s="145">
        <v>0</v>
      </c>
      <c r="S31" s="145">
        <v>0</v>
      </c>
      <c r="T31" s="145">
        <v>0</v>
      </c>
      <c r="U31" s="145">
        <v>0</v>
      </c>
      <c r="V31" s="145">
        <v>0</v>
      </c>
      <c r="W31" s="145">
        <v>0</v>
      </c>
      <c r="X31" s="145">
        <v>0</v>
      </c>
      <c r="Y31" s="145">
        <v>0</v>
      </c>
      <c r="Z31" s="145">
        <v>0</v>
      </c>
      <c r="AA31" s="145">
        <v>0</v>
      </c>
      <c r="AB31" s="145">
        <v>0</v>
      </c>
      <c r="AC31" s="145">
        <v>0</v>
      </c>
      <c r="AD31" s="145">
        <v>0</v>
      </c>
      <c r="AE31" s="145">
        <v>0</v>
      </c>
      <c r="AF31" s="145">
        <v>0</v>
      </c>
      <c r="AG31" s="145">
        <v>0</v>
      </c>
      <c r="AH31" s="145">
        <v>0</v>
      </c>
      <c r="AI31" s="145">
        <v>0</v>
      </c>
      <c r="AJ31" s="145">
        <v>0</v>
      </c>
      <c r="AK31" s="145">
        <v>0</v>
      </c>
      <c r="AL31" s="145">
        <v>0</v>
      </c>
      <c r="AM31" s="145">
        <v>0</v>
      </c>
      <c r="AN31" s="145">
        <v>0</v>
      </c>
      <c r="AO31" s="145">
        <v>0</v>
      </c>
      <c r="AP31" s="145">
        <v>0</v>
      </c>
      <c r="AQ31" s="145">
        <v>0</v>
      </c>
      <c r="AR31" s="145">
        <v>0</v>
      </c>
      <c r="AS31" s="145">
        <v>0</v>
      </c>
      <c r="AT31" s="147">
        <v>6950</v>
      </c>
      <c r="AU31" s="143">
        <v>6660</v>
      </c>
      <c r="AV31" s="143">
        <v>6660</v>
      </c>
      <c r="AW31" s="143">
        <v>6890</v>
      </c>
      <c r="AX31" s="143">
        <v>6660</v>
      </c>
      <c r="AY31" s="143">
        <v>6750</v>
      </c>
      <c r="AZ31" s="143">
        <v>6700</v>
      </c>
      <c r="BA31" s="143">
        <v>6730</v>
      </c>
      <c r="BB31" s="143">
        <v>7730</v>
      </c>
      <c r="BC31" s="143">
        <v>7950</v>
      </c>
      <c r="BD31" s="143">
        <v>7510</v>
      </c>
      <c r="BE31" s="143">
        <v>7390</v>
      </c>
      <c r="BF31" s="143">
        <v>7240</v>
      </c>
      <c r="BG31" s="143">
        <v>6980</v>
      </c>
      <c r="BH31" s="143">
        <v>6730</v>
      </c>
      <c r="BI31" s="143">
        <v>6680</v>
      </c>
      <c r="BJ31" s="143">
        <v>6890</v>
      </c>
      <c r="BK31" s="143">
        <v>6960</v>
      </c>
      <c r="BL31" s="143">
        <v>6900</v>
      </c>
      <c r="BM31" s="143">
        <v>6500</v>
      </c>
      <c r="BN31" s="143">
        <v>6070</v>
      </c>
      <c r="BO31" s="143">
        <v>6340</v>
      </c>
      <c r="BP31" s="143">
        <v>6250</v>
      </c>
      <c r="BQ31" s="145">
        <v>6090</v>
      </c>
      <c r="BR31" s="145">
        <v>5860</v>
      </c>
      <c r="BS31" s="145">
        <v>6120</v>
      </c>
      <c r="BT31" s="145">
        <v>5950</v>
      </c>
      <c r="BU31" s="145">
        <v>6000</v>
      </c>
      <c r="BV31" s="145">
        <v>5900</v>
      </c>
      <c r="BW31" s="145">
        <v>6850</v>
      </c>
      <c r="BX31" s="145">
        <v>6350</v>
      </c>
      <c r="BY31" s="145">
        <v>6140</v>
      </c>
      <c r="BZ31" s="145">
        <v>6110</v>
      </c>
      <c r="CA31" s="145">
        <v>6100</v>
      </c>
      <c r="CB31" s="145">
        <v>5910</v>
      </c>
      <c r="CC31" s="145">
        <v>6020</v>
      </c>
      <c r="CD31" s="145">
        <v>5930</v>
      </c>
      <c r="CE31" s="145">
        <v>5980</v>
      </c>
      <c r="CF31" s="145">
        <v>6300</v>
      </c>
      <c r="CG31" s="145">
        <v>6090</v>
      </c>
      <c r="CH31" s="145">
        <v>6430</v>
      </c>
      <c r="CI31" s="145">
        <v>6470</v>
      </c>
      <c r="CJ31" s="145">
        <v>6100</v>
      </c>
      <c r="CK31" s="145">
        <v>6040</v>
      </c>
      <c r="CL31" s="145">
        <v>5990</v>
      </c>
      <c r="CM31" s="145">
        <v>6050</v>
      </c>
      <c r="CN31" s="145">
        <v>5970</v>
      </c>
      <c r="CO31" s="145">
        <v>5880</v>
      </c>
      <c r="CP31" s="145">
        <v>5950</v>
      </c>
      <c r="CQ31" s="145">
        <v>5860</v>
      </c>
      <c r="CR31" s="145">
        <v>5750</v>
      </c>
    </row>
    <row r="32" spans="1:96" x14ac:dyDescent="0.25">
      <c r="A32" s="379" t="s">
        <v>477</v>
      </c>
      <c r="B32" s="99" t="str">
        <f>参加条件計算!B32</f>
        <v>アエリア</v>
      </c>
      <c r="C32" s="351">
        <f>株価一覧!E31</f>
        <v>3225</v>
      </c>
      <c r="D32" s="376">
        <f t="shared" ca="1" si="0"/>
        <v>3293</v>
      </c>
      <c r="E32" s="349">
        <f t="shared" ca="1" si="1"/>
        <v>3573.5</v>
      </c>
      <c r="F32" s="350">
        <f t="shared" ca="1" si="2"/>
        <v>2980</v>
      </c>
      <c r="G32" s="145">
        <v>0</v>
      </c>
      <c r="H32" s="145">
        <v>0</v>
      </c>
      <c r="I32" s="145">
        <v>0</v>
      </c>
      <c r="J32" s="145">
        <v>0</v>
      </c>
      <c r="K32" s="145">
        <v>0</v>
      </c>
      <c r="L32" s="145">
        <v>0</v>
      </c>
      <c r="M32" s="145">
        <v>0</v>
      </c>
      <c r="N32" s="145">
        <v>0</v>
      </c>
      <c r="O32" s="145">
        <v>0</v>
      </c>
      <c r="P32" s="145">
        <v>0</v>
      </c>
      <c r="Q32" s="145">
        <v>0</v>
      </c>
      <c r="R32" s="145">
        <v>0</v>
      </c>
      <c r="S32" s="145">
        <v>0</v>
      </c>
      <c r="T32" s="145">
        <v>0</v>
      </c>
      <c r="U32" s="145">
        <v>0</v>
      </c>
      <c r="V32" s="145">
        <v>0</v>
      </c>
      <c r="W32" s="145">
        <v>0</v>
      </c>
      <c r="X32" s="145">
        <v>0</v>
      </c>
      <c r="Y32" s="145">
        <v>0</v>
      </c>
      <c r="Z32" s="145">
        <v>0</v>
      </c>
      <c r="AA32" s="145">
        <v>0</v>
      </c>
      <c r="AB32" s="145">
        <v>0</v>
      </c>
      <c r="AC32" s="145">
        <v>0</v>
      </c>
      <c r="AD32" s="145">
        <v>0</v>
      </c>
      <c r="AE32" s="145">
        <v>0</v>
      </c>
      <c r="AF32" s="145">
        <v>0</v>
      </c>
      <c r="AG32" s="145">
        <v>0</v>
      </c>
      <c r="AH32" s="145">
        <v>0</v>
      </c>
      <c r="AI32" s="145">
        <v>0</v>
      </c>
      <c r="AJ32" s="145">
        <v>0</v>
      </c>
      <c r="AK32" s="145">
        <v>0</v>
      </c>
      <c r="AL32" s="145">
        <v>0</v>
      </c>
      <c r="AM32" s="145">
        <v>0</v>
      </c>
      <c r="AN32" s="145">
        <v>0</v>
      </c>
      <c r="AO32" s="145">
        <v>0</v>
      </c>
      <c r="AP32" s="145">
        <v>0</v>
      </c>
      <c r="AQ32" s="145">
        <v>0</v>
      </c>
      <c r="AR32" s="145">
        <v>0</v>
      </c>
      <c r="AS32" s="145">
        <v>0</v>
      </c>
      <c r="AT32" s="147">
        <v>0</v>
      </c>
      <c r="AU32" s="143">
        <v>0</v>
      </c>
      <c r="AV32" s="143">
        <v>0</v>
      </c>
      <c r="AW32" s="143">
        <v>0</v>
      </c>
      <c r="AX32" s="143">
        <v>0</v>
      </c>
      <c r="AY32" s="143">
        <v>0</v>
      </c>
      <c r="AZ32" s="143">
        <v>0</v>
      </c>
      <c r="BA32" s="143">
        <v>0</v>
      </c>
      <c r="BB32" s="143">
        <v>0</v>
      </c>
      <c r="BC32" s="143">
        <v>0</v>
      </c>
      <c r="BD32" s="143">
        <v>0</v>
      </c>
      <c r="BE32" s="143">
        <v>0</v>
      </c>
      <c r="BF32" s="143">
        <v>0</v>
      </c>
      <c r="BG32" s="383">
        <v>4510</v>
      </c>
      <c r="BH32" s="383">
        <v>4385</v>
      </c>
      <c r="BI32" s="383">
        <v>4420</v>
      </c>
      <c r="BJ32" s="383">
        <v>4515</v>
      </c>
      <c r="BK32" s="383">
        <v>4455</v>
      </c>
      <c r="BL32" s="383">
        <v>4365</v>
      </c>
      <c r="BM32" s="383">
        <v>4270</v>
      </c>
      <c r="BN32" s="383">
        <v>4085</v>
      </c>
      <c r="BO32" s="383">
        <v>4320</v>
      </c>
      <c r="BP32" s="383">
        <v>4405</v>
      </c>
      <c r="BQ32" s="145">
        <v>4360</v>
      </c>
      <c r="BR32" s="145">
        <v>4285</v>
      </c>
      <c r="BS32" s="145">
        <v>4985</v>
      </c>
      <c r="BT32" s="145">
        <v>5020</v>
      </c>
      <c r="BU32" s="145">
        <v>5290</v>
      </c>
      <c r="BV32" s="145">
        <v>5930</v>
      </c>
      <c r="BW32" s="145">
        <v>6130</v>
      </c>
      <c r="BX32" s="145">
        <v>5960</v>
      </c>
      <c r="BY32" s="145">
        <v>6470</v>
      </c>
      <c r="BZ32" s="145">
        <v>6310</v>
      </c>
      <c r="CA32" s="145">
        <v>5940</v>
      </c>
      <c r="CB32" s="145">
        <v>6440</v>
      </c>
      <c r="CC32" s="145">
        <v>6380</v>
      </c>
      <c r="CD32" s="145">
        <v>7100</v>
      </c>
      <c r="CE32" s="145">
        <v>6720</v>
      </c>
      <c r="CF32" s="145">
        <v>6770</v>
      </c>
      <c r="CG32" s="145">
        <v>6340</v>
      </c>
      <c r="CH32" s="145">
        <v>6230</v>
      </c>
      <c r="CI32" s="145">
        <v>6280</v>
      </c>
      <c r="CJ32" s="145">
        <v>2980</v>
      </c>
      <c r="CK32" s="145">
        <v>3225</v>
      </c>
      <c r="CL32" s="145">
        <v>3215</v>
      </c>
      <c r="CM32" s="145">
        <v>3570</v>
      </c>
      <c r="CN32" s="145">
        <v>3415</v>
      </c>
      <c r="CO32" s="145">
        <v>3285</v>
      </c>
      <c r="CP32" s="145">
        <v>3285</v>
      </c>
      <c r="CQ32" s="145">
        <v>3255</v>
      </c>
      <c r="CR32" s="145">
        <v>3225</v>
      </c>
    </row>
    <row r="33" spans="1:96" x14ac:dyDescent="0.25">
      <c r="A33" s="379" t="s">
        <v>477</v>
      </c>
      <c r="B33" s="99" t="str">
        <f>参加条件計算!B33</f>
        <v>アカツキ</v>
      </c>
      <c r="C33" s="351">
        <f>株価一覧!E32</f>
        <v>8810</v>
      </c>
      <c r="D33" s="376">
        <f t="shared" ca="1" si="0"/>
        <v>8494</v>
      </c>
      <c r="E33" s="349">
        <f t="shared" ca="1" si="1"/>
        <v>8626</v>
      </c>
      <c r="F33" s="350">
        <f t="shared" ca="1" si="2"/>
        <v>8350</v>
      </c>
      <c r="G33" s="145">
        <v>0</v>
      </c>
      <c r="H33" s="145">
        <v>0</v>
      </c>
      <c r="I33" s="145">
        <v>0</v>
      </c>
      <c r="J33" s="145">
        <v>0</v>
      </c>
      <c r="K33" s="145">
        <v>0</v>
      </c>
      <c r="L33" s="145">
        <v>0</v>
      </c>
      <c r="M33" s="145">
        <v>0</v>
      </c>
      <c r="N33" s="145">
        <v>0</v>
      </c>
      <c r="O33" s="145">
        <v>0</v>
      </c>
      <c r="P33" s="145">
        <v>0</v>
      </c>
      <c r="Q33" s="145">
        <v>0</v>
      </c>
      <c r="R33" s="145">
        <v>0</v>
      </c>
      <c r="S33" s="145">
        <v>0</v>
      </c>
      <c r="T33" s="145">
        <v>0</v>
      </c>
      <c r="U33" s="145">
        <v>0</v>
      </c>
      <c r="V33" s="145">
        <v>0</v>
      </c>
      <c r="W33" s="145">
        <v>0</v>
      </c>
      <c r="X33" s="145">
        <v>0</v>
      </c>
      <c r="Y33" s="145">
        <v>0</v>
      </c>
      <c r="Z33" s="145">
        <v>0</v>
      </c>
      <c r="AA33" s="145">
        <v>0</v>
      </c>
      <c r="AB33" s="145">
        <v>0</v>
      </c>
      <c r="AC33" s="145">
        <v>0</v>
      </c>
      <c r="AD33" s="145">
        <v>0</v>
      </c>
      <c r="AE33" s="145">
        <v>0</v>
      </c>
      <c r="AF33" s="145">
        <v>0</v>
      </c>
      <c r="AG33" s="145">
        <v>0</v>
      </c>
      <c r="AH33" s="145">
        <v>0</v>
      </c>
      <c r="AI33" s="145">
        <v>0</v>
      </c>
      <c r="AJ33" s="145">
        <v>0</v>
      </c>
      <c r="AK33" s="145">
        <v>0</v>
      </c>
      <c r="AL33" s="145">
        <v>0</v>
      </c>
      <c r="AM33" s="145">
        <v>0</v>
      </c>
      <c r="AN33" s="145">
        <v>0</v>
      </c>
      <c r="AO33" s="145">
        <v>0</v>
      </c>
      <c r="AP33" s="145">
        <v>0</v>
      </c>
      <c r="AQ33" s="145">
        <v>0</v>
      </c>
      <c r="AR33" s="145">
        <v>0</v>
      </c>
      <c r="AS33" s="145">
        <v>0</v>
      </c>
      <c r="AT33" s="147">
        <v>0</v>
      </c>
      <c r="AU33" s="143">
        <v>0</v>
      </c>
      <c r="AV33" s="143">
        <v>0</v>
      </c>
      <c r="AW33" s="143">
        <v>0</v>
      </c>
      <c r="AX33" s="143">
        <v>0</v>
      </c>
      <c r="AY33" s="143">
        <v>0</v>
      </c>
      <c r="AZ33" s="143">
        <v>0</v>
      </c>
      <c r="BA33" s="143">
        <v>0</v>
      </c>
      <c r="BB33" s="143">
        <v>0</v>
      </c>
      <c r="BC33" s="143">
        <v>0</v>
      </c>
      <c r="BD33" s="143">
        <v>0</v>
      </c>
      <c r="BE33" s="143">
        <v>0</v>
      </c>
      <c r="BF33" s="143">
        <v>0</v>
      </c>
      <c r="BG33" s="383">
        <v>6270</v>
      </c>
      <c r="BH33" s="383">
        <v>6160</v>
      </c>
      <c r="BI33" s="383">
        <v>6210</v>
      </c>
      <c r="BJ33" s="383">
        <v>6170</v>
      </c>
      <c r="BK33" s="383">
        <v>6280</v>
      </c>
      <c r="BL33" s="383">
        <v>6180</v>
      </c>
      <c r="BM33" s="383">
        <v>6150</v>
      </c>
      <c r="BN33" s="383">
        <v>5820</v>
      </c>
      <c r="BO33" s="383">
        <v>5790</v>
      </c>
      <c r="BP33" s="383">
        <v>6120</v>
      </c>
      <c r="BQ33" s="145">
        <v>6060</v>
      </c>
      <c r="BR33" s="145">
        <v>6000</v>
      </c>
      <c r="BS33" s="145">
        <v>6350</v>
      </c>
      <c r="BT33" s="145">
        <v>6150</v>
      </c>
      <c r="BU33" s="145">
        <v>7150</v>
      </c>
      <c r="BV33" s="145">
        <v>7080</v>
      </c>
      <c r="BW33" s="145">
        <v>7300</v>
      </c>
      <c r="BX33" s="145">
        <v>7220</v>
      </c>
      <c r="BY33" s="145">
        <v>7770</v>
      </c>
      <c r="BZ33" s="145">
        <v>8270</v>
      </c>
      <c r="CA33" s="145">
        <v>7980</v>
      </c>
      <c r="CB33" s="145">
        <v>8290</v>
      </c>
      <c r="CC33" s="145">
        <v>8570</v>
      </c>
      <c r="CD33" s="145">
        <v>8820</v>
      </c>
      <c r="CE33" s="145">
        <v>8770</v>
      </c>
      <c r="CF33" s="145">
        <v>9240</v>
      </c>
      <c r="CG33" s="145">
        <v>8830</v>
      </c>
      <c r="CH33" s="145">
        <v>9330</v>
      </c>
      <c r="CI33" s="145">
        <v>9200</v>
      </c>
      <c r="CJ33" s="145">
        <v>8440</v>
      </c>
      <c r="CK33" s="145">
        <v>8760</v>
      </c>
      <c r="CL33" s="145">
        <v>8770</v>
      </c>
      <c r="CM33" s="145">
        <v>8620</v>
      </c>
      <c r="CN33" s="145">
        <v>8350</v>
      </c>
      <c r="CO33" s="145">
        <v>8570</v>
      </c>
      <c r="CP33" s="145">
        <v>8350</v>
      </c>
      <c r="CQ33" s="145">
        <v>8390</v>
      </c>
      <c r="CR33" s="145">
        <v>8810</v>
      </c>
    </row>
    <row r="34" spans="1:96" x14ac:dyDescent="0.25">
      <c r="A34" s="379" t="s">
        <v>477</v>
      </c>
      <c r="B34" s="99" t="str">
        <f>参加条件計算!B34</f>
        <v>メイコー</v>
      </c>
      <c r="C34" s="351">
        <f>株価一覧!E33</f>
        <v>1471</v>
      </c>
      <c r="D34" s="376">
        <f t="shared" ca="1" si="0"/>
        <v>1457</v>
      </c>
      <c r="E34" s="349">
        <f t="shared" ca="1" si="1"/>
        <v>1456</v>
      </c>
      <c r="F34" s="350">
        <f t="shared" ca="1" si="2"/>
        <v>1397</v>
      </c>
      <c r="G34" s="145">
        <v>0</v>
      </c>
      <c r="H34" s="145">
        <v>0</v>
      </c>
      <c r="I34" s="145">
        <v>0</v>
      </c>
      <c r="J34" s="145">
        <v>0</v>
      </c>
      <c r="K34" s="145">
        <v>0</v>
      </c>
      <c r="L34" s="145">
        <v>0</v>
      </c>
      <c r="M34" s="145">
        <v>0</v>
      </c>
      <c r="N34" s="145">
        <v>0</v>
      </c>
      <c r="O34" s="145">
        <v>0</v>
      </c>
      <c r="P34" s="145">
        <v>0</v>
      </c>
      <c r="Q34" s="145">
        <v>0</v>
      </c>
      <c r="R34" s="145">
        <v>0</v>
      </c>
      <c r="S34" s="145">
        <v>0</v>
      </c>
      <c r="T34" s="145">
        <v>0</v>
      </c>
      <c r="U34" s="145">
        <v>0</v>
      </c>
      <c r="V34" s="145">
        <v>0</v>
      </c>
      <c r="W34" s="145">
        <v>0</v>
      </c>
      <c r="X34" s="145">
        <v>0</v>
      </c>
      <c r="Y34" s="145">
        <v>0</v>
      </c>
      <c r="Z34" s="145">
        <v>0</v>
      </c>
      <c r="AA34" s="145">
        <v>0</v>
      </c>
      <c r="AB34" s="145">
        <v>0</v>
      </c>
      <c r="AC34" s="145">
        <v>0</v>
      </c>
      <c r="AD34" s="145">
        <v>0</v>
      </c>
      <c r="AE34" s="145">
        <v>0</v>
      </c>
      <c r="AF34" s="145">
        <v>0</v>
      </c>
      <c r="AG34" s="145">
        <v>0</v>
      </c>
      <c r="AH34" s="145">
        <v>0</v>
      </c>
      <c r="AI34" s="145">
        <v>0</v>
      </c>
      <c r="AJ34" s="145">
        <v>0</v>
      </c>
      <c r="AK34" s="145">
        <v>0</v>
      </c>
      <c r="AL34" s="145">
        <v>0</v>
      </c>
      <c r="AM34" s="145">
        <v>0</v>
      </c>
      <c r="AN34" s="145">
        <v>0</v>
      </c>
      <c r="AO34" s="145">
        <v>0</v>
      </c>
      <c r="AP34" s="145">
        <v>0</v>
      </c>
      <c r="AQ34" s="145">
        <v>0</v>
      </c>
      <c r="AR34" s="145">
        <v>0</v>
      </c>
      <c r="AS34" s="145">
        <v>0</v>
      </c>
      <c r="AT34" s="147">
        <v>0</v>
      </c>
      <c r="AU34" s="143">
        <v>0</v>
      </c>
      <c r="AV34" s="143">
        <v>0</v>
      </c>
      <c r="AW34" s="143">
        <v>0</v>
      </c>
      <c r="AX34" s="143">
        <v>0</v>
      </c>
      <c r="AY34" s="143">
        <v>0</v>
      </c>
      <c r="AZ34" s="143">
        <v>0</v>
      </c>
      <c r="BA34" s="143">
        <v>0</v>
      </c>
      <c r="BB34" s="143">
        <v>0</v>
      </c>
      <c r="BC34" s="143">
        <v>0</v>
      </c>
      <c r="BD34" s="143">
        <v>0</v>
      </c>
      <c r="BE34" s="143">
        <v>0</v>
      </c>
      <c r="BF34" s="143">
        <v>0</v>
      </c>
      <c r="BG34" s="383">
        <v>1059</v>
      </c>
      <c r="BH34" s="383">
        <v>1142</v>
      </c>
      <c r="BI34" s="383">
        <v>1189</v>
      </c>
      <c r="BJ34" s="383">
        <v>1225</v>
      </c>
      <c r="BK34" s="383">
        <v>1237</v>
      </c>
      <c r="BL34" s="383">
        <v>1212</v>
      </c>
      <c r="BM34" s="383">
        <v>1325</v>
      </c>
      <c r="BN34" s="383">
        <v>1318</v>
      </c>
      <c r="BO34" s="383">
        <v>1292</v>
      </c>
      <c r="BP34" s="383">
        <v>1345</v>
      </c>
      <c r="BQ34" s="145">
        <v>1369</v>
      </c>
      <c r="BR34" s="145">
        <v>1411</v>
      </c>
      <c r="BS34" s="145">
        <v>1411</v>
      </c>
      <c r="BT34" s="145">
        <v>1390</v>
      </c>
      <c r="BU34" s="145">
        <v>1405</v>
      </c>
      <c r="BV34" s="145">
        <v>1380</v>
      </c>
      <c r="BW34" s="145">
        <v>1431</v>
      </c>
      <c r="BX34" s="145">
        <v>1325</v>
      </c>
      <c r="BY34" s="145">
        <v>1351</v>
      </c>
      <c r="BZ34" s="145">
        <v>1318</v>
      </c>
      <c r="CA34" s="145">
        <v>1300</v>
      </c>
      <c r="CB34" s="145">
        <v>1241</v>
      </c>
      <c r="CC34" s="145">
        <v>1277</v>
      </c>
      <c r="CD34" s="145">
        <v>1335</v>
      </c>
      <c r="CE34" s="145">
        <v>1337</v>
      </c>
      <c r="CF34" s="145">
        <v>1384</v>
      </c>
      <c r="CG34" s="145">
        <v>1433</v>
      </c>
      <c r="CH34" s="145">
        <v>1541</v>
      </c>
      <c r="CI34" s="145">
        <v>1500</v>
      </c>
      <c r="CJ34" s="145">
        <v>1453</v>
      </c>
      <c r="CK34" s="145">
        <v>1431</v>
      </c>
      <c r="CL34" s="145">
        <v>1431</v>
      </c>
      <c r="CM34" s="145">
        <v>1460</v>
      </c>
      <c r="CN34" s="145">
        <v>1397</v>
      </c>
      <c r="CO34" s="145">
        <v>1472</v>
      </c>
      <c r="CP34" s="145">
        <v>1464</v>
      </c>
      <c r="CQ34" s="145">
        <v>1481</v>
      </c>
      <c r="CR34" s="145">
        <v>1471</v>
      </c>
    </row>
    <row r="35" spans="1:96" x14ac:dyDescent="0.25">
      <c r="A35" s="379" t="s">
        <v>477</v>
      </c>
      <c r="B35" s="99" t="str">
        <f>参加条件計算!B35</f>
        <v>クルーズ</v>
      </c>
      <c r="C35" s="351">
        <f>株価一覧!E34</f>
        <v>2925</v>
      </c>
      <c r="D35" s="376">
        <f t="shared" ca="1" si="0"/>
        <v>2791.6</v>
      </c>
      <c r="E35" s="349">
        <f t="shared" ca="1" si="1"/>
        <v>2755.9</v>
      </c>
      <c r="F35" s="350">
        <f t="shared" ca="1" si="2"/>
        <v>2687</v>
      </c>
      <c r="G35" s="145">
        <v>0</v>
      </c>
      <c r="H35" s="145">
        <v>0</v>
      </c>
      <c r="I35" s="145">
        <v>0</v>
      </c>
      <c r="J35" s="145">
        <v>0</v>
      </c>
      <c r="K35" s="145">
        <v>0</v>
      </c>
      <c r="L35" s="145">
        <v>0</v>
      </c>
      <c r="M35" s="145">
        <v>0</v>
      </c>
      <c r="N35" s="145">
        <v>0</v>
      </c>
      <c r="O35" s="145">
        <v>0</v>
      </c>
      <c r="P35" s="145">
        <v>0</v>
      </c>
      <c r="Q35" s="145">
        <v>0</v>
      </c>
      <c r="R35" s="145">
        <v>0</v>
      </c>
      <c r="S35" s="145">
        <v>0</v>
      </c>
      <c r="T35" s="145">
        <v>0</v>
      </c>
      <c r="U35" s="145">
        <v>0</v>
      </c>
      <c r="V35" s="145">
        <v>0</v>
      </c>
      <c r="W35" s="145">
        <v>0</v>
      </c>
      <c r="X35" s="145">
        <v>0</v>
      </c>
      <c r="Y35" s="145">
        <v>0</v>
      </c>
      <c r="Z35" s="145">
        <v>0</v>
      </c>
      <c r="AA35" s="145">
        <v>0</v>
      </c>
      <c r="AB35" s="145">
        <v>0</v>
      </c>
      <c r="AC35" s="145">
        <v>0</v>
      </c>
      <c r="AD35" s="145">
        <v>0</v>
      </c>
      <c r="AE35" s="145">
        <v>0</v>
      </c>
      <c r="AF35" s="145">
        <v>0</v>
      </c>
      <c r="AG35" s="145">
        <v>0</v>
      </c>
      <c r="AH35" s="145">
        <v>0</v>
      </c>
      <c r="AI35" s="145">
        <v>0</v>
      </c>
      <c r="AJ35" s="145">
        <v>0</v>
      </c>
      <c r="AK35" s="145">
        <v>0</v>
      </c>
      <c r="AL35" s="145">
        <v>0</v>
      </c>
      <c r="AM35" s="145">
        <v>0</v>
      </c>
      <c r="AN35" s="145">
        <v>0</v>
      </c>
      <c r="AO35" s="145">
        <v>0</v>
      </c>
      <c r="AP35" s="145">
        <v>0</v>
      </c>
      <c r="AQ35" s="145">
        <v>0</v>
      </c>
      <c r="AR35" s="145">
        <v>0</v>
      </c>
      <c r="AS35" s="145">
        <v>0</v>
      </c>
      <c r="AT35" s="147">
        <v>0</v>
      </c>
      <c r="AU35" s="143">
        <v>0</v>
      </c>
      <c r="AV35" s="143">
        <v>0</v>
      </c>
      <c r="AW35" s="143">
        <v>0</v>
      </c>
      <c r="AX35" s="143">
        <v>0</v>
      </c>
      <c r="AY35" s="143">
        <v>0</v>
      </c>
      <c r="AZ35" s="143">
        <v>0</v>
      </c>
      <c r="BA35" s="143">
        <v>0</v>
      </c>
      <c r="BB35" s="143">
        <v>0</v>
      </c>
      <c r="BC35" s="143">
        <v>0</v>
      </c>
      <c r="BD35" s="143">
        <v>0</v>
      </c>
      <c r="BE35" s="143">
        <v>0</v>
      </c>
      <c r="BF35" s="143">
        <v>0</v>
      </c>
      <c r="BG35" s="383">
        <v>2919</v>
      </c>
      <c r="BH35" s="383">
        <v>2900</v>
      </c>
      <c r="BI35" s="383">
        <v>2917</v>
      </c>
      <c r="BJ35" s="383">
        <v>2836</v>
      </c>
      <c r="BK35" s="383">
        <v>2856</v>
      </c>
      <c r="BL35" s="383">
        <v>2862</v>
      </c>
      <c r="BM35" s="383">
        <v>2831</v>
      </c>
      <c r="BN35" s="383">
        <v>2871</v>
      </c>
      <c r="BO35" s="383">
        <v>2966</v>
      </c>
      <c r="BP35" s="383">
        <v>2919</v>
      </c>
      <c r="BQ35" s="145">
        <v>2848</v>
      </c>
      <c r="BR35" s="145">
        <v>2830</v>
      </c>
      <c r="BS35" s="145">
        <v>2865</v>
      </c>
      <c r="BT35" s="145">
        <v>2898</v>
      </c>
      <c r="BU35" s="145">
        <v>2904</v>
      </c>
      <c r="BV35" s="145">
        <v>2970</v>
      </c>
      <c r="BW35" s="145">
        <v>2937</v>
      </c>
      <c r="BX35" s="145">
        <v>2871</v>
      </c>
      <c r="BY35" s="145">
        <v>2842</v>
      </c>
      <c r="BZ35" s="145">
        <v>2838</v>
      </c>
      <c r="CA35" s="145">
        <v>2810</v>
      </c>
      <c r="CB35" s="145">
        <v>2801</v>
      </c>
      <c r="CC35" s="145">
        <v>2852</v>
      </c>
      <c r="CD35" s="145">
        <v>2876</v>
      </c>
      <c r="CE35" s="145">
        <v>2832</v>
      </c>
      <c r="CF35" s="145">
        <v>2787</v>
      </c>
      <c r="CG35" s="145">
        <v>2768</v>
      </c>
      <c r="CH35" s="145">
        <v>2773</v>
      </c>
      <c r="CI35" s="145">
        <v>2766</v>
      </c>
      <c r="CJ35" s="145">
        <v>2693</v>
      </c>
      <c r="CK35" s="145">
        <v>2716</v>
      </c>
      <c r="CL35" s="145">
        <v>2687</v>
      </c>
      <c r="CM35" s="145">
        <v>2739</v>
      </c>
      <c r="CN35" s="145">
        <v>2725</v>
      </c>
      <c r="CO35" s="145">
        <v>2736</v>
      </c>
      <c r="CP35" s="145">
        <v>2783</v>
      </c>
      <c r="CQ35" s="145">
        <v>2789</v>
      </c>
      <c r="CR35" s="145">
        <v>2925</v>
      </c>
    </row>
    <row r="36" spans="1:96" x14ac:dyDescent="0.25">
      <c r="A36" s="379" t="s">
        <v>477</v>
      </c>
      <c r="B36" s="99" t="str">
        <f>参加条件計算!B36</f>
        <v>サイバーステップ</v>
      </c>
      <c r="C36" s="351">
        <f>株価一覧!E35</f>
        <v>7050</v>
      </c>
      <c r="D36" s="376">
        <f t="shared" ca="1" si="0"/>
        <v>6906</v>
      </c>
      <c r="E36" s="349">
        <f t="shared" ca="1" si="1"/>
        <v>6793</v>
      </c>
      <c r="F36" s="350">
        <f t="shared" ca="1" si="2"/>
        <v>6070</v>
      </c>
      <c r="G36" s="145">
        <v>0</v>
      </c>
      <c r="H36" s="145">
        <v>0</v>
      </c>
      <c r="I36" s="145">
        <v>0</v>
      </c>
      <c r="J36" s="145">
        <v>0</v>
      </c>
      <c r="K36" s="145">
        <v>0</v>
      </c>
      <c r="L36" s="145">
        <v>0</v>
      </c>
      <c r="M36" s="145">
        <v>0</v>
      </c>
      <c r="N36" s="145">
        <v>0</v>
      </c>
      <c r="O36" s="145">
        <v>0</v>
      </c>
      <c r="P36" s="145">
        <v>0</v>
      </c>
      <c r="Q36" s="145">
        <v>0</v>
      </c>
      <c r="R36" s="145">
        <v>0</v>
      </c>
      <c r="S36" s="145">
        <v>0</v>
      </c>
      <c r="T36" s="145">
        <v>0</v>
      </c>
      <c r="U36" s="145">
        <v>0</v>
      </c>
      <c r="V36" s="145">
        <v>0</v>
      </c>
      <c r="W36" s="145">
        <v>0</v>
      </c>
      <c r="X36" s="145">
        <v>0</v>
      </c>
      <c r="Y36" s="145">
        <v>0</v>
      </c>
      <c r="Z36" s="145">
        <v>0</v>
      </c>
      <c r="AA36" s="145">
        <v>0</v>
      </c>
      <c r="AB36" s="145">
        <v>0</v>
      </c>
      <c r="AC36" s="145">
        <v>0</v>
      </c>
      <c r="AD36" s="145">
        <v>0</v>
      </c>
      <c r="AE36" s="145">
        <v>0</v>
      </c>
      <c r="AF36" s="145">
        <v>0</v>
      </c>
      <c r="AG36" s="145">
        <v>0</v>
      </c>
      <c r="AH36" s="145">
        <v>0</v>
      </c>
      <c r="AI36" s="145">
        <v>0</v>
      </c>
      <c r="AJ36" s="145">
        <v>0</v>
      </c>
      <c r="AK36" s="145">
        <v>0</v>
      </c>
      <c r="AL36" s="145">
        <v>0</v>
      </c>
      <c r="AM36" s="145">
        <v>0</v>
      </c>
      <c r="AN36" s="145">
        <v>0</v>
      </c>
      <c r="AO36" s="145">
        <v>0</v>
      </c>
      <c r="AP36" s="145">
        <v>0</v>
      </c>
      <c r="AQ36" s="145">
        <v>0</v>
      </c>
      <c r="AR36" s="145">
        <v>0</v>
      </c>
      <c r="AS36" s="145">
        <v>0</v>
      </c>
      <c r="AT36" s="147">
        <v>0</v>
      </c>
      <c r="AU36" s="143">
        <v>0</v>
      </c>
      <c r="AV36" s="143">
        <v>0</v>
      </c>
      <c r="AW36" s="143">
        <v>0</v>
      </c>
      <c r="AX36" s="143">
        <v>0</v>
      </c>
      <c r="AY36" s="143">
        <v>0</v>
      </c>
      <c r="AZ36" s="143">
        <v>0</v>
      </c>
      <c r="BA36" s="143">
        <v>0</v>
      </c>
      <c r="BB36" s="143">
        <v>0</v>
      </c>
      <c r="BC36" s="143">
        <v>0</v>
      </c>
      <c r="BD36" s="143">
        <v>0</v>
      </c>
      <c r="BE36" s="143">
        <v>0</v>
      </c>
      <c r="BF36" s="143">
        <v>0</v>
      </c>
      <c r="BG36" s="143">
        <v>0</v>
      </c>
      <c r="BH36" s="143">
        <v>0</v>
      </c>
      <c r="BI36" s="143">
        <v>2720</v>
      </c>
      <c r="BJ36" s="143">
        <v>2599</v>
      </c>
      <c r="BK36" s="143">
        <v>2614</v>
      </c>
      <c r="BL36" s="143">
        <v>2745</v>
      </c>
      <c r="BM36" s="143">
        <v>2636</v>
      </c>
      <c r="BN36" s="143">
        <v>2470</v>
      </c>
      <c r="BO36" s="143">
        <v>2451</v>
      </c>
      <c r="BP36" s="143">
        <v>2476</v>
      </c>
      <c r="BQ36" s="145">
        <v>2750</v>
      </c>
      <c r="BR36" s="145">
        <v>2970</v>
      </c>
      <c r="BS36" s="145">
        <v>3420</v>
      </c>
      <c r="BT36" s="145">
        <v>3120</v>
      </c>
      <c r="BU36" s="145">
        <v>3230</v>
      </c>
      <c r="BV36" s="145">
        <v>3610</v>
      </c>
      <c r="BW36" s="145">
        <v>4310</v>
      </c>
      <c r="BX36" s="145">
        <v>4115</v>
      </c>
      <c r="BY36" s="145">
        <v>3925</v>
      </c>
      <c r="BZ36" s="145">
        <v>3910</v>
      </c>
      <c r="CA36" s="145">
        <v>4050</v>
      </c>
      <c r="CB36" s="145">
        <v>4075</v>
      </c>
      <c r="CC36" s="145">
        <v>4735</v>
      </c>
      <c r="CD36" s="145">
        <v>4700</v>
      </c>
      <c r="CE36" s="145">
        <v>4945</v>
      </c>
      <c r="CF36" s="145">
        <v>5650</v>
      </c>
      <c r="CG36" s="145">
        <v>6000</v>
      </c>
      <c r="CH36" s="145">
        <v>7000</v>
      </c>
      <c r="CI36" s="145">
        <v>7240</v>
      </c>
      <c r="CJ36" s="145">
        <v>6070</v>
      </c>
      <c r="CK36" s="145">
        <v>6390</v>
      </c>
      <c r="CL36" s="145">
        <v>6350</v>
      </c>
      <c r="CM36" s="145">
        <v>7350</v>
      </c>
      <c r="CN36" s="145">
        <v>7450</v>
      </c>
      <c r="CO36" s="145">
        <v>6930</v>
      </c>
      <c r="CP36" s="145">
        <v>6370</v>
      </c>
      <c r="CQ36" s="145">
        <v>6730</v>
      </c>
      <c r="CR36" s="145">
        <v>7050</v>
      </c>
    </row>
    <row r="37" spans="1:96" x14ac:dyDescent="0.25">
      <c r="A37" s="379" t="s">
        <v>477</v>
      </c>
      <c r="B37" s="99" t="str">
        <f>参加条件計算!B37</f>
        <v>アズジェント</v>
      </c>
      <c r="C37" s="351">
        <f>株価一覧!E36</f>
        <v>4230</v>
      </c>
      <c r="D37" s="376">
        <f t="shared" ref="D37" ca="1" si="3">AVERAGE(OFFSET(A37,0,COUNTA(G37:XFD37)+5,1,-5))</f>
        <v>4001</v>
      </c>
      <c r="E37" s="349">
        <f t="shared" ref="E37" ca="1" si="4">AVERAGE(OFFSET(A37,0,COUNTA(G37:XFD37)+5,1,-10))</f>
        <v>3931.5</v>
      </c>
      <c r="F37" s="350">
        <f t="shared" ref="F37" ca="1" si="5">MIN(OFFSET(B37,0,COUNTA(G37:XFD37)+5,1,-10))</f>
        <v>3425</v>
      </c>
      <c r="G37" s="145">
        <v>0</v>
      </c>
      <c r="H37" s="145">
        <v>0</v>
      </c>
      <c r="I37" s="145">
        <v>0</v>
      </c>
      <c r="J37" s="145">
        <v>0</v>
      </c>
      <c r="K37" s="145">
        <v>0</v>
      </c>
      <c r="L37" s="145">
        <v>0</v>
      </c>
      <c r="M37" s="145">
        <v>0</v>
      </c>
      <c r="N37" s="145">
        <v>0</v>
      </c>
      <c r="O37" s="145">
        <v>0</v>
      </c>
      <c r="P37" s="145">
        <v>0</v>
      </c>
      <c r="Q37" s="145">
        <v>0</v>
      </c>
      <c r="R37" s="145">
        <v>0</v>
      </c>
      <c r="S37" s="145">
        <v>0</v>
      </c>
      <c r="T37" s="145">
        <v>0</v>
      </c>
      <c r="U37" s="145">
        <v>0</v>
      </c>
      <c r="V37" s="145">
        <v>0</v>
      </c>
      <c r="W37" s="145">
        <v>0</v>
      </c>
      <c r="X37" s="145">
        <v>0</v>
      </c>
      <c r="Y37" s="145">
        <v>0</v>
      </c>
      <c r="Z37" s="145">
        <v>0</v>
      </c>
      <c r="AA37" s="145">
        <v>0</v>
      </c>
      <c r="AB37" s="145">
        <v>0</v>
      </c>
      <c r="AC37" s="145">
        <v>0</v>
      </c>
      <c r="AD37" s="145">
        <v>0</v>
      </c>
      <c r="AE37" s="145">
        <v>0</v>
      </c>
      <c r="AF37" s="145">
        <v>0</v>
      </c>
      <c r="AG37" s="145">
        <v>0</v>
      </c>
      <c r="AH37" s="145">
        <v>0</v>
      </c>
      <c r="AI37" s="145">
        <v>0</v>
      </c>
      <c r="AJ37" s="145">
        <v>0</v>
      </c>
      <c r="AK37" s="145">
        <v>0</v>
      </c>
      <c r="AL37" s="145">
        <v>0</v>
      </c>
      <c r="AM37" s="145">
        <v>0</v>
      </c>
      <c r="AN37" s="145">
        <v>0</v>
      </c>
      <c r="AO37" s="145">
        <v>0</v>
      </c>
      <c r="AP37" s="145">
        <v>0</v>
      </c>
      <c r="AQ37" s="145">
        <v>0</v>
      </c>
      <c r="AR37" s="145">
        <v>0</v>
      </c>
      <c r="AS37" s="145">
        <v>0</v>
      </c>
      <c r="AT37" s="147">
        <v>0</v>
      </c>
      <c r="AU37" s="143">
        <v>0</v>
      </c>
      <c r="AV37" s="143">
        <v>0</v>
      </c>
      <c r="AW37" s="143">
        <v>0</v>
      </c>
      <c r="AX37" s="143">
        <v>0</v>
      </c>
      <c r="AY37" s="143">
        <v>0</v>
      </c>
      <c r="AZ37" s="143">
        <v>0</v>
      </c>
      <c r="BA37" s="143">
        <v>0</v>
      </c>
      <c r="BB37" s="143">
        <v>0</v>
      </c>
      <c r="BC37" s="143">
        <v>0</v>
      </c>
      <c r="BD37" s="143">
        <v>0</v>
      </c>
      <c r="BE37" s="143">
        <v>0</v>
      </c>
      <c r="BF37" s="143">
        <v>0</v>
      </c>
      <c r="BG37" s="143">
        <v>0</v>
      </c>
      <c r="BH37" s="143">
        <v>0</v>
      </c>
      <c r="BI37" s="143">
        <v>0</v>
      </c>
      <c r="BJ37" s="143">
        <v>0</v>
      </c>
      <c r="BK37" s="143">
        <v>0</v>
      </c>
      <c r="BL37" s="143">
        <v>0</v>
      </c>
      <c r="BM37" s="143">
        <v>0</v>
      </c>
      <c r="BN37" s="143">
        <v>0</v>
      </c>
      <c r="BO37" s="143">
        <v>2324</v>
      </c>
      <c r="BP37" s="143">
        <v>2480</v>
      </c>
      <c r="BQ37" s="145">
        <v>2356</v>
      </c>
      <c r="BR37" s="145">
        <v>2398</v>
      </c>
      <c r="BS37" s="145">
        <v>2839</v>
      </c>
      <c r="BT37" s="145">
        <v>2670</v>
      </c>
      <c r="BU37" s="145">
        <v>2735</v>
      </c>
      <c r="BV37" s="145">
        <v>2815</v>
      </c>
      <c r="BW37" s="145">
        <v>2905</v>
      </c>
      <c r="BX37" s="145">
        <v>2673</v>
      </c>
      <c r="BY37" s="145">
        <v>2565</v>
      </c>
      <c r="BZ37" s="145">
        <v>2575</v>
      </c>
      <c r="CA37" s="145">
        <v>2560</v>
      </c>
      <c r="CB37" s="145">
        <v>2709</v>
      </c>
      <c r="CC37" s="145">
        <v>2825</v>
      </c>
      <c r="CD37" s="145">
        <v>3005</v>
      </c>
      <c r="CE37" s="145">
        <v>3220</v>
      </c>
      <c r="CF37" s="145">
        <v>3220</v>
      </c>
      <c r="CG37" s="145">
        <v>3100</v>
      </c>
      <c r="CH37" s="145">
        <v>3285</v>
      </c>
      <c r="CI37" s="145">
        <v>3550</v>
      </c>
      <c r="CJ37" s="145">
        <v>3425</v>
      </c>
      <c r="CK37" s="145">
        <v>4100</v>
      </c>
      <c r="CL37" s="145">
        <v>4135</v>
      </c>
      <c r="CM37" s="145">
        <v>4100</v>
      </c>
      <c r="CN37" s="145">
        <v>3955</v>
      </c>
      <c r="CO37" s="145">
        <v>3900</v>
      </c>
      <c r="CP37" s="145">
        <v>3955</v>
      </c>
      <c r="CQ37" s="145">
        <v>3965</v>
      </c>
      <c r="CR37" s="145">
        <v>4230</v>
      </c>
    </row>
    <row r="38" spans="1:96" x14ac:dyDescent="0.25">
      <c r="A38" s="379" t="s">
        <v>477</v>
      </c>
      <c r="B38" s="99" t="str">
        <f>参加条件計算!B38</f>
        <v>リミックスポイント</v>
      </c>
      <c r="C38" s="351">
        <f>株価一覧!E37</f>
        <v>1140</v>
      </c>
      <c r="D38" s="376">
        <f t="shared" ref="D38" ca="1" si="6">AVERAGE(OFFSET(A38,0,COUNTA(G38:XFD38)+5,1,-5))</f>
        <v>1189.4000000000001</v>
      </c>
      <c r="E38" s="349">
        <f t="shared" ref="E38" ca="1" si="7">AVERAGE(OFFSET(A38,0,COUNTA(G38:XFD38)+5,1,-10))</f>
        <v>1358.3</v>
      </c>
      <c r="F38" s="350">
        <f t="shared" ref="F38" ca="1" si="8">MIN(OFFSET(B38,0,COUNTA(G38:XFD38)+5,1,-10))</f>
        <v>1123</v>
      </c>
      <c r="G38" s="145">
        <v>0</v>
      </c>
      <c r="H38" s="145">
        <v>0</v>
      </c>
      <c r="I38" s="145">
        <v>0</v>
      </c>
      <c r="J38" s="145">
        <v>0</v>
      </c>
      <c r="K38" s="145">
        <v>0</v>
      </c>
      <c r="L38" s="145">
        <v>0</v>
      </c>
      <c r="M38" s="145">
        <v>0</v>
      </c>
      <c r="N38" s="145">
        <v>0</v>
      </c>
      <c r="O38" s="145">
        <v>0</v>
      </c>
      <c r="P38" s="145">
        <v>0</v>
      </c>
      <c r="Q38" s="145">
        <v>0</v>
      </c>
      <c r="R38" s="145">
        <v>0</v>
      </c>
      <c r="S38" s="145">
        <v>0</v>
      </c>
      <c r="T38" s="145">
        <v>0</v>
      </c>
      <c r="U38" s="145">
        <v>0</v>
      </c>
      <c r="V38" s="145">
        <v>0</v>
      </c>
      <c r="W38" s="145">
        <v>0</v>
      </c>
      <c r="X38" s="145">
        <v>0</v>
      </c>
      <c r="Y38" s="145">
        <v>0</v>
      </c>
      <c r="Z38" s="145">
        <v>0</v>
      </c>
      <c r="AA38" s="145">
        <v>0</v>
      </c>
      <c r="AB38" s="145">
        <v>0</v>
      </c>
      <c r="AC38" s="145">
        <v>0</v>
      </c>
      <c r="AD38" s="145">
        <v>0</v>
      </c>
      <c r="AE38" s="145">
        <v>0</v>
      </c>
      <c r="AF38" s="145">
        <v>0</v>
      </c>
      <c r="AG38" s="145">
        <v>0</v>
      </c>
      <c r="AH38" s="145">
        <v>0</v>
      </c>
      <c r="AI38" s="145">
        <v>0</v>
      </c>
      <c r="AJ38" s="145">
        <v>0</v>
      </c>
      <c r="AK38" s="145">
        <v>0</v>
      </c>
      <c r="AL38" s="145">
        <v>0</v>
      </c>
      <c r="AM38" s="145">
        <v>0</v>
      </c>
      <c r="AN38" s="145">
        <v>0</v>
      </c>
      <c r="AO38" s="145">
        <v>0</v>
      </c>
      <c r="AP38" s="145">
        <v>0</v>
      </c>
      <c r="AQ38" s="145">
        <v>0</v>
      </c>
      <c r="AR38" s="145">
        <v>0</v>
      </c>
      <c r="AS38" s="145">
        <v>0</v>
      </c>
      <c r="AT38" s="147">
        <v>0</v>
      </c>
      <c r="AU38" s="143">
        <v>0</v>
      </c>
      <c r="AV38" s="143">
        <v>0</v>
      </c>
      <c r="AW38" s="143">
        <v>0</v>
      </c>
      <c r="AX38" s="143">
        <v>0</v>
      </c>
      <c r="AY38" s="143">
        <v>0</v>
      </c>
      <c r="AZ38" s="143">
        <v>0</v>
      </c>
      <c r="BA38" s="143">
        <v>0</v>
      </c>
      <c r="BB38" s="143">
        <v>0</v>
      </c>
      <c r="BC38" s="143">
        <v>0</v>
      </c>
      <c r="BD38" s="143">
        <v>0</v>
      </c>
      <c r="BE38" s="143">
        <v>0</v>
      </c>
      <c r="BF38" s="143">
        <v>0</v>
      </c>
      <c r="BG38" s="143">
        <v>0</v>
      </c>
      <c r="BH38" s="143">
        <v>0</v>
      </c>
      <c r="BI38" s="143">
        <v>0</v>
      </c>
      <c r="BJ38" s="143">
        <v>0</v>
      </c>
      <c r="BK38" s="143">
        <v>0</v>
      </c>
      <c r="BL38" s="143">
        <v>0</v>
      </c>
      <c r="BM38" s="143">
        <v>0</v>
      </c>
      <c r="BN38" s="143">
        <v>0</v>
      </c>
      <c r="BO38" s="143">
        <v>743</v>
      </c>
      <c r="BP38" s="143">
        <v>740</v>
      </c>
      <c r="BQ38" s="145">
        <v>890</v>
      </c>
      <c r="BR38" s="145">
        <v>890</v>
      </c>
      <c r="BS38" s="145">
        <v>777</v>
      </c>
      <c r="BT38" s="145">
        <v>818</v>
      </c>
      <c r="BU38" s="145">
        <v>968</v>
      </c>
      <c r="BV38" s="145">
        <v>1118</v>
      </c>
      <c r="BW38" s="145">
        <v>1418</v>
      </c>
      <c r="BX38" s="145">
        <v>1484</v>
      </c>
      <c r="BY38" s="145">
        <v>1360</v>
      </c>
      <c r="BZ38" s="145">
        <v>1274</v>
      </c>
      <c r="CA38" s="145">
        <v>1450</v>
      </c>
      <c r="CB38" s="145">
        <v>1670</v>
      </c>
      <c r="CC38" s="145">
        <v>1675</v>
      </c>
      <c r="CD38" s="145">
        <v>1630</v>
      </c>
      <c r="CE38" s="145">
        <v>1628</v>
      </c>
      <c r="CF38" s="145">
        <v>1535</v>
      </c>
      <c r="CG38" s="145">
        <v>1297</v>
      </c>
      <c r="CH38" s="145">
        <v>1597</v>
      </c>
      <c r="CI38" s="145">
        <v>1504</v>
      </c>
      <c r="CJ38" s="145">
        <v>1578</v>
      </c>
      <c r="CK38" s="145">
        <v>1589</v>
      </c>
      <c r="CL38" s="145">
        <v>1540</v>
      </c>
      <c r="CM38" s="145">
        <v>1425</v>
      </c>
      <c r="CN38" s="145">
        <v>1336</v>
      </c>
      <c r="CO38" s="145">
        <v>1130</v>
      </c>
      <c r="CP38" s="145">
        <v>1123</v>
      </c>
      <c r="CQ38" s="145">
        <v>1218</v>
      </c>
      <c r="CR38" s="145">
        <v>1140</v>
      </c>
    </row>
    <row r="39" spans="1:96" x14ac:dyDescent="0.25">
      <c r="A39" s="379" t="s">
        <v>477</v>
      </c>
      <c r="B39" s="99" t="str">
        <f>参加条件計算!B39</f>
        <v>エムアップ</v>
      </c>
      <c r="C39" s="351">
        <f>株価一覧!E38</f>
        <v>1865</v>
      </c>
      <c r="D39" s="376">
        <f t="shared" ref="D39" ca="1" si="9">AVERAGE(OFFSET(A39,0,COUNTA(G39:XFD39)+5,1,-5))</f>
        <v>1833</v>
      </c>
      <c r="E39" s="349">
        <f t="shared" ref="E39" ca="1" si="10">AVERAGE(OFFSET(A39,0,COUNTA(G39:XFD39)+5,1,-10))</f>
        <v>1893.6</v>
      </c>
      <c r="F39" s="350">
        <f t="shared" ref="F39" ca="1" si="11">MIN(OFFSET(B39,0,COUNTA(G39:XFD39)+5,1,-10))</f>
        <v>1810</v>
      </c>
      <c r="G39" s="145">
        <v>0</v>
      </c>
      <c r="H39" s="145">
        <v>0</v>
      </c>
      <c r="I39" s="145">
        <v>0</v>
      </c>
      <c r="J39" s="145">
        <v>0</v>
      </c>
      <c r="K39" s="145">
        <v>0</v>
      </c>
      <c r="L39" s="145">
        <v>0</v>
      </c>
      <c r="M39" s="145">
        <v>0</v>
      </c>
      <c r="N39" s="145">
        <v>0</v>
      </c>
      <c r="O39" s="145">
        <v>0</v>
      </c>
      <c r="P39" s="145">
        <v>0</v>
      </c>
      <c r="Q39" s="145">
        <v>0</v>
      </c>
      <c r="R39" s="145">
        <v>0</v>
      </c>
      <c r="S39" s="145">
        <v>0</v>
      </c>
      <c r="T39" s="145">
        <v>0</v>
      </c>
      <c r="U39" s="145">
        <v>0</v>
      </c>
      <c r="V39" s="145">
        <v>0</v>
      </c>
      <c r="W39" s="145">
        <v>0</v>
      </c>
      <c r="X39" s="145">
        <v>0</v>
      </c>
      <c r="Y39" s="145">
        <v>0</v>
      </c>
      <c r="Z39" s="145">
        <v>0</v>
      </c>
      <c r="AA39" s="145">
        <v>0</v>
      </c>
      <c r="AB39" s="145">
        <v>0</v>
      </c>
      <c r="AC39" s="145">
        <v>0</v>
      </c>
      <c r="AD39" s="145">
        <v>0</v>
      </c>
      <c r="AE39" s="145">
        <v>0</v>
      </c>
      <c r="AF39" s="145">
        <v>0</v>
      </c>
      <c r="AG39" s="145">
        <v>0</v>
      </c>
      <c r="AH39" s="145">
        <v>0</v>
      </c>
      <c r="AI39" s="145">
        <v>0</v>
      </c>
      <c r="AJ39" s="145">
        <v>0</v>
      </c>
      <c r="AK39" s="145">
        <v>0</v>
      </c>
      <c r="AL39" s="145">
        <v>0</v>
      </c>
      <c r="AM39" s="145">
        <v>0</v>
      </c>
      <c r="AN39" s="145">
        <v>0</v>
      </c>
      <c r="AO39" s="145">
        <v>0</v>
      </c>
      <c r="AP39" s="145">
        <v>0</v>
      </c>
      <c r="AQ39" s="145">
        <v>0</v>
      </c>
      <c r="AR39" s="145">
        <v>0</v>
      </c>
      <c r="AS39" s="145">
        <v>0</v>
      </c>
      <c r="AT39" s="147">
        <v>0</v>
      </c>
      <c r="AU39" s="143">
        <v>0</v>
      </c>
      <c r="AV39" s="143">
        <v>0</v>
      </c>
      <c r="AW39" s="143">
        <v>0</v>
      </c>
      <c r="AX39" s="143">
        <v>0</v>
      </c>
      <c r="AY39" s="143">
        <v>0</v>
      </c>
      <c r="AZ39" s="143">
        <v>0</v>
      </c>
      <c r="BA39" s="143">
        <v>0</v>
      </c>
      <c r="BB39" s="143">
        <v>0</v>
      </c>
      <c r="BC39" s="143">
        <v>0</v>
      </c>
      <c r="BD39" s="143">
        <v>0</v>
      </c>
      <c r="BE39" s="143">
        <v>0</v>
      </c>
      <c r="BF39" s="143">
        <v>0</v>
      </c>
      <c r="BG39" s="143">
        <v>0</v>
      </c>
      <c r="BH39" s="143">
        <v>0</v>
      </c>
      <c r="BI39" s="143">
        <v>0</v>
      </c>
      <c r="BJ39" s="143">
        <v>0</v>
      </c>
      <c r="BK39" s="143">
        <v>0</v>
      </c>
      <c r="BL39" s="143">
        <v>0</v>
      </c>
      <c r="BM39" s="143">
        <v>0</v>
      </c>
      <c r="BN39" s="143">
        <v>0</v>
      </c>
      <c r="BO39" s="143">
        <v>0</v>
      </c>
      <c r="BP39" s="143">
        <v>0</v>
      </c>
      <c r="BQ39" s="143">
        <v>0</v>
      </c>
      <c r="BR39" s="143">
        <v>0</v>
      </c>
      <c r="BS39" s="143">
        <v>0</v>
      </c>
      <c r="BT39" s="143">
        <v>2399</v>
      </c>
      <c r="BU39" s="143">
        <v>2339</v>
      </c>
      <c r="BV39" s="143">
        <v>2222</v>
      </c>
      <c r="BW39" s="143">
        <v>2145</v>
      </c>
      <c r="BX39" s="143">
        <v>2171</v>
      </c>
      <c r="BY39" s="143">
        <v>2422</v>
      </c>
      <c r="BZ39" s="143">
        <v>2177</v>
      </c>
      <c r="CA39" s="143">
        <v>1860</v>
      </c>
      <c r="CB39" s="143">
        <v>1909</v>
      </c>
      <c r="CC39" s="143">
        <v>2030</v>
      </c>
      <c r="CD39" s="143">
        <v>2130</v>
      </c>
      <c r="CE39" s="143">
        <v>2000</v>
      </c>
      <c r="CF39" s="143">
        <v>1903</v>
      </c>
      <c r="CG39" s="143">
        <v>1864</v>
      </c>
      <c r="CH39" s="143">
        <v>1875</v>
      </c>
      <c r="CI39" s="143">
        <v>2123</v>
      </c>
      <c r="CJ39" s="143">
        <v>1929</v>
      </c>
      <c r="CK39" s="143">
        <v>1906</v>
      </c>
      <c r="CL39" s="143">
        <v>1928</v>
      </c>
      <c r="CM39" s="143">
        <v>1885</v>
      </c>
      <c r="CN39" s="143">
        <v>1830</v>
      </c>
      <c r="CO39" s="143">
        <v>1830</v>
      </c>
      <c r="CP39" s="143">
        <v>1810</v>
      </c>
      <c r="CQ39" s="143">
        <v>1830</v>
      </c>
      <c r="CR39" s="145">
        <v>1865</v>
      </c>
    </row>
    <row r="40" spans="1:96" x14ac:dyDescent="0.25">
      <c r="A40" s="379" t="str">
        <f>IPO監視一覧!H32</f>
        <v>A</v>
      </c>
      <c r="B40" s="99" t="str">
        <f>IPO監視一覧!B32</f>
        <v>ビーブレイクシステムズ</v>
      </c>
      <c r="C40" s="351">
        <f>株価一覧!E39</f>
        <v>5940</v>
      </c>
      <c r="D40" s="376">
        <f t="shared" ca="1" si="0"/>
        <v>6068</v>
      </c>
      <c r="E40" s="349">
        <f t="shared" ca="1" si="1"/>
        <v>6026</v>
      </c>
      <c r="F40" s="350">
        <f t="shared" ca="1" si="2"/>
        <v>5740</v>
      </c>
      <c r="G40" s="145">
        <v>0</v>
      </c>
      <c r="H40" s="145">
        <v>0</v>
      </c>
      <c r="I40" s="145">
        <v>0</v>
      </c>
      <c r="J40" s="145">
        <v>0</v>
      </c>
      <c r="K40" s="145">
        <v>0</v>
      </c>
      <c r="L40" s="145">
        <v>0</v>
      </c>
      <c r="M40" s="145">
        <v>0</v>
      </c>
      <c r="N40" s="145">
        <v>0</v>
      </c>
      <c r="O40" s="145">
        <v>0</v>
      </c>
      <c r="P40" s="145">
        <v>0</v>
      </c>
      <c r="Q40" s="145">
        <v>0</v>
      </c>
      <c r="R40" s="145">
        <v>0</v>
      </c>
      <c r="S40" s="145">
        <v>0</v>
      </c>
      <c r="T40" s="145">
        <v>0</v>
      </c>
      <c r="U40" s="145">
        <v>0</v>
      </c>
      <c r="V40" s="145">
        <v>0</v>
      </c>
      <c r="W40" s="145">
        <v>0</v>
      </c>
      <c r="X40" s="145">
        <v>0</v>
      </c>
      <c r="Y40" s="145">
        <v>0</v>
      </c>
      <c r="Z40" s="145">
        <v>0</v>
      </c>
      <c r="AA40" s="145">
        <v>0</v>
      </c>
      <c r="AB40" s="145">
        <v>0</v>
      </c>
      <c r="AC40" s="145">
        <v>0</v>
      </c>
      <c r="AD40" s="145">
        <v>0</v>
      </c>
      <c r="AE40" s="145">
        <v>0</v>
      </c>
      <c r="AF40" s="145">
        <v>0</v>
      </c>
      <c r="AG40" s="145">
        <v>0</v>
      </c>
      <c r="AH40" s="145">
        <v>0</v>
      </c>
      <c r="AI40" s="145">
        <v>0</v>
      </c>
      <c r="AJ40" s="145">
        <v>0</v>
      </c>
      <c r="AK40" s="145">
        <v>0</v>
      </c>
      <c r="AL40" s="145">
        <v>0</v>
      </c>
      <c r="AM40" s="145">
        <v>0</v>
      </c>
      <c r="AN40" s="145">
        <v>0</v>
      </c>
      <c r="AO40" s="145">
        <v>0</v>
      </c>
      <c r="AP40" s="145">
        <v>0</v>
      </c>
      <c r="AQ40" s="145">
        <v>0</v>
      </c>
      <c r="AR40" s="145">
        <v>0</v>
      </c>
      <c r="AS40" s="145">
        <v>0</v>
      </c>
      <c r="AT40" s="145">
        <v>0</v>
      </c>
      <c r="AU40" s="145">
        <v>0</v>
      </c>
      <c r="AV40" s="145">
        <v>0</v>
      </c>
      <c r="AW40" s="145">
        <v>0</v>
      </c>
      <c r="AX40" s="145">
        <v>0</v>
      </c>
      <c r="AY40" s="145">
        <v>0</v>
      </c>
      <c r="AZ40" s="145">
        <v>0</v>
      </c>
      <c r="BA40" s="145">
        <v>0</v>
      </c>
      <c r="BB40" s="145">
        <v>0</v>
      </c>
      <c r="BC40" s="145">
        <v>0</v>
      </c>
      <c r="BD40" s="145">
        <v>0</v>
      </c>
      <c r="BE40" s="145">
        <v>0</v>
      </c>
      <c r="BF40" s="145">
        <v>0</v>
      </c>
      <c r="BG40" s="145">
        <v>0</v>
      </c>
      <c r="BH40" s="145">
        <v>0</v>
      </c>
      <c r="BI40" s="145">
        <v>0</v>
      </c>
      <c r="BJ40" s="145">
        <v>0</v>
      </c>
      <c r="BK40" s="145">
        <v>0</v>
      </c>
      <c r="BL40" s="145">
        <v>0</v>
      </c>
      <c r="BM40" s="145">
        <v>0</v>
      </c>
      <c r="BN40" s="145">
        <v>0</v>
      </c>
      <c r="BO40" s="145">
        <v>0</v>
      </c>
      <c r="BP40" s="145">
        <v>0</v>
      </c>
      <c r="BQ40" s="145">
        <v>0</v>
      </c>
      <c r="BR40" s="145">
        <v>0</v>
      </c>
      <c r="BS40" s="145">
        <v>0</v>
      </c>
      <c r="BT40" s="145">
        <v>0</v>
      </c>
      <c r="BU40" s="145">
        <v>0</v>
      </c>
      <c r="BV40" s="145">
        <v>0</v>
      </c>
      <c r="BW40" s="145">
        <v>0</v>
      </c>
      <c r="BX40" s="145">
        <v>0</v>
      </c>
      <c r="BY40" s="145">
        <v>0</v>
      </c>
      <c r="BZ40" s="145">
        <v>0</v>
      </c>
      <c r="CA40" s="145">
        <v>0</v>
      </c>
      <c r="CB40" s="145">
        <v>8200</v>
      </c>
      <c r="CC40" s="145">
        <v>6950</v>
      </c>
      <c r="CD40" s="145">
        <v>6700</v>
      </c>
      <c r="CE40" s="145">
        <v>7220</v>
      </c>
      <c r="CF40" s="145">
        <v>6850</v>
      </c>
      <c r="CG40" s="145">
        <v>6450</v>
      </c>
      <c r="CH40" s="145">
        <v>6170</v>
      </c>
      <c r="CI40" s="145">
        <v>6290</v>
      </c>
      <c r="CJ40" s="145">
        <v>5850</v>
      </c>
      <c r="CK40" s="145">
        <v>5740</v>
      </c>
      <c r="CL40" s="145">
        <v>5840</v>
      </c>
      <c r="CM40" s="145">
        <v>6200</v>
      </c>
      <c r="CN40" s="145">
        <v>6380</v>
      </c>
      <c r="CO40" s="145">
        <v>6240</v>
      </c>
      <c r="CP40" s="145">
        <v>5840</v>
      </c>
      <c r="CQ40" s="145">
        <v>5940</v>
      </c>
      <c r="CR40" s="145">
        <v>5940</v>
      </c>
    </row>
    <row r="41" spans="1:96" x14ac:dyDescent="0.25">
      <c r="A41" s="379" t="str">
        <f>IPO監視一覧!H33</f>
        <v>A</v>
      </c>
      <c r="B41" s="99" t="str">
        <f>IPO監視一覧!B33</f>
        <v>ディーエムソリューションズ</v>
      </c>
      <c r="C41" s="351">
        <f>株価一覧!E40</f>
        <v>5760</v>
      </c>
      <c r="D41" s="376">
        <f t="shared" ca="1" si="0"/>
        <v>6110</v>
      </c>
      <c r="E41" s="349">
        <f t="shared" ca="1" si="1"/>
        <v>6032</v>
      </c>
      <c r="F41" s="350">
        <f t="shared" ca="1" si="2"/>
        <v>5690</v>
      </c>
      <c r="G41" s="145">
        <v>0</v>
      </c>
      <c r="H41" s="145">
        <v>0</v>
      </c>
      <c r="I41" s="145">
        <v>0</v>
      </c>
      <c r="J41" s="145">
        <v>0</v>
      </c>
      <c r="K41" s="145">
        <v>0</v>
      </c>
      <c r="L41" s="145">
        <v>0</v>
      </c>
      <c r="M41" s="145">
        <v>0</v>
      </c>
      <c r="N41" s="145">
        <v>0</v>
      </c>
      <c r="O41" s="145">
        <v>0</v>
      </c>
      <c r="P41" s="145">
        <v>0</v>
      </c>
      <c r="Q41" s="145">
        <v>0</v>
      </c>
      <c r="R41" s="145">
        <v>0</v>
      </c>
      <c r="S41" s="145">
        <v>0</v>
      </c>
      <c r="T41" s="145">
        <v>0</v>
      </c>
      <c r="U41" s="145">
        <v>0</v>
      </c>
      <c r="V41" s="145">
        <v>0</v>
      </c>
      <c r="W41" s="145">
        <v>0</v>
      </c>
      <c r="X41" s="145">
        <v>0</v>
      </c>
      <c r="Y41" s="145">
        <v>0</v>
      </c>
      <c r="Z41" s="145">
        <v>0</v>
      </c>
      <c r="AA41" s="145">
        <v>0</v>
      </c>
      <c r="AB41" s="145">
        <v>0</v>
      </c>
      <c r="AC41" s="145">
        <v>0</v>
      </c>
      <c r="AD41" s="145">
        <v>0</v>
      </c>
      <c r="AE41" s="145">
        <v>0</v>
      </c>
      <c r="AF41" s="145">
        <v>0</v>
      </c>
      <c r="AG41" s="145">
        <v>0</v>
      </c>
      <c r="AH41" s="145">
        <v>0</v>
      </c>
      <c r="AI41" s="145">
        <v>0</v>
      </c>
      <c r="AJ41" s="145">
        <v>0</v>
      </c>
      <c r="AK41" s="145">
        <v>0</v>
      </c>
      <c r="AL41" s="145">
        <v>0</v>
      </c>
      <c r="AM41" s="145">
        <v>0</v>
      </c>
      <c r="AN41" s="145">
        <v>0</v>
      </c>
      <c r="AO41" s="145">
        <v>0</v>
      </c>
      <c r="AP41" s="145">
        <v>0</v>
      </c>
      <c r="AQ41" s="145">
        <v>0</v>
      </c>
      <c r="AR41" s="145">
        <v>0</v>
      </c>
      <c r="AS41" s="145">
        <v>0</v>
      </c>
      <c r="AT41" s="145">
        <v>0</v>
      </c>
      <c r="AU41" s="145">
        <v>0</v>
      </c>
      <c r="AV41" s="145">
        <v>0</v>
      </c>
      <c r="AW41" s="145">
        <v>0</v>
      </c>
      <c r="AX41" s="145">
        <v>0</v>
      </c>
      <c r="AY41" s="145">
        <v>0</v>
      </c>
      <c r="AZ41" s="145">
        <v>0</v>
      </c>
      <c r="BA41" s="145">
        <v>0</v>
      </c>
      <c r="BB41" s="145">
        <v>0</v>
      </c>
      <c r="BC41" s="145">
        <v>0</v>
      </c>
      <c r="BD41" s="145">
        <v>0</v>
      </c>
      <c r="BE41" s="145">
        <v>0</v>
      </c>
      <c r="BF41" s="145">
        <v>0</v>
      </c>
      <c r="BG41" s="145">
        <v>0</v>
      </c>
      <c r="BH41" s="145">
        <v>0</v>
      </c>
      <c r="BI41" s="145">
        <v>0</v>
      </c>
      <c r="BJ41" s="145">
        <v>0</v>
      </c>
      <c r="BK41" s="145">
        <v>0</v>
      </c>
      <c r="BL41" s="145">
        <v>0</v>
      </c>
      <c r="BM41" s="145">
        <v>0</v>
      </c>
      <c r="BN41" s="145">
        <v>0</v>
      </c>
      <c r="BO41" s="145">
        <v>0</v>
      </c>
      <c r="BP41" s="145">
        <v>0</v>
      </c>
      <c r="BQ41" s="145">
        <v>0</v>
      </c>
      <c r="BR41" s="145">
        <v>0</v>
      </c>
      <c r="BS41" s="145">
        <v>0</v>
      </c>
      <c r="BT41" s="145">
        <v>0</v>
      </c>
      <c r="BU41" s="145">
        <v>0</v>
      </c>
      <c r="BV41" s="145">
        <v>0</v>
      </c>
      <c r="BW41" s="145">
        <v>0</v>
      </c>
      <c r="BX41" s="145">
        <v>0</v>
      </c>
      <c r="BY41" s="145">
        <v>0</v>
      </c>
      <c r="BZ41" s="145">
        <v>0</v>
      </c>
      <c r="CA41" s="145">
        <v>0</v>
      </c>
      <c r="CB41" s="145">
        <v>0</v>
      </c>
      <c r="CC41" s="145">
        <v>0</v>
      </c>
      <c r="CD41" s="145">
        <v>0</v>
      </c>
      <c r="CE41" s="145">
        <v>7000</v>
      </c>
      <c r="CF41" s="145">
        <v>7560</v>
      </c>
      <c r="CG41" s="145">
        <v>7000</v>
      </c>
      <c r="CH41" s="145">
        <v>6460</v>
      </c>
      <c r="CI41" s="145">
        <v>6460</v>
      </c>
      <c r="CJ41" s="145">
        <v>5690</v>
      </c>
      <c r="CK41" s="145">
        <v>5770</v>
      </c>
      <c r="CL41" s="145">
        <v>6000</v>
      </c>
      <c r="CM41" s="145">
        <v>5850</v>
      </c>
      <c r="CN41" s="145">
        <v>6760</v>
      </c>
      <c r="CO41" s="145">
        <v>6150</v>
      </c>
      <c r="CP41" s="145">
        <v>6000</v>
      </c>
      <c r="CQ41" s="145">
        <v>5880</v>
      </c>
      <c r="CR41" s="145">
        <v>5760</v>
      </c>
    </row>
    <row r="42" spans="1:96" x14ac:dyDescent="0.25">
      <c r="A42" s="379" t="str">
        <f>IPO監視一覧!H34</f>
        <v>A</v>
      </c>
      <c r="B42" s="99" t="str">
        <f>IPO監視一覧!B34</f>
        <v>エコモット</v>
      </c>
      <c r="C42" s="351">
        <f>株価一覧!E41</f>
        <v>3810</v>
      </c>
      <c r="D42" s="376">
        <f t="shared" ca="1" si="0"/>
        <v>3790</v>
      </c>
      <c r="E42" s="349">
        <f t="shared" ca="1" si="1"/>
        <v>3841.5</v>
      </c>
      <c r="F42" s="350">
        <f t="shared" ca="1" si="2"/>
        <v>3735</v>
      </c>
      <c r="G42" s="145">
        <v>0</v>
      </c>
      <c r="H42" s="145">
        <v>0</v>
      </c>
      <c r="I42" s="145">
        <v>0</v>
      </c>
      <c r="J42" s="145">
        <v>0</v>
      </c>
      <c r="K42" s="145">
        <v>0</v>
      </c>
      <c r="L42" s="145">
        <v>0</v>
      </c>
      <c r="M42" s="145">
        <v>0</v>
      </c>
      <c r="N42" s="145">
        <v>0</v>
      </c>
      <c r="O42" s="145">
        <v>0</v>
      </c>
      <c r="P42" s="145">
        <v>0</v>
      </c>
      <c r="Q42" s="145">
        <v>0</v>
      </c>
      <c r="R42" s="145">
        <v>0</v>
      </c>
      <c r="S42" s="145">
        <v>0</v>
      </c>
      <c r="T42" s="145">
        <v>0</v>
      </c>
      <c r="U42" s="145">
        <v>0</v>
      </c>
      <c r="V42" s="145">
        <v>0</v>
      </c>
      <c r="W42" s="145">
        <v>0</v>
      </c>
      <c r="X42" s="145">
        <v>0</v>
      </c>
      <c r="Y42" s="145">
        <v>0</v>
      </c>
      <c r="Z42" s="145">
        <v>0</v>
      </c>
      <c r="AA42" s="145">
        <v>0</v>
      </c>
      <c r="AB42" s="145">
        <v>0</v>
      </c>
      <c r="AC42" s="145">
        <v>0</v>
      </c>
      <c r="AD42" s="145">
        <v>0</v>
      </c>
      <c r="AE42" s="145">
        <v>0</v>
      </c>
      <c r="AF42" s="145">
        <v>0</v>
      </c>
      <c r="AG42" s="145">
        <v>0</v>
      </c>
      <c r="AH42" s="145">
        <v>0</v>
      </c>
      <c r="AI42" s="145">
        <v>0</v>
      </c>
      <c r="AJ42" s="145">
        <v>0</v>
      </c>
      <c r="AK42" s="145">
        <v>0</v>
      </c>
      <c r="AL42" s="145">
        <v>0</v>
      </c>
      <c r="AM42" s="145">
        <v>0</v>
      </c>
      <c r="AN42" s="145">
        <v>0</v>
      </c>
      <c r="AO42" s="145">
        <v>0</v>
      </c>
      <c r="AP42" s="145">
        <v>0</v>
      </c>
      <c r="AQ42" s="145">
        <v>0</v>
      </c>
      <c r="AR42" s="145">
        <v>0</v>
      </c>
      <c r="AS42" s="145">
        <v>0</v>
      </c>
      <c r="AT42" s="145">
        <v>0</v>
      </c>
      <c r="AU42" s="145">
        <v>0</v>
      </c>
      <c r="AV42" s="145">
        <v>0</v>
      </c>
      <c r="AW42" s="145">
        <v>0</v>
      </c>
      <c r="AX42" s="145">
        <v>0</v>
      </c>
      <c r="AY42" s="145">
        <v>0</v>
      </c>
      <c r="AZ42" s="145">
        <v>0</v>
      </c>
      <c r="BA42" s="145">
        <v>0</v>
      </c>
      <c r="BB42" s="145">
        <v>0</v>
      </c>
      <c r="BC42" s="145">
        <v>0</v>
      </c>
      <c r="BD42" s="145">
        <v>0</v>
      </c>
      <c r="BE42" s="145">
        <v>0</v>
      </c>
      <c r="BF42" s="145">
        <v>0</v>
      </c>
      <c r="BG42" s="145">
        <v>0</v>
      </c>
      <c r="BH42" s="145">
        <v>0</v>
      </c>
      <c r="BI42" s="145">
        <v>0</v>
      </c>
      <c r="BJ42" s="145">
        <v>0</v>
      </c>
      <c r="BK42" s="145">
        <v>0</v>
      </c>
      <c r="BL42" s="145">
        <v>0</v>
      </c>
      <c r="BM42" s="145">
        <v>0</v>
      </c>
      <c r="BN42" s="145">
        <v>0</v>
      </c>
      <c r="BO42" s="145">
        <v>0</v>
      </c>
      <c r="BP42" s="145">
        <v>0</v>
      </c>
      <c r="BQ42" s="145">
        <v>0</v>
      </c>
      <c r="BR42" s="145">
        <v>0</v>
      </c>
      <c r="BS42" s="145">
        <v>0</v>
      </c>
      <c r="BT42" s="145">
        <v>0</v>
      </c>
      <c r="BU42" s="145">
        <v>0</v>
      </c>
      <c r="BV42" s="145">
        <v>0</v>
      </c>
      <c r="BW42" s="145">
        <v>0</v>
      </c>
      <c r="BX42" s="145">
        <v>0</v>
      </c>
      <c r="BY42" s="145">
        <v>0</v>
      </c>
      <c r="BZ42" s="145">
        <v>0</v>
      </c>
      <c r="CA42" s="145">
        <v>0</v>
      </c>
      <c r="CB42" s="145">
        <v>0</v>
      </c>
      <c r="CC42" s="145">
        <v>0</v>
      </c>
      <c r="CD42" s="145">
        <v>0</v>
      </c>
      <c r="CE42" s="145">
        <v>0</v>
      </c>
      <c r="CF42" s="145">
        <v>5600</v>
      </c>
      <c r="CG42" s="145">
        <v>5170</v>
      </c>
      <c r="CH42" s="145">
        <v>4320</v>
      </c>
      <c r="CI42" s="145">
        <v>4180</v>
      </c>
      <c r="CJ42" s="145">
        <v>3735</v>
      </c>
      <c r="CK42" s="145">
        <v>3775</v>
      </c>
      <c r="CL42" s="145">
        <v>3855</v>
      </c>
      <c r="CM42" s="145">
        <v>3920</v>
      </c>
      <c r="CN42" s="145">
        <v>3780</v>
      </c>
      <c r="CO42" s="145">
        <v>3775</v>
      </c>
      <c r="CP42" s="145">
        <v>3835</v>
      </c>
      <c r="CQ42" s="145">
        <v>3750</v>
      </c>
      <c r="CR42" s="145">
        <v>3810</v>
      </c>
    </row>
    <row r="43" spans="1:96" x14ac:dyDescent="0.25">
      <c r="A43" s="379" t="str">
        <f>IPO監視一覧!H35</f>
        <v>B</v>
      </c>
      <c r="B43" s="99" t="str">
        <f>IPO監視一覧!B35</f>
        <v>Fringe81</v>
      </c>
      <c r="C43" s="351">
        <f>株価一覧!E42</f>
        <v>5900</v>
      </c>
      <c r="D43" s="376">
        <f t="shared" ref="D43:D48" ca="1" si="12">AVERAGE(OFFSET(A43,0,COUNTA(G43:XFD43)+5,1,-5))</f>
        <v>5610</v>
      </c>
      <c r="E43" s="349">
        <f t="shared" ref="E43" ca="1" si="13">AVERAGE(OFFSET(A43,0,COUNTA(G43:XFD43)+5,1,-10))</f>
        <v>5584</v>
      </c>
      <c r="F43" s="350">
        <f t="shared" ref="F43" ca="1" si="14">MIN(OFFSET(B43,0,COUNTA(G43:XFD43)+5,1,-10))</f>
        <v>4870</v>
      </c>
      <c r="G43" s="145">
        <v>0</v>
      </c>
      <c r="H43" s="145">
        <v>0</v>
      </c>
      <c r="I43" s="145">
        <v>0</v>
      </c>
      <c r="J43" s="145">
        <v>0</v>
      </c>
      <c r="K43" s="145">
        <v>0</v>
      </c>
      <c r="L43" s="145">
        <v>0</v>
      </c>
      <c r="M43" s="145">
        <v>0</v>
      </c>
      <c r="N43" s="145">
        <v>0</v>
      </c>
      <c r="O43" s="145">
        <v>0</v>
      </c>
      <c r="P43" s="145">
        <v>0</v>
      </c>
      <c r="Q43" s="145">
        <v>0</v>
      </c>
      <c r="R43" s="145">
        <v>0</v>
      </c>
      <c r="S43" s="145">
        <v>0</v>
      </c>
      <c r="T43" s="145">
        <v>0</v>
      </c>
      <c r="U43" s="145">
        <v>0</v>
      </c>
      <c r="V43" s="145">
        <v>0</v>
      </c>
      <c r="W43" s="145">
        <v>0</v>
      </c>
      <c r="X43" s="145">
        <v>0</v>
      </c>
      <c r="Y43" s="145">
        <v>0</v>
      </c>
      <c r="Z43" s="145">
        <v>0</v>
      </c>
      <c r="AA43" s="145">
        <v>0</v>
      </c>
      <c r="AB43" s="145">
        <v>0</v>
      </c>
      <c r="AC43" s="145">
        <v>0</v>
      </c>
      <c r="AD43" s="145">
        <v>0</v>
      </c>
      <c r="AE43" s="145">
        <v>0</v>
      </c>
      <c r="AF43" s="145">
        <v>0</v>
      </c>
      <c r="AG43" s="145">
        <v>0</v>
      </c>
      <c r="AH43" s="145">
        <v>0</v>
      </c>
      <c r="AI43" s="145">
        <v>0</v>
      </c>
      <c r="AJ43" s="145">
        <v>0</v>
      </c>
      <c r="AK43" s="145">
        <v>0</v>
      </c>
      <c r="AL43" s="145">
        <v>0</v>
      </c>
      <c r="AM43" s="145">
        <v>0</v>
      </c>
      <c r="AN43" s="145">
        <v>0</v>
      </c>
      <c r="AO43" s="145">
        <v>0</v>
      </c>
      <c r="AP43" s="145">
        <v>0</v>
      </c>
      <c r="AQ43" s="145">
        <v>0</v>
      </c>
      <c r="AR43" s="145">
        <v>0</v>
      </c>
      <c r="AS43" s="145">
        <v>0</v>
      </c>
      <c r="AT43" s="145">
        <v>0</v>
      </c>
      <c r="AU43" s="145">
        <v>0</v>
      </c>
      <c r="AV43" s="145">
        <v>0</v>
      </c>
      <c r="AW43" s="145">
        <v>0</v>
      </c>
      <c r="AX43" s="145">
        <v>0</v>
      </c>
      <c r="AY43" s="145">
        <v>0</v>
      </c>
      <c r="AZ43" s="145">
        <v>0</v>
      </c>
      <c r="BA43" s="145">
        <v>0</v>
      </c>
      <c r="BB43" s="145">
        <v>0</v>
      </c>
      <c r="BC43" s="145">
        <v>0</v>
      </c>
      <c r="BD43" s="145">
        <v>0</v>
      </c>
      <c r="BE43" s="145">
        <v>0</v>
      </c>
      <c r="BF43" s="145">
        <v>0</v>
      </c>
      <c r="BG43" s="145">
        <v>0</v>
      </c>
      <c r="BH43" s="145">
        <v>0</v>
      </c>
      <c r="BI43" s="145">
        <v>0</v>
      </c>
      <c r="BJ43" s="145">
        <v>0</v>
      </c>
      <c r="BK43" s="145">
        <v>0</v>
      </c>
      <c r="BL43" s="145">
        <v>0</v>
      </c>
      <c r="BM43" s="145">
        <v>0</v>
      </c>
      <c r="BN43" s="145">
        <v>0</v>
      </c>
      <c r="BO43" s="145">
        <v>0</v>
      </c>
      <c r="BP43" s="145">
        <v>0</v>
      </c>
      <c r="BQ43" s="145">
        <v>0</v>
      </c>
      <c r="BR43" s="145">
        <v>0</v>
      </c>
      <c r="BS43" s="145">
        <v>0</v>
      </c>
      <c r="BT43" s="145">
        <v>0</v>
      </c>
      <c r="BU43" s="145">
        <v>0</v>
      </c>
      <c r="BV43" s="145">
        <v>0</v>
      </c>
      <c r="BW43" s="145">
        <v>0</v>
      </c>
      <c r="BX43" s="145">
        <v>0</v>
      </c>
      <c r="BY43" s="145">
        <v>0</v>
      </c>
      <c r="BZ43" s="145">
        <v>0</v>
      </c>
      <c r="CA43" s="145">
        <v>0</v>
      </c>
      <c r="CB43" s="145">
        <v>0</v>
      </c>
      <c r="CC43" s="145">
        <v>0</v>
      </c>
      <c r="CD43" s="145">
        <v>0</v>
      </c>
      <c r="CE43" s="145">
        <v>0</v>
      </c>
      <c r="CF43" s="145">
        <v>0</v>
      </c>
      <c r="CG43" s="145">
        <v>0</v>
      </c>
      <c r="CH43" s="145">
        <v>0</v>
      </c>
      <c r="CI43" s="145">
        <v>6430</v>
      </c>
      <c r="CJ43" s="145">
        <v>5640</v>
      </c>
      <c r="CK43" s="145">
        <v>5300</v>
      </c>
      <c r="CL43" s="145">
        <v>4870</v>
      </c>
      <c r="CM43" s="145">
        <v>5550</v>
      </c>
      <c r="CN43" s="145">
        <v>5340</v>
      </c>
      <c r="CO43" s="145">
        <v>5380</v>
      </c>
      <c r="CP43" s="145">
        <v>5820</v>
      </c>
      <c r="CQ43" s="145">
        <v>5610</v>
      </c>
      <c r="CR43" s="145">
        <v>5900</v>
      </c>
    </row>
    <row r="44" spans="1:96" x14ac:dyDescent="0.25">
      <c r="A44" s="379" t="s">
        <v>477</v>
      </c>
      <c r="B44" s="99" t="str">
        <f>参加条件計算!B44</f>
        <v>インフォテリア</v>
      </c>
      <c r="C44" s="351">
        <f>株価一覧!E43</f>
        <v>1440</v>
      </c>
      <c r="D44" s="340">
        <f ca="1">AVERAGE(OFFSET(A44,0,COUNTA(G44:XFD44)+5,1,-5))</f>
        <v>1430.8</v>
      </c>
      <c r="E44" s="352">
        <f t="shared" ref="E44:E48" ca="1" si="15">AVERAGE(OFFSET(A44,0,COUNTA(G44:XFD44)+5,1,-10))</f>
        <v>1179.0999999999999</v>
      </c>
      <c r="F44" s="353">
        <f t="shared" ref="F44:F48" ca="1" si="16">MIN(OFFSET(B44,0,COUNTA(G44:XFD44)+5,1,-10))</f>
        <v>1080</v>
      </c>
      <c r="G44" s="145">
        <v>0</v>
      </c>
      <c r="H44" s="145">
        <v>0</v>
      </c>
      <c r="I44" s="145">
        <v>0</v>
      </c>
      <c r="J44" s="145">
        <v>0</v>
      </c>
      <c r="K44" s="145">
        <v>0</v>
      </c>
      <c r="L44" s="145">
        <v>0</v>
      </c>
      <c r="M44" s="145">
        <v>0</v>
      </c>
      <c r="N44" s="145">
        <v>0</v>
      </c>
      <c r="O44" s="145">
        <v>0</v>
      </c>
      <c r="P44" s="145">
        <v>0</v>
      </c>
      <c r="Q44" s="145">
        <v>0</v>
      </c>
      <c r="R44" s="145">
        <v>0</v>
      </c>
      <c r="S44" s="145">
        <v>0</v>
      </c>
      <c r="T44" s="145">
        <v>0</v>
      </c>
      <c r="U44" s="145">
        <v>0</v>
      </c>
      <c r="V44" s="145">
        <v>0</v>
      </c>
      <c r="W44" s="145">
        <v>0</v>
      </c>
      <c r="X44" s="145">
        <v>0</v>
      </c>
      <c r="Y44" s="145">
        <v>0</v>
      </c>
      <c r="Z44" s="145">
        <v>0</v>
      </c>
      <c r="AA44" s="145">
        <v>0</v>
      </c>
      <c r="AB44" s="145">
        <v>0</v>
      </c>
      <c r="AC44" s="145">
        <v>0</v>
      </c>
      <c r="AD44" s="145">
        <v>0</v>
      </c>
      <c r="AE44" s="145">
        <v>0</v>
      </c>
      <c r="AF44" s="145">
        <v>0</v>
      </c>
      <c r="AG44" s="145">
        <v>0</v>
      </c>
      <c r="AH44" s="145">
        <v>0</v>
      </c>
      <c r="AI44" s="145">
        <v>0</v>
      </c>
      <c r="AJ44" s="145">
        <v>0</v>
      </c>
      <c r="AK44" s="145">
        <v>0</v>
      </c>
      <c r="AL44" s="145">
        <v>0</v>
      </c>
      <c r="AM44" s="145">
        <v>0</v>
      </c>
      <c r="AN44" s="145">
        <v>0</v>
      </c>
      <c r="AO44" s="145">
        <v>0</v>
      </c>
      <c r="AP44" s="145">
        <v>0</v>
      </c>
      <c r="AQ44" s="145">
        <v>0</v>
      </c>
      <c r="AR44" s="145">
        <v>0</v>
      </c>
      <c r="AS44" s="145">
        <v>0</v>
      </c>
      <c r="AT44" s="145">
        <v>0</v>
      </c>
      <c r="AU44" s="145">
        <v>0</v>
      </c>
      <c r="AV44" s="145">
        <v>0</v>
      </c>
      <c r="AW44" s="145">
        <v>0</v>
      </c>
      <c r="AX44" s="145">
        <v>0</v>
      </c>
      <c r="AY44" s="145">
        <v>0</v>
      </c>
      <c r="AZ44" s="145">
        <v>0</v>
      </c>
      <c r="BA44" s="145">
        <v>0</v>
      </c>
      <c r="BB44" s="145">
        <v>0</v>
      </c>
      <c r="BC44" s="145">
        <v>0</v>
      </c>
      <c r="BD44" s="145">
        <v>0</v>
      </c>
      <c r="BE44" s="145">
        <v>0</v>
      </c>
      <c r="BF44" s="145">
        <v>0</v>
      </c>
      <c r="BG44" s="145">
        <v>0</v>
      </c>
      <c r="BH44" s="145">
        <v>0</v>
      </c>
      <c r="BI44" s="145">
        <v>0</v>
      </c>
      <c r="BJ44" s="145">
        <v>0</v>
      </c>
      <c r="BK44" s="145">
        <v>0</v>
      </c>
      <c r="BL44" s="145">
        <v>0</v>
      </c>
      <c r="BM44" s="145">
        <v>0</v>
      </c>
      <c r="BN44" s="145">
        <v>0</v>
      </c>
      <c r="BO44" s="145">
        <v>0</v>
      </c>
      <c r="BP44" s="145">
        <v>0</v>
      </c>
      <c r="BQ44" s="145">
        <v>0</v>
      </c>
      <c r="BR44" s="145">
        <v>0</v>
      </c>
      <c r="BS44" s="145">
        <v>0</v>
      </c>
      <c r="BT44" s="145">
        <v>0</v>
      </c>
      <c r="BU44" s="145">
        <v>0</v>
      </c>
      <c r="BV44" s="145">
        <v>0</v>
      </c>
      <c r="BW44" s="145">
        <v>0</v>
      </c>
      <c r="BX44" s="145">
        <v>0</v>
      </c>
      <c r="BY44" s="145">
        <v>0</v>
      </c>
      <c r="BZ44" s="145">
        <v>0</v>
      </c>
      <c r="CA44" s="145">
        <v>0</v>
      </c>
      <c r="CB44" s="145">
        <v>0</v>
      </c>
      <c r="CC44" s="145">
        <v>0</v>
      </c>
      <c r="CD44" s="145">
        <v>0</v>
      </c>
      <c r="CE44" s="145">
        <v>0</v>
      </c>
      <c r="CF44" s="145">
        <v>0</v>
      </c>
      <c r="CG44" s="145">
        <v>0</v>
      </c>
      <c r="CH44" s="145">
        <v>0</v>
      </c>
      <c r="CI44" s="145">
        <v>0</v>
      </c>
      <c r="CJ44" s="145">
        <v>1080</v>
      </c>
      <c r="CK44" s="145">
        <v>1140</v>
      </c>
      <c r="CL44" s="145">
        <v>1178</v>
      </c>
      <c r="CM44" s="145">
        <v>1239</v>
      </c>
      <c r="CN44" s="145">
        <v>1220</v>
      </c>
      <c r="CO44" s="145">
        <v>1520</v>
      </c>
      <c r="CP44" s="145">
        <v>1484</v>
      </c>
      <c r="CQ44" s="145">
        <v>1490</v>
      </c>
      <c r="CR44" s="145">
        <v>1440</v>
      </c>
    </row>
    <row r="45" spans="1:96" x14ac:dyDescent="0.25">
      <c r="A45" s="379" t="s">
        <v>477</v>
      </c>
      <c r="B45" s="99" t="str">
        <f>参加条件計算!B45</f>
        <v>GNIグループ</v>
      </c>
      <c r="C45" s="351">
        <f>株価一覧!E44</f>
        <v>641</v>
      </c>
      <c r="D45" s="340">
        <f t="shared" ca="1" si="12"/>
        <v>633.20000000000005</v>
      </c>
      <c r="E45" s="352">
        <f t="shared" ca="1" si="15"/>
        <v>579.20000000000005</v>
      </c>
      <c r="F45" s="353">
        <f t="shared" ca="1" si="16"/>
        <v>616</v>
      </c>
      <c r="G45" s="145">
        <v>0</v>
      </c>
      <c r="H45" s="145">
        <v>0</v>
      </c>
      <c r="I45" s="145">
        <v>0</v>
      </c>
      <c r="J45" s="145">
        <v>0</v>
      </c>
      <c r="K45" s="145">
        <v>0</v>
      </c>
      <c r="L45" s="145">
        <v>0</v>
      </c>
      <c r="M45" s="145">
        <v>0</v>
      </c>
      <c r="N45" s="145">
        <v>0</v>
      </c>
      <c r="O45" s="145">
        <v>0</v>
      </c>
      <c r="P45" s="145">
        <v>0</v>
      </c>
      <c r="Q45" s="145">
        <v>0</v>
      </c>
      <c r="R45" s="145">
        <v>0</v>
      </c>
      <c r="S45" s="145">
        <v>0</v>
      </c>
      <c r="T45" s="145">
        <v>0</v>
      </c>
      <c r="U45" s="145">
        <v>0</v>
      </c>
      <c r="V45" s="145">
        <v>0</v>
      </c>
      <c r="W45" s="145">
        <v>0</v>
      </c>
      <c r="X45" s="145">
        <v>0</v>
      </c>
      <c r="Y45" s="145">
        <v>0</v>
      </c>
      <c r="Z45" s="145">
        <v>0</v>
      </c>
      <c r="AA45" s="145">
        <v>0</v>
      </c>
      <c r="AB45" s="145">
        <v>0</v>
      </c>
      <c r="AC45" s="145">
        <v>0</v>
      </c>
      <c r="AD45" s="145">
        <v>0</v>
      </c>
      <c r="AE45" s="145">
        <v>0</v>
      </c>
      <c r="AF45" s="145">
        <v>0</v>
      </c>
      <c r="AG45" s="145">
        <v>0</v>
      </c>
      <c r="AH45" s="145">
        <v>0</v>
      </c>
      <c r="AI45" s="145">
        <v>0</v>
      </c>
      <c r="AJ45" s="145">
        <v>0</v>
      </c>
      <c r="AK45" s="145">
        <v>0</v>
      </c>
      <c r="AL45" s="145">
        <v>0</v>
      </c>
      <c r="AM45" s="145">
        <v>0</v>
      </c>
      <c r="AN45" s="145">
        <v>0</v>
      </c>
      <c r="AO45" s="145">
        <v>0</v>
      </c>
      <c r="AP45" s="145">
        <v>0</v>
      </c>
      <c r="AQ45" s="145">
        <v>0</v>
      </c>
      <c r="AR45" s="145">
        <v>0</v>
      </c>
      <c r="AS45" s="145">
        <v>0</v>
      </c>
      <c r="AT45" s="145">
        <v>0</v>
      </c>
      <c r="AU45" s="145">
        <v>0</v>
      </c>
      <c r="AV45" s="145">
        <v>0</v>
      </c>
      <c r="AW45" s="145">
        <v>0</v>
      </c>
      <c r="AX45" s="145">
        <v>0</v>
      </c>
      <c r="AY45" s="145">
        <v>0</v>
      </c>
      <c r="AZ45" s="145">
        <v>0</v>
      </c>
      <c r="BA45" s="145">
        <v>0</v>
      </c>
      <c r="BB45" s="145">
        <v>0</v>
      </c>
      <c r="BC45" s="145">
        <v>0</v>
      </c>
      <c r="BD45" s="145">
        <v>0</v>
      </c>
      <c r="BE45" s="145">
        <v>0</v>
      </c>
      <c r="BF45" s="145">
        <v>0</v>
      </c>
      <c r="BG45" s="145">
        <v>0</v>
      </c>
      <c r="BH45" s="145">
        <v>0</v>
      </c>
      <c r="BI45" s="145">
        <v>0</v>
      </c>
      <c r="BJ45" s="145">
        <v>0</v>
      </c>
      <c r="BK45" s="145">
        <v>0</v>
      </c>
      <c r="BL45" s="145">
        <v>0</v>
      </c>
      <c r="BM45" s="145">
        <v>0</v>
      </c>
      <c r="BN45" s="145">
        <v>0</v>
      </c>
      <c r="BO45" s="145">
        <v>0</v>
      </c>
      <c r="BP45" s="145">
        <v>0</v>
      </c>
      <c r="BQ45" s="145">
        <v>0</v>
      </c>
      <c r="BR45" s="145">
        <v>0</v>
      </c>
      <c r="BS45" s="145">
        <v>0</v>
      </c>
      <c r="BT45" s="145">
        <v>0</v>
      </c>
      <c r="BU45" s="145">
        <v>0</v>
      </c>
      <c r="BV45" s="145">
        <v>0</v>
      </c>
      <c r="BW45" s="145">
        <v>0</v>
      </c>
      <c r="BX45" s="145">
        <v>0</v>
      </c>
      <c r="BY45" s="145">
        <v>0</v>
      </c>
      <c r="BZ45" s="145">
        <v>0</v>
      </c>
      <c r="CA45" s="145">
        <v>0</v>
      </c>
      <c r="CB45" s="145">
        <v>0</v>
      </c>
      <c r="CC45" s="145">
        <v>0</v>
      </c>
      <c r="CD45" s="145">
        <v>0</v>
      </c>
      <c r="CE45" s="145">
        <v>0</v>
      </c>
      <c r="CF45" s="145">
        <v>0</v>
      </c>
      <c r="CG45" s="145">
        <v>0</v>
      </c>
      <c r="CH45" s="145">
        <v>0</v>
      </c>
      <c r="CI45" s="145">
        <v>0</v>
      </c>
      <c r="CJ45" s="145">
        <v>641</v>
      </c>
      <c r="CK45" s="145">
        <v>664</v>
      </c>
      <c r="CL45" s="145">
        <v>663</v>
      </c>
      <c r="CM45" s="145">
        <v>658</v>
      </c>
      <c r="CN45" s="145">
        <v>616</v>
      </c>
      <c r="CO45" s="145">
        <v>623</v>
      </c>
      <c r="CP45" s="145">
        <v>631</v>
      </c>
      <c r="CQ45" s="145">
        <v>655</v>
      </c>
      <c r="CR45" s="145">
        <v>641</v>
      </c>
    </row>
    <row r="46" spans="1:96" x14ac:dyDescent="0.25">
      <c r="A46" s="379" t="str">
        <f>IPO監視一覧!H36</f>
        <v>B</v>
      </c>
      <c r="B46" s="99" t="str">
        <f>IPO監視一覧!B36</f>
        <v>ツナグ・ソリューションズ</v>
      </c>
      <c r="C46" s="351">
        <f>株価一覧!E45</f>
        <v>5540</v>
      </c>
      <c r="D46" s="340">
        <f t="shared" ca="1" si="12"/>
        <v>5686</v>
      </c>
      <c r="E46" s="352">
        <f t="shared" ca="1" si="15"/>
        <v>3853</v>
      </c>
      <c r="F46" s="353">
        <f t="shared" ca="1" si="16"/>
        <v>0</v>
      </c>
      <c r="G46" s="145">
        <v>0</v>
      </c>
      <c r="H46" s="145">
        <v>0</v>
      </c>
      <c r="I46" s="145">
        <v>0</v>
      </c>
      <c r="J46" s="145">
        <v>0</v>
      </c>
      <c r="K46" s="145">
        <v>0</v>
      </c>
      <c r="L46" s="145">
        <v>0</v>
      </c>
      <c r="M46" s="145">
        <v>0</v>
      </c>
      <c r="N46" s="145">
        <v>0</v>
      </c>
      <c r="O46" s="145">
        <v>0</v>
      </c>
      <c r="P46" s="145">
        <v>0</v>
      </c>
      <c r="Q46" s="145">
        <v>0</v>
      </c>
      <c r="R46" s="145">
        <v>0</v>
      </c>
      <c r="S46" s="145">
        <v>0</v>
      </c>
      <c r="T46" s="145">
        <v>0</v>
      </c>
      <c r="U46" s="145">
        <v>0</v>
      </c>
      <c r="V46" s="145">
        <v>0</v>
      </c>
      <c r="W46" s="145">
        <v>0</v>
      </c>
      <c r="X46" s="145">
        <v>0</v>
      </c>
      <c r="Y46" s="145">
        <v>0</v>
      </c>
      <c r="Z46" s="145">
        <v>0</v>
      </c>
      <c r="AA46" s="145">
        <v>0</v>
      </c>
      <c r="AB46" s="145">
        <v>0</v>
      </c>
      <c r="AC46" s="145">
        <v>0</v>
      </c>
      <c r="AD46" s="145">
        <v>0</v>
      </c>
      <c r="AE46" s="145">
        <v>0</v>
      </c>
      <c r="AF46" s="145">
        <v>0</v>
      </c>
      <c r="AG46" s="145">
        <v>0</v>
      </c>
      <c r="AH46" s="145">
        <v>0</v>
      </c>
      <c r="AI46" s="145">
        <v>0</v>
      </c>
      <c r="AJ46" s="145">
        <v>0</v>
      </c>
      <c r="AK46" s="145">
        <v>0</v>
      </c>
      <c r="AL46" s="145">
        <v>0</v>
      </c>
      <c r="AM46" s="145">
        <v>0</v>
      </c>
      <c r="AN46" s="145">
        <v>0</v>
      </c>
      <c r="AO46" s="145">
        <v>0</v>
      </c>
      <c r="AP46" s="145">
        <v>0</v>
      </c>
      <c r="AQ46" s="145">
        <v>0</v>
      </c>
      <c r="AR46" s="145">
        <v>0</v>
      </c>
      <c r="AS46" s="145">
        <v>0</v>
      </c>
      <c r="AT46" s="145">
        <v>0</v>
      </c>
      <c r="AU46" s="145">
        <v>0</v>
      </c>
      <c r="AV46" s="145">
        <v>0</v>
      </c>
      <c r="AW46" s="145">
        <v>0</v>
      </c>
      <c r="AX46" s="145">
        <v>0</v>
      </c>
      <c r="AY46" s="145">
        <v>0</v>
      </c>
      <c r="AZ46" s="145">
        <v>0</v>
      </c>
      <c r="BA46" s="145">
        <v>0</v>
      </c>
      <c r="BB46" s="145">
        <v>0</v>
      </c>
      <c r="BC46" s="145">
        <v>0</v>
      </c>
      <c r="BD46" s="145">
        <v>0</v>
      </c>
      <c r="BE46" s="145">
        <v>0</v>
      </c>
      <c r="BF46" s="145">
        <v>0</v>
      </c>
      <c r="BG46" s="145">
        <v>0</v>
      </c>
      <c r="BH46" s="145">
        <v>0</v>
      </c>
      <c r="BI46" s="145">
        <v>0</v>
      </c>
      <c r="BJ46" s="145">
        <v>0</v>
      </c>
      <c r="BK46" s="145">
        <v>0</v>
      </c>
      <c r="BL46" s="145">
        <v>0</v>
      </c>
      <c r="BM46" s="145">
        <v>0</v>
      </c>
      <c r="BN46" s="145">
        <v>0</v>
      </c>
      <c r="BO46" s="145">
        <v>0</v>
      </c>
      <c r="BP46" s="145">
        <v>0</v>
      </c>
      <c r="BQ46" s="145">
        <v>0</v>
      </c>
      <c r="BR46" s="145">
        <v>0</v>
      </c>
      <c r="BS46" s="145">
        <v>0</v>
      </c>
      <c r="BT46" s="145">
        <v>0</v>
      </c>
      <c r="BU46" s="145">
        <v>0</v>
      </c>
      <c r="BV46" s="145">
        <v>0</v>
      </c>
      <c r="BW46" s="145">
        <v>0</v>
      </c>
      <c r="BX46" s="145">
        <v>0</v>
      </c>
      <c r="BY46" s="145">
        <v>0</v>
      </c>
      <c r="BZ46" s="145">
        <v>0</v>
      </c>
      <c r="CA46" s="145">
        <v>0</v>
      </c>
      <c r="CB46" s="145">
        <v>0</v>
      </c>
      <c r="CC46" s="145">
        <v>0</v>
      </c>
      <c r="CD46" s="145">
        <v>0</v>
      </c>
      <c r="CE46" s="145">
        <v>0</v>
      </c>
      <c r="CF46" s="145">
        <v>0</v>
      </c>
      <c r="CG46" s="145">
        <v>0</v>
      </c>
      <c r="CH46" s="145">
        <v>0</v>
      </c>
      <c r="CI46" s="145">
        <v>0</v>
      </c>
      <c r="CJ46" s="145">
        <v>0</v>
      </c>
      <c r="CK46" s="145">
        <v>0</v>
      </c>
      <c r="CL46" s="145">
        <v>4700</v>
      </c>
      <c r="CM46" s="145">
        <v>5400</v>
      </c>
      <c r="CN46" s="145">
        <v>6090</v>
      </c>
      <c r="CO46" s="145">
        <v>5650</v>
      </c>
      <c r="CP46" s="145">
        <v>5350</v>
      </c>
      <c r="CQ46" s="145">
        <v>5800</v>
      </c>
      <c r="CR46" s="145">
        <v>5540</v>
      </c>
    </row>
    <row r="47" spans="1:96" x14ac:dyDescent="0.25">
      <c r="A47" s="379" t="str">
        <f>IPO監視一覧!H37</f>
        <v>B</v>
      </c>
      <c r="B47" s="99" t="str">
        <f>IPO監視一覧!B37</f>
        <v>ＳＹＳホールディングス</v>
      </c>
      <c r="C47" s="351">
        <f>株価一覧!E46</f>
        <v>4240</v>
      </c>
      <c r="D47" s="340">
        <f t="shared" ca="1" si="12"/>
        <v>4236</v>
      </c>
      <c r="E47" s="352">
        <f t="shared" ca="1" si="15"/>
        <v>3023</v>
      </c>
      <c r="F47" s="353">
        <f t="shared" ca="1" si="16"/>
        <v>0</v>
      </c>
      <c r="G47" s="145">
        <v>0</v>
      </c>
      <c r="H47" s="145">
        <v>0</v>
      </c>
      <c r="I47" s="145">
        <v>0</v>
      </c>
      <c r="J47" s="145">
        <v>0</v>
      </c>
      <c r="K47" s="145">
        <v>0</v>
      </c>
      <c r="L47" s="145">
        <v>0</v>
      </c>
      <c r="M47" s="145">
        <v>0</v>
      </c>
      <c r="N47" s="145">
        <v>0</v>
      </c>
      <c r="O47" s="145">
        <v>0</v>
      </c>
      <c r="P47" s="145">
        <v>0</v>
      </c>
      <c r="Q47" s="145">
        <v>0</v>
      </c>
      <c r="R47" s="145">
        <v>0</v>
      </c>
      <c r="S47" s="145">
        <v>0</v>
      </c>
      <c r="T47" s="145">
        <v>0</v>
      </c>
      <c r="U47" s="145">
        <v>0</v>
      </c>
      <c r="V47" s="145">
        <v>0</v>
      </c>
      <c r="W47" s="145">
        <v>0</v>
      </c>
      <c r="X47" s="145">
        <v>0</v>
      </c>
      <c r="Y47" s="145">
        <v>0</v>
      </c>
      <c r="Z47" s="145">
        <v>0</v>
      </c>
      <c r="AA47" s="145">
        <v>0</v>
      </c>
      <c r="AB47" s="145">
        <v>0</v>
      </c>
      <c r="AC47" s="145">
        <v>0</v>
      </c>
      <c r="AD47" s="145">
        <v>0</v>
      </c>
      <c r="AE47" s="145">
        <v>0</v>
      </c>
      <c r="AF47" s="145">
        <v>0</v>
      </c>
      <c r="AG47" s="145">
        <v>0</v>
      </c>
      <c r="AH47" s="145">
        <v>0</v>
      </c>
      <c r="AI47" s="145">
        <v>0</v>
      </c>
      <c r="AJ47" s="145">
        <v>0</v>
      </c>
      <c r="AK47" s="145">
        <v>0</v>
      </c>
      <c r="AL47" s="145">
        <v>0</v>
      </c>
      <c r="AM47" s="145">
        <v>0</v>
      </c>
      <c r="AN47" s="145">
        <v>0</v>
      </c>
      <c r="AO47" s="145">
        <v>0</v>
      </c>
      <c r="AP47" s="145">
        <v>0</v>
      </c>
      <c r="AQ47" s="145">
        <v>0</v>
      </c>
      <c r="AR47" s="145">
        <v>0</v>
      </c>
      <c r="AS47" s="145">
        <v>0</v>
      </c>
      <c r="AT47" s="145">
        <v>0</v>
      </c>
      <c r="AU47" s="145">
        <v>0</v>
      </c>
      <c r="AV47" s="145">
        <v>0</v>
      </c>
      <c r="AW47" s="145">
        <v>0</v>
      </c>
      <c r="AX47" s="145">
        <v>0</v>
      </c>
      <c r="AY47" s="145">
        <v>0</v>
      </c>
      <c r="AZ47" s="145">
        <v>0</v>
      </c>
      <c r="BA47" s="145">
        <v>0</v>
      </c>
      <c r="BB47" s="145">
        <v>0</v>
      </c>
      <c r="BC47" s="145">
        <v>0</v>
      </c>
      <c r="BD47" s="145">
        <v>0</v>
      </c>
      <c r="BE47" s="145">
        <v>0</v>
      </c>
      <c r="BF47" s="145">
        <v>0</v>
      </c>
      <c r="BG47" s="145">
        <v>0</v>
      </c>
      <c r="BH47" s="145">
        <v>0</v>
      </c>
      <c r="BI47" s="145">
        <v>0</v>
      </c>
      <c r="BJ47" s="145">
        <v>0</v>
      </c>
      <c r="BK47" s="145">
        <v>0</v>
      </c>
      <c r="BL47" s="145">
        <v>0</v>
      </c>
      <c r="BM47" s="145">
        <v>0</v>
      </c>
      <c r="BN47" s="145">
        <v>0</v>
      </c>
      <c r="BO47" s="145">
        <v>0</v>
      </c>
      <c r="BP47" s="145">
        <v>0</v>
      </c>
      <c r="BQ47" s="145">
        <v>0</v>
      </c>
      <c r="BR47" s="145">
        <v>0</v>
      </c>
      <c r="BS47" s="145">
        <v>0</v>
      </c>
      <c r="BT47" s="145">
        <v>0</v>
      </c>
      <c r="BU47" s="145">
        <v>0</v>
      </c>
      <c r="BV47" s="145">
        <v>0</v>
      </c>
      <c r="BW47" s="145">
        <v>0</v>
      </c>
      <c r="BX47" s="145">
        <v>0</v>
      </c>
      <c r="BY47" s="145">
        <v>0</v>
      </c>
      <c r="BZ47" s="145">
        <v>0</v>
      </c>
      <c r="CA47" s="145">
        <v>0</v>
      </c>
      <c r="CB47" s="145">
        <v>0</v>
      </c>
      <c r="CC47" s="145">
        <v>0</v>
      </c>
      <c r="CD47" s="145">
        <v>0</v>
      </c>
      <c r="CE47" s="145">
        <v>0</v>
      </c>
      <c r="CF47" s="145">
        <v>0</v>
      </c>
      <c r="CG47" s="145">
        <v>0</v>
      </c>
      <c r="CH47" s="145">
        <v>0</v>
      </c>
      <c r="CI47" s="145">
        <v>0</v>
      </c>
      <c r="CJ47" s="145">
        <v>0</v>
      </c>
      <c r="CK47" s="145">
        <v>0</v>
      </c>
      <c r="CL47" s="145">
        <v>4575</v>
      </c>
      <c r="CM47" s="145">
        <v>4475</v>
      </c>
      <c r="CN47" s="145">
        <v>4425</v>
      </c>
      <c r="CO47" s="145">
        <v>4270</v>
      </c>
      <c r="CP47" s="145">
        <v>4145</v>
      </c>
      <c r="CQ47" s="145">
        <v>4100</v>
      </c>
      <c r="CR47" s="145">
        <v>4240</v>
      </c>
    </row>
    <row r="48" spans="1:96" x14ac:dyDescent="0.25">
      <c r="A48" s="379" t="str">
        <f>IPO監視一覧!H38</f>
        <v>B</v>
      </c>
      <c r="B48" s="99" t="str">
        <f>IPO監視一覧!B38</f>
        <v>GameWith</v>
      </c>
      <c r="C48" s="351">
        <f>株価一覧!E47</f>
        <v>4000</v>
      </c>
      <c r="D48" s="340">
        <f t="shared" ca="1" si="12"/>
        <v>4148</v>
      </c>
      <c r="E48" s="352">
        <f t="shared" ca="1" si="15"/>
        <v>2949.5</v>
      </c>
      <c r="F48" s="353">
        <f t="shared" ca="1" si="16"/>
        <v>0</v>
      </c>
      <c r="G48" s="145">
        <v>0</v>
      </c>
      <c r="H48" s="145">
        <v>0</v>
      </c>
      <c r="I48" s="145">
        <v>0</v>
      </c>
      <c r="J48" s="145">
        <v>0</v>
      </c>
      <c r="K48" s="145">
        <v>0</v>
      </c>
      <c r="L48" s="145">
        <v>0</v>
      </c>
      <c r="M48" s="145">
        <v>0</v>
      </c>
      <c r="N48" s="145">
        <v>0</v>
      </c>
      <c r="O48" s="145">
        <v>0</v>
      </c>
      <c r="P48" s="145">
        <v>0</v>
      </c>
      <c r="Q48" s="145">
        <v>0</v>
      </c>
      <c r="R48" s="145">
        <v>0</v>
      </c>
      <c r="S48" s="145">
        <v>0</v>
      </c>
      <c r="T48" s="145">
        <v>0</v>
      </c>
      <c r="U48" s="145">
        <v>0</v>
      </c>
      <c r="V48" s="145">
        <v>0</v>
      </c>
      <c r="W48" s="145">
        <v>0</v>
      </c>
      <c r="X48" s="145">
        <v>0</v>
      </c>
      <c r="Y48" s="145">
        <v>0</v>
      </c>
      <c r="Z48" s="145">
        <v>0</v>
      </c>
      <c r="AA48" s="145">
        <v>0</v>
      </c>
      <c r="AB48" s="145">
        <v>0</v>
      </c>
      <c r="AC48" s="145">
        <v>0</v>
      </c>
      <c r="AD48" s="145">
        <v>0</v>
      </c>
      <c r="AE48" s="145">
        <v>0</v>
      </c>
      <c r="AF48" s="145">
        <v>0</v>
      </c>
      <c r="AG48" s="145">
        <v>0</v>
      </c>
      <c r="AH48" s="145">
        <v>0</v>
      </c>
      <c r="AI48" s="145">
        <v>0</v>
      </c>
      <c r="AJ48" s="145">
        <v>0</v>
      </c>
      <c r="AK48" s="145">
        <v>0</v>
      </c>
      <c r="AL48" s="145">
        <v>0</v>
      </c>
      <c r="AM48" s="145">
        <v>0</v>
      </c>
      <c r="AN48" s="145">
        <v>0</v>
      </c>
      <c r="AO48" s="145">
        <v>0</v>
      </c>
      <c r="AP48" s="145">
        <v>0</v>
      </c>
      <c r="AQ48" s="145">
        <v>0</v>
      </c>
      <c r="AR48" s="145">
        <v>0</v>
      </c>
      <c r="AS48" s="145">
        <v>0</v>
      </c>
      <c r="AT48" s="145">
        <v>0</v>
      </c>
      <c r="AU48" s="145">
        <v>0</v>
      </c>
      <c r="AV48" s="145">
        <v>0</v>
      </c>
      <c r="AW48" s="145">
        <v>0</v>
      </c>
      <c r="AX48" s="145">
        <v>0</v>
      </c>
      <c r="AY48" s="145">
        <v>0</v>
      </c>
      <c r="AZ48" s="145">
        <v>0</v>
      </c>
      <c r="BA48" s="145">
        <v>0</v>
      </c>
      <c r="BB48" s="145">
        <v>0</v>
      </c>
      <c r="BC48" s="145">
        <v>0</v>
      </c>
      <c r="BD48" s="145">
        <v>0</v>
      </c>
      <c r="BE48" s="145">
        <v>0</v>
      </c>
      <c r="BF48" s="145">
        <v>0</v>
      </c>
      <c r="BG48" s="145">
        <v>0</v>
      </c>
      <c r="BH48" s="145">
        <v>0</v>
      </c>
      <c r="BI48" s="145">
        <v>0</v>
      </c>
      <c r="BJ48" s="145">
        <v>0</v>
      </c>
      <c r="BK48" s="145">
        <v>0</v>
      </c>
      <c r="BL48" s="145">
        <v>0</v>
      </c>
      <c r="BM48" s="145">
        <v>0</v>
      </c>
      <c r="BN48" s="145">
        <v>0</v>
      </c>
      <c r="BO48" s="145">
        <v>0</v>
      </c>
      <c r="BP48" s="145">
        <v>0</v>
      </c>
      <c r="BQ48" s="145">
        <v>0</v>
      </c>
      <c r="BR48" s="145">
        <v>0</v>
      </c>
      <c r="BS48" s="145">
        <v>0</v>
      </c>
      <c r="BT48" s="145">
        <v>0</v>
      </c>
      <c r="BU48" s="145">
        <v>0</v>
      </c>
      <c r="BV48" s="145">
        <v>0</v>
      </c>
      <c r="BW48" s="145">
        <v>0</v>
      </c>
      <c r="BX48" s="145">
        <v>0</v>
      </c>
      <c r="BY48" s="145">
        <v>0</v>
      </c>
      <c r="BZ48" s="145">
        <v>0</v>
      </c>
      <c r="CA48" s="145">
        <v>0</v>
      </c>
      <c r="CB48" s="145">
        <v>0</v>
      </c>
      <c r="CC48" s="145">
        <v>0</v>
      </c>
      <c r="CD48" s="145">
        <v>0</v>
      </c>
      <c r="CE48" s="145">
        <v>0</v>
      </c>
      <c r="CF48" s="145">
        <v>0</v>
      </c>
      <c r="CG48" s="145">
        <v>0</v>
      </c>
      <c r="CH48" s="145">
        <v>0</v>
      </c>
      <c r="CI48" s="145">
        <v>0</v>
      </c>
      <c r="CJ48" s="145">
        <v>0</v>
      </c>
      <c r="CK48" s="145">
        <v>0</v>
      </c>
      <c r="CL48" s="145">
        <v>4505</v>
      </c>
      <c r="CM48" s="145">
        <v>4250</v>
      </c>
      <c r="CN48" s="145">
        <v>4085</v>
      </c>
      <c r="CO48" s="145">
        <v>4350</v>
      </c>
      <c r="CP48" s="145">
        <v>4205</v>
      </c>
      <c r="CQ48" s="145">
        <v>4100</v>
      </c>
      <c r="CR48" s="145">
        <v>4000</v>
      </c>
    </row>
    <row r="49" spans="1:96" x14ac:dyDescent="0.25">
      <c r="A49" s="379" t="s">
        <v>477</v>
      </c>
      <c r="B49" s="99" t="str">
        <f>参加条件計算!B49</f>
        <v>アンジェス</v>
      </c>
      <c r="C49" s="351">
        <f>株価一覧!E48</f>
        <v>692</v>
      </c>
      <c r="D49" s="340">
        <f t="shared" ref="D49" ca="1" si="17">AVERAGE(OFFSET(A49,0,COUNTA(G49:XFD49)+5,1,-5))</f>
        <v>403.8</v>
      </c>
      <c r="E49" s="352">
        <f t="shared" ref="E49" ca="1" si="18">AVERAGE(OFFSET(A49,0,COUNTA(G49:XFD49)+5,1,-10))</f>
        <v>201.9</v>
      </c>
      <c r="F49" s="353">
        <f t="shared" ref="F49" ca="1" si="19">MIN(OFFSET(B49,0,COUNTA(G49:XFD49)+5,1,-10))</f>
        <v>0</v>
      </c>
      <c r="G49" s="145">
        <v>0</v>
      </c>
      <c r="H49" s="145">
        <v>0</v>
      </c>
      <c r="I49" s="145">
        <v>0</v>
      </c>
      <c r="J49" s="145">
        <v>0</v>
      </c>
      <c r="K49" s="145">
        <v>0</v>
      </c>
      <c r="L49" s="145">
        <v>0</v>
      </c>
      <c r="M49" s="145">
        <v>0</v>
      </c>
      <c r="N49" s="145">
        <v>0</v>
      </c>
      <c r="O49" s="145">
        <v>0</v>
      </c>
      <c r="P49" s="145">
        <v>0</v>
      </c>
      <c r="Q49" s="145">
        <v>0</v>
      </c>
      <c r="R49" s="145">
        <v>0</v>
      </c>
      <c r="S49" s="145">
        <v>0</v>
      </c>
      <c r="T49" s="145">
        <v>0</v>
      </c>
      <c r="U49" s="145">
        <v>0</v>
      </c>
      <c r="V49" s="145">
        <v>0</v>
      </c>
      <c r="W49" s="145">
        <v>0</v>
      </c>
      <c r="X49" s="145">
        <v>0</v>
      </c>
      <c r="Y49" s="145">
        <v>0</v>
      </c>
      <c r="Z49" s="145">
        <v>0</v>
      </c>
      <c r="AA49" s="145">
        <v>0</v>
      </c>
      <c r="AB49" s="145">
        <v>0</v>
      </c>
      <c r="AC49" s="145">
        <v>0</v>
      </c>
      <c r="AD49" s="145">
        <v>0</v>
      </c>
      <c r="AE49" s="145">
        <v>0</v>
      </c>
      <c r="AF49" s="145">
        <v>0</v>
      </c>
      <c r="AG49" s="145">
        <v>0</v>
      </c>
      <c r="AH49" s="145">
        <v>0</v>
      </c>
      <c r="AI49" s="145">
        <v>0</v>
      </c>
      <c r="AJ49" s="145">
        <v>0</v>
      </c>
      <c r="AK49" s="145">
        <v>0</v>
      </c>
      <c r="AL49" s="145">
        <v>0</v>
      </c>
      <c r="AM49" s="145">
        <v>0</v>
      </c>
      <c r="AN49" s="145">
        <v>0</v>
      </c>
      <c r="AO49" s="145">
        <v>0</v>
      </c>
      <c r="AP49" s="145">
        <v>0</v>
      </c>
      <c r="AQ49" s="145">
        <v>0</v>
      </c>
      <c r="AR49" s="145">
        <v>0</v>
      </c>
      <c r="AS49" s="145">
        <v>0</v>
      </c>
      <c r="AT49" s="145">
        <v>0</v>
      </c>
      <c r="AU49" s="145">
        <v>0</v>
      </c>
      <c r="AV49" s="145">
        <v>0</v>
      </c>
      <c r="AW49" s="145">
        <v>0</v>
      </c>
      <c r="AX49" s="145">
        <v>0</v>
      </c>
      <c r="AY49" s="145">
        <v>0</v>
      </c>
      <c r="AZ49" s="145">
        <v>0</v>
      </c>
      <c r="BA49" s="145">
        <v>0</v>
      </c>
      <c r="BB49" s="145">
        <v>0</v>
      </c>
      <c r="BC49" s="145">
        <v>0</v>
      </c>
      <c r="BD49" s="145">
        <v>0</v>
      </c>
      <c r="BE49" s="145">
        <v>0</v>
      </c>
      <c r="BF49" s="145">
        <v>0</v>
      </c>
      <c r="BG49" s="145">
        <v>0</v>
      </c>
      <c r="BH49" s="145">
        <v>0</v>
      </c>
      <c r="BI49" s="145">
        <v>0</v>
      </c>
      <c r="BJ49" s="145">
        <v>0</v>
      </c>
      <c r="BK49" s="145">
        <v>0</v>
      </c>
      <c r="BL49" s="145">
        <v>0</v>
      </c>
      <c r="BM49" s="145">
        <v>0</v>
      </c>
      <c r="BN49" s="145">
        <v>0</v>
      </c>
      <c r="BO49" s="145">
        <v>0</v>
      </c>
      <c r="BP49" s="145">
        <v>0</v>
      </c>
      <c r="BQ49" s="145">
        <v>0</v>
      </c>
      <c r="BR49" s="145">
        <v>0</v>
      </c>
      <c r="BS49" s="145">
        <v>0</v>
      </c>
      <c r="BT49" s="145">
        <v>0</v>
      </c>
      <c r="BU49" s="145">
        <v>0</v>
      </c>
      <c r="BV49" s="145">
        <v>0</v>
      </c>
      <c r="BW49" s="145">
        <v>0</v>
      </c>
      <c r="BX49" s="145">
        <v>0</v>
      </c>
      <c r="BY49" s="145">
        <v>0</v>
      </c>
      <c r="BZ49" s="145">
        <v>0</v>
      </c>
      <c r="CA49" s="145">
        <v>0</v>
      </c>
      <c r="CB49" s="145">
        <v>0</v>
      </c>
      <c r="CC49" s="145">
        <v>0</v>
      </c>
      <c r="CD49" s="145">
        <v>0</v>
      </c>
      <c r="CE49" s="145">
        <v>0</v>
      </c>
      <c r="CF49" s="145">
        <v>0</v>
      </c>
      <c r="CG49" s="145">
        <v>0</v>
      </c>
      <c r="CH49" s="145">
        <v>0</v>
      </c>
      <c r="CI49" s="145">
        <v>0</v>
      </c>
      <c r="CJ49" s="145">
        <v>0</v>
      </c>
      <c r="CK49" s="145">
        <v>0</v>
      </c>
      <c r="CL49" s="145">
        <v>0</v>
      </c>
      <c r="CM49" s="145">
        <v>0</v>
      </c>
      <c r="CN49" s="145">
        <v>0</v>
      </c>
      <c r="CO49" s="145">
        <v>0</v>
      </c>
      <c r="CP49" s="145">
        <v>652</v>
      </c>
      <c r="CQ49" s="145">
        <v>675</v>
      </c>
      <c r="CR49" s="145">
        <v>692</v>
      </c>
    </row>
    <row r="50" spans="1:96" x14ac:dyDescent="0.25">
      <c r="A50" s="379" t="s">
        <v>477</v>
      </c>
      <c r="B50" s="99" t="str">
        <f>参加条件計算!B50</f>
        <v>トレイダーズHD</v>
      </c>
      <c r="C50" s="351">
        <f>株価一覧!E49</f>
        <v>333</v>
      </c>
      <c r="D50" s="340">
        <f t="shared" ref="D50" ca="1" si="20">AVERAGE(OFFSET(A50,0,COUNTA(G50:XFD50)+5,1,-5))</f>
        <v>198.2</v>
      </c>
      <c r="E50" s="352">
        <f t="shared" ref="E50" ca="1" si="21">AVERAGE(OFFSET(A50,0,COUNTA(G50:XFD50)+5,1,-10))</f>
        <v>99.1</v>
      </c>
      <c r="F50" s="353">
        <f t="shared" ref="F50" ca="1" si="22">MIN(OFFSET(B50,0,COUNTA(G50:XFD50)+5,1,-10))</f>
        <v>0</v>
      </c>
      <c r="G50" s="145">
        <v>0</v>
      </c>
      <c r="H50" s="145">
        <v>0</v>
      </c>
      <c r="I50" s="145">
        <v>0</v>
      </c>
      <c r="J50" s="145">
        <v>0</v>
      </c>
      <c r="K50" s="145">
        <v>0</v>
      </c>
      <c r="L50" s="145">
        <v>0</v>
      </c>
      <c r="M50" s="145">
        <v>0</v>
      </c>
      <c r="N50" s="145">
        <v>0</v>
      </c>
      <c r="O50" s="145">
        <v>0</v>
      </c>
      <c r="P50" s="145">
        <v>0</v>
      </c>
      <c r="Q50" s="145">
        <v>0</v>
      </c>
      <c r="R50" s="145">
        <v>0</v>
      </c>
      <c r="S50" s="145">
        <v>0</v>
      </c>
      <c r="T50" s="145">
        <v>0</v>
      </c>
      <c r="U50" s="145">
        <v>0</v>
      </c>
      <c r="V50" s="145">
        <v>0</v>
      </c>
      <c r="W50" s="145">
        <v>0</v>
      </c>
      <c r="X50" s="145">
        <v>0</v>
      </c>
      <c r="Y50" s="145">
        <v>0</v>
      </c>
      <c r="Z50" s="145">
        <v>0</v>
      </c>
      <c r="AA50" s="145">
        <v>0</v>
      </c>
      <c r="AB50" s="145">
        <v>0</v>
      </c>
      <c r="AC50" s="145">
        <v>0</v>
      </c>
      <c r="AD50" s="145">
        <v>0</v>
      </c>
      <c r="AE50" s="145">
        <v>0</v>
      </c>
      <c r="AF50" s="145">
        <v>0</v>
      </c>
      <c r="AG50" s="145">
        <v>0</v>
      </c>
      <c r="AH50" s="145">
        <v>0</v>
      </c>
      <c r="AI50" s="145">
        <v>0</v>
      </c>
      <c r="AJ50" s="145">
        <v>0</v>
      </c>
      <c r="AK50" s="145">
        <v>0</v>
      </c>
      <c r="AL50" s="145">
        <v>0</v>
      </c>
      <c r="AM50" s="145">
        <v>0</v>
      </c>
      <c r="AN50" s="145">
        <v>0</v>
      </c>
      <c r="AO50" s="145">
        <v>0</v>
      </c>
      <c r="AP50" s="145">
        <v>0</v>
      </c>
      <c r="AQ50" s="145">
        <v>0</v>
      </c>
      <c r="AR50" s="145">
        <v>0</v>
      </c>
      <c r="AS50" s="145">
        <v>0</v>
      </c>
      <c r="AT50" s="145">
        <v>0</v>
      </c>
      <c r="AU50" s="145">
        <v>0</v>
      </c>
      <c r="AV50" s="145">
        <v>0</v>
      </c>
      <c r="AW50" s="145">
        <v>0</v>
      </c>
      <c r="AX50" s="145">
        <v>0</v>
      </c>
      <c r="AY50" s="145">
        <v>0</v>
      </c>
      <c r="AZ50" s="145">
        <v>0</v>
      </c>
      <c r="BA50" s="145">
        <v>0</v>
      </c>
      <c r="BB50" s="145">
        <v>0</v>
      </c>
      <c r="BC50" s="145">
        <v>0</v>
      </c>
      <c r="BD50" s="145">
        <v>0</v>
      </c>
      <c r="BE50" s="145">
        <v>0</v>
      </c>
      <c r="BF50" s="145">
        <v>0</v>
      </c>
      <c r="BG50" s="145">
        <v>0</v>
      </c>
      <c r="BH50" s="145">
        <v>0</v>
      </c>
      <c r="BI50" s="145">
        <v>0</v>
      </c>
      <c r="BJ50" s="145">
        <v>0</v>
      </c>
      <c r="BK50" s="145">
        <v>0</v>
      </c>
      <c r="BL50" s="145">
        <v>0</v>
      </c>
      <c r="BM50" s="145">
        <v>0</v>
      </c>
      <c r="BN50" s="145">
        <v>0</v>
      </c>
      <c r="BO50" s="145">
        <v>0</v>
      </c>
      <c r="BP50" s="145">
        <v>0</v>
      </c>
      <c r="BQ50" s="145">
        <v>0</v>
      </c>
      <c r="BR50" s="145">
        <v>0</v>
      </c>
      <c r="BS50" s="145">
        <v>0</v>
      </c>
      <c r="BT50" s="145">
        <v>0</v>
      </c>
      <c r="BU50" s="145">
        <v>0</v>
      </c>
      <c r="BV50" s="145">
        <v>0</v>
      </c>
      <c r="BW50" s="145">
        <v>0</v>
      </c>
      <c r="BX50" s="145">
        <v>0</v>
      </c>
      <c r="BY50" s="145">
        <v>0</v>
      </c>
      <c r="BZ50" s="145">
        <v>0</v>
      </c>
      <c r="CA50" s="145">
        <v>0</v>
      </c>
      <c r="CB50" s="145">
        <v>0</v>
      </c>
      <c r="CC50" s="145">
        <v>0</v>
      </c>
      <c r="CD50" s="145">
        <v>0</v>
      </c>
      <c r="CE50" s="145">
        <v>0</v>
      </c>
      <c r="CF50" s="145">
        <v>0</v>
      </c>
      <c r="CG50" s="145">
        <v>0</v>
      </c>
      <c r="CH50" s="145">
        <v>0</v>
      </c>
      <c r="CI50" s="145">
        <v>0</v>
      </c>
      <c r="CJ50" s="145">
        <v>0</v>
      </c>
      <c r="CK50" s="145">
        <v>0</v>
      </c>
      <c r="CL50" s="145">
        <v>0</v>
      </c>
      <c r="CM50" s="145">
        <v>0</v>
      </c>
      <c r="CN50" s="145">
        <v>0</v>
      </c>
      <c r="CO50" s="145">
        <v>0</v>
      </c>
      <c r="CP50" s="145">
        <v>328</v>
      </c>
      <c r="CQ50" s="145">
        <v>330</v>
      </c>
      <c r="CR50" s="145">
        <v>333</v>
      </c>
    </row>
    <row r="51" spans="1:96" x14ac:dyDescent="0.25">
      <c r="A51" s="379" t="str">
        <f>IPO監視一覧!H39</f>
        <v>B</v>
      </c>
      <c r="B51" s="122" t="str">
        <f>IPO監視一覧!B39</f>
        <v>ソウルドアウト</v>
      </c>
      <c r="C51" s="351">
        <f>株価一覧!E50</f>
        <v>0</v>
      </c>
      <c r="D51" s="340">
        <f t="shared" ref="D51:D57" ca="1" si="23">AVERAGE(OFFSET(A51,0,COUNTA(G51:XFD51)+5,1,-5))</f>
        <v>0</v>
      </c>
      <c r="E51" s="352">
        <f t="shared" ref="E51:E57" ca="1" si="24">AVERAGE(OFFSET(A51,0,COUNTA(G51:XFD51)+5,1,-10))</f>
        <v>0</v>
      </c>
      <c r="F51" s="353">
        <f t="shared" ref="F51:F57" ca="1" si="25">MIN(OFFSET(B51,0,COUNTA(G51:XFD51)+5,1,-10))</f>
        <v>0</v>
      </c>
      <c r="G51" s="145">
        <v>0</v>
      </c>
      <c r="H51" s="145">
        <v>0</v>
      </c>
      <c r="I51" s="145">
        <v>0</v>
      </c>
      <c r="J51" s="145">
        <v>0</v>
      </c>
      <c r="K51" s="145">
        <v>0</v>
      </c>
      <c r="L51" s="145">
        <v>0</v>
      </c>
      <c r="M51" s="145">
        <v>0</v>
      </c>
      <c r="N51" s="145">
        <v>0</v>
      </c>
      <c r="O51" s="145">
        <v>0</v>
      </c>
      <c r="P51" s="145">
        <v>0</v>
      </c>
      <c r="Q51" s="145">
        <v>0</v>
      </c>
      <c r="R51" s="145">
        <v>0</v>
      </c>
      <c r="S51" s="145">
        <v>0</v>
      </c>
      <c r="T51" s="145">
        <v>0</v>
      </c>
      <c r="U51" s="145">
        <v>0</v>
      </c>
      <c r="V51" s="145">
        <v>0</v>
      </c>
      <c r="W51" s="145">
        <v>0</v>
      </c>
      <c r="X51" s="145">
        <v>0</v>
      </c>
      <c r="Y51" s="145">
        <v>0</v>
      </c>
      <c r="Z51" s="145">
        <v>0</v>
      </c>
      <c r="AA51" s="145">
        <v>0</v>
      </c>
      <c r="AB51" s="145">
        <v>0</v>
      </c>
      <c r="AC51" s="145">
        <v>0</v>
      </c>
      <c r="AD51" s="145">
        <v>0</v>
      </c>
      <c r="AE51" s="145">
        <v>0</v>
      </c>
      <c r="AF51" s="145">
        <v>0</v>
      </c>
      <c r="AG51" s="145">
        <v>0</v>
      </c>
      <c r="AH51" s="145">
        <v>0</v>
      </c>
      <c r="AI51" s="145">
        <v>0</v>
      </c>
      <c r="AJ51" s="145">
        <v>0</v>
      </c>
      <c r="AK51" s="145">
        <v>0</v>
      </c>
      <c r="AL51" s="145">
        <v>0</v>
      </c>
      <c r="AM51" s="145">
        <v>0</v>
      </c>
      <c r="AN51" s="145">
        <v>0</v>
      </c>
      <c r="AO51" s="145">
        <v>0</v>
      </c>
      <c r="AP51" s="145">
        <v>0</v>
      </c>
      <c r="AQ51" s="145">
        <v>0</v>
      </c>
      <c r="AR51" s="145">
        <v>0</v>
      </c>
      <c r="AS51" s="145">
        <v>0</v>
      </c>
      <c r="AT51" s="145">
        <v>0</v>
      </c>
      <c r="AU51" s="145">
        <v>0</v>
      </c>
      <c r="AV51" s="145">
        <v>0</v>
      </c>
      <c r="AW51" s="145">
        <v>0</v>
      </c>
      <c r="AX51" s="145">
        <v>0</v>
      </c>
      <c r="AY51" s="145">
        <v>0</v>
      </c>
      <c r="AZ51" s="145">
        <v>0</v>
      </c>
      <c r="BA51" s="145">
        <v>0</v>
      </c>
      <c r="BB51" s="145">
        <v>0</v>
      </c>
      <c r="BC51" s="145">
        <v>0</v>
      </c>
      <c r="BD51" s="145">
        <v>0</v>
      </c>
      <c r="BE51" s="145">
        <v>0</v>
      </c>
      <c r="BF51" s="145">
        <v>0</v>
      </c>
      <c r="BG51" s="145">
        <v>0</v>
      </c>
      <c r="BH51" s="145">
        <v>0</v>
      </c>
      <c r="BI51" s="145">
        <v>0</v>
      </c>
      <c r="BJ51" s="145">
        <v>0</v>
      </c>
      <c r="BK51" s="145">
        <v>0</v>
      </c>
      <c r="BL51" s="145">
        <v>0</v>
      </c>
      <c r="BM51" s="145">
        <v>0</v>
      </c>
      <c r="BN51" s="145">
        <v>0</v>
      </c>
      <c r="BO51" s="145">
        <v>0</v>
      </c>
      <c r="BP51" s="145">
        <v>0</v>
      </c>
      <c r="BQ51" s="145">
        <v>0</v>
      </c>
      <c r="BR51" s="145">
        <v>0</v>
      </c>
      <c r="BS51" s="145">
        <v>0</v>
      </c>
      <c r="BT51" s="145">
        <v>0</v>
      </c>
      <c r="BU51" s="145">
        <v>0</v>
      </c>
      <c r="BV51" s="145">
        <v>0</v>
      </c>
      <c r="BW51" s="145">
        <v>0</v>
      </c>
      <c r="BX51" s="145">
        <v>0</v>
      </c>
      <c r="BY51" s="145">
        <v>0</v>
      </c>
      <c r="BZ51" s="145">
        <v>0</v>
      </c>
      <c r="CA51" s="145">
        <v>0</v>
      </c>
      <c r="CB51" s="145">
        <v>0</v>
      </c>
      <c r="CC51" s="145">
        <v>0</v>
      </c>
      <c r="CD51" s="145">
        <v>0</v>
      </c>
      <c r="CE51" s="145">
        <v>0</v>
      </c>
      <c r="CF51" s="145">
        <v>0</v>
      </c>
      <c r="CG51" s="145">
        <v>0</v>
      </c>
      <c r="CH51" s="145">
        <v>0</v>
      </c>
      <c r="CI51" s="145">
        <v>0</v>
      </c>
      <c r="CJ51" s="145">
        <v>0</v>
      </c>
      <c r="CK51" s="145">
        <v>0</v>
      </c>
      <c r="CL51" s="145">
        <v>0</v>
      </c>
      <c r="CM51" s="145">
        <v>0</v>
      </c>
      <c r="CN51" s="145">
        <v>0</v>
      </c>
      <c r="CO51" s="145">
        <v>0</v>
      </c>
      <c r="CP51" s="145">
        <v>0</v>
      </c>
      <c r="CQ51" s="145">
        <v>0</v>
      </c>
    </row>
    <row r="52" spans="1:96" x14ac:dyDescent="0.25">
      <c r="A52" s="379" t="str">
        <f>IPO監視一覧!H40</f>
        <v>B</v>
      </c>
      <c r="B52" s="122" t="str">
        <f>IPO監視一覧!B40</f>
        <v>ユニフォームネクスト</v>
      </c>
      <c r="C52" s="351">
        <f>株価一覧!E51</f>
        <v>0</v>
      </c>
      <c r="D52" s="340">
        <f t="shared" ca="1" si="23"/>
        <v>0</v>
      </c>
      <c r="E52" s="352">
        <f t="shared" ca="1" si="24"/>
        <v>0</v>
      </c>
      <c r="F52" s="353">
        <f t="shared" ca="1" si="25"/>
        <v>0</v>
      </c>
      <c r="G52" s="145">
        <v>0</v>
      </c>
      <c r="H52" s="145">
        <v>0</v>
      </c>
      <c r="I52" s="145">
        <v>0</v>
      </c>
      <c r="J52" s="145">
        <v>0</v>
      </c>
      <c r="K52" s="145">
        <v>0</v>
      </c>
      <c r="L52" s="145">
        <v>0</v>
      </c>
      <c r="M52" s="145">
        <v>0</v>
      </c>
      <c r="N52" s="145">
        <v>0</v>
      </c>
      <c r="O52" s="145">
        <v>0</v>
      </c>
      <c r="P52" s="145">
        <v>0</v>
      </c>
      <c r="Q52" s="145">
        <v>0</v>
      </c>
      <c r="R52" s="145">
        <v>0</v>
      </c>
      <c r="S52" s="145">
        <v>0</v>
      </c>
      <c r="T52" s="145">
        <v>0</v>
      </c>
      <c r="U52" s="145">
        <v>0</v>
      </c>
      <c r="V52" s="145">
        <v>0</v>
      </c>
      <c r="W52" s="145">
        <v>0</v>
      </c>
      <c r="X52" s="145">
        <v>0</v>
      </c>
      <c r="Y52" s="145">
        <v>0</v>
      </c>
      <c r="Z52" s="145">
        <v>0</v>
      </c>
      <c r="AA52" s="145">
        <v>0</v>
      </c>
      <c r="AB52" s="145">
        <v>0</v>
      </c>
      <c r="AC52" s="145">
        <v>0</v>
      </c>
      <c r="AD52" s="145">
        <v>0</v>
      </c>
      <c r="AE52" s="145">
        <v>0</v>
      </c>
      <c r="AF52" s="145">
        <v>0</v>
      </c>
      <c r="AG52" s="145">
        <v>0</v>
      </c>
      <c r="AH52" s="145">
        <v>0</v>
      </c>
      <c r="AI52" s="145">
        <v>0</v>
      </c>
      <c r="AJ52" s="145">
        <v>0</v>
      </c>
      <c r="AK52" s="145">
        <v>0</v>
      </c>
      <c r="AL52" s="145">
        <v>0</v>
      </c>
      <c r="AM52" s="145">
        <v>0</v>
      </c>
      <c r="AN52" s="145">
        <v>0</v>
      </c>
      <c r="AO52" s="145">
        <v>0</v>
      </c>
      <c r="AP52" s="145">
        <v>0</v>
      </c>
      <c r="AQ52" s="145">
        <v>0</v>
      </c>
      <c r="AR52" s="145">
        <v>0</v>
      </c>
      <c r="AS52" s="145">
        <v>0</v>
      </c>
      <c r="AT52" s="145">
        <v>0</v>
      </c>
      <c r="AU52" s="145">
        <v>0</v>
      </c>
      <c r="AV52" s="145">
        <v>0</v>
      </c>
      <c r="AW52" s="145">
        <v>0</v>
      </c>
      <c r="AX52" s="145">
        <v>0</v>
      </c>
      <c r="AY52" s="145">
        <v>0</v>
      </c>
      <c r="AZ52" s="145">
        <v>0</v>
      </c>
      <c r="BA52" s="145">
        <v>0</v>
      </c>
      <c r="BB52" s="145">
        <v>0</v>
      </c>
      <c r="BC52" s="145">
        <v>0</v>
      </c>
      <c r="BD52" s="145">
        <v>0</v>
      </c>
      <c r="BE52" s="145">
        <v>0</v>
      </c>
      <c r="BF52" s="145">
        <v>0</v>
      </c>
      <c r="BG52" s="145">
        <v>0</v>
      </c>
      <c r="BH52" s="145">
        <v>0</v>
      </c>
      <c r="BI52" s="145">
        <v>0</v>
      </c>
      <c r="BJ52" s="145">
        <v>0</v>
      </c>
      <c r="BK52" s="145">
        <v>0</v>
      </c>
      <c r="BL52" s="145">
        <v>0</v>
      </c>
      <c r="BM52" s="145">
        <v>0</v>
      </c>
      <c r="BN52" s="145">
        <v>0</v>
      </c>
      <c r="BO52" s="145">
        <v>0</v>
      </c>
      <c r="BP52" s="145">
        <v>0</v>
      </c>
      <c r="BQ52" s="145">
        <v>0</v>
      </c>
      <c r="BR52" s="145">
        <v>0</v>
      </c>
      <c r="BS52" s="145">
        <v>0</v>
      </c>
      <c r="BT52" s="145">
        <v>0</v>
      </c>
      <c r="BU52" s="145">
        <v>0</v>
      </c>
      <c r="BV52" s="145">
        <v>0</v>
      </c>
      <c r="BW52" s="145">
        <v>0</v>
      </c>
      <c r="BX52" s="145">
        <v>0</v>
      </c>
      <c r="BY52" s="145">
        <v>0</v>
      </c>
      <c r="BZ52" s="145">
        <v>0</v>
      </c>
      <c r="CA52" s="145">
        <v>0</v>
      </c>
      <c r="CB52" s="145">
        <v>0</v>
      </c>
      <c r="CC52" s="145">
        <v>0</v>
      </c>
      <c r="CD52" s="145">
        <v>0</v>
      </c>
      <c r="CE52" s="145">
        <v>0</v>
      </c>
      <c r="CF52" s="145">
        <v>0</v>
      </c>
      <c r="CG52" s="145">
        <v>0</v>
      </c>
      <c r="CH52" s="145">
        <v>0</v>
      </c>
      <c r="CI52" s="145">
        <v>0</v>
      </c>
      <c r="CJ52" s="145">
        <v>0</v>
      </c>
      <c r="CK52" s="145">
        <v>0</v>
      </c>
      <c r="CL52" s="145">
        <v>0</v>
      </c>
      <c r="CM52" s="145">
        <v>0</v>
      </c>
      <c r="CN52" s="145">
        <v>0</v>
      </c>
      <c r="CO52" s="145">
        <v>0</v>
      </c>
      <c r="CP52" s="145">
        <v>0</v>
      </c>
      <c r="CQ52" s="145">
        <v>0</v>
      </c>
    </row>
    <row r="53" spans="1:96" x14ac:dyDescent="0.25">
      <c r="A53" s="379" t="str">
        <f>IPO監視一覧!H41</f>
        <v>D</v>
      </c>
      <c r="B53" s="122" t="str">
        <f>IPO監視一覧!B41</f>
        <v>ジェイ・エス・ビー</v>
      </c>
      <c r="C53" s="351">
        <f>株価一覧!E52</f>
        <v>0</v>
      </c>
      <c r="D53" s="340">
        <f t="shared" ca="1" si="23"/>
        <v>0</v>
      </c>
      <c r="E53" s="352">
        <f t="shared" ca="1" si="24"/>
        <v>0</v>
      </c>
      <c r="F53" s="353">
        <f t="shared" ca="1" si="25"/>
        <v>0</v>
      </c>
      <c r="G53" s="145">
        <v>0</v>
      </c>
      <c r="H53" s="145">
        <v>0</v>
      </c>
      <c r="I53" s="145">
        <v>0</v>
      </c>
      <c r="J53" s="145">
        <v>0</v>
      </c>
      <c r="K53" s="145">
        <v>0</v>
      </c>
      <c r="L53" s="145">
        <v>0</v>
      </c>
      <c r="M53" s="145">
        <v>0</v>
      </c>
      <c r="N53" s="145">
        <v>0</v>
      </c>
      <c r="O53" s="145">
        <v>0</v>
      </c>
      <c r="P53" s="145">
        <v>0</v>
      </c>
      <c r="Q53" s="145">
        <v>0</v>
      </c>
      <c r="R53" s="145">
        <v>0</v>
      </c>
      <c r="S53" s="145">
        <v>0</v>
      </c>
      <c r="T53" s="145">
        <v>0</v>
      </c>
      <c r="U53" s="145">
        <v>0</v>
      </c>
      <c r="V53" s="145">
        <v>0</v>
      </c>
      <c r="W53" s="145">
        <v>0</v>
      </c>
      <c r="X53" s="145">
        <v>0</v>
      </c>
      <c r="Y53" s="145">
        <v>0</v>
      </c>
      <c r="Z53" s="145">
        <v>0</v>
      </c>
      <c r="AA53" s="145">
        <v>0</v>
      </c>
      <c r="AB53" s="145">
        <v>0</v>
      </c>
      <c r="AC53" s="145">
        <v>0</v>
      </c>
      <c r="AD53" s="145">
        <v>0</v>
      </c>
      <c r="AE53" s="145">
        <v>0</v>
      </c>
      <c r="AF53" s="145">
        <v>0</v>
      </c>
      <c r="AG53" s="145">
        <v>0</v>
      </c>
      <c r="AH53" s="145">
        <v>0</v>
      </c>
      <c r="AI53" s="145">
        <v>0</v>
      </c>
      <c r="AJ53" s="145">
        <v>0</v>
      </c>
      <c r="AK53" s="145">
        <v>0</v>
      </c>
      <c r="AL53" s="145">
        <v>0</v>
      </c>
      <c r="AM53" s="145">
        <v>0</v>
      </c>
      <c r="AN53" s="145">
        <v>0</v>
      </c>
      <c r="AO53" s="145">
        <v>0</v>
      </c>
      <c r="AP53" s="145">
        <v>0</v>
      </c>
      <c r="AQ53" s="145">
        <v>0</v>
      </c>
      <c r="AR53" s="145">
        <v>0</v>
      </c>
      <c r="AS53" s="145">
        <v>0</v>
      </c>
      <c r="AT53" s="145">
        <v>0</v>
      </c>
      <c r="AU53" s="145">
        <v>0</v>
      </c>
      <c r="AV53" s="145">
        <v>0</v>
      </c>
      <c r="AW53" s="145">
        <v>0</v>
      </c>
      <c r="AX53" s="145">
        <v>0</v>
      </c>
      <c r="AY53" s="145">
        <v>0</v>
      </c>
      <c r="AZ53" s="145">
        <v>0</v>
      </c>
      <c r="BA53" s="145">
        <v>0</v>
      </c>
      <c r="BB53" s="145">
        <v>0</v>
      </c>
      <c r="BC53" s="145">
        <v>0</v>
      </c>
      <c r="BD53" s="145">
        <v>0</v>
      </c>
      <c r="BE53" s="145">
        <v>0</v>
      </c>
      <c r="BF53" s="145">
        <v>0</v>
      </c>
      <c r="BG53" s="145">
        <v>0</v>
      </c>
      <c r="BH53" s="145">
        <v>0</v>
      </c>
      <c r="BI53" s="145">
        <v>0</v>
      </c>
      <c r="BJ53" s="145">
        <v>0</v>
      </c>
      <c r="BK53" s="145">
        <v>0</v>
      </c>
      <c r="BL53" s="145">
        <v>0</v>
      </c>
      <c r="BM53" s="145">
        <v>0</v>
      </c>
      <c r="BN53" s="145">
        <v>0</v>
      </c>
      <c r="BO53" s="145">
        <v>0</v>
      </c>
      <c r="BP53" s="145">
        <v>0</v>
      </c>
      <c r="BQ53" s="145">
        <v>0</v>
      </c>
      <c r="BR53" s="145">
        <v>0</v>
      </c>
      <c r="BS53" s="145">
        <v>0</v>
      </c>
      <c r="BT53" s="145">
        <v>0</v>
      </c>
      <c r="BU53" s="145">
        <v>0</v>
      </c>
      <c r="BV53" s="145">
        <v>0</v>
      </c>
      <c r="BW53" s="145">
        <v>0</v>
      </c>
      <c r="BX53" s="145">
        <v>0</v>
      </c>
      <c r="BY53" s="145">
        <v>0</v>
      </c>
      <c r="BZ53" s="145">
        <v>0</v>
      </c>
      <c r="CA53" s="145">
        <v>0</v>
      </c>
      <c r="CB53" s="145">
        <v>0</v>
      </c>
      <c r="CC53" s="145">
        <v>0</v>
      </c>
      <c r="CD53" s="145">
        <v>0</v>
      </c>
      <c r="CE53" s="145">
        <v>0</v>
      </c>
      <c r="CF53" s="145">
        <v>0</v>
      </c>
      <c r="CG53" s="145">
        <v>0</v>
      </c>
      <c r="CH53" s="145">
        <v>0</v>
      </c>
      <c r="CI53" s="145">
        <v>0</v>
      </c>
      <c r="CJ53" s="145">
        <v>0</v>
      </c>
      <c r="CK53" s="145">
        <v>0</v>
      </c>
      <c r="CL53" s="145">
        <v>0</v>
      </c>
      <c r="CM53" s="145">
        <v>0</v>
      </c>
      <c r="CN53" s="145">
        <v>0</v>
      </c>
      <c r="CO53" s="145">
        <v>0</v>
      </c>
      <c r="CP53" s="145">
        <v>0</v>
      </c>
      <c r="CQ53" s="145">
        <v>0</v>
      </c>
    </row>
    <row r="54" spans="1:96" x14ac:dyDescent="0.25">
      <c r="A54" s="379" t="str">
        <f>IPO監視一覧!H42</f>
        <v>C</v>
      </c>
      <c r="B54" s="122" t="str">
        <f>IPO監視一覧!B42</f>
        <v>クロスフォー</v>
      </c>
      <c r="C54" s="351">
        <f>株価一覧!E53</f>
        <v>0</v>
      </c>
      <c r="D54" s="340">
        <f t="shared" ca="1" si="23"/>
        <v>0</v>
      </c>
      <c r="E54" s="352">
        <f t="shared" ca="1" si="24"/>
        <v>0</v>
      </c>
      <c r="F54" s="353">
        <f t="shared" ca="1" si="25"/>
        <v>0</v>
      </c>
      <c r="G54" s="145">
        <v>0</v>
      </c>
      <c r="H54" s="145">
        <v>0</v>
      </c>
      <c r="I54" s="145">
        <v>0</v>
      </c>
      <c r="J54" s="145">
        <v>0</v>
      </c>
      <c r="K54" s="145">
        <v>0</v>
      </c>
      <c r="L54" s="145">
        <v>0</v>
      </c>
      <c r="M54" s="145">
        <v>0</v>
      </c>
      <c r="N54" s="145">
        <v>0</v>
      </c>
      <c r="O54" s="145">
        <v>0</v>
      </c>
      <c r="P54" s="145">
        <v>0</v>
      </c>
      <c r="Q54" s="145">
        <v>0</v>
      </c>
      <c r="R54" s="145">
        <v>0</v>
      </c>
      <c r="S54" s="145">
        <v>0</v>
      </c>
      <c r="T54" s="145">
        <v>0</v>
      </c>
      <c r="U54" s="145">
        <v>0</v>
      </c>
      <c r="V54" s="145">
        <v>0</v>
      </c>
      <c r="W54" s="145">
        <v>0</v>
      </c>
      <c r="X54" s="145">
        <v>0</v>
      </c>
      <c r="Y54" s="145">
        <v>0</v>
      </c>
      <c r="Z54" s="145">
        <v>0</v>
      </c>
      <c r="AA54" s="145">
        <v>0</v>
      </c>
      <c r="AB54" s="145">
        <v>0</v>
      </c>
      <c r="AC54" s="145">
        <v>0</v>
      </c>
      <c r="AD54" s="145">
        <v>0</v>
      </c>
      <c r="AE54" s="145">
        <v>0</v>
      </c>
      <c r="AF54" s="145">
        <v>0</v>
      </c>
      <c r="AG54" s="145">
        <v>0</v>
      </c>
      <c r="AH54" s="145">
        <v>0</v>
      </c>
      <c r="AI54" s="145">
        <v>0</v>
      </c>
      <c r="AJ54" s="145">
        <v>0</v>
      </c>
      <c r="AK54" s="145">
        <v>0</v>
      </c>
      <c r="AL54" s="145">
        <v>0</v>
      </c>
      <c r="AM54" s="145">
        <v>0</v>
      </c>
      <c r="AN54" s="145">
        <v>0</v>
      </c>
      <c r="AO54" s="145">
        <v>0</v>
      </c>
      <c r="AP54" s="145">
        <v>0</v>
      </c>
      <c r="AQ54" s="145">
        <v>0</v>
      </c>
      <c r="AR54" s="145">
        <v>0</v>
      </c>
      <c r="AS54" s="145">
        <v>0</v>
      </c>
      <c r="AT54" s="145">
        <v>0</v>
      </c>
      <c r="AU54" s="145">
        <v>0</v>
      </c>
      <c r="AV54" s="145">
        <v>0</v>
      </c>
      <c r="AW54" s="145">
        <v>0</v>
      </c>
      <c r="AX54" s="145">
        <v>0</v>
      </c>
      <c r="AY54" s="145">
        <v>0</v>
      </c>
      <c r="AZ54" s="145">
        <v>0</v>
      </c>
      <c r="BA54" s="145">
        <v>0</v>
      </c>
      <c r="BB54" s="145">
        <v>0</v>
      </c>
      <c r="BC54" s="145">
        <v>0</v>
      </c>
      <c r="BD54" s="145">
        <v>0</v>
      </c>
      <c r="BE54" s="145">
        <v>0</v>
      </c>
      <c r="BF54" s="145">
        <v>0</v>
      </c>
      <c r="BG54" s="145">
        <v>0</v>
      </c>
      <c r="BH54" s="145">
        <v>0</v>
      </c>
      <c r="BI54" s="145">
        <v>0</v>
      </c>
      <c r="BJ54" s="145">
        <v>0</v>
      </c>
      <c r="BK54" s="145">
        <v>0</v>
      </c>
      <c r="BL54" s="145">
        <v>0</v>
      </c>
      <c r="BM54" s="145">
        <v>0</v>
      </c>
      <c r="BN54" s="145">
        <v>0</v>
      </c>
      <c r="BO54" s="145">
        <v>0</v>
      </c>
      <c r="BP54" s="145">
        <v>0</v>
      </c>
      <c r="BQ54" s="145">
        <v>0</v>
      </c>
      <c r="BR54" s="145">
        <v>0</v>
      </c>
      <c r="BS54" s="145">
        <v>0</v>
      </c>
      <c r="BT54" s="145">
        <v>0</v>
      </c>
      <c r="BU54" s="145">
        <v>0</v>
      </c>
      <c r="BV54" s="145">
        <v>0</v>
      </c>
      <c r="BW54" s="145">
        <v>0</v>
      </c>
      <c r="BX54" s="145">
        <v>0</v>
      </c>
      <c r="BY54" s="145">
        <v>0</v>
      </c>
      <c r="BZ54" s="145">
        <v>0</v>
      </c>
      <c r="CA54" s="145">
        <v>0</v>
      </c>
      <c r="CB54" s="145">
        <v>0</v>
      </c>
      <c r="CC54" s="145">
        <v>0</v>
      </c>
      <c r="CD54" s="145">
        <v>0</v>
      </c>
      <c r="CE54" s="145">
        <v>0</v>
      </c>
      <c r="CF54" s="145">
        <v>0</v>
      </c>
      <c r="CG54" s="145">
        <v>0</v>
      </c>
      <c r="CH54" s="145">
        <v>0</v>
      </c>
      <c r="CI54" s="145">
        <v>0</v>
      </c>
      <c r="CJ54" s="145">
        <v>0</v>
      </c>
      <c r="CK54" s="145">
        <v>0</v>
      </c>
      <c r="CL54" s="145">
        <v>0</v>
      </c>
      <c r="CM54" s="145">
        <v>0</v>
      </c>
      <c r="CN54" s="145">
        <v>0</v>
      </c>
      <c r="CO54" s="145">
        <v>0</v>
      </c>
      <c r="CP54" s="145">
        <v>0</v>
      </c>
      <c r="CQ54" s="145">
        <v>0</v>
      </c>
    </row>
    <row r="55" spans="1:96" x14ac:dyDescent="0.25">
      <c r="A55" s="379">
        <f>IPO監視一覧!H43</f>
        <v>0</v>
      </c>
      <c r="B55" s="122" t="str">
        <f>IPO監視一覧!B43</f>
        <v>シェアリングテクノロジー</v>
      </c>
      <c r="C55" s="351">
        <f>株価一覧!E54</f>
        <v>0</v>
      </c>
      <c r="D55" s="340">
        <f t="shared" ca="1" si="23"/>
        <v>0</v>
      </c>
      <c r="E55" s="352">
        <f t="shared" ca="1" si="24"/>
        <v>0</v>
      </c>
      <c r="F55" s="353">
        <f t="shared" ca="1" si="25"/>
        <v>0</v>
      </c>
      <c r="G55" s="145">
        <v>0</v>
      </c>
      <c r="H55" s="145">
        <v>0</v>
      </c>
      <c r="I55" s="145">
        <v>0</v>
      </c>
      <c r="J55" s="145">
        <v>0</v>
      </c>
      <c r="K55" s="145">
        <v>0</v>
      </c>
      <c r="L55" s="145">
        <v>0</v>
      </c>
      <c r="M55" s="145">
        <v>0</v>
      </c>
      <c r="N55" s="145">
        <v>0</v>
      </c>
      <c r="O55" s="145">
        <v>0</v>
      </c>
      <c r="P55" s="145">
        <v>0</v>
      </c>
      <c r="Q55" s="145">
        <v>0</v>
      </c>
      <c r="R55" s="145">
        <v>0</v>
      </c>
      <c r="S55" s="145">
        <v>0</v>
      </c>
      <c r="T55" s="145">
        <v>0</v>
      </c>
      <c r="U55" s="145">
        <v>0</v>
      </c>
      <c r="V55" s="145">
        <v>0</v>
      </c>
      <c r="W55" s="145">
        <v>0</v>
      </c>
      <c r="X55" s="145">
        <v>0</v>
      </c>
      <c r="Y55" s="145">
        <v>0</v>
      </c>
      <c r="Z55" s="145">
        <v>0</v>
      </c>
      <c r="AA55" s="145">
        <v>0</v>
      </c>
      <c r="AB55" s="145">
        <v>0</v>
      </c>
      <c r="AC55" s="145">
        <v>0</v>
      </c>
      <c r="AD55" s="145">
        <v>0</v>
      </c>
      <c r="AE55" s="145">
        <v>0</v>
      </c>
      <c r="AF55" s="145">
        <v>0</v>
      </c>
      <c r="AG55" s="145">
        <v>0</v>
      </c>
      <c r="AH55" s="145">
        <v>0</v>
      </c>
      <c r="AI55" s="145">
        <v>0</v>
      </c>
      <c r="AJ55" s="145">
        <v>0</v>
      </c>
      <c r="AK55" s="145">
        <v>0</v>
      </c>
      <c r="AL55" s="145">
        <v>0</v>
      </c>
      <c r="AM55" s="145">
        <v>0</v>
      </c>
      <c r="AN55" s="145">
        <v>0</v>
      </c>
      <c r="AO55" s="145">
        <v>0</v>
      </c>
      <c r="AP55" s="145">
        <v>0</v>
      </c>
      <c r="AQ55" s="145">
        <v>0</v>
      </c>
      <c r="AR55" s="145">
        <v>0</v>
      </c>
      <c r="AS55" s="145">
        <v>0</v>
      </c>
      <c r="AT55" s="145">
        <v>0</v>
      </c>
      <c r="AU55" s="145">
        <v>0</v>
      </c>
      <c r="AV55" s="145">
        <v>0</v>
      </c>
      <c r="AW55" s="145">
        <v>0</v>
      </c>
      <c r="AX55" s="145">
        <v>0</v>
      </c>
      <c r="AY55" s="145">
        <v>0</v>
      </c>
      <c r="AZ55" s="145">
        <v>0</v>
      </c>
      <c r="BA55" s="145">
        <v>0</v>
      </c>
      <c r="BB55" s="145">
        <v>0</v>
      </c>
      <c r="BC55" s="145">
        <v>0</v>
      </c>
      <c r="BD55" s="145">
        <v>0</v>
      </c>
      <c r="BE55" s="145">
        <v>0</v>
      </c>
      <c r="BF55" s="145">
        <v>0</v>
      </c>
      <c r="BG55" s="145">
        <v>0</v>
      </c>
      <c r="BH55" s="145">
        <v>0</v>
      </c>
      <c r="BI55" s="145">
        <v>0</v>
      </c>
      <c r="BJ55" s="145">
        <v>0</v>
      </c>
      <c r="BK55" s="145">
        <v>0</v>
      </c>
      <c r="BL55" s="145">
        <v>0</v>
      </c>
      <c r="BM55" s="145">
        <v>0</v>
      </c>
      <c r="BN55" s="145">
        <v>0</v>
      </c>
      <c r="BO55" s="145">
        <v>0</v>
      </c>
      <c r="BP55" s="145">
        <v>0</v>
      </c>
      <c r="BQ55" s="145">
        <v>0</v>
      </c>
      <c r="BR55" s="145">
        <v>0</v>
      </c>
      <c r="BS55" s="145">
        <v>0</v>
      </c>
      <c r="BT55" s="145">
        <v>0</v>
      </c>
      <c r="BU55" s="145">
        <v>0</v>
      </c>
      <c r="BV55" s="145">
        <v>0</v>
      </c>
      <c r="BW55" s="145">
        <v>0</v>
      </c>
      <c r="BX55" s="145">
        <v>0</v>
      </c>
      <c r="BY55" s="145">
        <v>0</v>
      </c>
      <c r="BZ55" s="145">
        <v>0</v>
      </c>
      <c r="CA55" s="145">
        <v>0</v>
      </c>
      <c r="CB55" s="145">
        <v>0</v>
      </c>
      <c r="CC55" s="145">
        <v>0</v>
      </c>
      <c r="CD55" s="145">
        <v>0</v>
      </c>
      <c r="CE55" s="145">
        <v>0</v>
      </c>
      <c r="CF55" s="145">
        <v>0</v>
      </c>
      <c r="CG55" s="145">
        <v>0</v>
      </c>
      <c r="CH55" s="145">
        <v>0</v>
      </c>
      <c r="CI55" s="145">
        <v>0</v>
      </c>
      <c r="CJ55" s="145">
        <v>0</v>
      </c>
      <c r="CK55" s="145">
        <v>0</v>
      </c>
      <c r="CL55" s="145">
        <v>0</v>
      </c>
      <c r="CM55" s="145">
        <v>0</v>
      </c>
      <c r="CN55" s="145">
        <v>0</v>
      </c>
      <c r="CO55" s="145">
        <v>0</v>
      </c>
      <c r="CP55" s="145">
        <v>0</v>
      </c>
      <c r="CQ55" s="145">
        <v>0</v>
      </c>
    </row>
    <row r="56" spans="1:96" x14ac:dyDescent="0.25">
      <c r="A56" s="379">
        <f>IPO監視一覧!H44</f>
        <v>0</v>
      </c>
      <c r="B56" s="122" t="str">
        <f>IPO監視一覧!B44</f>
        <v>トランザス</v>
      </c>
      <c r="C56" s="351">
        <f>株価一覧!E55</f>
        <v>0</v>
      </c>
      <c r="D56" s="340">
        <f t="shared" ca="1" si="23"/>
        <v>0</v>
      </c>
      <c r="E56" s="352">
        <f t="shared" ca="1" si="24"/>
        <v>0</v>
      </c>
      <c r="F56" s="353">
        <f t="shared" ca="1" si="25"/>
        <v>0</v>
      </c>
      <c r="G56" s="145">
        <v>0</v>
      </c>
      <c r="H56" s="145">
        <v>0</v>
      </c>
      <c r="I56" s="145">
        <v>0</v>
      </c>
      <c r="J56" s="145">
        <v>0</v>
      </c>
      <c r="K56" s="145">
        <v>0</v>
      </c>
      <c r="L56" s="145">
        <v>0</v>
      </c>
      <c r="M56" s="145">
        <v>0</v>
      </c>
      <c r="N56" s="145">
        <v>0</v>
      </c>
      <c r="O56" s="145">
        <v>0</v>
      </c>
      <c r="P56" s="145">
        <v>0</v>
      </c>
      <c r="Q56" s="145">
        <v>0</v>
      </c>
      <c r="R56" s="145">
        <v>0</v>
      </c>
      <c r="S56" s="145">
        <v>0</v>
      </c>
      <c r="T56" s="145">
        <v>0</v>
      </c>
      <c r="U56" s="145">
        <v>0</v>
      </c>
      <c r="V56" s="145">
        <v>0</v>
      </c>
      <c r="W56" s="145">
        <v>0</v>
      </c>
      <c r="X56" s="145">
        <v>0</v>
      </c>
      <c r="Y56" s="145">
        <v>0</v>
      </c>
      <c r="Z56" s="145">
        <v>0</v>
      </c>
      <c r="AA56" s="145">
        <v>0</v>
      </c>
      <c r="AB56" s="145">
        <v>0</v>
      </c>
      <c r="AC56" s="145">
        <v>0</v>
      </c>
      <c r="AD56" s="145">
        <v>0</v>
      </c>
      <c r="AE56" s="145">
        <v>0</v>
      </c>
      <c r="AF56" s="145">
        <v>0</v>
      </c>
      <c r="AG56" s="145">
        <v>0</v>
      </c>
      <c r="AH56" s="145">
        <v>0</v>
      </c>
      <c r="AI56" s="145">
        <v>0</v>
      </c>
      <c r="AJ56" s="145">
        <v>0</v>
      </c>
      <c r="AK56" s="145">
        <v>0</v>
      </c>
      <c r="AL56" s="145">
        <v>0</v>
      </c>
      <c r="AM56" s="145">
        <v>0</v>
      </c>
      <c r="AN56" s="145">
        <v>0</v>
      </c>
      <c r="AO56" s="145">
        <v>0</v>
      </c>
      <c r="AP56" s="145">
        <v>0</v>
      </c>
      <c r="AQ56" s="145">
        <v>0</v>
      </c>
      <c r="AR56" s="145">
        <v>0</v>
      </c>
      <c r="AS56" s="145">
        <v>0</v>
      </c>
      <c r="AT56" s="145">
        <v>0</v>
      </c>
      <c r="AU56" s="145">
        <v>0</v>
      </c>
      <c r="AV56" s="145">
        <v>0</v>
      </c>
      <c r="AW56" s="145">
        <v>0</v>
      </c>
      <c r="AX56" s="145">
        <v>0</v>
      </c>
      <c r="AY56" s="145">
        <v>0</v>
      </c>
      <c r="AZ56" s="145">
        <v>0</v>
      </c>
      <c r="BA56" s="145">
        <v>0</v>
      </c>
      <c r="BB56" s="145">
        <v>0</v>
      </c>
      <c r="BC56" s="145">
        <v>0</v>
      </c>
      <c r="BD56" s="145">
        <v>0</v>
      </c>
      <c r="BE56" s="145">
        <v>0</v>
      </c>
      <c r="BF56" s="145">
        <v>0</v>
      </c>
      <c r="BG56" s="145">
        <v>0</v>
      </c>
      <c r="BH56" s="145">
        <v>0</v>
      </c>
      <c r="BI56" s="145">
        <v>0</v>
      </c>
      <c r="BJ56" s="145">
        <v>0</v>
      </c>
      <c r="BK56" s="145">
        <v>0</v>
      </c>
      <c r="BL56" s="145">
        <v>0</v>
      </c>
      <c r="BM56" s="145">
        <v>0</v>
      </c>
      <c r="BN56" s="145">
        <v>0</v>
      </c>
      <c r="BO56" s="145">
        <v>0</v>
      </c>
      <c r="BP56" s="145">
        <v>0</v>
      </c>
      <c r="BQ56" s="145">
        <v>0</v>
      </c>
      <c r="BR56" s="145">
        <v>0</v>
      </c>
      <c r="BS56" s="145">
        <v>0</v>
      </c>
      <c r="BT56" s="145">
        <v>0</v>
      </c>
      <c r="BU56" s="145">
        <v>0</v>
      </c>
      <c r="BV56" s="145">
        <v>0</v>
      </c>
      <c r="BW56" s="145">
        <v>0</v>
      </c>
      <c r="BX56" s="145">
        <v>0</v>
      </c>
      <c r="BY56" s="145">
        <v>0</v>
      </c>
      <c r="BZ56" s="145">
        <v>0</v>
      </c>
      <c r="CA56" s="145">
        <v>0</v>
      </c>
      <c r="CB56" s="145">
        <v>0</v>
      </c>
      <c r="CC56" s="145">
        <v>0</v>
      </c>
      <c r="CD56" s="145">
        <v>0</v>
      </c>
      <c r="CE56" s="145">
        <v>0</v>
      </c>
      <c r="CF56" s="145">
        <v>0</v>
      </c>
      <c r="CG56" s="145">
        <v>0</v>
      </c>
      <c r="CH56" s="145">
        <v>0</v>
      </c>
      <c r="CI56" s="145">
        <v>0</v>
      </c>
      <c r="CJ56" s="145">
        <v>0</v>
      </c>
      <c r="CK56" s="145">
        <v>0</v>
      </c>
      <c r="CL56" s="145">
        <v>0</v>
      </c>
      <c r="CM56" s="145">
        <v>0</v>
      </c>
      <c r="CN56" s="145">
        <v>0</v>
      </c>
      <c r="CO56" s="145">
        <v>0</v>
      </c>
      <c r="CP56" s="145">
        <v>0</v>
      </c>
      <c r="CQ56" s="145">
        <v>0</v>
      </c>
    </row>
    <row r="57" spans="1:96" x14ac:dyDescent="0.25">
      <c r="A57" s="379">
        <f>IPO監視一覧!H45</f>
        <v>0</v>
      </c>
      <c r="B57" s="122">
        <f>IPO監視一覧!B45</f>
        <v>0</v>
      </c>
      <c r="C57" s="351">
        <f>株価一覧!E56</f>
        <v>0</v>
      </c>
      <c r="D57" s="340">
        <f t="shared" ca="1" si="23"/>
        <v>0</v>
      </c>
      <c r="E57" s="352">
        <f t="shared" ca="1" si="24"/>
        <v>0</v>
      </c>
      <c r="F57" s="353">
        <f t="shared" ca="1" si="25"/>
        <v>0</v>
      </c>
      <c r="G57" s="145">
        <v>0</v>
      </c>
      <c r="H57" s="145">
        <v>0</v>
      </c>
      <c r="I57" s="145">
        <v>0</v>
      </c>
      <c r="J57" s="145">
        <v>0</v>
      </c>
      <c r="K57" s="145">
        <v>0</v>
      </c>
      <c r="L57" s="145">
        <v>0</v>
      </c>
      <c r="M57" s="145">
        <v>0</v>
      </c>
      <c r="N57" s="145">
        <v>0</v>
      </c>
      <c r="O57" s="145">
        <v>0</v>
      </c>
      <c r="P57" s="145">
        <v>0</v>
      </c>
      <c r="Q57" s="145">
        <v>0</v>
      </c>
      <c r="R57" s="145">
        <v>0</v>
      </c>
      <c r="S57" s="145">
        <v>0</v>
      </c>
      <c r="T57" s="145">
        <v>0</v>
      </c>
      <c r="U57" s="145">
        <v>0</v>
      </c>
      <c r="V57" s="145">
        <v>0</v>
      </c>
      <c r="W57" s="145">
        <v>0</v>
      </c>
      <c r="X57" s="145">
        <v>0</v>
      </c>
      <c r="Y57" s="145">
        <v>0</v>
      </c>
      <c r="Z57" s="145">
        <v>0</v>
      </c>
      <c r="AA57" s="145">
        <v>0</v>
      </c>
      <c r="AB57" s="145">
        <v>0</v>
      </c>
      <c r="AC57" s="145">
        <v>0</v>
      </c>
      <c r="AD57" s="145">
        <v>0</v>
      </c>
      <c r="AE57" s="145">
        <v>0</v>
      </c>
      <c r="AF57" s="145">
        <v>0</v>
      </c>
      <c r="AG57" s="145">
        <v>0</v>
      </c>
      <c r="AH57" s="145">
        <v>0</v>
      </c>
      <c r="AI57" s="145">
        <v>0</v>
      </c>
      <c r="AJ57" s="145">
        <v>0</v>
      </c>
      <c r="AK57" s="145">
        <v>0</v>
      </c>
      <c r="AL57" s="145">
        <v>0</v>
      </c>
      <c r="AM57" s="145">
        <v>0</v>
      </c>
      <c r="AN57" s="145">
        <v>0</v>
      </c>
      <c r="AO57" s="145">
        <v>0</v>
      </c>
      <c r="AP57" s="145">
        <v>0</v>
      </c>
      <c r="AQ57" s="145">
        <v>0</v>
      </c>
      <c r="AR57" s="145">
        <v>0</v>
      </c>
      <c r="AS57" s="145">
        <v>0</v>
      </c>
      <c r="AT57" s="145">
        <v>0</v>
      </c>
      <c r="AU57" s="145">
        <v>0</v>
      </c>
      <c r="AV57" s="145">
        <v>0</v>
      </c>
      <c r="AW57" s="145">
        <v>0</v>
      </c>
      <c r="AX57" s="145">
        <v>0</v>
      </c>
      <c r="AY57" s="145">
        <v>0</v>
      </c>
      <c r="AZ57" s="145">
        <v>0</v>
      </c>
      <c r="BA57" s="145">
        <v>0</v>
      </c>
      <c r="BB57" s="145">
        <v>0</v>
      </c>
      <c r="BC57" s="145">
        <v>0</v>
      </c>
      <c r="BD57" s="145">
        <v>0</v>
      </c>
      <c r="BE57" s="145">
        <v>0</v>
      </c>
      <c r="BF57" s="145">
        <v>0</v>
      </c>
      <c r="BG57" s="145">
        <v>0</v>
      </c>
      <c r="BH57" s="145">
        <v>0</v>
      </c>
      <c r="BI57" s="145">
        <v>0</v>
      </c>
      <c r="BJ57" s="145">
        <v>0</v>
      </c>
      <c r="BK57" s="145">
        <v>0</v>
      </c>
      <c r="BL57" s="145">
        <v>0</v>
      </c>
      <c r="BM57" s="145">
        <v>0</v>
      </c>
      <c r="BN57" s="145">
        <v>0</v>
      </c>
      <c r="BO57" s="145">
        <v>0</v>
      </c>
      <c r="BP57" s="145">
        <v>0</v>
      </c>
      <c r="BQ57" s="145">
        <v>0</v>
      </c>
      <c r="BR57" s="145">
        <v>0</v>
      </c>
      <c r="BS57" s="145">
        <v>0</v>
      </c>
      <c r="BT57" s="145">
        <v>0</v>
      </c>
      <c r="BU57" s="145">
        <v>0</v>
      </c>
      <c r="BV57" s="145">
        <v>0</v>
      </c>
      <c r="BW57" s="145">
        <v>0</v>
      </c>
      <c r="BX57" s="145">
        <v>0</v>
      </c>
      <c r="BY57" s="145">
        <v>0</v>
      </c>
      <c r="BZ57" s="145">
        <v>0</v>
      </c>
      <c r="CA57" s="145">
        <v>0</v>
      </c>
      <c r="CB57" s="145">
        <v>0</v>
      </c>
      <c r="CC57" s="145">
        <v>0</v>
      </c>
      <c r="CD57" s="145">
        <v>0</v>
      </c>
      <c r="CE57" s="145">
        <v>0</v>
      </c>
      <c r="CF57" s="145">
        <v>0</v>
      </c>
      <c r="CG57" s="145">
        <v>0</v>
      </c>
      <c r="CH57" s="145">
        <v>0</v>
      </c>
      <c r="CI57" s="145">
        <v>0</v>
      </c>
      <c r="CJ57" s="145">
        <v>0</v>
      </c>
      <c r="CK57" s="145">
        <v>0</v>
      </c>
      <c r="CL57" s="145">
        <v>0</v>
      </c>
      <c r="CM57" s="145">
        <v>0</v>
      </c>
      <c r="CN57" s="145">
        <v>0</v>
      </c>
      <c r="CO57" s="145">
        <v>0</v>
      </c>
      <c r="CP57" s="145">
        <v>0</v>
      </c>
      <c r="CQ57" s="145">
        <v>0</v>
      </c>
    </row>
    <row r="58" spans="1:96" x14ac:dyDescent="0.25">
      <c r="B58" s="122"/>
      <c r="C58" s="357"/>
      <c r="D58" s="358"/>
      <c r="E58" s="358"/>
      <c r="F58" s="359"/>
      <c r="G58" s="145">
        <v>0</v>
      </c>
      <c r="H58" s="145">
        <v>0</v>
      </c>
      <c r="I58" s="145">
        <v>0</v>
      </c>
      <c r="J58" s="145">
        <v>0</v>
      </c>
      <c r="K58" s="145">
        <v>0</v>
      </c>
      <c r="L58" s="145">
        <v>0</v>
      </c>
      <c r="M58" s="145">
        <v>0</v>
      </c>
      <c r="N58" s="145">
        <v>0</v>
      </c>
      <c r="O58" s="145">
        <v>0</v>
      </c>
      <c r="P58" s="145">
        <v>0</v>
      </c>
      <c r="Q58" s="145">
        <v>0</v>
      </c>
      <c r="R58" s="145">
        <v>0</v>
      </c>
      <c r="S58" s="145">
        <v>0</v>
      </c>
      <c r="T58" s="145">
        <v>0</v>
      </c>
      <c r="U58" s="145">
        <v>0</v>
      </c>
      <c r="V58" s="145">
        <v>0</v>
      </c>
      <c r="W58" s="145">
        <v>0</v>
      </c>
      <c r="X58" s="145">
        <v>0</v>
      </c>
      <c r="Y58" s="145">
        <v>0</v>
      </c>
      <c r="Z58" s="145">
        <v>0</v>
      </c>
      <c r="AA58" s="145">
        <v>0</v>
      </c>
      <c r="AB58" s="145">
        <v>0</v>
      </c>
      <c r="AC58" s="145">
        <v>0</v>
      </c>
      <c r="AD58" s="145">
        <v>0</v>
      </c>
      <c r="AE58" s="145">
        <v>0</v>
      </c>
      <c r="AF58" s="145">
        <v>0</v>
      </c>
      <c r="AG58" s="145">
        <v>0</v>
      </c>
      <c r="AH58" s="145">
        <v>0</v>
      </c>
      <c r="AI58" s="145">
        <v>0</v>
      </c>
      <c r="AJ58" s="145">
        <v>0</v>
      </c>
      <c r="AK58" s="145">
        <v>0</v>
      </c>
      <c r="AL58" s="145">
        <v>0</v>
      </c>
      <c r="AM58" s="145">
        <v>0</v>
      </c>
      <c r="AN58" s="145">
        <v>0</v>
      </c>
      <c r="AO58" s="145">
        <v>0</v>
      </c>
      <c r="AP58" s="145">
        <v>0</v>
      </c>
      <c r="AQ58" s="145">
        <v>0</v>
      </c>
      <c r="AR58" s="145">
        <v>0</v>
      </c>
      <c r="AS58" s="145">
        <v>0</v>
      </c>
      <c r="AT58" s="145">
        <v>0</v>
      </c>
      <c r="AU58" s="145">
        <v>0</v>
      </c>
      <c r="AV58" s="145">
        <v>0</v>
      </c>
      <c r="AW58" s="145">
        <v>0</v>
      </c>
      <c r="AX58" s="145">
        <v>0</v>
      </c>
      <c r="AY58" s="145">
        <v>0</v>
      </c>
      <c r="AZ58" s="145">
        <v>0</v>
      </c>
      <c r="BA58" s="145">
        <v>0</v>
      </c>
      <c r="BB58" s="145">
        <v>0</v>
      </c>
      <c r="BC58" s="145">
        <v>0</v>
      </c>
      <c r="BD58" s="145">
        <v>0</v>
      </c>
      <c r="BE58" s="145">
        <v>0</v>
      </c>
      <c r="BF58" s="145">
        <v>0</v>
      </c>
      <c r="BG58" s="145">
        <v>0</v>
      </c>
      <c r="BH58" s="145">
        <v>0</v>
      </c>
      <c r="BI58" s="145">
        <v>0</v>
      </c>
      <c r="BJ58" s="145">
        <v>0</v>
      </c>
      <c r="BK58" s="145">
        <v>0</v>
      </c>
      <c r="BL58" s="145">
        <v>0</v>
      </c>
      <c r="BM58" s="145">
        <v>0</v>
      </c>
      <c r="BN58" s="145">
        <v>0</v>
      </c>
      <c r="BO58" s="145">
        <v>0</v>
      </c>
      <c r="BP58" s="145">
        <v>0</v>
      </c>
      <c r="BQ58" s="145">
        <v>0</v>
      </c>
      <c r="BR58" s="145">
        <v>0</v>
      </c>
      <c r="BS58" s="145">
        <v>0</v>
      </c>
      <c r="BT58" s="145">
        <v>0</v>
      </c>
      <c r="BU58" s="145">
        <v>0</v>
      </c>
      <c r="BV58" s="145">
        <v>0</v>
      </c>
      <c r="BW58" s="145">
        <v>0</v>
      </c>
      <c r="BX58" s="145">
        <v>0</v>
      </c>
      <c r="BY58" s="145">
        <v>0</v>
      </c>
      <c r="BZ58" s="145">
        <v>0</v>
      </c>
      <c r="CA58" s="145">
        <v>0</v>
      </c>
      <c r="CB58" s="145">
        <v>0</v>
      </c>
      <c r="CC58" s="145">
        <v>0</v>
      </c>
      <c r="CD58" s="145">
        <v>0</v>
      </c>
      <c r="CE58" s="145">
        <v>0</v>
      </c>
      <c r="CF58" s="145">
        <v>0</v>
      </c>
      <c r="CG58" s="145">
        <v>0</v>
      </c>
      <c r="CH58" s="145">
        <v>0</v>
      </c>
      <c r="CI58" s="145">
        <v>0</v>
      </c>
      <c r="CJ58" s="145">
        <v>0</v>
      </c>
      <c r="CK58" s="145">
        <v>0</v>
      </c>
      <c r="CL58" s="145">
        <v>0</v>
      </c>
      <c r="CM58" s="145">
        <v>0</v>
      </c>
      <c r="CN58" s="145">
        <v>0</v>
      </c>
      <c r="CO58" s="145">
        <v>0</v>
      </c>
      <c r="CP58" s="145">
        <v>0</v>
      </c>
      <c r="CQ58" s="145">
        <v>0</v>
      </c>
    </row>
    <row r="59" spans="1:96" x14ac:dyDescent="0.25">
      <c r="B59" s="122"/>
      <c r="C59" s="357"/>
      <c r="D59" s="358"/>
      <c r="E59" s="358"/>
      <c r="F59" s="359"/>
      <c r="G59" s="145">
        <v>0</v>
      </c>
      <c r="H59" s="145">
        <v>0</v>
      </c>
      <c r="I59" s="145">
        <v>0</v>
      </c>
      <c r="J59" s="145">
        <v>0</v>
      </c>
      <c r="K59" s="145">
        <v>0</v>
      </c>
      <c r="L59" s="145">
        <v>0</v>
      </c>
      <c r="M59" s="145">
        <v>0</v>
      </c>
      <c r="N59" s="145">
        <v>0</v>
      </c>
      <c r="O59" s="145">
        <v>0</v>
      </c>
      <c r="P59" s="145">
        <v>0</v>
      </c>
      <c r="Q59" s="145">
        <v>0</v>
      </c>
      <c r="R59" s="145">
        <v>0</v>
      </c>
      <c r="S59" s="145">
        <v>0</v>
      </c>
      <c r="T59" s="145">
        <v>0</v>
      </c>
      <c r="U59" s="145">
        <v>0</v>
      </c>
      <c r="V59" s="145">
        <v>0</v>
      </c>
      <c r="W59" s="145">
        <v>0</v>
      </c>
      <c r="X59" s="145">
        <v>0</v>
      </c>
      <c r="Y59" s="145">
        <v>0</v>
      </c>
      <c r="Z59" s="145">
        <v>0</v>
      </c>
      <c r="AA59" s="145">
        <v>0</v>
      </c>
      <c r="AB59" s="145">
        <v>0</v>
      </c>
      <c r="AC59" s="145">
        <v>0</v>
      </c>
      <c r="AD59" s="145">
        <v>0</v>
      </c>
      <c r="AE59" s="145">
        <v>0</v>
      </c>
      <c r="AF59" s="145">
        <v>0</v>
      </c>
      <c r="AG59" s="145">
        <v>0</v>
      </c>
      <c r="AH59" s="145">
        <v>0</v>
      </c>
      <c r="AI59" s="145">
        <v>0</v>
      </c>
      <c r="AJ59" s="145">
        <v>0</v>
      </c>
      <c r="AK59" s="145">
        <v>0</v>
      </c>
      <c r="AL59" s="145">
        <v>0</v>
      </c>
      <c r="AM59" s="145">
        <v>0</v>
      </c>
      <c r="AN59" s="145">
        <v>0</v>
      </c>
      <c r="AO59" s="145">
        <v>0</v>
      </c>
      <c r="AP59" s="145">
        <v>0</v>
      </c>
      <c r="AQ59" s="145">
        <v>0</v>
      </c>
      <c r="AR59" s="145">
        <v>0</v>
      </c>
      <c r="AS59" s="145">
        <v>0</v>
      </c>
      <c r="AT59" s="145">
        <v>0</v>
      </c>
      <c r="AU59" s="145">
        <v>0</v>
      </c>
      <c r="AV59" s="145">
        <v>0</v>
      </c>
      <c r="AW59" s="145">
        <v>0</v>
      </c>
      <c r="AX59" s="145">
        <v>0</v>
      </c>
      <c r="AY59" s="145">
        <v>0</v>
      </c>
      <c r="AZ59" s="145">
        <v>0</v>
      </c>
      <c r="BA59" s="145">
        <v>0</v>
      </c>
      <c r="BB59" s="145">
        <v>0</v>
      </c>
      <c r="BC59" s="145">
        <v>0</v>
      </c>
      <c r="BD59" s="145">
        <v>0</v>
      </c>
      <c r="BE59" s="145">
        <v>0</v>
      </c>
      <c r="BF59" s="145">
        <v>0</v>
      </c>
      <c r="BG59" s="145">
        <v>0</v>
      </c>
      <c r="BH59" s="145">
        <v>0</v>
      </c>
      <c r="BI59" s="145">
        <v>0</v>
      </c>
      <c r="BJ59" s="145">
        <v>0</v>
      </c>
      <c r="BK59" s="145">
        <v>0</v>
      </c>
      <c r="BL59" s="145">
        <v>0</v>
      </c>
      <c r="BM59" s="145">
        <v>0</v>
      </c>
      <c r="BN59" s="145">
        <v>0</v>
      </c>
      <c r="BO59" s="145">
        <v>0</v>
      </c>
      <c r="BP59" s="145">
        <v>0</v>
      </c>
      <c r="BQ59" s="145">
        <v>0</v>
      </c>
      <c r="BR59" s="145">
        <v>0</v>
      </c>
      <c r="BS59" s="145">
        <v>0</v>
      </c>
      <c r="BT59" s="145">
        <v>0</v>
      </c>
      <c r="BU59" s="145">
        <v>0</v>
      </c>
      <c r="BV59" s="145">
        <v>0</v>
      </c>
      <c r="BW59" s="145">
        <v>0</v>
      </c>
      <c r="BX59" s="145">
        <v>0</v>
      </c>
      <c r="BY59" s="145">
        <v>0</v>
      </c>
      <c r="BZ59" s="145">
        <v>0</v>
      </c>
      <c r="CA59" s="145">
        <v>0</v>
      </c>
      <c r="CB59" s="145">
        <v>0</v>
      </c>
      <c r="CC59" s="145">
        <v>0</v>
      </c>
      <c r="CD59" s="145">
        <v>0</v>
      </c>
      <c r="CE59" s="145">
        <v>0</v>
      </c>
      <c r="CF59" s="145">
        <v>0</v>
      </c>
      <c r="CG59" s="145">
        <v>0</v>
      </c>
      <c r="CH59" s="145">
        <v>0</v>
      </c>
      <c r="CI59" s="145">
        <v>0</v>
      </c>
      <c r="CJ59" s="145">
        <v>0</v>
      </c>
      <c r="CK59" s="145">
        <v>0</v>
      </c>
      <c r="CL59" s="145">
        <v>0</v>
      </c>
      <c r="CM59" s="145">
        <v>0</v>
      </c>
      <c r="CN59" s="145">
        <v>0</v>
      </c>
      <c r="CO59" s="145">
        <v>0</v>
      </c>
      <c r="CP59" s="145">
        <v>0</v>
      </c>
      <c r="CQ59" s="145">
        <v>0</v>
      </c>
    </row>
    <row r="60" spans="1:96" x14ac:dyDescent="0.25">
      <c r="B60" s="122"/>
      <c r="C60" s="357"/>
      <c r="D60" s="358"/>
      <c r="E60" s="358"/>
      <c r="F60" s="359"/>
      <c r="G60" s="145">
        <v>0</v>
      </c>
      <c r="H60" s="145">
        <v>0</v>
      </c>
      <c r="I60" s="145">
        <v>0</v>
      </c>
      <c r="J60" s="145">
        <v>0</v>
      </c>
      <c r="K60" s="145">
        <v>0</v>
      </c>
      <c r="L60" s="145">
        <v>0</v>
      </c>
      <c r="M60" s="145">
        <v>0</v>
      </c>
      <c r="N60" s="145">
        <v>0</v>
      </c>
      <c r="O60" s="145">
        <v>0</v>
      </c>
      <c r="P60" s="145">
        <v>0</v>
      </c>
      <c r="Q60" s="145">
        <v>0</v>
      </c>
      <c r="R60" s="145">
        <v>0</v>
      </c>
      <c r="S60" s="145">
        <v>0</v>
      </c>
      <c r="T60" s="145">
        <v>0</v>
      </c>
      <c r="U60" s="145">
        <v>0</v>
      </c>
      <c r="V60" s="145">
        <v>0</v>
      </c>
      <c r="W60" s="145">
        <v>0</v>
      </c>
      <c r="X60" s="145">
        <v>0</v>
      </c>
      <c r="Y60" s="145">
        <v>0</v>
      </c>
      <c r="Z60" s="145">
        <v>0</v>
      </c>
      <c r="AA60" s="145">
        <v>0</v>
      </c>
      <c r="AB60" s="145">
        <v>0</v>
      </c>
      <c r="AC60" s="145">
        <v>0</v>
      </c>
      <c r="AD60" s="145">
        <v>0</v>
      </c>
      <c r="AE60" s="145">
        <v>0</v>
      </c>
      <c r="AF60" s="145">
        <v>0</v>
      </c>
      <c r="AG60" s="145">
        <v>0</v>
      </c>
      <c r="AH60" s="145">
        <v>0</v>
      </c>
      <c r="AI60" s="145">
        <v>0</v>
      </c>
      <c r="AJ60" s="145">
        <v>0</v>
      </c>
      <c r="AK60" s="145">
        <v>0</v>
      </c>
      <c r="AL60" s="145">
        <v>0</v>
      </c>
      <c r="AM60" s="145">
        <v>0</v>
      </c>
      <c r="AN60" s="145">
        <v>0</v>
      </c>
      <c r="AO60" s="145">
        <v>0</v>
      </c>
      <c r="AP60" s="145">
        <v>0</v>
      </c>
      <c r="AQ60" s="145">
        <v>0</v>
      </c>
      <c r="AR60" s="145">
        <v>0</v>
      </c>
      <c r="AS60" s="145">
        <v>0</v>
      </c>
      <c r="AT60" s="145">
        <v>0</v>
      </c>
      <c r="AU60" s="145">
        <v>0</v>
      </c>
      <c r="AV60" s="145">
        <v>0</v>
      </c>
      <c r="AW60" s="145">
        <v>0</v>
      </c>
      <c r="AX60" s="145">
        <v>0</v>
      </c>
      <c r="AY60" s="145">
        <v>0</v>
      </c>
      <c r="AZ60" s="145">
        <v>0</v>
      </c>
      <c r="BA60" s="145">
        <v>0</v>
      </c>
      <c r="BB60" s="145">
        <v>0</v>
      </c>
      <c r="BC60" s="145">
        <v>0</v>
      </c>
      <c r="BD60" s="145">
        <v>0</v>
      </c>
      <c r="BE60" s="145">
        <v>0</v>
      </c>
      <c r="BF60" s="145">
        <v>0</v>
      </c>
      <c r="BG60" s="145">
        <v>0</v>
      </c>
      <c r="BH60" s="145">
        <v>0</v>
      </c>
      <c r="BI60" s="145">
        <v>0</v>
      </c>
      <c r="BJ60" s="145">
        <v>0</v>
      </c>
      <c r="BK60" s="145">
        <v>0</v>
      </c>
      <c r="BL60" s="145">
        <v>0</v>
      </c>
      <c r="BM60" s="145">
        <v>0</v>
      </c>
      <c r="BN60" s="145">
        <v>0</v>
      </c>
      <c r="BO60" s="145">
        <v>0</v>
      </c>
      <c r="BP60" s="145">
        <v>0</v>
      </c>
      <c r="BQ60" s="145">
        <v>0</v>
      </c>
      <c r="BR60" s="145">
        <v>0</v>
      </c>
      <c r="BS60" s="145">
        <v>0</v>
      </c>
      <c r="BT60" s="145">
        <v>0</v>
      </c>
      <c r="BU60" s="145">
        <v>0</v>
      </c>
      <c r="BV60" s="145">
        <v>0</v>
      </c>
      <c r="BW60" s="145">
        <v>0</v>
      </c>
      <c r="BX60" s="145">
        <v>0</v>
      </c>
      <c r="BY60" s="145">
        <v>0</v>
      </c>
      <c r="BZ60" s="145">
        <v>0</v>
      </c>
      <c r="CA60" s="145">
        <v>0</v>
      </c>
      <c r="CB60" s="145">
        <v>0</v>
      </c>
      <c r="CC60" s="145">
        <v>0</v>
      </c>
      <c r="CD60" s="145">
        <v>0</v>
      </c>
      <c r="CE60" s="145">
        <v>0</v>
      </c>
      <c r="CF60" s="145">
        <v>0</v>
      </c>
      <c r="CG60" s="145">
        <v>0</v>
      </c>
      <c r="CH60" s="145">
        <v>0</v>
      </c>
      <c r="CI60" s="145">
        <v>0</v>
      </c>
      <c r="CJ60" s="145">
        <v>0</v>
      </c>
      <c r="CK60" s="145">
        <v>0</v>
      </c>
      <c r="CL60" s="145">
        <v>0</v>
      </c>
      <c r="CM60" s="145">
        <v>0</v>
      </c>
      <c r="CN60" s="145">
        <v>0</v>
      </c>
      <c r="CO60" s="145">
        <v>0</v>
      </c>
      <c r="CP60" s="145">
        <v>0</v>
      </c>
      <c r="CQ60" s="145">
        <v>0</v>
      </c>
    </row>
    <row r="61" spans="1:96" x14ac:dyDescent="0.25">
      <c r="B61" s="122"/>
      <c r="C61" s="357"/>
      <c r="D61" s="358"/>
      <c r="E61" s="358"/>
      <c r="F61" s="359"/>
      <c r="G61" s="145">
        <v>0</v>
      </c>
      <c r="H61" s="145">
        <v>0</v>
      </c>
      <c r="I61" s="145">
        <v>0</v>
      </c>
      <c r="J61" s="145">
        <v>0</v>
      </c>
      <c r="K61" s="145">
        <v>0</v>
      </c>
      <c r="L61" s="145">
        <v>0</v>
      </c>
      <c r="M61" s="145">
        <v>0</v>
      </c>
      <c r="N61" s="145">
        <v>0</v>
      </c>
      <c r="O61" s="145">
        <v>0</v>
      </c>
      <c r="P61" s="145">
        <v>0</v>
      </c>
      <c r="Q61" s="145">
        <v>0</v>
      </c>
      <c r="R61" s="145">
        <v>0</v>
      </c>
      <c r="S61" s="145">
        <v>0</v>
      </c>
      <c r="T61" s="145">
        <v>0</v>
      </c>
      <c r="U61" s="145">
        <v>0</v>
      </c>
      <c r="V61" s="145">
        <v>0</v>
      </c>
      <c r="W61" s="145">
        <v>0</v>
      </c>
      <c r="X61" s="145">
        <v>0</v>
      </c>
      <c r="Y61" s="145">
        <v>0</v>
      </c>
      <c r="Z61" s="145">
        <v>0</v>
      </c>
      <c r="AA61" s="145">
        <v>0</v>
      </c>
      <c r="AB61" s="145">
        <v>0</v>
      </c>
      <c r="AC61" s="145">
        <v>0</v>
      </c>
      <c r="AD61" s="145">
        <v>0</v>
      </c>
      <c r="AE61" s="145">
        <v>0</v>
      </c>
      <c r="AF61" s="145">
        <v>0</v>
      </c>
      <c r="AG61" s="145">
        <v>0</v>
      </c>
      <c r="AH61" s="145">
        <v>0</v>
      </c>
      <c r="AI61" s="145">
        <v>0</v>
      </c>
      <c r="AJ61" s="145">
        <v>0</v>
      </c>
      <c r="AK61" s="145">
        <v>0</v>
      </c>
      <c r="AL61" s="145">
        <v>0</v>
      </c>
      <c r="AM61" s="145">
        <v>0</v>
      </c>
      <c r="AN61" s="145">
        <v>0</v>
      </c>
      <c r="AO61" s="145">
        <v>0</v>
      </c>
      <c r="AP61" s="145">
        <v>0</v>
      </c>
      <c r="AQ61" s="145">
        <v>0</v>
      </c>
      <c r="AR61" s="145">
        <v>0</v>
      </c>
      <c r="AS61" s="145">
        <v>0</v>
      </c>
      <c r="AT61" s="145">
        <v>0</v>
      </c>
      <c r="AU61" s="145">
        <v>0</v>
      </c>
      <c r="AV61" s="145">
        <v>0</v>
      </c>
      <c r="AW61" s="145">
        <v>0</v>
      </c>
      <c r="AX61" s="145">
        <v>0</v>
      </c>
      <c r="AY61" s="145">
        <v>0</v>
      </c>
      <c r="AZ61" s="145">
        <v>0</v>
      </c>
      <c r="BA61" s="145">
        <v>0</v>
      </c>
      <c r="BB61" s="145">
        <v>0</v>
      </c>
      <c r="BC61" s="145">
        <v>0</v>
      </c>
      <c r="BD61" s="145">
        <v>0</v>
      </c>
      <c r="BE61" s="145">
        <v>0</v>
      </c>
      <c r="BF61" s="145">
        <v>0</v>
      </c>
      <c r="BG61" s="145">
        <v>0</v>
      </c>
      <c r="BH61" s="145">
        <v>0</v>
      </c>
      <c r="BI61" s="145">
        <v>0</v>
      </c>
      <c r="BJ61" s="145">
        <v>0</v>
      </c>
      <c r="BK61" s="145">
        <v>0</v>
      </c>
      <c r="BL61" s="145">
        <v>0</v>
      </c>
      <c r="BM61" s="145">
        <v>0</v>
      </c>
      <c r="BN61" s="145">
        <v>0</v>
      </c>
      <c r="BO61" s="145">
        <v>0</v>
      </c>
      <c r="BP61" s="145">
        <v>0</v>
      </c>
      <c r="BQ61" s="145">
        <v>0</v>
      </c>
      <c r="BR61" s="145">
        <v>0</v>
      </c>
      <c r="BS61" s="145">
        <v>0</v>
      </c>
      <c r="BT61" s="145">
        <v>0</v>
      </c>
      <c r="BU61" s="145">
        <v>0</v>
      </c>
      <c r="BV61" s="145">
        <v>0</v>
      </c>
      <c r="BW61" s="145">
        <v>0</v>
      </c>
      <c r="BX61" s="145">
        <v>0</v>
      </c>
      <c r="BY61" s="145">
        <v>0</v>
      </c>
      <c r="BZ61" s="145">
        <v>0</v>
      </c>
      <c r="CA61" s="145">
        <v>0</v>
      </c>
      <c r="CB61" s="145">
        <v>0</v>
      </c>
      <c r="CC61" s="145">
        <v>0</v>
      </c>
      <c r="CD61" s="145">
        <v>0</v>
      </c>
      <c r="CE61" s="145">
        <v>0</v>
      </c>
      <c r="CF61" s="145">
        <v>0</v>
      </c>
      <c r="CG61" s="145">
        <v>0</v>
      </c>
      <c r="CH61" s="145">
        <v>0</v>
      </c>
      <c r="CI61" s="145">
        <v>0</v>
      </c>
      <c r="CJ61" s="145">
        <v>0</v>
      </c>
      <c r="CK61" s="145">
        <v>0</v>
      </c>
      <c r="CL61" s="145">
        <v>0</v>
      </c>
      <c r="CM61" s="145">
        <v>0</v>
      </c>
      <c r="CN61" s="145">
        <v>0</v>
      </c>
      <c r="CO61" s="145">
        <v>0</v>
      </c>
      <c r="CP61" s="145">
        <v>0</v>
      </c>
      <c r="CQ61" s="145">
        <v>0</v>
      </c>
    </row>
    <row r="62" spans="1:96" x14ac:dyDescent="0.25">
      <c r="B62" s="122"/>
      <c r="C62" s="357"/>
      <c r="D62" s="358"/>
      <c r="E62" s="358"/>
      <c r="F62" s="359"/>
      <c r="G62" s="145">
        <v>0</v>
      </c>
      <c r="H62" s="145">
        <v>0</v>
      </c>
      <c r="I62" s="145">
        <v>0</v>
      </c>
      <c r="J62" s="145">
        <v>0</v>
      </c>
      <c r="K62" s="145">
        <v>0</v>
      </c>
      <c r="L62" s="145">
        <v>0</v>
      </c>
      <c r="M62" s="145">
        <v>0</v>
      </c>
      <c r="N62" s="145">
        <v>0</v>
      </c>
      <c r="O62" s="145">
        <v>0</v>
      </c>
      <c r="P62" s="145">
        <v>0</v>
      </c>
      <c r="Q62" s="145">
        <v>0</v>
      </c>
      <c r="R62" s="145">
        <v>0</v>
      </c>
      <c r="S62" s="145">
        <v>0</v>
      </c>
      <c r="T62" s="145">
        <v>0</v>
      </c>
      <c r="U62" s="145">
        <v>0</v>
      </c>
      <c r="V62" s="145">
        <v>0</v>
      </c>
      <c r="W62" s="145">
        <v>0</v>
      </c>
      <c r="X62" s="145">
        <v>0</v>
      </c>
      <c r="Y62" s="145">
        <v>0</v>
      </c>
      <c r="Z62" s="145">
        <v>0</v>
      </c>
      <c r="AA62" s="145">
        <v>0</v>
      </c>
      <c r="AB62" s="145">
        <v>0</v>
      </c>
      <c r="AC62" s="145">
        <v>0</v>
      </c>
      <c r="AD62" s="145">
        <v>0</v>
      </c>
      <c r="AE62" s="145">
        <v>0</v>
      </c>
      <c r="AF62" s="145">
        <v>0</v>
      </c>
      <c r="AG62" s="145">
        <v>0</v>
      </c>
      <c r="AH62" s="145">
        <v>0</v>
      </c>
      <c r="AI62" s="145">
        <v>0</v>
      </c>
      <c r="AJ62" s="145">
        <v>0</v>
      </c>
      <c r="AK62" s="145">
        <v>0</v>
      </c>
      <c r="AL62" s="145">
        <v>0</v>
      </c>
      <c r="AM62" s="145">
        <v>0</v>
      </c>
      <c r="AN62" s="145">
        <v>0</v>
      </c>
      <c r="AO62" s="145">
        <v>0</v>
      </c>
      <c r="AP62" s="145">
        <v>0</v>
      </c>
      <c r="AQ62" s="145">
        <v>0</v>
      </c>
      <c r="AR62" s="145">
        <v>0</v>
      </c>
      <c r="AS62" s="145">
        <v>0</v>
      </c>
      <c r="AT62" s="145">
        <v>0</v>
      </c>
      <c r="AU62" s="145">
        <v>0</v>
      </c>
      <c r="AV62" s="145">
        <v>0</v>
      </c>
      <c r="AW62" s="145">
        <v>0</v>
      </c>
      <c r="AX62" s="145">
        <v>0</v>
      </c>
      <c r="AY62" s="145">
        <v>0</v>
      </c>
      <c r="AZ62" s="145">
        <v>0</v>
      </c>
      <c r="BA62" s="145">
        <v>0</v>
      </c>
      <c r="BB62" s="145">
        <v>0</v>
      </c>
      <c r="BC62" s="145">
        <v>0</v>
      </c>
      <c r="BD62" s="145">
        <v>0</v>
      </c>
      <c r="BE62" s="145">
        <v>0</v>
      </c>
      <c r="BF62" s="145">
        <v>0</v>
      </c>
      <c r="BG62" s="145">
        <v>0</v>
      </c>
      <c r="BH62" s="145">
        <v>0</v>
      </c>
      <c r="BI62" s="145">
        <v>0</v>
      </c>
      <c r="BJ62" s="145">
        <v>0</v>
      </c>
      <c r="BK62" s="145">
        <v>0</v>
      </c>
      <c r="BL62" s="145">
        <v>0</v>
      </c>
      <c r="BM62" s="145">
        <v>0</v>
      </c>
      <c r="BN62" s="145">
        <v>0</v>
      </c>
      <c r="BO62" s="145">
        <v>0</v>
      </c>
      <c r="BP62" s="145">
        <v>0</v>
      </c>
      <c r="BQ62" s="145">
        <v>0</v>
      </c>
      <c r="BR62" s="145">
        <v>0</v>
      </c>
      <c r="BS62" s="145">
        <v>0</v>
      </c>
      <c r="BT62" s="145">
        <v>0</v>
      </c>
      <c r="BU62" s="145">
        <v>0</v>
      </c>
      <c r="BV62" s="145">
        <v>0</v>
      </c>
      <c r="BW62" s="145">
        <v>0</v>
      </c>
      <c r="BX62" s="145">
        <v>0</v>
      </c>
      <c r="BY62" s="145">
        <v>0</v>
      </c>
      <c r="BZ62" s="145">
        <v>0</v>
      </c>
      <c r="CA62" s="145">
        <v>0</v>
      </c>
      <c r="CB62" s="145">
        <v>0</v>
      </c>
      <c r="CC62" s="145">
        <v>0</v>
      </c>
      <c r="CD62" s="145">
        <v>0</v>
      </c>
      <c r="CE62" s="145">
        <v>0</v>
      </c>
      <c r="CF62" s="145">
        <v>0</v>
      </c>
      <c r="CG62" s="145">
        <v>0</v>
      </c>
      <c r="CH62" s="145">
        <v>0</v>
      </c>
      <c r="CI62" s="145">
        <v>0</v>
      </c>
      <c r="CJ62" s="145">
        <v>0</v>
      </c>
      <c r="CK62" s="145">
        <v>0</v>
      </c>
      <c r="CL62" s="145">
        <v>0</v>
      </c>
      <c r="CM62" s="145">
        <v>0</v>
      </c>
      <c r="CN62" s="145">
        <v>0</v>
      </c>
      <c r="CO62" s="145">
        <v>0</v>
      </c>
      <c r="CP62" s="145">
        <v>0</v>
      </c>
      <c r="CQ62" s="145">
        <v>0</v>
      </c>
    </row>
    <row r="63" spans="1:96" x14ac:dyDescent="0.25">
      <c r="B63" s="122"/>
      <c r="C63" s="357"/>
      <c r="D63" s="358"/>
      <c r="E63" s="358"/>
      <c r="F63" s="359"/>
      <c r="G63" s="145">
        <v>0</v>
      </c>
      <c r="H63" s="145">
        <v>0</v>
      </c>
      <c r="I63" s="145">
        <v>0</v>
      </c>
      <c r="J63" s="145">
        <v>0</v>
      </c>
      <c r="K63" s="145">
        <v>0</v>
      </c>
      <c r="L63" s="145">
        <v>0</v>
      </c>
      <c r="M63" s="145">
        <v>0</v>
      </c>
      <c r="N63" s="145">
        <v>0</v>
      </c>
      <c r="O63" s="145">
        <v>0</v>
      </c>
      <c r="P63" s="145">
        <v>0</v>
      </c>
      <c r="Q63" s="145">
        <v>0</v>
      </c>
      <c r="R63" s="145">
        <v>0</v>
      </c>
      <c r="S63" s="145">
        <v>0</v>
      </c>
      <c r="T63" s="145">
        <v>0</v>
      </c>
      <c r="U63" s="145">
        <v>0</v>
      </c>
      <c r="V63" s="145">
        <v>0</v>
      </c>
      <c r="W63" s="145">
        <v>0</v>
      </c>
      <c r="X63" s="145">
        <v>0</v>
      </c>
      <c r="Y63" s="145">
        <v>0</v>
      </c>
      <c r="Z63" s="145">
        <v>0</v>
      </c>
      <c r="AA63" s="145">
        <v>0</v>
      </c>
      <c r="AB63" s="145">
        <v>0</v>
      </c>
      <c r="AC63" s="145">
        <v>0</v>
      </c>
      <c r="AD63" s="145">
        <v>0</v>
      </c>
      <c r="AE63" s="145">
        <v>0</v>
      </c>
      <c r="AF63" s="145">
        <v>0</v>
      </c>
      <c r="AG63" s="145">
        <v>0</v>
      </c>
      <c r="AH63" s="145">
        <v>0</v>
      </c>
      <c r="AI63" s="145">
        <v>0</v>
      </c>
      <c r="AJ63" s="145">
        <v>0</v>
      </c>
      <c r="AK63" s="145">
        <v>0</v>
      </c>
      <c r="AL63" s="145">
        <v>0</v>
      </c>
      <c r="AM63" s="145">
        <v>0</v>
      </c>
      <c r="AN63" s="145">
        <v>0</v>
      </c>
      <c r="AO63" s="145">
        <v>0</v>
      </c>
      <c r="AP63" s="145">
        <v>0</v>
      </c>
      <c r="AQ63" s="145">
        <v>0</v>
      </c>
      <c r="AR63" s="145">
        <v>0</v>
      </c>
      <c r="AS63" s="145">
        <v>0</v>
      </c>
      <c r="AT63" s="145">
        <v>0</v>
      </c>
      <c r="AU63" s="145">
        <v>0</v>
      </c>
      <c r="AV63" s="145">
        <v>0</v>
      </c>
      <c r="AW63" s="145">
        <v>0</v>
      </c>
      <c r="AX63" s="145">
        <v>0</v>
      </c>
      <c r="AY63" s="145">
        <v>0</v>
      </c>
      <c r="AZ63" s="145">
        <v>0</v>
      </c>
      <c r="BA63" s="145">
        <v>0</v>
      </c>
      <c r="BB63" s="145">
        <v>0</v>
      </c>
      <c r="BC63" s="145">
        <v>0</v>
      </c>
      <c r="BD63" s="145">
        <v>0</v>
      </c>
      <c r="BE63" s="145">
        <v>0</v>
      </c>
      <c r="BF63" s="145">
        <v>0</v>
      </c>
      <c r="BG63" s="145">
        <v>0</v>
      </c>
      <c r="BH63" s="145">
        <v>0</v>
      </c>
      <c r="BI63" s="145">
        <v>0</v>
      </c>
      <c r="BJ63" s="145">
        <v>0</v>
      </c>
      <c r="BK63" s="145">
        <v>0</v>
      </c>
      <c r="BL63" s="145">
        <v>0</v>
      </c>
      <c r="BM63" s="145">
        <v>0</v>
      </c>
      <c r="BN63" s="145">
        <v>0</v>
      </c>
      <c r="BO63" s="145">
        <v>0</v>
      </c>
      <c r="BP63" s="145">
        <v>0</v>
      </c>
      <c r="BQ63" s="145">
        <v>0</v>
      </c>
      <c r="BR63" s="145">
        <v>0</v>
      </c>
      <c r="BS63" s="145">
        <v>0</v>
      </c>
      <c r="BT63" s="145">
        <v>0</v>
      </c>
      <c r="BU63" s="145">
        <v>0</v>
      </c>
      <c r="BV63" s="145">
        <v>0</v>
      </c>
      <c r="BW63" s="145">
        <v>0</v>
      </c>
      <c r="BX63" s="145">
        <v>0</v>
      </c>
      <c r="BY63" s="145">
        <v>0</v>
      </c>
      <c r="BZ63" s="145">
        <v>0</v>
      </c>
      <c r="CA63" s="145">
        <v>0</v>
      </c>
      <c r="CB63" s="145">
        <v>0</v>
      </c>
      <c r="CC63" s="145">
        <v>0</v>
      </c>
      <c r="CD63" s="145">
        <v>0</v>
      </c>
      <c r="CE63" s="145">
        <v>0</v>
      </c>
      <c r="CF63" s="145">
        <v>0</v>
      </c>
      <c r="CG63" s="145">
        <v>0</v>
      </c>
      <c r="CH63" s="145">
        <v>0</v>
      </c>
      <c r="CI63" s="145">
        <v>0</v>
      </c>
      <c r="CJ63" s="145">
        <v>0</v>
      </c>
      <c r="CK63" s="145">
        <v>0</v>
      </c>
      <c r="CL63" s="145">
        <v>0</v>
      </c>
      <c r="CM63" s="145">
        <v>0</v>
      </c>
      <c r="CN63" s="145">
        <v>0</v>
      </c>
      <c r="CO63" s="145">
        <v>0</v>
      </c>
      <c r="CP63" s="145">
        <v>0</v>
      </c>
      <c r="CQ63" s="145">
        <v>0</v>
      </c>
    </row>
    <row r="64" spans="1:96" x14ac:dyDescent="0.25">
      <c r="B64" s="122"/>
      <c r="C64" s="357"/>
      <c r="D64" s="358"/>
      <c r="E64" s="358"/>
      <c r="F64" s="359"/>
      <c r="G64" s="145">
        <v>0</v>
      </c>
      <c r="H64" s="145">
        <v>0</v>
      </c>
      <c r="I64" s="145">
        <v>0</v>
      </c>
      <c r="J64" s="145">
        <v>0</v>
      </c>
      <c r="K64" s="145">
        <v>0</v>
      </c>
      <c r="L64" s="145">
        <v>0</v>
      </c>
      <c r="M64" s="145">
        <v>0</v>
      </c>
      <c r="N64" s="145">
        <v>0</v>
      </c>
      <c r="O64" s="145">
        <v>0</v>
      </c>
      <c r="P64" s="145">
        <v>0</v>
      </c>
      <c r="Q64" s="145">
        <v>0</v>
      </c>
      <c r="R64" s="145">
        <v>0</v>
      </c>
      <c r="S64" s="145">
        <v>0</v>
      </c>
      <c r="T64" s="145">
        <v>0</v>
      </c>
      <c r="U64" s="145">
        <v>0</v>
      </c>
      <c r="V64" s="145">
        <v>0</v>
      </c>
      <c r="W64" s="145">
        <v>0</v>
      </c>
      <c r="X64" s="145">
        <v>0</v>
      </c>
      <c r="Y64" s="145">
        <v>0</v>
      </c>
      <c r="Z64" s="145">
        <v>0</v>
      </c>
      <c r="AA64" s="145">
        <v>0</v>
      </c>
      <c r="AB64" s="145">
        <v>0</v>
      </c>
      <c r="AC64" s="145">
        <v>0</v>
      </c>
      <c r="AD64" s="145">
        <v>0</v>
      </c>
      <c r="AE64" s="145">
        <v>0</v>
      </c>
      <c r="AF64" s="145">
        <v>0</v>
      </c>
      <c r="AG64" s="145">
        <v>0</v>
      </c>
      <c r="AH64" s="145">
        <v>0</v>
      </c>
      <c r="AI64" s="145">
        <v>0</v>
      </c>
      <c r="AJ64" s="145">
        <v>0</v>
      </c>
      <c r="AK64" s="145">
        <v>0</v>
      </c>
      <c r="AL64" s="145">
        <v>0</v>
      </c>
      <c r="AM64" s="145">
        <v>0</v>
      </c>
      <c r="AN64" s="145">
        <v>0</v>
      </c>
      <c r="AO64" s="145">
        <v>0</v>
      </c>
      <c r="AP64" s="145">
        <v>0</v>
      </c>
      <c r="AQ64" s="145">
        <v>0</v>
      </c>
      <c r="AR64" s="145">
        <v>0</v>
      </c>
      <c r="AS64" s="145">
        <v>0</v>
      </c>
      <c r="AT64" s="145">
        <v>0</v>
      </c>
      <c r="AU64" s="145">
        <v>0</v>
      </c>
      <c r="AV64" s="145">
        <v>0</v>
      </c>
      <c r="AW64" s="145">
        <v>0</v>
      </c>
      <c r="AX64" s="145">
        <v>0</v>
      </c>
      <c r="AY64" s="145">
        <v>0</v>
      </c>
      <c r="AZ64" s="145">
        <v>0</v>
      </c>
      <c r="BA64" s="145">
        <v>0</v>
      </c>
      <c r="BB64" s="145">
        <v>0</v>
      </c>
      <c r="BC64" s="145">
        <v>0</v>
      </c>
      <c r="BD64" s="145">
        <v>0</v>
      </c>
      <c r="BE64" s="145">
        <v>0</v>
      </c>
      <c r="BF64" s="145">
        <v>0</v>
      </c>
      <c r="BG64" s="145">
        <v>0</v>
      </c>
      <c r="BH64" s="145">
        <v>0</v>
      </c>
      <c r="BI64" s="145">
        <v>0</v>
      </c>
      <c r="BJ64" s="145">
        <v>0</v>
      </c>
      <c r="BK64" s="145">
        <v>0</v>
      </c>
      <c r="BL64" s="145">
        <v>0</v>
      </c>
      <c r="BM64" s="145">
        <v>0</v>
      </c>
      <c r="BN64" s="145">
        <v>0</v>
      </c>
      <c r="BO64" s="145">
        <v>0</v>
      </c>
      <c r="BP64" s="145">
        <v>0</v>
      </c>
      <c r="BQ64" s="145">
        <v>0</v>
      </c>
      <c r="BR64" s="145">
        <v>0</v>
      </c>
      <c r="BS64" s="145">
        <v>0</v>
      </c>
      <c r="BT64" s="145">
        <v>0</v>
      </c>
      <c r="BU64" s="145">
        <v>0</v>
      </c>
      <c r="BV64" s="145">
        <v>0</v>
      </c>
      <c r="BW64" s="145">
        <v>0</v>
      </c>
      <c r="BX64" s="145">
        <v>0</v>
      </c>
      <c r="BY64" s="145">
        <v>0</v>
      </c>
      <c r="BZ64" s="145">
        <v>0</v>
      </c>
      <c r="CA64" s="145">
        <v>0</v>
      </c>
      <c r="CB64" s="145">
        <v>0</v>
      </c>
      <c r="CC64" s="145">
        <v>0</v>
      </c>
      <c r="CD64" s="145">
        <v>0</v>
      </c>
      <c r="CE64" s="145">
        <v>0</v>
      </c>
      <c r="CF64" s="145">
        <v>0</v>
      </c>
      <c r="CG64" s="145">
        <v>0</v>
      </c>
      <c r="CH64" s="145">
        <v>0</v>
      </c>
      <c r="CI64" s="145">
        <v>0</v>
      </c>
      <c r="CJ64" s="145">
        <v>0</v>
      </c>
      <c r="CK64" s="145">
        <v>0</v>
      </c>
      <c r="CL64" s="145">
        <v>0</v>
      </c>
      <c r="CM64" s="145">
        <v>0</v>
      </c>
      <c r="CN64" s="145">
        <v>0</v>
      </c>
      <c r="CO64" s="145">
        <v>0</v>
      </c>
      <c r="CP64" s="145">
        <v>0</v>
      </c>
      <c r="CQ64" s="145">
        <v>0</v>
      </c>
    </row>
    <row r="65" spans="2:95" x14ac:dyDescent="0.25">
      <c r="B65" s="122"/>
      <c r="C65" s="357"/>
      <c r="D65" s="358"/>
      <c r="E65" s="358"/>
      <c r="F65" s="359"/>
      <c r="G65" s="145">
        <v>0</v>
      </c>
      <c r="H65" s="145">
        <v>0</v>
      </c>
      <c r="I65" s="145">
        <v>0</v>
      </c>
      <c r="J65" s="145">
        <v>0</v>
      </c>
      <c r="K65" s="145">
        <v>0</v>
      </c>
      <c r="L65" s="145">
        <v>0</v>
      </c>
      <c r="M65" s="145">
        <v>0</v>
      </c>
      <c r="N65" s="145">
        <v>0</v>
      </c>
      <c r="O65" s="145">
        <v>0</v>
      </c>
      <c r="P65" s="145">
        <v>0</v>
      </c>
      <c r="Q65" s="145">
        <v>0</v>
      </c>
      <c r="R65" s="145">
        <v>0</v>
      </c>
      <c r="S65" s="145">
        <v>0</v>
      </c>
      <c r="T65" s="145">
        <v>0</v>
      </c>
      <c r="U65" s="145">
        <v>0</v>
      </c>
      <c r="V65" s="145">
        <v>0</v>
      </c>
      <c r="W65" s="145">
        <v>0</v>
      </c>
      <c r="X65" s="145">
        <v>0</v>
      </c>
      <c r="Y65" s="145">
        <v>0</v>
      </c>
      <c r="Z65" s="145">
        <v>0</v>
      </c>
      <c r="AA65" s="145">
        <v>0</v>
      </c>
      <c r="AB65" s="145">
        <v>0</v>
      </c>
      <c r="AC65" s="145">
        <v>0</v>
      </c>
      <c r="AD65" s="145">
        <v>0</v>
      </c>
      <c r="AE65" s="145">
        <v>0</v>
      </c>
      <c r="AF65" s="145">
        <v>0</v>
      </c>
      <c r="AG65" s="145">
        <v>0</v>
      </c>
      <c r="AH65" s="145">
        <v>0</v>
      </c>
      <c r="AI65" s="145">
        <v>0</v>
      </c>
      <c r="AJ65" s="145">
        <v>0</v>
      </c>
      <c r="AK65" s="145">
        <v>0</v>
      </c>
      <c r="AL65" s="145">
        <v>0</v>
      </c>
      <c r="AM65" s="145">
        <v>0</v>
      </c>
      <c r="AN65" s="145">
        <v>0</v>
      </c>
      <c r="AO65" s="145">
        <v>0</v>
      </c>
      <c r="AP65" s="145">
        <v>0</v>
      </c>
      <c r="AQ65" s="145">
        <v>0</v>
      </c>
      <c r="AR65" s="145">
        <v>0</v>
      </c>
      <c r="AS65" s="145">
        <v>0</v>
      </c>
      <c r="AT65" s="145">
        <v>0</v>
      </c>
      <c r="AU65" s="145">
        <v>0</v>
      </c>
      <c r="AV65" s="145">
        <v>0</v>
      </c>
      <c r="AW65" s="145">
        <v>0</v>
      </c>
      <c r="AX65" s="145">
        <v>0</v>
      </c>
      <c r="AY65" s="145">
        <v>0</v>
      </c>
      <c r="AZ65" s="145">
        <v>0</v>
      </c>
      <c r="BA65" s="145">
        <v>0</v>
      </c>
      <c r="BB65" s="145">
        <v>0</v>
      </c>
      <c r="BC65" s="145">
        <v>0</v>
      </c>
      <c r="BD65" s="145">
        <v>0</v>
      </c>
      <c r="BE65" s="145">
        <v>0</v>
      </c>
      <c r="BF65" s="145">
        <v>0</v>
      </c>
      <c r="BG65" s="145">
        <v>0</v>
      </c>
      <c r="BH65" s="145">
        <v>0</v>
      </c>
      <c r="BI65" s="145">
        <v>0</v>
      </c>
      <c r="BJ65" s="145">
        <v>0</v>
      </c>
      <c r="BK65" s="145">
        <v>0</v>
      </c>
      <c r="BL65" s="145">
        <v>0</v>
      </c>
      <c r="BM65" s="145">
        <v>0</v>
      </c>
      <c r="BN65" s="145">
        <v>0</v>
      </c>
      <c r="BO65" s="145">
        <v>0</v>
      </c>
      <c r="BP65" s="145">
        <v>0</v>
      </c>
      <c r="BQ65" s="145">
        <v>0</v>
      </c>
      <c r="BR65" s="145">
        <v>0</v>
      </c>
      <c r="BS65" s="145">
        <v>0</v>
      </c>
      <c r="BT65" s="145">
        <v>0</v>
      </c>
      <c r="BU65" s="145">
        <v>0</v>
      </c>
      <c r="BV65" s="145">
        <v>0</v>
      </c>
      <c r="BW65" s="145">
        <v>0</v>
      </c>
      <c r="BX65" s="145">
        <v>0</v>
      </c>
      <c r="BY65" s="145">
        <v>0</v>
      </c>
      <c r="BZ65" s="145">
        <v>0</v>
      </c>
      <c r="CA65" s="145">
        <v>0</v>
      </c>
      <c r="CB65" s="145">
        <v>0</v>
      </c>
      <c r="CC65" s="145">
        <v>0</v>
      </c>
      <c r="CD65" s="145">
        <v>0</v>
      </c>
      <c r="CE65" s="145">
        <v>0</v>
      </c>
      <c r="CF65" s="145">
        <v>0</v>
      </c>
      <c r="CG65" s="145">
        <v>0</v>
      </c>
      <c r="CH65" s="145">
        <v>0</v>
      </c>
      <c r="CI65" s="145">
        <v>0</v>
      </c>
      <c r="CJ65" s="145">
        <v>0</v>
      </c>
      <c r="CK65" s="145">
        <v>0</v>
      </c>
      <c r="CL65" s="145">
        <v>0</v>
      </c>
      <c r="CM65" s="145">
        <v>0</v>
      </c>
      <c r="CN65" s="145">
        <v>0</v>
      </c>
      <c r="CO65" s="145">
        <v>0</v>
      </c>
      <c r="CP65" s="145">
        <v>0</v>
      </c>
      <c r="CQ65" s="145">
        <v>0</v>
      </c>
    </row>
    <row r="66" spans="2:95" x14ac:dyDescent="0.25">
      <c r="B66" s="122"/>
      <c r="C66" s="357"/>
      <c r="D66" s="358"/>
      <c r="E66" s="358"/>
      <c r="F66" s="359"/>
      <c r="G66" s="145">
        <v>0</v>
      </c>
      <c r="H66" s="145">
        <v>0</v>
      </c>
      <c r="I66" s="145">
        <v>0</v>
      </c>
      <c r="J66" s="145">
        <v>0</v>
      </c>
      <c r="K66" s="145">
        <v>0</v>
      </c>
      <c r="L66" s="145">
        <v>0</v>
      </c>
      <c r="M66" s="145">
        <v>0</v>
      </c>
      <c r="N66" s="145">
        <v>0</v>
      </c>
      <c r="O66" s="145">
        <v>0</v>
      </c>
      <c r="P66" s="145">
        <v>0</v>
      </c>
      <c r="Q66" s="145">
        <v>0</v>
      </c>
      <c r="R66" s="145">
        <v>0</v>
      </c>
      <c r="S66" s="145">
        <v>0</v>
      </c>
      <c r="T66" s="145">
        <v>0</v>
      </c>
      <c r="U66" s="145">
        <v>0</v>
      </c>
      <c r="V66" s="145">
        <v>0</v>
      </c>
      <c r="W66" s="145">
        <v>0</v>
      </c>
      <c r="X66" s="145">
        <v>0</v>
      </c>
      <c r="Y66" s="145">
        <v>0</v>
      </c>
      <c r="Z66" s="145">
        <v>0</v>
      </c>
      <c r="AA66" s="145">
        <v>0</v>
      </c>
      <c r="AB66" s="145">
        <v>0</v>
      </c>
      <c r="AC66" s="145">
        <v>0</v>
      </c>
      <c r="AD66" s="145">
        <v>0</v>
      </c>
      <c r="AE66" s="145">
        <v>0</v>
      </c>
      <c r="AF66" s="145">
        <v>0</v>
      </c>
      <c r="AG66" s="145">
        <v>0</v>
      </c>
      <c r="AH66" s="145">
        <v>0</v>
      </c>
      <c r="AI66" s="145">
        <v>0</v>
      </c>
      <c r="AJ66" s="145">
        <v>0</v>
      </c>
      <c r="AK66" s="145">
        <v>0</v>
      </c>
      <c r="AL66" s="145">
        <v>0</v>
      </c>
      <c r="AM66" s="145">
        <v>0</v>
      </c>
      <c r="AN66" s="145">
        <v>0</v>
      </c>
      <c r="AO66" s="145">
        <v>0</v>
      </c>
      <c r="AP66" s="145">
        <v>0</v>
      </c>
      <c r="AQ66" s="145">
        <v>0</v>
      </c>
      <c r="AR66" s="145">
        <v>0</v>
      </c>
      <c r="AS66" s="145">
        <v>0</v>
      </c>
      <c r="AT66" s="145">
        <v>0</v>
      </c>
      <c r="AU66" s="145">
        <v>0</v>
      </c>
      <c r="AV66" s="145">
        <v>0</v>
      </c>
      <c r="AW66" s="145">
        <v>0</v>
      </c>
      <c r="AX66" s="145">
        <v>0</v>
      </c>
      <c r="AY66" s="145">
        <v>0</v>
      </c>
      <c r="AZ66" s="145">
        <v>0</v>
      </c>
      <c r="BA66" s="145">
        <v>0</v>
      </c>
      <c r="BB66" s="145">
        <v>0</v>
      </c>
      <c r="BC66" s="145">
        <v>0</v>
      </c>
      <c r="BD66" s="145">
        <v>0</v>
      </c>
      <c r="BE66" s="145">
        <v>0</v>
      </c>
      <c r="BF66" s="145">
        <v>0</v>
      </c>
      <c r="BG66" s="145">
        <v>0</v>
      </c>
      <c r="BH66" s="145">
        <v>0</v>
      </c>
      <c r="BI66" s="145">
        <v>0</v>
      </c>
      <c r="BJ66" s="145">
        <v>0</v>
      </c>
      <c r="BK66" s="145">
        <v>0</v>
      </c>
      <c r="BL66" s="145">
        <v>0</v>
      </c>
      <c r="BM66" s="145">
        <v>0</v>
      </c>
      <c r="BN66" s="145">
        <v>0</v>
      </c>
      <c r="BO66" s="145">
        <v>0</v>
      </c>
      <c r="BP66" s="145">
        <v>0</v>
      </c>
      <c r="BQ66" s="145">
        <v>0</v>
      </c>
      <c r="BR66" s="145">
        <v>0</v>
      </c>
      <c r="BS66" s="145">
        <v>0</v>
      </c>
      <c r="BT66" s="145">
        <v>0</v>
      </c>
      <c r="BU66" s="145">
        <v>0</v>
      </c>
      <c r="BV66" s="145">
        <v>0</v>
      </c>
      <c r="BW66" s="145">
        <v>0</v>
      </c>
      <c r="BX66" s="145">
        <v>0</v>
      </c>
      <c r="BY66" s="145">
        <v>0</v>
      </c>
      <c r="BZ66" s="145">
        <v>0</v>
      </c>
      <c r="CA66" s="145">
        <v>0</v>
      </c>
      <c r="CB66" s="145">
        <v>0</v>
      </c>
      <c r="CC66" s="145">
        <v>0</v>
      </c>
      <c r="CD66" s="145">
        <v>0</v>
      </c>
      <c r="CE66" s="145">
        <v>0</v>
      </c>
      <c r="CF66" s="145">
        <v>0</v>
      </c>
      <c r="CG66" s="145">
        <v>0</v>
      </c>
      <c r="CH66" s="145">
        <v>0</v>
      </c>
      <c r="CI66" s="145">
        <v>0</v>
      </c>
      <c r="CJ66" s="145">
        <v>0</v>
      </c>
      <c r="CK66" s="145">
        <v>0</v>
      </c>
      <c r="CL66" s="145">
        <v>0</v>
      </c>
      <c r="CM66" s="145">
        <v>0</v>
      </c>
      <c r="CN66" s="145">
        <v>0</v>
      </c>
      <c r="CO66" s="145">
        <v>0</v>
      </c>
      <c r="CP66" s="145">
        <v>0</v>
      </c>
      <c r="CQ66" s="145">
        <v>0</v>
      </c>
    </row>
    <row r="67" spans="2:95" x14ac:dyDescent="0.25">
      <c r="B67" s="122"/>
      <c r="C67" s="357"/>
      <c r="D67" s="358"/>
      <c r="E67" s="358"/>
      <c r="F67" s="359"/>
      <c r="G67" s="145">
        <v>0</v>
      </c>
      <c r="H67" s="145">
        <v>0</v>
      </c>
      <c r="I67" s="145">
        <v>0</v>
      </c>
      <c r="J67" s="145">
        <v>0</v>
      </c>
      <c r="K67" s="145">
        <v>0</v>
      </c>
      <c r="L67" s="145">
        <v>0</v>
      </c>
      <c r="M67" s="145">
        <v>0</v>
      </c>
      <c r="N67" s="145">
        <v>0</v>
      </c>
      <c r="O67" s="145">
        <v>0</v>
      </c>
      <c r="P67" s="145">
        <v>0</v>
      </c>
      <c r="Q67" s="145">
        <v>0</v>
      </c>
      <c r="R67" s="145">
        <v>0</v>
      </c>
      <c r="S67" s="145">
        <v>0</v>
      </c>
      <c r="T67" s="145">
        <v>0</v>
      </c>
      <c r="U67" s="145">
        <v>0</v>
      </c>
      <c r="V67" s="145">
        <v>0</v>
      </c>
      <c r="W67" s="145">
        <v>0</v>
      </c>
      <c r="X67" s="145">
        <v>0</v>
      </c>
      <c r="Y67" s="145">
        <v>0</v>
      </c>
      <c r="Z67" s="145">
        <v>0</v>
      </c>
      <c r="AA67" s="145">
        <v>0</v>
      </c>
      <c r="AB67" s="145">
        <v>0</v>
      </c>
      <c r="AC67" s="145">
        <v>0</v>
      </c>
      <c r="AD67" s="145">
        <v>0</v>
      </c>
      <c r="AE67" s="145">
        <v>0</v>
      </c>
      <c r="AF67" s="145">
        <v>0</v>
      </c>
      <c r="AG67" s="145">
        <v>0</v>
      </c>
      <c r="AH67" s="145">
        <v>0</v>
      </c>
      <c r="AI67" s="145">
        <v>0</v>
      </c>
      <c r="AJ67" s="145">
        <v>0</v>
      </c>
      <c r="AK67" s="145">
        <v>0</v>
      </c>
      <c r="AL67" s="145">
        <v>0</v>
      </c>
      <c r="AM67" s="145">
        <v>0</v>
      </c>
      <c r="AN67" s="145">
        <v>0</v>
      </c>
      <c r="AO67" s="145">
        <v>0</v>
      </c>
      <c r="AP67" s="145">
        <v>0</v>
      </c>
      <c r="AQ67" s="145">
        <v>0</v>
      </c>
      <c r="AR67" s="145">
        <v>0</v>
      </c>
      <c r="AS67" s="145">
        <v>0</v>
      </c>
      <c r="AT67" s="145">
        <v>0</v>
      </c>
      <c r="AU67" s="145">
        <v>0</v>
      </c>
      <c r="AV67" s="145">
        <v>0</v>
      </c>
      <c r="AW67" s="145">
        <v>0</v>
      </c>
      <c r="AX67" s="145">
        <v>0</v>
      </c>
      <c r="AY67" s="145">
        <v>0</v>
      </c>
      <c r="AZ67" s="145">
        <v>0</v>
      </c>
      <c r="BA67" s="145">
        <v>0</v>
      </c>
      <c r="BB67" s="145">
        <v>0</v>
      </c>
      <c r="BC67" s="145">
        <v>0</v>
      </c>
      <c r="BD67" s="145">
        <v>0</v>
      </c>
      <c r="BE67" s="145">
        <v>0</v>
      </c>
      <c r="BF67" s="145">
        <v>0</v>
      </c>
      <c r="BG67" s="145">
        <v>0</v>
      </c>
      <c r="BH67" s="145">
        <v>0</v>
      </c>
      <c r="BI67" s="145">
        <v>0</v>
      </c>
      <c r="BJ67" s="145">
        <v>0</v>
      </c>
      <c r="BK67" s="145">
        <v>0</v>
      </c>
      <c r="BL67" s="145">
        <v>0</v>
      </c>
      <c r="BM67" s="145">
        <v>0</v>
      </c>
      <c r="BN67" s="145">
        <v>0</v>
      </c>
      <c r="BO67" s="145">
        <v>0</v>
      </c>
      <c r="BP67" s="145">
        <v>0</v>
      </c>
      <c r="BQ67" s="145">
        <v>0</v>
      </c>
      <c r="BR67" s="145">
        <v>0</v>
      </c>
      <c r="BS67" s="145">
        <v>0</v>
      </c>
      <c r="BT67" s="145">
        <v>0</v>
      </c>
      <c r="BU67" s="145">
        <v>0</v>
      </c>
      <c r="BV67" s="145">
        <v>0</v>
      </c>
      <c r="BW67" s="145">
        <v>0</v>
      </c>
      <c r="BX67" s="145">
        <v>0</v>
      </c>
      <c r="BY67" s="145">
        <v>0</v>
      </c>
      <c r="BZ67" s="145">
        <v>0</v>
      </c>
      <c r="CA67" s="145">
        <v>0</v>
      </c>
      <c r="CB67" s="145">
        <v>0</v>
      </c>
      <c r="CC67" s="145">
        <v>0</v>
      </c>
      <c r="CD67" s="145">
        <v>0</v>
      </c>
      <c r="CE67" s="145">
        <v>0</v>
      </c>
      <c r="CF67" s="145">
        <v>0</v>
      </c>
      <c r="CG67" s="145">
        <v>0</v>
      </c>
      <c r="CH67" s="145">
        <v>0</v>
      </c>
      <c r="CI67" s="145">
        <v>0</v>
      </c>
      <c r="CJ67" s="145">
        <v>0</v>
      </c>
      <c r="CK67" s="145">
        <v>0</v>
      </c>
      <c r="CL67" s="145">
        <v>0</v>
      </c>
      <c r="CM67" s="145">
        <v>0</v>
      </c>
      <c r="CN67" s="145">
        <v>0</v>
      </c>
      <c r="CO67" s="145">
        <v>0</v>
      </c>
      <c r="CP67" s="145">
        <v>0</v>
      </c>
      <c r="CQ67" s="145">
        <v>0</v>
      </c>
    </row>
    <row r="68" spans="2:95" x14ac:dyDescent="0.25">
      <c r="B68" s="122"/>
      <c r="C68" s="357"/>
      <c r="D68" s="358"/>
      <c r="E68" s="358"/>
      <c r="F68" s="359"/>
      <c r="G68" s="145">
        <v>0</v>
      </c>
      <c r="H68" s="145">
        <v>0</v>
      </c>
      <c r="I68" s="145">
        <v>0</v>
      </c>
      <c r="J68" s="145">
        <v>0</v>
      </c>
      <c r="K68" s="145">
        <v>0</v>
      </c>
      <c r="L68" s="145">
        <v>0</v>
      </c>
      <c r="M68" s="145">
        <v>0</v>
      </c>
      <c r="N68" s="145">
        <v>0</v>
      </c>
      <c r="O68" s="145">
        <v>0</v>
      </c>
      <c r="P68" s="145">
        <v>0</v>
      </c>
      <c r="Q68" s="145">
        <v>0</v>
      </c>
      <c r="R68" s="145">
        <v>0</v>
      </c>
      <c r="S68" s="145">
        <v>0</v>
      </c>
      <c r="T68" s="145">
        <v>0</v>
      </c>
      <c r="U68" s="145">
        <v>0</v>
      </c>
      <c r="V68" s="145">
        <v>0</v>
      </c>
      <c r="W68" s="145">
        <v>0</v>
      </c>
      <c r="X68" s="145">
        <v>0</v>
      </c>
      <c r="Y68" s="145">
        <v>0</v>
      </c>
      <c r="Z68" s="145">
        <v>0</v>
      </c>
      <c r="AA68" s="145">
        <v>0</v>
      </c>
      <c r="AB68" s="145">
        <v>0</v>
      </c>
      <c r="AC68" s="145">
        <v>0</v>
      </c>
      <c r="AD68" s="145">
        <v>0</v>
      </c>
      <c r="AE68" s="145">
        <v>0</v>
      </c>
      <c r="AF68" s="145">
        <v>0</v>
      </c>
      <c r="AG68" s="145">
        <v>0</v>
      </c>
      <c r="AH68" s="145">
        <v>0</v>
      </c>
      <c r="AI68" s="145">
        <v>0</v>
      </c>
      <c r="AJ68" s="145">
        <v>0</v>
      </c>
      <c r="AK68" s="145">
        <v>0</v>
      </c>
      <c r="AL68" s="145">
        <v>0</v>
      </c>
      <c r="AM68" s="145">
        <v>0</v>
      </c>
      <c r="AN68" s="145">
        <v>0</v>
      </c>
      <c r="AO68" s="145">
        <v>0</v>
      </c>
      <c r="AP68" s="145">
        <v>0</v>
      </c>
      <c r="AQ68" s="145">
        <v>0</v>
      </c>
      <c r="AR68" s="145">
        <v>0</v>
      </c>
      <c r="AS68" s="145">
        <v>0</v>
      </c>
      <c r="AT68" s="145">
        <v>0</v>
      </c>
      <c r="AU68" s="145">
        <v>0</v>
      </c>
      <c r="AV68" s="145">
        <v>0</v>
      </c>
      <c r="AW68" s="145">
        <v>0</v>
      </c>
      <c r="AX68" s="145">
        <v>0</v>
      </c>
      <c r="AY68" s="145">
        <v>0</v>
      </c>
      <c r="AZ68" s="145">
        <v>0</v>
      </c>
      <c r="BA68" s="145">
        <v>0</v>
      </c>
      <c r="BB68" s="145">
        <v>0</v>
      </c>
      <c r="BC68" s="145">
        <v>0</v>
      </c>
      <c r="BD68" s="145">
        <v>0</v>
      </c>
      <c r="BE68" s="145">
        <v>0</v>
      </c>
      <c r="BF68" s="145">
        <v>0</v>
      </c>
      <c r="BG68" s="145">
        <v>0</v>
      </c>
      <c r="BH68" s="145">
        <v>0</v>
      </c>
      <c r="BI68" s="145">
        <v>0</v>
      </c>
      <c r="BJ68" s="145">
        <v>0</v>
      </c>
      <c r="BK68" s="145">
        <v>0</v>
      </c>
      <c r="BL68" s="145">
        <v>0</v>
      </c>
      <c r="BM68" s="145">
        <v>0</v>
      </c>
      <c r="BN68" s="145">
        <v>0</v>
      </c>
      <c r="BO68" s="145">
        <v>0</v>
      </c>
      <c r="BP68" s="145">
        <v>0</v>
      </c>
      <c r="BQ68" s="145">
        <v>0</v>
      </c>
      <c r="BR68" s="145">
        <v>0</v>
      </c>
      <c r="BS68" s="145">
        <v>0</v>
      </c>
      <c r="BT68" s="145">
        <v>0</v>
      </c>
      <c r="BU68" s="145">
        <v>0</v>
      </c>
      <c r="BV68" s="145">
        <v>0</v>
      </c>
      <c r="BW68" s="145">
        <v>0</v>
      </c>
      <c r="BX68" s="145">
        <v>0</v>
      </c>
      <c r="BY68" s="145">
        <v>0</v>
      </c>
      <c r="BZ68" s="145">
        <v>0</v>
      </c>
      <c r="CA68" s="145">
        <v>0</v>
      </c>
      <c r="CB68" s="145">
        <v>0</v>
      </c>
      <c r="CC68" s="145">
        <v>0</v>
      </c>
      <c r="CD68" s="145">
        <v>0</v>
      </c>
      <c r="CE68" s="145">
        <v>0</v>
      </c>
      <c r="CF68" s="145">
        <v>0</v>
      </c>
      <c r="CG68" s="145">
        <v>0</v>
      </c>
      <c r="CH68" s="145">
        <v>0</v>
      </c>
      <c r="CI68" s="145">
        <v>0</v>
      </c>
      <c r="CJ68" s="145">
        <v>0</v>
      </c>
      <c r="CK68" s="145">
        <v>0</v>
      </c>
      <c r="CL68" s="145">
        <v>0</v>
      </c>
      <c r="CM68" s="145">
        <v>0</v>
      </c>
      <c r="CN68" s="145">
        <v>0</v>
      </c>
      <c r="CO68" s="145">
        <v>0</v>
      </c>
      <c r="CP68" s="145">
        <v>0</v>
      </c>
      <c r="CQ68" s="145">
        <v>0</v>
      </c>
    </row>
    <row r="69" spans="2:95" x14ac:dyDescent="0.25">
      <c r="B69" s="122"/>
      <c r="C69" s="357"/>
      <c r="D69" s="358"/>
      <c r="E69" s="358"/>
      <c r="F69" s="359"/>
      <c r="G69" s="145">
        <v>0</v>
      </c>
      <c r="H69" s="145">
        <v>0</v>
      </c>
      <c r="I69" s="145">
        <v>0</v>
      </c>
      <c r="J69" s="145">
        <v>0</v>
      </c>
      <c r="K69" s="145">
        <v>0</v>
      </c>
      <c r="L69" s="145">
        <v>0</v>
      </c>
      <c r="M69" s="145">
        <v>0</v>
      </c>
      <c r="N69" s="145">
        <v>0</v>
      </c>
      <c r="O69" s="145">
        <v>0</v>
      </c>
      <c r="P69" s="145">
        <v>0</v>
      </c>
      <c r="Q69" s="145">
        <v>0</v>
      </c>
      <c r="R69" s="145">
        <v>0</v>
      </c>
      <c r="S69" s="145">
        <v>0</v>
      </c>
      <c r="T69" s="145">
        <v>0</v>
      </c>
      <c r="U69" s="145">
        <v>0</v>
      </c>
      <c r="V69" s="145">
        <v>0</v>
      </c>
      <c r="W69" s="145">
        <v>0</v>
      </c>
      <c r="X69" s="145">
        <v>0</v>
      </c>
      <c r="Y69" s="145">
        <v>0</v>
      </c>
      <c r="Z69" s="145">
        <v>0</v>
      </c>
      <c r="AA69" s="145">
        <v>0</v>
      </c>
      <c r="AB69" s="145">
        <v>0</v>
      </c>
      <c r="AC69" s="145">
        <v>0</v>
      </c>
      <c r="AD69" s="145">
        <v>0</v>
      </c>
      <c r="AE69" s="145">
        <v>0</v>
      </c>
      <c r="AF69" s="145">
        <v>0</v>
      </c>
      <c r="AG69" s="145">
        <v>0</v>
      </c>
      <c r="AH69" s="145">
        <v>0</v>
      </c>
      <c r="AI69" s="145">
        <v>0</v>
      </c>
      <c r="AJ69" s="145">
        <v>0</v>
      </c>
      <c r="AK69" s="145">
        <v>0</v>
      </c>
      <c r="AL69" s="145">
        <v>0</v>
      </c>
      <c r="AM69" s="145">
        <v>0</v>
      </c>
      <c r="AN69" s="145">
        <v>0</v>
      </c>
      <c r="AO69" s="145">
        <v>0</v>
      </c>
      <c r="AP69" s="145">
        <v>0</v>
      </c>
      <c r="AQ69" s="145">
        <v>0</v>
      </c>
      <c r="AR69" s="145">
        <v>0</v>
      </c>
      <c r="AS69" s="145">
        <v>0</v>
      </c>
      <c r="AT69" s="145">
        <v>0</v>
      </c>
      <c r="AU69" s="145">
        <v>0</v>
      </c>
      <c r="AV69" s="145">
        <v>0</v>
      </c>
      <c r="AW69" s="145">
        <v>0</v>
      </c>
      <c r="AX69" s="145">
        <v>0</v>
      </c>
      <c r="AY69" s="145">
        <v>0</v>
      </c>
      <c r="AZ69" s="145">
        <v>0</v>
      </c>
      <c r="BA69" s="145">
        <v>0</v>
      </c>
      <c r="BB69" s="145">
        <v>0</v>
      </c>
      <c r="BC69" s="145">
        <v>0</v>
      </c>
      <c r="BD69" s="145">
        <v>0</v>
      </c>
      <c r="BE69" s="145">
        <v>0</v>
      </c>
      <c r="BF69" s="145">
        <v>0</v>
      </c>
      <c r="BG69" s="145">
        <v>0</v>
      </c>
      <c r="BH69" s="145">
        <v>0</v>
      </c>
      <c r="BI69" s="145">
        <v>0</v>
      </c>
      <c r="BJ69" s="145">
        <v>0</v>
      </c>
      <c r="BK69" s="145">
        <v>0</v>
      </c>
      <c r="BL69" s="145">
        <v>0</v>
      </c>
      <c r="BM69" s="145">
        <v>0</v>
      </c>
      <c r="BN69" s="145">
        <v>0</v>
      </c>
      <c r="BO69" s="145">
        <v>0</v>
      </c>
      <c r="BP69" s="145">
        <v>0</v>
      </c>
      <c r="BQ69" s="145">
        <v>0</v>
      </c>
      <c r="BR69" s="145">
        <v>0</v>
      </c>
      <c r="BS69" s="145">
        <v>0</v>
      </c>
      <c r="BT69" s="145">
        <v>0</v>
      </c>
      <c r="BU69" s="145">
        <v>0</v>
      </c>
      <c r="BV69" s="145">
        <v>0</v>
      </c>
      <c r="BW69" s="145">
        <v>0</v>
      </c>
      <c r="BX69" s="145">
        <v>0</v>
      </c>
      <c r="BY69" s="145">
        <v>0</v>
      </c>
      <c r="BZ69" s="145">
        <v>0</v>
      </c>
      <c r="CA69" s="145">
        <v>0</v>
      </c>
      <c r="CB69" s="145">
        <v>0</v>
      </c>
      <c r="CC69" s="145">
        <v>0</v>
      </c>
      <c r="CD69" s="145">
        <v>0</v>
      </c>
      <c r="CE69" s="145">
        <v>0</v>
      </c>
      <c r="CF69" s="145">
        <v>0</v>
      </c>
      <c r="CG69" s="145">
        <v>0</v>
      </c>
      <c r="CH69" s="145">
        <v>0</v>
      </c>
      <c r="CI69" s="145">
        <v>0</v>
      </c>
      <c r="CJ69" s="145">
        <v>0</v>
      </c>
      <c r="CK69" s="145">
        <v>0</v>
      </c>
      <c r="CL69" s="145">
        <v>0</v>
      </c>
      <c r="CM69" s="145">
        <v>0</v>
      </c>
      <c r="CN69" s="145">
        <v>0</v>
      </c>
      <c r="CO69" s="145">
        <v>0</v>
      </c>
      <c r="CP69" s="145">
        <v>0</v>
      </c>
      <c r="CQ69" s="145">
        <v>0</v>
      </c>
    </row>
    <row r="70" spans="2:95" x14ac:dyDescent="0.25">
      <c r="B70" s="122"/>
      <c r="C70" s="357"/>
      <c r="D70" s="358"/>
      <c r="E70" s="358"/>
      <c r="F70" s="359"/>
      <c r="G70" s="145">
        <v>0</v>
      </c>
      <c r="H70" s="145">
        <v>0</v>
      </c>
      <c r="I70" s="145">
        <v>0</v>
      </c>
      <c r="J70" s="145">
        <v>0</v>
      </c>
      <c r="K70" s="145">
        <v>0</v>
      </c>
      <c r="L70" s="145">
        <v>0</v>
      </c>
      <c r="M70" s="145">
        <v>0</v>
      </c>
      <c r="N70" s="145">
        <v>0</v>
      </c>
      <c r="O70" s="145">
        <v>0</v>
      </c>
      <c r="P70" s="145">
        <v>0</v>
      </c>
      <c r="Q70" s="145">
        <v>0</v>
      </c>
      <c r="R70" s="145">
        <v>0</v>
      </c>
      <c r="S70" s="145">
        <v>0</v>
      </c>
      <c r="T70" s="145">
        <v>0</v>
      </c>
      <c r="U70" s="145">
        <v>0</v>
      </c>
      <c r="V70" s="145">
        <v>0</v>
      </c>
      <c r="W70" s="145">
        <v>0</v>
      </c>
      <c r="X70" s="145">
        <v>0</v>
      </c>
      <c r="Y70" s="145">
        <v>0</v>
      </c>
      <c r="Z70" s="145">
        <v>0</v>
      </c>
      <c r="AA70" s="145">
        <v>0</v>
      </c>
      <c r="AB70" s="145">
        <v>0</v>
      </c>
      <c r="AC70" s="145">
        <v>0</v>
      </c>
      <c r="AD70" s="145">
        <v>0</v>
      </c>
      <c r="AE70" s="145">
        <v>0</v>
      </c>
      <c r="AF70" s="145">
        <v>0</v>
      </c>
      <c r="AG70" s="145">
        <v>0</v>
      </c>
      <c r="AH70" s="145">
        <v>0</v>
      </c>
      <c r="AI70" s="145">
        <v>0</v>
      </c>
      <c r="AJ70" s="145">
        <v>0</v>
      </c>
      <c r="AK70" s="145">
        <v>0</v>
      </c>
      <c r="AL70" s="145">
        <v>0</v>
      </c>
      <c r="AM70" s="145">
        <v>0</v>
      </c>
      <c r="AN70" s="145">
        <v>0</v>
      </c>
      <c r="AO70" s="145">
        <v>0</v>
      </c>
      <c r="AP70" s="145">
        <v>0</v>
      </c>
      <c r="AQ70" s="145">
        <v>0</v>
      </c>
      <c r="AR70" s="145">
        <v>0</v>
      </c>
      <c r="AS70" s="145">
        <v>0</v>
      </c>
      <c r="AT70" s="145">
        <v>0</v>
      </c>
      <c r="AU70" s="145">
        <v>0</v>
      </c>
      <c r="AV70" s="145">
        <v>0</v>
      </c>
      <c r="AW70" s="145">
        <v>0</v>
      </c>
      <c r="AX70" s="145">
        <v>0</v>
      </c>
      <c r="AY70" s="145">
        <v>0</v>
      </c>
      <c r="AZ70" s="145">
        <v>0</v>
      </c>
      <c r="BA70" s="145">
        <v>0</v>
      </c>
      <c r="BB70" s="145">
        <v>0</v>
      </c>
      <c r="BC70" s="145">
        <v>0</v>
      </c>
      <c r="BD70" s="145">
        <v>0</v>
      </c>
      <c r="BE70" s="145">
        <v>0</v>
      </c>
      <c r="BF70" s="145">
        <v>0</v>
      </c>
      <c r="BG70" s="145">
        <v>0</v>
      </c>
      <c r="BH70" s="145">
        <v>0</v>
      </c>
      <c r="BI70" s="145">
        <v>0</v>
      </c>
      <c r="BJ70" s="145">
        <v>0</v>
      </c>
      <c r="BK70" s="145">
        <v>0</v>
      </c>
      <c r="BL70" s="145">
        <v>0</v>
      </c>
      <c r="BM70" s="145">
        <v>0</v>
      </c>
      <c r="BN70" s="145">
        <v>0</v>
      </c>
      <c r="BO70" s="145">
        <v>0</v>
      </c>
      <c r="BP70" s="145">
        <v>0</v>
      </c>
      <c r="BQ70" s="145">
        <v>0</v>
      </c>
      <c r="BR70" s="145">
        <v>0</v>
      </c>
      <c r="BS70" s="145">
        <v>0</v>
      </c>
      <c r="BT70" s="145">
        <v>0</v>
      </c>
      <c r="BU70" s="145">
        <v>0</v>
      </c>
      <c r="BV70" s="145">
        <v>0</v>
      </c>
      <c r="BW70" s="145">
        <v>0</v>
      </c>
      <c r="BX70" s="145">
        <v>0</v>
      </c>
      <c r="BY70" s="145">
        <v>0</v>
      </c>
      <c r="BZ70" s="145">
        <v>0</v>
      </c>
      <c r="CA70" s="145">
        <v>0</v>
      </c>
      <c r="CB70" s="145">
        <v>0</v>
      </c>
      <c r="CC70" s="145">
        <v>0</v>
      </c>
      <c r="CD70" s="145">
        <v>0</v>
      </c>
      <c r="CE70" s="145">
        <v>0</v>
      </c>
      <c r="CF70" s="145">
        <v>0</v>
      </c>
      <c r="CG70" s="145">
        <v>0</v>
      </c>
      <c r="CH70" s="145">
        <v>0</v>
      </c>
      <c r="CI70" s="145">
        <v>0</v>
      </c>
      <c r="CJ70" s="145">
        <v>0</v>
      </c>
      <c r="CK70" s="145">
        <v>0</v>
      </c>
      <c r="CL70" s="145">
        <v>0</v>
      </c>
      <c r="CM70" s="145">
        <v>0</v>
      </c>
      <c r="CN70" s="145">
        <v>0</v>
      </c>
      <c r="CO70" s="145">
        <v>0</v>
      </c>
      <c r="CP70" s="145">
        <v>0</v>
      </c>
      <c r="CQ70" s="145">
        <v>0</v>
      </c>
    </row>
    <row r="71" spans="2:95" x14ac:dyDescent="0.25">
      <c r="B71" s="122"/>
      <c r="C71" s="357"/>
      <c r="D71" s="358"/>
      <c r="E71" s="358"/>
      <c r="F71" s="359"/>
      <c r="G71" s="145">
        <v>0</v>
      </c>
      <c r="H71" s="145">
        <v>0</v>
      </c>
      <c r="I71" s="145">
        <v>0</v>
      </c>
      <c r="J71" s="145">
        <v>0</v>
      </c>
      <c r="K71" s="145">
        <v>0</v>
      </c>
      <c r="L71" s="145">
        <v>0</v>
      </c>
      <c r="M71" s="145">
        <v>0</v>
      </c>
      <c r="N71" s="145">
        <v>0</v>
      </c>
      <c r="O71" s="145">
        <v>0</v>
      </c>
      <c r="P71" s="145">
        <v>0</v>
      </c>
      <c r="Q71" s="145">
        <v>0</v>
      </c>
      <c r="R71" s="145">
        <v>0</v>
      </c>
      <c r="S71" s="145">
        <v>0</v>
      </c>
      <c r="T71" s="145">
        <v>0</v>
      </c>
      <c r="U71" s="145">
        <v>0</v>
      </c>
      <c r="V71" s="145">
        <v>0</v>
      </c>
      <c r="W71" s="145">
        <v>0</v>
      </c>
      <c r="X71" s="145">
        <v>0</v>
      </c>
      <c r="Y71" s="145">
        <v>0</v>
      </c>
      <c r="Z71" s="145">
        <v>0</v>
      </c>
      <c r="AA71" s="145">
        <v>0</v>
      </c>
      <c r="AB71" s="145">
        <v>0</v>
      </c>
      <c r="AC71" s="145">
        <v>0</v>
      </c>
      <c r="AD71" s="145">
        <v>0</v>
      </c>
      <c r="AE71" s="145">
        <v>0</v>
      </c>
      <c r="AF71" s="145">
        <v>0</v>
      </c>
      <c r="AG71" s="145">
        <v>0</v>
      </c>
      <c r="AH71" s="145">
        <v>0</v>
      </c>
      <c r="AI71" s="145">
        <v>0</v>
      </c>
      <c r="AJ71" s="145">
        <v>0</v>
      </c>
      <c r="AK71" s="145">
        <v>0</v>
      </c>
      <c r="AL71" s="145">
        <v>0</v>
      </c>
      <c r="AM71" s="145">
        <v>0</v>
      </c>
      <c r="AN71" s="145">
        <v>0</v>
      </c>
      <c r="AO71" s="145">
        <v>0</v>
      </c>
      <c r="AP71" s="145">
        <v>0</v>
      </c>
      <c r="AQ71" s="145">
        <v>0</v>
      </c>
      <c r="AR71" s="145">
        <v>0</v>
      </c>
      <c r="AS71" s="145">
        <v>0</v>
      </c>
      <c r="AT71" s="145">
        <v>0</v>
      </c>
      <c r="AU71" s="145">
        <v>0</v>
      </c>
      <c r="AV71" s="145">
        <v>0</v>
      </c>
      <c r="AW71" s="145">
        <v>0</v>
      </c>
      <c r="AX71" s="145">
        <v>0</v>
      </c>
      <c r="AY71" s="145">
        <v>0</v>
      </c>
      <c r="AZ71" s="145">
        <v>0</v>
      </c>
      <c r="BA71" s="145">
        <v>0</v>
      </c>
      <c r="BB71" s="145">
        <v>0</v>
      </c>
      <c r="BC71" s="145">
        <v>0</v>
      </c>
      <c r="BD71" s="145">
        <v>0</v>
      </c>
      <c r="BE71" s="145">
        <v>0</v>
      </c>
      <c r="BF71" s="145">
        <v>0</v>
      </c>
      <c r="BG71" s="145">
        <v>0</v>
      </c>
      <c r="BH71" s="145">
        <v>0</v>
      </c>
      <c r="BI71" s="145">
        <v>0</v>
      </c>
      <c r="BJ71" s="145">
        <v>0</v>
      </c>
      <c r="BK71" s="145">
        <v>0</v>
      </c>
      <c r="BL71" s="145">
        <v>0</v>
      </c>
      <c r="BM71" s="145">
        <v>0</v>
      </c>
      <c r="BN71" s="145">
        <v>0</v>
      </c>
      <c r="BO71" s="145">
        <v>0</v>
      </c>
      <c r="BP71" s="145">
        <v>0</v>
      </c>
      <c r="BQ71" s="145">
        <v>0</v>
      </c>
      <c r="BR71" s="145">
        <v>0</v>
      </c>
      <c r="BS71" s="145">
        <v>0</v>
      </c>
      <c r="BT71" s="145">
        <v>0</v>
      </c>
      <c r="BU71" s="145">
        <v>0</v>
      </c>
      <c r="BV71" s="145">
        <v>0</v>
      </c>
      <c r="BW71" s="145">
        <v>0</v>
      </c>
      <c r="BX71" s="145">
        <v>0</v>
      </c>
      <c r="BY71" s="145">
        <v>0</v>
      </c>
      <c r="BZ71" s="145">
        <v>0</v>
      </c>
      <c r="CA71" s="145">
        <v>0</v>
      </c>
      <c r="CB71" s="145">
        <v>0</v>
      </c>
      <c r="CC71" s="145">
        <v>0</v>
      </c>
      <c r="CD71" s="145">
        <v>0</v>
      </c>
      <c r="CE71" s="145">
        <v>0</v>
      </c>
      <c r="CF71" s="145">
        <v>0</v>
      </c>
      <c r="CG71" s="145">
        <v>0</v>
      </c>
      <c r="CH71" s="145">
        <v>0</v>
      </c>
      <c r="CI71" s="145">
        <v>0</v>
      </c>
      <c r="CJ71" s="145">
        <v>0</v>
      </c>
      <c r="CK71" s="145">
        <v>0</v>
      </c>
      <c r="CL71" s="145">
        <v>0</v>
      </c>
      <c r="CM71" s="145">
        <v>0</v>
      </c>
      <c r="CN71" s="145">
        <v>0</v>
      </c>
      <c r="CO71" s="145">
        <v>0</v>
      </c>
      <c r="CP71" s="145">
        <v>0</v>
      </c>
      <c r="CQ71" s="145">
        <v>0</v>
      </c>
    </row>
    <row r="72" spans="2:95" x14ac:dyDescent="0.25">
      <c r="B72" s="122"/>
      <c r="C72" s="357"/>
      <c r="D72" s="358"/>
      <c r="E72" s="358"/>
      <c r="F72" s="359"/>
      <c r="G72" s="145">
        <v>0</v>
      </c>
      <c r="H72" s="145">
        <v>0</v>
      </c>
      <c r="I72" s="145">
        <v>0</v>
      </c>
      <c r="J72" s="145">
        <v>0</v>
      </c>
      <c r="K72" s="145">
        <v>0</v>
      </c>
      <c r="L72" s="145">
        <v>0</v>
      </c>
      <c r="M72" s="145">
        <v>0</v>
      </c>
      <c r="N72" s="145">
        <v>0</v>
      </c>
      <c r="O72" s="145">
        <v>0</v>
      </c>
      <c r="P72" s="145">
        <v>0</v>
      </c>
      <c r="Q72" s="145">
        <v>0</v>
      </c>
      <c r="R72" s="145">
        <v>0</v>
      </c>
      <c r="S72" s="145">
        <v>0</v>
      </c>
      <c r="T72" s="145">
        <v>0</v>
      </c>
      <c r="U72" s="145">
        <v>0</v>
      </c>
      <c r="V72" s="145">
        <v>0</v>
      </c>
      <c r="W72" s="145">
        <v>0</v>
      </c>
      <c r="X72" s="145">
        <v>0</v>
      </c>
      <c r="Y72" s="145">
        <v>0</v>
      </c>
      <c r="Z72" s="145">
        <v>0</v>
      </c>
      <c r="AA72" s="145">
        <v>0</v>
      </c>
      <c r="AB72" s="145">
        <v>0</v>
      </c>
      <c r="AC72" s="145">
        <v>0</v>
      </c>
      <c r="AD72" s="145">
        <v>0</v>
      </c>
      <c r="AE72" s="145">
        <v>0</v>
      </c>
      <c r="AF72" s="145">
        <v>0</v>
      </c>
      <c r="AG72" s="145">
        <v>0</v>
      </c>
      <c r="AH72" s="145">
        <v>0</v>
      </c>
      <c r="AI72" s="145">
        <v>0</v>
      </c>
      <c r="AJ72" s="145">
        <v>0</v>
      </c>
      <c r="AK72" s="145">
        <v>0</v>
      </c>
      <c r="AL72" s="145">
        <v>0</v>
      </c>
      <c r="AM72" s="145">
        <v>0</v>
      </c>
      <c r="AN72" s="145">
        <v>0</v>
      </c>
      <c r="AO72" s="145">
        <v>0</v>
      </c>
      <c r="AP72" s="145">
        <v>0</v>
      </c>
      <c r="AQ72" s="145">
        <v>0</v>
      </c>
      <c r="AR72" s="145">
        <v>0</v>
      </c>
      <c r="AS72" s="145">
        <v>0</v>
      </c>
      <c r="AT72" s="145">
        <v>0</v>
      </c>
      <c r="AU72" s="145">
        <v>0</v>
      </c>
      <c r="AV72" s="145">
        <v>0</v>
      </c>
      <c r="AW72" s="145">
        <v>0</v>
      </c>
      <c r="AX72" s="145">
        <v>0</v>
      </c>
      <c r="AY72" s="145">
        <v>0</v>
      </c>
      <c r="AZ72" s="145">
        <v>0</v>
      </c>
      <c r="BA72" s="145">
        <v>0</v>
      </c>
      <c r="BB72" s="145">
        <v>0</v>
      </c>
      <c r="BC72" s="145">
        <v>0</v>
      </c>
      <c r="BD72" s="145">
        <v>0</v>
      </c>
      <c r="BE72" s="145">
        <v>0</v>
      </c>
      <c r="BF72" s="145">
        <v>0</v>
      </c>
      <c r="BG72" s="145">
        <v>0</v>
      </c>
      <c r="BH72" s="145">
        <v>0</v>
      </c>
      <c r="BI72" s="145">
        <v>0</v>
      </c>
      <c r="BJ72" s="145">
        <v>0</v>
      </c>
      <c r="BK72" s="145">
        <v>0</v>
      </c>
      <c r="BL72" s="145">
        <v>0</v>
      </c>
      <c r="BM72" s="145">
        <v>0</v>
      </c>
      <c r="BN72" s="145">
        <v>0</v>
      </c>
      <c r="BO72" s="145">
        <v>0</v>
      </c>
      <c r="BP72" s="145">
        <v>0</v>
      </c>
      <c r="BQ72" s="145">
        <v>0</v>
      </c>
      <c r="BR72" s="145">
        <v>0</v>
      </c>
      <c r="BS72" s="145">
        <v>0</v>
      </c>
      <c r="BT72" s="145">
        <v>0</v>
      </c>
      <c r="BU72" s="145">
        <v>0</v>
      </c>
      <c r="BV72" s="145">
        <v>0</v>
      </c>
      <c r="BW72" s="145">
        <v>0</v>
      </c>
      <c r="BX72" s="145">
        <v>0</v>
      </c>
      <c r="BY72" s="145">
        <v>0</v>
      </c>
      <c r="BZ72" s="145">
        <v>0</v>
      </c>
      <c r="CA72" s="145">
        <v>0</v>
      </c>
      <c r="CB72" s="145">
        <v>0</v>
      </c>
      <c r="CC72" s="145">
        <v>0</v>
      </c>
      <c r="CD72" s="145">
        <v>0</v>
      </c>
      <c r="CE72" s="145">
        <v>0</v>
      </c>
      <c r="CF72" s="145">
        <v>0</v>
      </c>
      <c r="CG72" s="145">
        <v>0</v>
      </c>
      <c r="CH72" s="145">
        <v>0</v>
      </c>
      <c r="CI72" s="145">
        <v>0</v>
      </c>
      <c r="CJ72" s="145">
        <v>0</v>
      </c>
      <c r="CK72" s="145">
        <v>0</v>
      </c>
      <c r="CL72" s="145">
        <v>0</v>
      </c>
      <c r="CM72" s="145">
        <v>0</v>
      </c>
      <c r="CN72" s="145">
        <v>0</v>
      </c>
      <c r="CO72" s="145">
        <v>0</v>
      </c>
      <c r="CP72" s="145">
        <v>0</v>
      </c>
      <c r="CQ72" s="145">
        <v>0</v>
      </c>
    </row>
    <row r="73" spans="2:95" x14ac:dyDescent="0.25">
      <c r="B73" s="122"/>
      <c r="C73" s="357"/>
      <c r="D73" s="358"/>
      <c r="E73" s="358"/>
      <c r="F73" s="359"/>
      <c r="G73" s="145">
        <v>0</v>
      </c>
      <c r="H73" s="145">
        <v>0</v>
      </c>
      <c r="I73" s="145">
        <v>0</v>
      </c>
      <c r="J73" s="145">
        <v>0</v>
      </c>
      <c r="K73" s="145">
        <v>0</v>
      </c>
      <c r="L73" s="145">
        <v>0</v>
      </c>
      <c r="M73" s="145">
        <v>0</v>
      </c>
      <c r="N73" s="145">
        <v>0</v>
      </c>
      <c r="O73" s="145">
        <v>0</v>
      </c>
      <c r="P73" s="145">
        <v>0</v>
      </c>
      <c r="Q73" s="145">
        <v>0</v>
      </c>
      <c r="R73" s="145">
        <v>0</v>
      </c>
      <c r="S73" s="145">
        <v>0</v>
      </c>
      <c r="T73" s="145">
        <v>0</v>
      </c>
      <c r="U73" s="145">
        <v>0</v>
      </c>
      <c r="V73" s="145">
        <v>0</v>
      </c>
      <c r="W73" s="145">
        <v>0</v>
      </c>
      <c r="X73" s="145">
        <v>0</v>
      </c>
      <c r="Y73" s="145">
        <v>0</v>
      </c>
      <c r="Z73" s="145">
        <v>0</v>
      </c>
      <c r="AA73" s="145">
        <v>0</v>
      </c>
      <c r="AB73" s="145">
        <v>0</v>
      </c>
      <c r="AC73" s="145">
        <v>0</v>
      </c>
      <c r="AD73" s="145">
        <v>0</v>
      </c>
      <c r="AE73" s="145">
        <v>0</v>
      </c>
      <c r="AF73" s="145">
        <v>0</v>
      </c>
      <c r="AG73" s="145">
        <v>0</v>
      </c>
      <c r="AH73" s="145">
        <v>0</v>
      </c>
      <c r="AI73" s="145">
        <v>0</v>
      </c>
      <c r="AJ73" s="145">
        <v>0</v>
      </c>
      <c r="AK73" s="145">
        <v>0</v>
      </c>
      <c r="AL73" s="145">
        <v>0</v>
      </c>
      <c r="AM73" s="145">
        <v>0</v>
      </c>
      <c r="AN73" s="145">
        <v>0</v>
      </c>
      <c r="AO73" s="145">
        <v>0</v>
      </c>
      <c r="AP73" s="145">
        <v>0</v>
      </c>
      <c r="AQ73" s="145">
        <v>0</v>
      </c>
      <c r="AR73" s="145">
        <v>0</v>
      </c>
      <c r="AS73" s="145">
        <v>0</v>
      </c>
      <c r="AT73" s="145">
        <v>0</v>
      </c>
      <c r="AU73" s="145">
        <v>0</v>
      </c>
      <c r="AV73" s="145">
        <v>0</v>
      </c>
      <c r="AW73" s="145">
        <v>0</v>
      </c>
      <c r="AX73" s="145">
        <v>0</v>
      </c>
      <c r="AY73" s="145">
        <v>0</v>
      </c>
      <c r="AZ73" s="145">
        <v>0</v>
      </c>
      <c r="BA73" s="145">
        <v>0</v>
      </c>
      <c r="BB73" s="145">
        <v>0</v>
      </c>
      <c r="BC73" s="145">
        <v>0</v>
      </c>
      <c r="BD73" s="145">
        <v>0</v>
      </c>
      <c r="BE73" s="145">
        <v>0</v>
      </c>
      <c r="BF73" s="145">
        <v>0</v>
      </c>
      <c r="BG73" s="145">
        <v>0</v>
      </c>
      <c r="BH73" s="145">
        <v>0</v>
      </c>
      <c r="BI73" s="145">
        <v>0</v>
      </c>
      <c r="BJ73" s="145">
        <v>0</v>
      </c>
      <c r="BK73" s="145">
        <v>0</v>
      </c>
      <c r="BL73" s="145">
        <v>0</v>
      </c>
      <c r="BM73" s="145">
        <v>0</v>
      </c>
      <c r="BN73" s="145">
        <v>0</v>
      </c>
      <c r="BO73" s="145">
        <v>0</v>
      </c>
      <c r="BP73" s="145">
        <v>0</v>
      </c>
      <c r="BQ73" s="145">
        <v>0</v>
      </c>
      <c r="BR73" s="145">
        <v>0</v>
      </c>
      <c r="BS73" s="145">
        <v>0</v>
      </c>
      <c r="BT73" s="145">
        <v>0</v>
      </c>
      <c r="BU73" s="145">
        <v>0</v>
      </c>
      <c r="BV73" s="145">
        <v>0</v>
      </c>
      <c r="BW73" s="145">
        <v>0</v>
      </c>
      <c r="BX73" s="145">
        <v>0</v>
      </c>
      <c r="BY73" s="145">
        <v>0</v>
      </c>
      <c r="BZ73" s="145">
        <v>0</v>
      </c>
      <c r="CA73" s="145">
        <v>0</v>
      </c>
      <c r="CB73" s="145">
        <v>0</v>
      </c>
      <c r="CC73" s="145">
        <v>0</v>
      </c>
      <c r="CD73" s="145">
        <v>0</v>
      </c>
      <c r="CE73" s="145">
        <v>0</v>
      </c>
      <c r="CF73" s="145">
        <v>0</v>
      </c>
      <c r="CG73" s="145">
        <v>0</v>
      </c>
      <c r="CH73" s="145">
        <v>0</v>
      </c>
      <c r="CI73" s="145">
        <v>0</v>
      </c>
      <c r="CJ73" s="145">
        <v>0</v>
      </c>
      <c r="CK73" s="145">
        <v>0</v>
      </c>
      <c r="CL73" s="145">
        <v>0</v>
      </c>
      <c r="CM73" s="145">
        <v>0</v>
      </c>
      <c r="CN73" s="145">
        <v>0</v>
      </c>
      <c r="CO73" s="145">
        <v>0</v>
      </c>
      <c r="CP73" s="145">
        <v>0</v>
      </c>
      <c r="CQ73" s="145">
        <v>0</v>
      </c>
    </row>
    <row r="74" spans="2:95" x14ac:dyDescent="0.25">
      <c r="B74" s="122"/>
      <c r="C74" s="357"/>
      <c r="D74" s="358"/>
      <c r="E74" s="358"/>
      <c r="F74" s="359"/>
      <c r="G74" s="145">
        <v>0</v>
      </c>
      <c r="H74" s="145">
        <v>0</v>
      </c>
      <c r="I74" s="145">
        <v>0</v>
      </c>
      <c r="J74" s="145">
        <v>0</v>
      </c>
      <c r="K74" s="145">
        <v>0</v>
      </c>
      <c r="L74" s="145">
        <v>0</v>
      </c>
      <c r="M74" s="145">
        <v>0</v>
      </c>
      <c r="N74" s="145">
        <v>0</v>
      </c>
      <c r="O74" s="145">
        <v>0</v>
      </c>
      <c r="P74" s="145">
        <v>0</v>
      </c>
      <c r="Q74" s="145">
        <v>0</v>
      </c>
      <c r="R74" s="145">
        <v>0</v>
      </c>
      <c r="S74" s="145">
        <v>0</v>
      </c>
      <c r="T74" s="145">
        <v>0</v>
      </c>
      <c r="U74" s="145">
        <v>0</v>
      </c>
      <c r="V74" s="145">
        <v>0</v>
      </c>
      <c r="W74" s="145">
        <v>0</v>
      </c>
      <c r="X74" s="145">
        <v>0</v>
      </c>
      <c r="Y74" s="145">
        <v>0</v>
      </c>
      <c r="Z74" s="145">
        <v>0</v>
      </c>
      <c r="AA74" s="145">
        <v>0</v>
      </c>
      <c r="AB74" s="145">
        <v>0</v>
      </c>
      <c r="AC74" s="145">
        <v>0</v>
      </c>
      <c r="AD74" s="145">
        <v>0</v>
      </c>
      <c r="AE74" s="145">
        <v>0</v>
      </c>
      <c r="AF74" s="145">
        <v>0</v>
      </c>
      <c r="AG74" s="145">
        <v>0</v>
      </c>
      <c r="AH74" s="145">
        <v>0</v>
      </c>
      <c r="AI74" s="145">
        <v>0</v>
      </c>
      <c r="AJ74" s="145">
        <v>0</v>
      </c>
      <c r="AK74" s="145">
        <v>0</v>
      </c>
      <c r="AL74" s="145">
        <v>0</v>
      </c>
      <c r="AM74" s="145">
        <v>0</v>
      </c>
      <c r="AN74" s="145">
        <v>0</v>
      </c>
      <c r="AO74" s="145">
        <v>0</v>
      </c>
      <c r="AP74" s="145">
        <v>0</v>
      </c>
      <c r="AQ74" s="145">
        <v>0</v>
      </c>
      <c r="AR74" s="145">
        <v>0</v>
      </c>
      <c r="AS74" s="145">
        <v>0</v>
      </c>
      <c r="AT74" s="145">
        <v>0</v>
      </c>
      <c r="AU74" s="145">
        <v>0</v>
      </c>
      <c r="AV74" s="145">
        <v>0</v>
      </c>
      <c r="AW74" s="145">
        <v>0</v>
      </c>
      <c r="AX74" s="145">
        <v>0</v>
      </c>
      <c r="AY74" s="145">
        <v>0</v>
      </c>
      <c r="AZ74" s="145">
        <v>0</v>
      </c>
      <c r="BA74" s="145">
        <v>0</v>
      </c>
      <c r="BB74" s="145">
        <v>0</v>
      </c>
      <c r="BC74" s="145">
        <v>0</v>
      </c>
      <c r="BD74" s="145">
        <v>0</v>
      </c>
      <c r="BE74" s="145">
        <v>0</v>
      </c>
      <c r="BF74" s="145">
        <v>0</v>
      </c>
      <c r="BG74" s="145">
        <v>0</v>
      </c>
      <c r="BH74" s="145">
        <v>0</v>
      </c>
      <c r="BI74" s="145">
        <v>0</v>
      </c>
      <c r="BJ74" s="145">
        <v>0</v>
      </c>
      <c r="BK74" s="145">
        <v>0</v>
      </c>
      <c r="BL74" s="145">
        <v>0</v>
      </c>
      <c r="BM74" s="145">
        <v>0</v>
      </c>
      <c r="BN74" s="145">
        <v>0</v>
      </c>
      <c r="BO74" s="145">
        <v>0</v>
      </c>
      <c r="BP74" s="145">
        <v>0</v>
      </c>
      <c r="BQ74" s="145">
        <v>0</v>
      </c>
      <c r="BR74" s="145">
        <v>0</v>
      </c>
      <c r="BS74" s="145">
        <v>0</v>
      </c>
      <c r="BT74" s="145">
        <v>0</v>
      </c>
      <c r="BU74" s="145">
        <v>0</v>
      </c>
      <c r="BV74" s="145">
        <v>0</v>
      </c>
      <c r="BW74" s="145">
        <v>0</v>
      </c>
      <c r="BX74" s="145">
        <v>0</v>
      </c>
      <c r="BY74" s="145">
        <v>0</v>
      </c>
      <c r="BZ74" s="145">
        <v>0</v>
      </c>
      <c r="CA74" s="145">
        <v>0</v>
      </c>
      <c r="CB74" s="145">
        <v>0</v>
      </c>
      <c r="CC74" s="145">
        <v>0</v>
      </c>
      <c r="CD74" s="145">
        <v>0</v>
      </c>
      <c r="CE74" s="145">
        <v>0</v>
      </c>
      <c r="CF74" s="145">
        <v>0</v>
      </c>
      <c r="CG74" s="145">
        <v>0</v>
      </c>
      <c r="CH74" s="145">
        <v>0</v>
      </c>
      <c r="CI74" s="145">
        <v>0</v>
      </c>
      <c r="CJ74" s="145">
        <v>0</v>
      </c>
      <c r="CK74" s="145">
        <v>0</v>
      </c>
      <c r="CL74" s="145">
        <v>0</v>
      </c>
      <c r="CM74" s="145">
        <v>0</v>
      </c>
      <c r="CN74" s="145">
        <v>0</v>
      </c>
      <c r="CO74" s="145">
        <v>0</v>
      </c>
      <c r="CP74" s="145">
        <v>0</v>
      </c>
      <c r="CQ74" s="145">
        <v>0</v>
      </c>
    </row>
    <row r="75" spans="2:95" x14ac:dyDescent="0.25">
      <c r="B75" s="122"/>
      <c r="C75" s="357"/>
      <c r="D75" s="358"/>
      <c r="E75" s="358"/>
      <c r="F75" s="359"/>
      <c r="G75" s="145">
        <v>0</v>
      </c>
      <c r="H75" s="145">
        <v>0</v>
      </c>
      <c r="I75" s="145">
        <v>0</v>
      </c>
      <c r="J75" s="145">
        <v>0</v>
      </c>
      <c r="K75" s="145">
        <v>0</v>
      </c>
      <c r="L75" s="145">
        <v>0</v>
      </c>
      <c r="M75" s="145">
        <v>0</v>
      </c>
      <c r="N75" s="145">
        <v>0</v>
      </c>
      <c r="O75" s="145">
        <v>0</v>
      </c>
      <c r="P75" s="145">
        <v>0</v>
      </c>
      <c r="Q75" s="145">
        <v>0</v>
      </c>
      <c r="R75" s="145">
        <v>0</v>
      </c>
      <c r="S75" s="145">
        <v>0</v>
      </c>
      <c r="T75" s="145">
        <v>0</v>
      </c>
      <c r="U75" s="145">
        <v>0</v>
      </c>
      <c r="V75" s="145">
        <v>0</v>
      </c>
      <c r="W75" s="145">
        <v>0</v>
      </c>
      <c r="X75" s="145">
        <v>0</v>
      </c>
      <c r="Y75" s="145">
        <v>0</v>
      </c>
      <c r="Z75" s="145">
        <v>0</v>
      </c>
      <c r="AA75" s="145">
        <v>0</v>
      </c>
      <c r="AB75" s="145">
        <v>0</v>
      </c>
      <c r="AC75" s="145">
        <v>0</v>
      </c>
      <c r="AD75" s="145">
        <v>0</v>
      </c>
      <c r="AE75" s="145">
        <v>0</v>
      </c>
      <c r="AF75" s="145">
        <v>0</v>
      </c>
      <c r="AG75" s="145">
        <v>0</v>
      </c>
      <c r="AH75" s="145">
        <v>0</v>
      </c>
      <c r="AI75" s="145">
        <v>0</v>
      </c>
      <c r="AJ75" s="145">
        <v>0</v>
      </c>
      <c r="AK75" s="145">
        <v>0</v>
      </c>
      <c r="AL75" s="145">
        <v>0</v>
      </c>
      <c r="AM75" s="145">
        <v>0</v>
      </c>
      <c r="AN75" s="145">
        <v>0</v>
      </c>
      <c r="AO75" s="145">
        <v>0</v>
      </c>
      <c r="AP75" s="145">
        <v>0</v>
      </c>
      <c r="AQ75" s="145">
        <v>0</v>
      </c>
      <c r="AR75" s="145">
        <v>0</v>
      </c>
      <c r="AS75" s="145">
        <v>0</v>
      </c>
      <c r="AT75" s="145">
        <v>0</v>
      </c>
      <c r="AU75" s="145">
        <v>0</v>
      </c>
      <c r="AV75" s="145">
        <v>0</v>
      </c>
      <c r="AW75" s="145">
        <v>0</v>
      </c>
      <c r="AX75" s="145">
        <v>0</v>
      </c>
      <c r="AY75" s="145">
        <v>0</v>
      </c>
      <c r="AZ75" s="145">
        <v>0</v>
      </c>
      <c r="BA75" s="145">
        <v>0</v>
      </c>
      <c r="BB75" s="145">
        <v>0</v>
      </c>
      <c r="BC75" s="145">
        <v>0</v>
      </c>
      <c r="BD75" s="145">
        <v>0</v>
      </c>
      <c r="BE75" s="145">
        <v>0</v>
      </c>
      <c r="BF75" s="145">
        <v>0</v>
      </c>
      <c r="BG75" s="145">
        <v>0</v>
      </c>
      <c r="BH75" s="145">
        <v>0</v>
      </c>
      <c r="BI75" s="145">
        <v>0</v>
      </c>
      <c r="BJ75" s="145">
        <v>0</v>
      </c>
      <c r="BK75" s="145">
        <v>0</v>
      </c>
      <c r="BL75" s="145">
        <v>0</v>
      </c>
      <c r="BM75" s="145">
        <v>0</v>
      </c>
      <c r="BN75" s="145">
        <v>0</v>
      </c>
      <c r="BO75" s="145">
        <v>0</v>
      </c>
      <c r="BP75" s="145">
        <v>0</v>
      </c>
      <c r="BQ75" s="145">
        <v>0</v>
      </c>
      <c r="BR75" s="145">
        <v>0</v>
      </c>
      <c r="BS75" s="145">
        <v>0</v>
      </c>
      <c r="BT75" s="145">
        <v>0</v>
      </c>
      <c r="BU75" s="145">
        <v>0</v>
      </c>
      <c r="BV75" s="145">
        <v>0</v>
      </c>
      <c r="BW75" s="145">
        <v>0</v>
      </c>
      <c r="BX75" s="145">
        <v>0</v>
      </c>
      <c r="BY75" s="145">
        <v>0</v>
      </c>
      <c r="BZ75" s="145">
        <v>0</v>
      </c>
      <c r="CA75" s="145">
        <v>0</v>
      </c>
      <c r="CB75" s="145">
        <v>0</v>
      </c>
      <c r="CC75" s="145">
        <v>0</v>
      </c>
      <c r="CD75" s="145">
        <v>0</v>
      </c>
      <c r="CE75" s="145">
        <v>0</v>
      </c>
      <c r="CF75" s="145">
        <v>0</v>
      </c>
      <c r="CG75" s="145">
        <v>0</v>
      </c>
      <c r="CH75" s="145">
        <v>0</v>
      </c>
      <c r="CI75" s="145">
        <v>0</v>
      </c>
      <c r="CJ75" s="145">
        <v>0</v>
      </c>
      <c r="CK75" s="145">
        <v>0</v>
      </c>
      <c r="CL75" s="145">
        <v>0</v>
      </c>
      <c r="CM75" s="145">
        <v>0</v>
      </c>
      <c r="CN75" s="145">
        <v>0</v>
      </c>
      <c r="CO75" s="145">
        <v>0</v>
      </c>
      <c r="CP75" s="145">
        <v>0</v>
      </c>
      <c r="CQ75" s="145">
        <v>0</v>
      </c>
    </row>
    <row r="76" spans="2:95" x14ac:dyDescent="0.25">
      <c r="B76" s="122"/>
      <c r="C76" s="357"/>
      <c r="D76" s="358"/>
      <c r="E76" s="358"/>
      <c r="F76" s="359"/>
      <c r="G76" s="145">
        <v>0</v>
      </c>
      <c r="H76" s="145">
        <v>0</v>
      </c>
      <c r="I76" s="145">
        <v>0</v>
      </c>
      <c r="J76" s="145">
        <v>0</v>
      </c>
      <c r="K76" s="145">
        <v>0</v>
      </c>
      <c r="L76" s="145">
        <v>0</v>
      </c>
      <c r="M76" s="145">
        <v>0</v>
      </c>
      <c r="N76" s="145">
        <v>0</v>
      </c>
      <c r="O76" s="145">
        <v>0</v>
      </c>
      <c r="P76" s="145">
        <v>0</v>
      </c>
      <c r="Q76" s="145">
        <v>0</v>
      </c>
      <c r="R76" s="145">
        <v>0</v>
      </c>
      <c r="S76" s="145">
        <v>0</v>
      </c>
      <c r="T76" s="145">
        <v>0</v>
      </c>
      <c r="U76" s="145">
        <v>0</v>
      </c>
      <c r="V76" s="145">
        <v>0</v>
      </c>
      <c r="W76" s="145">
        <v>0</v>
      </c>
      <c r="X76" s="145">
        <v>0</v>
      </c>
      <c r="Y76" s="145">
        <v>0</v>
      </c>
      <c r="Z76" s="145">
        <v>0</v>
      </c>
      <c r="AA76" s="145">
        <v>0</v>
      </c>
      <c r="AB76" s="145">
        <v>0</v>
      </c>
      <c r="AC76" s="145">
        <v>0</v>
      </c>
      <c r="AD76" s="145">
        <v>0</v>
      </c>
      <c r="AE76" s="145">
        <v>0</v>
      </c>
      <c r="AF76" s="145">
        <v>0</v>
      </c>
      <c r="AG76" s="145">
        <v>0</v>
      </c>
      <c r="AH76" s="145">
        <v>0</v>
      </c>
      <c r="AI76" s="145">
        <v>0</v>
      </c>
      <c r="AJ76" s="145">
        <v>0</v>
      </c>
      <c r="AK76" s="145">
        <v>0</v>
      </c>
      <c r="AL76" s="145">
        <v>0</v>
      </c>
      <c r="AM76" s="145">
        <v>0</v>
      </c>
      <c r="AN76" s="145">
        <v>0</v>
      </c>
      <c r="AO76" s="145">
        <v>0</v>
      </c>
      <c r="AP76" s="145">
        <v>0</v>
      </c>
      <c r="AQ76" s="145">
        <v>0</v>
      </c>
      <c r="AR76" s="145">
        <v>0</v>
      </c>
      <c r="AS76" s="145">
        <v>0</v>
      </c>
      <c r="AT76" s="145">
        <v>0</v>
      </c>
      <c r="AU76" s="145">
        <v>0</v>
      </c>
      <c r="AV76" s="145">
        <v>0</v>
      </c>
      <c r="AW76" s="145">
        <v>0</v>
      </c>
      <c r="AX76" s="145">
        <v>0</v>
      </c>
      <c r="AY76" s="145">
        <v>0</v>
      </c>
      <c r="AZ76" s="145">
        <v>0</v>
      </c>
      <c r="BA76" s="145">
        <v>0</v>
      </c>
      <c r="BB76" s="145">
        <v>0</v>
      </c>
      <c r="BC76" s="145">
        <v>0</v>
      </c>
      <c r="BD76" s="145">
        <v>0</v>
      </c>
      <c r="BE76" s="145">
        <v>0</v>
      </c>
      <c r="BF76" s="145">
        <v>0</v>
      </c>
      <c r="BG76" s="145">
        <v>0</v>
      </c>
      <c r="BH76" s="145">
        <v>0</v>
      </c>
      <c r="BI76" s="145">
        <v>0</v>
      </c>
      <c r="BJ76" s="145">
        <v>0</v>
      </c>
      <c r="BK76" s="145">
        <v>0</v>
      </c>
      <c r="BL76" s="145">
        <v>0</v>
      </c>
      <c r="BM76" s="145">
        <v>0</v>
      </c>
      <c r="BN76" s="145">
        <v>0</v>
      </c>
      <c r="BO76" s="145">
        <v>0</v>
      </c>
      <c r="BP76" s="145">
        <v>0</v>
      </c>
      <c r="BQ76" s="145">
        <v>0</v>
      </c>
      <c r="BR76" s="145">
        <v>0</v>
      </c>
      <c r="BS76" s="145">
        <v>0</v>
      </c>
      <c r="BT76" s="145">
        <v>0</v>
      </c>
      <c r="BU76" s="145">
        <v>0</v>
      </c>
      <c r="BV76" s="145">
        <v>0</v>
      </c>
      <c r="BW76" s="145">
        <v>0</v>
      </c>
      <c r="BX76" s="145">
        <v>0</v>
      </c>
      <c r="BY76" s="145">
        <v>0</v>
      </c>
      <c r="BZ76" s="145">
        <v>0</v>
      </c>
      <c r="CA76" s="145">
        <v>0</v>
      </c>
      <c r="CB76" s="145">
        <v>0</v>
      </c>
      <c r="CC76" s="145">
        <v>0</v>
      </c>
      <c r="CD76" s="145">
        <v>0</v>
      </c>
      <c r="CE76" s="145">
        <v>0</v>
      </c>
      <c r="CF76" s="145">
        <v>0</v>
      </c>
      <c r="CG76" s="145">
        <v>0</v>
      </c>
      <c r="CH76" s="145">
        <v>0</v>
      </c>
      <c r="CI76" s="145">
        <v>0</v>
      </c>
      <c r="CJ76" s="145">
        <v>0</v>
      </c>
      <c r="CK76" s="145">
        <v>0</v>
      </c>
      <c r="CL76" s="145">
        <v>0</v>
      </c>
      <c r="CM76" s="145">
        <v>0</v>
      </c>
      <c r="CN76" s="145">
        <v>0</v>
      </c>
      <c r="CO76" s="145">
        <v>0</v>
      </c>
      <c r="CP76" s="145">
        <v>0</v>
      </c>
      <c r="CQ76" s="145">
        <v>0</v>
      </c>
    </row>
    <row r="77" spans="2:95" x14ac:dyDescent="0.25">
      <c r="B77" s="122"/>
      <c r="C77" s="357"/>
      <c r="D77" s="358"/>
      <c r="E77" s="358"/>
      <c r="F77" s="359"/>
      <c r="G77" s="145">
        <v>0</v>
      </c>
      <c r="H77" s="145">
        <v>0</v>
      </c>
      <c r="I77" s="145">
        <v>0</v>
      </c>
      <c r="J77" s="145">
        <v>0</v>
      </c>
      <c r="K77" s="145">
        <v>0</v>
      </c>
      <c r="L77" s="145">
        <v>0</v>
      </c>
      <c r="M77" s="145">
        <v>0</v>
      </c>
      <c r="N77" s="145">
        <v>0</v>
      </c>
      <c r="O77" s="145">
        <v>0</v>
      </c>
      <c r="P77" s="145">
        <v>0</v>
      </c>
      <c r="Q77" s="145">
        <v>0</v>
      </c>
      <c r="R77" s="145">
        <v>0</v>
      </c>
      <c r="S77" s="145">
        <v>0</v>
      </c>
      <c r="T77" s="145">
        <v>0</v>
      </c>
      <c r="U77" s="145">
        <v>0</v>
      </c>
      <c r="V77" s="145">
        <v>0</v>
      </c>
      <c r="W77" s="145">
        <v>0</v>
      </c>
      <c r="X77" s="145">
        <v>0</v>
      </c>
      <c r="Y77" s="145">
        <v>0</v>
      </c>
      <c r="Z77" s="145">
        <v>0</v>
      </c>
      <c r="AA77" s="145">
        <v>0</v>
      </c>
      <c r="AB77" s="145">
        <v>0</v>
      </c>
      <c r="AC77" s="145">
        <v>0</v>
      </c>
      <c r="AD77" s="145">
        <v>0</v>
      </c>
      <c r="AE77" s="145">
        <v>0</v>
      </c>
      <c r="AF77" s="145">
        <v>0</v>
      </c>
      <c r="AG77" s="145">
        <v>0</v>
      </c>
      <c r="AH77" s="145">
        <v>0</v>
      </c>
      <c r="AI77" s="145">
        <v>0</v>
      </c>
      <c r="AJ77" s="145">
        <v>0</v>
      </c>
      <c r="AK77" s="145">
        <v>0</v>
      </c>
      <c r="AL77" s="145">
        <v>0</v>
      </c>
      <c r="AM77" s="145">
        <v>0</v>
      </c>
      <c r="AN77" s="145">
        <v>0</v>
      </c>
      <c r="AO77" s="145">
        <v>0</v>
      </c>
      <c r="AP77" s="145">
        <v>0</v>
      </c>
      <c r="AQ77" s="145">
        <v>0</v>
      </c>
      <c r="AR77" s="145">
        <v>0</v>
      </c>
      <c r="AS77" s="145">
        <v>0</v>
      </c>
      <c r="AT77" s="145">
        <v>0</v>
      </c>
      <c r="AU77" s="145">
        <v>0</v>
      </c>
      <c r="AV77" s="145">
        <v>0</v>
      </c>
      <c r="AW77" s="145">
        <v>0</v>
      </c>
      <c r="AX77" s="145">
        <v>0</v>
      </c>
      <c r="AY77" s="145">
        <v>0</v>
      </c>
      <c r="AZ77" s="145">
        <v>0</v>
      </c>
      <c r="BA77" s="145">
        <v>0</v>
      </c>
      <c r="BB77" s="145">
        <v>0</v>
      </c>
      <c r="BC77" s="145">
        <v>0</v>
      </c>
      <c r="BD77" s="145">
        <v>0</v>
      </c>
      <c r="BE77" s="145">
        <v>0</v>
      </c>
      <c r="BF77" s="145">
        <v>0</v>
      </c>
      <c r="BG77" s="145">
        <v>0</v>
      </c>
      <c r="BH77" s="145">
        <v>0</v>
      </c>
      <c r="BI77" s="145">
        <v>0</v>
      </c>
      <c r="BJ77" s="145">
        <v>0</v>
      </c>
      <c r="BK77" s="145">
        <v>0</v>
      </c>
      <c r="BL77" s="145">
        <v>0</v>
      </c>
      <c r="BM77" s="145">
        <v>0</v>
      </c>
      <c r="BN77" s="145">
        <v>0</v>
      </c>
      <c r="BO77" s="145">
        <v>0</v>
      </c>
      <c r="BP77" s="145">
        <v>0</v>
      </c>
      <c r="BQ77" s="145">
        <v>0</v>
      </c>
      <c r="BR77" s="145">
        <v>0</v>
      </c>
      <c r="BS77" s="145">
        <v>0</v>
      </c>
      <c r="BT77" s="145">
        <v>0</v>
      </c>
      <c r="BU77" s="145">
        <v>0</v>
      </c>
      <c r="BV77" s="145">
        <v>0</v>
      </c>
      <c r="BW77" s="145">
        <v>0</v>
      </c>
      <c r="BX77" s="145">
        <v>0</v>
      </c>
      <c r="BY77" s="145">
        <v>0</v>
      </c>
      <c r="BZ77" s="145">
        <v>0</v>
      </c>
      <c r="CA77" s="145">
        <v>0</v>
      </c>
      <c r="CB77" s="145">
        <v>0</v>
      </c>
      <c r="CC77" s="145">
        <v>0</v>
      </c>
      <c r="CD77" s="145">
        <v>0</v>
      </c>
      <c r="CE77" s="145">
        <v>0</v>
      </c>
      <c r="CF77" s="145">
        <v>0</v>
      </c>
      <c r="CG77" s="145">
        <v>0</v>
      </c>
      <c r="CH77" s="145">
        <v>0</v>
      </c>
      <c r="CI77" s="145">
        <v>0</v>
      </c>
      <c r="CJ77" s="145">
        <v>0</v>
      </c>
      <c r="CK77" s="145">
        <v>0</v>
      </c>
      <c r="CL77" s="145">
        <v>0</v>
      </c>
      <c r="CM77" s="145">
        <v>0</v>
      </c>
      <c r="CN77" s="145">
        <v>0</v>
      </c>
      <c r="CO77" s="145">
        <v>0</v>
      </c>
      <c r="CP77" s="145">
        <v>0</v>
      </c>
      <c r="CQ77" s="145">
        <v>0</v>
      </c>
    </row>
  </sheetData>
  <phoneticPr fontId="2"/>
  <conditionalFormatting sqref="A1:XFD1048576">
    <cfRule type="expression" dxfId="1"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03"/>
  <sheetViews>
    <sheetView topLeftCell="A188" zoomScale="145" zoomScaleNormal="145" workbookViewId="0">
      <selection activeCell="I209" sqref="I209"/>
    </sheetView>
  </sheetViews>
  <sheetFormatPr defaultColWidth="8" defaultRowHeight="15.75" x14ac:dyDescent="0.25"/>
  <cols>
    <col min="1" max="1" width="9.109375" style="66" bestFit="1" customWidth="1"/>
    <col min="2" max="2" width="8.6640625" style="66" bestFit="1" customWidth="1"/>
    <col min="3" max="3" width="8.21875" style="66" customWidth="1"/>
    <col min="4" max="4" width="8.21875" style="66" hidden="1" customWidth="1"/>
    <col min="5" max="5" width="8.21875" style="66" customWidth="1"/>
    <col min="6" max="6" width="8.21875" style="66" hidden="1" customWidth="1"/>
    <col min="7" max="7" width="8.21875" style="66" customWidth="1"/>
    <col min="8" max="8" width="8.21875" style="66" hidden="1" customWidth="1"/>
    <col min="9" max="9" width="8.21875" style="66" customWidth="1"/>
    <col min="10" max="10" width="8.21875" style="66" hidden="1" customWidth="1"/>
    <col min="11" max="11" width="8.21875" style="66" customWidth="1"/>
    <col min="12" max="12" width="8.21875" style="66" hidden="1" customWidth="1"/>
    <col min="13" max="13" width="8.21875" style="66" customWidth="1"/>
    <col min="14" max="14" width="8.21875" style="66" hidden="1" customWidth="1"/>
    <col min="15" max="15" width="8.21875" style="66" customWidth="1"/>
    <col min="16" max="16" width="8.21875" style="66" hidden="1" customWidth="1"/>
    <col min="17" max="17" width="8" style="66"/>
    <col min="18" max="18" width="0" style="66" hidden="1" customWidth="1"/>
    <col min="19" max="19" width="8" style="66"/>
    <col min="20" max="20" width="11.5546875" style="66" bestFit="1" customWidth="1"/>
    <col min="21" max="16384" width="8" style="66"/>
  </cols>
  <sheetData>
    <row r="1" spans="1:20" ht="16.5" thickBot="1" x14ac:dyDescent="0.3">
      <c r="A1" s="153"/>
      <c r="B1" s="154" t="s">
        <v>165</v>
      </c>
      <c r="C1" s="155" t="s">
        <v>166</v>
      </c>
      <c r="D1" s="155"/>
      <c r="E1" s="155" t="s">
        <v>167</v>
      </c>
      <c r="F1" s="155"/>
      <c r="G1" s="155" t="s">
        <v>44</v>
      </c>
      <c r="H1" s="155"/>
      <c r="I1" s="155" t="s">
        <v>168</v>
      </c>
      <c r="J1" s="155"/>
      <c r="K1" s="155" t="s">
        <v>58</v>
      </c>
      <c r="L1" s="156"/>
      <c r="M1" s="157" t="s">
        <v>65</v>
      </c>
      <c r="N1" s="158"/>
    </row>
    <row r="2" spans="1:20" ht="16.5" thickBot="1" x14ac:dyDescent="0.3">
      <c r="A2" s="159" t="s">
        <v>169</v>
      </c>
      <c r="B2" s="160" t="s">
        <v>170</v>
      </c>
      <c r="C2" s="34"/>
      <c r="D2" s="34"/>
      <c r="E2" s="34"/>
      <c r="F2" s="34"/>
      <c r="G2" s="34"/>
      <c r="H2" s="34"/>
      <c r="I2" s="34"/>
      <c r="J2" s="34"/>
      <c r="K2" s="34"/>
      <c r="L2" s="34"/>
      <c r="M2" s="34"/>
      <c r="N2" s="152"/>
    </row>
    <row r="3" spans="1:20" x14ac:dyDescent="0.25">
      <c r="A3" s="161" t="s">
        <v>171</v>
      </c>
      <c r="B3" s="162"/>
      <c r="C3" s="36" t="s">
        <v>172</v>
      </c>
      <c r="D3" s="36"/>
      <c r="E3" s="36" t="s">
        <v>173</v>
      </c>
      <c r="F3" s="36"/>
      <c r="G3" s="36"/>
      <c r="H3" s="36"/>
      <c r="I3" s="36"/>
      <c r="J3" s="36"/>
      <c r="K3" s="36"/>
      <c r="L3" s="36"/>
      <c r="M3" s="36"/>
      <c r="N3" s="152"/>
      <c r="S3" s="66" t="s">
        <v>174</v>
      </c>
      <c r="T3" s="163" t="s">
        <v>175</v>
      </c>
    </row>
    <row r="4" spans="1:20" ht="16.5" thickBot="1" x14ac:dyDescent="0.3">
      <c r="A4" s="164" t="s">
        <v>176</v>
      </c>
      <c r="B4" s="165"/>
      <c r="C4" s="37"/>
      <c r="D4" s="37"/>
      <c r="E4" s="37"/>
      <c r="F4" s="37"/>
      <c r="G4" s="37" t="s">
        <v>177</v>
      </c>
      <c r="H4" s="37"/>
      <c r="I4" s="37" t="s">
        <v>178</v>
      </c>
      <c r="J4" s="37"/>
      <c r="K4" s="37" t="s">
        <v>179</v>
      </c>
      <c r="L4" s="37"/>
      <c r="M4" s="37" t="s">
        <v>180</v>
      </c>
      <c r="N4" s="152"/>
      <c r="S4" s="66" t="s">
        <v>181</v>
      </c>
      <c r="T4" s="166">
        <v>42795</v>
      </c>
    </row>
    <row r="5" spans="1:20" x14ac:dyDescent="0.25">
      <c r="A5" s="167" t="s">
        <v>182</v>
      </c>
      <c r="B5" s="152"/>
      <c r="C5" s="152"/>
      <c r="D5" s="152"/>
      <c r="E5" s="152"/>
      <c r="F5" s="152"/>
      <c r="G5" s="152"/>
      <c r="H5" s="152"/>
      <c r="I5" s="152"/>
      <c r="J5" s="152"/>
      <c r="K5" s="152"/>
      <c r="L5" s="152"/>
      <c r="M5" s="152"/>
      <c r="N5" s="152"/>
      <c r="T5" s="168"/>
    </row>
    <row r="6" spans="1:20" ht="16.5" thickBot="1" x14ac:dyDescent="0.3"/>
    <row r="7" spans="1:20" ht="16.5" thickBot="1" x14ac:dyDescent="0.3">
      <c r="A7" s="153"/>
      <c r="B7" s="154" t="s">
        <v>165</v>
      </c>
      <c r="C7" s="155" t="s">
        <v>166</v>
      </c>
      <c r="D7" s="155"/>
      <c r="E7" s="155" t="s">
        <v>167</v>
      </c>
      <c r="F7" s="155"/>
      <c r="G7" s="155" t="s">
        <v>44</v>
      </c>
      <c r="H7" s="155"/>
      <c r="I7" s="155" t="s">
        <v>168</v>
      </c>
      <c r="J7" s="155"/>
      <c r="K7" s="155" t="s">
        <v>58</v>
      </c>
      <c r="L7" s="156"/>
      <c r="M7" s="157" t="s">
        <v>183</v>
      </c>
      <c r="N7" s="158"/>
    </row>
    <row r="8" spans="1:20" ht="16.5" thickBot="1" x14ac:dyDescent="0.3">
      <c r="A8" s="159" t="s">
        <v>169</v>
      </c>
      <c r="B8" s="160" t="s">
        <v>170</v>
      </c>
      <c r="C8" s="34"/>
      <c r="D8" s="34"/>
      <c r="E8" s="34"/>
      <c r="F8" s="34"/>
      <c r="G8" s="34"/>
      <c r="H8" s="34"/>
      <c r="I8" s="34"/>
      <c r="J8" s="34"/>
      <c r="K8" s="34"/>
      <c r="L8" s="34"/>
      <c r="M8" s="34"/>
      <c r="N8" s="152"/>
    </row>
    <row r="9" spans="1:20" x14ac:dyDescent="0.25">
      <c r="A9" s="161" t="s">
        <v>171</v>
      </c>
      <c r="B9" s="162"/>
      <c r="C9" s="36" t="s">
        <v>172</v>
      </c>
      <c r="D9" s="36"/>
      <c r="E9" s="36" t="s">
        <v>173</v>
      </c>
      <c r="F9" s="36"/>
      <c r="G9" s="36"/>
      <c r="H9" s="36"/>
      <c r="I9" s="36"/>
      <c r="J9" s="36"/>
      <c r="K9" s="36"/>
      <c r="L9" s="36"/>
      <c r="M9" s="36"/>
      <c r="N9" s="152"/>
      <c r="S9" s="66" t="s">
        <v>174</v>
      </c>
      <c r="T9" s="163" t="s">
        <v>175</v>
      </c>
    </row>
    <row r="10" spans="1:20" ht="16.5" thickBot="1" x14ac:dyDescent="0.3">
      <c r="A10" s="164" t="s">
        <v>176</v>
      </c>
      <c r="B10" s="165"/>
      <c r="C10" s="37"/>
      <c r="D10" s="37"/>
      <c r="E10" s="37"/>
      <c r="F10" s="37"/>
      <c r="G10" s="37" t="s">
        <v>177</v>
      </c>
      <c r="H10" s="37"/>
      <c r="I10" s="169" t="s">
        <v>184</v>
      </c>
      <c r="J10" s="169"/>
      <c r="K10" s="169" t="s">
        <v>185</v>
      </c>
      <c r="L10" s="169"/>
      <c r="M10" s="37" t="s">
        <v>180</v>
      </c>
      <c r="N10" s="152"/>
      <c r="S10" s="66" t="s">
        <v>181</v>
      </c>
      <c r="T10" s="166">
        <v>42796</v>
      </c>
    </row>
    <row r="11" spans="1:20" x14ac:dyDescent="0.25">
      <c r="A11" s="167" t="s">
        <v>186</v>
      </c>
      <c r="B11" s="66" t="s">
        <v>187</v>
      </c>
    </row>
    <row r="12" spans="1:20" ht="16.5" thickBot="1" x14ac:dyDescent="0.3"/>
    <row r="13" spans="1:20" ht="16.5" thickBot="1" x14ac:dyDescent="0.3">
      <c r="A13" s="153"/>
      <c r="B13" s="154" t="s">
        <v>165</v>
      </c>
      <c r="C13" s="155" t="s">
        <v>188</v>
      </c>
      <c r="D13" s="155"/>
      <c r="E13" s="155" t="s">
        <v>167</v>
      </c>
      <c r="F13" s="155"/>
      <c r="G13" s="155" t="s">
        <v>189</v>
      </c>
      <c r="H13" s="155"/>
      <c r="I13" s="155" t="s">
        <v>190</v>
      </c>
      <c r="J13" s="155"/>
      <c r="K13" s="155" t="s">
        <v>58</v>
      </c>
      <c r="L13" s="156"/>
      <c r="M13" s="157" t="s">
        <v>183</v>
      </c>
      <c r="N13" s="158"/>
    </row>
    <row r="14" spans="1:20" ht="16.5" thickBot="1" x14ac:dyDescent="0.3">
      <c r="A14" s="159" t="s">
        <v>169</v>
      </c>
      <c r="B14" s="160" t="s">
        <v>170</v>
      </c>
      <c r="C14" s="34"/>
      <c r="D14" s="34"/>
      <c r="E14" s="34"/>
      <c r="F14" s="34"/>
      <c r="G14" s="34"/>
      <c r="H14" s="34"/>
      <c r="I14" s="34"/>
      <c r="J14" s="34"/>
      <c r="K14" s="34"/>
      <c r="L14" s="34"/>
      <c r="M14" s="34"/>
      <c r="N14" s="152"/>
    </row>
    <row r="15" spans="1:20" x14ac:dyDescent="0.25">
      <c r="A15" s="161" t="s">
        <v>171</v>
      </c>
      <c r="B15" s="162"/>
      <c r="C15" s="36" t="s">
        <v>172</v>
      </c>
      <c r="D15" s="36"/>
      <c r="E15" s="36" t="s">
        <v>173</v>
      </c>
      <c r="F15" s="36"/>
      <c r="G15" s="36"/>
      <c r="H15" s="36"/>
      <c r="I15" s="36"/>
      <c r="J15" s="36"/>
      <c r="K15" s="36"/>
      <c r="L15" s="36"/>
      <c r="M15" s="36"/>
      <c r="N15" s="152"/>
      <c r="S15" s="66" t="s">
        <v>174</v>
      </c>
      <c r="T15" s="163" t="s">
        <v>175</v>
      </c>
    </row>
    <row r="16" spans="1:20" ht="16.5" thickBot="1" x14ac:dyDescent="0.3">
      <c r="A16" s="164" t="s">
        <v>176</v>
      </c>
      <c r="B16" s="165"/>
      <c r="C16" s="37"/>
      <c r="D16" s="37"/>
      <c r="E16" s="37"/>
      <c r="F16" s="37"/>
      <c r="G16" s="169" t="s">
        <v>178</v>
      </c>
      <c r="H16" s="169"/>
      <c r="I16" s="169" t="s">
        <v>178</v>
      </c>
      <c r="J16" s="169"/>
      <c r="K16" s="37" t="s">
        <v>185</v>
      </c>
      <c r="L16" s="37"/>
      <c r="M16" s="37" t="s">
        <v>180</v>
      </c>
      <c r="N16" s="152"/>
      <c r="S16" s="66" t="s">
        <v>181</v>
      </c>
      <c r="T16" s="166">
        <v>42801</v>
      </c>
    </row>
    <row r="17" spans="1:20" x14ac:dyDescent="0.25">
      <c r="A17" s="167" t="s">
        <v>186</v>
      </c>
      <c r="B17" s="66" t="s">
        <v>191</v>
      </c>
    </row>
    <row r="18" spans="1:20" ht="16.5" thickBot="1" x14ac:dyDescent="0.3"/>
    <row r="19" spans="1:20" ht="16.5" thickBot="1" x14ac:dyDescent="0.3">
      <c r="A19" s="153"/>
      <c r="B19" s="154" t="s">
        <v>165</v>
      </c>
      <c r="C19" s="155" t="s">
        <v>188</v>
      </c>
      <c r="D19" s="155"/>
      <c r="E19" s="155" t="s">
        <v>167</v>
      </c>
      <c r="F19" s="155"/>
      <c r="G19" s="155" t="s">
        <v>189</v>
      </c>
      <c r="H19" s="155"/>
      <c r="I19" s="155" t="s">
        <v>190</v>
      </c>
      <c r="J19" s="155"/>
      <c r="K19" s="155" t="s">
        <v>58</v>
      </c>
      <c r="L19" s="156"/>
      <c r="M19" s="157" t="s">
        <v>183</v>
      </c>
      <c r="N19" s="158"/>
    </row>
    <row r="20" spans="1:20" ht="16.5" thickBot="1" x14ac:dyDescent="0.3">
      <c r="A20" s="159" t="s">
        <v>169</v>
      </c>
      <c r="B20" s="160" t="s">
        <v>170</v>
      </c>
      <c r="C20" s="34"/>
      <c r="D20" s="34"/>
      <c r="E20" s="34"/>
      <c r="F20" s="34"/>
      <c r="G20" s="34"/>
      <c r="H20" s="34"/>
      <c r="I20" s="34"/>
      <c r="J20" s="34"/>
      <c r="K20" s="34"/>
      <c r="L20" s="34"/>
      <c r="M20" s="34"/>
      <c r="N20" s="152"/>
    </row>
    <row r="21" spans="1:20" x14ac:dyDescent="0.25">
      <c r="A21" s="161" t="s">
        <v>171</v>
      </c>
      <c r="B21" s="162"/>
      <c r="C21" s="36" t="s">
        <v>172</v>
      </c>
      <c r="D21" s="36"/>
      <c r="E21" s="36" t="s">
        <v>173</v>
      </c>
      <c r="F21" s="36"/>
      <c r="G21" s="36"/>
      <c r="H21" s="36"/>
      <c r="I21" s="36"/>
      <c r="J21" s="36"/>
      <c r="K21" s="36"/>
      <c r="L21" s="36"/>
      <c r="M21" s="36"/>
      <c r="N21" s="152"/>
      <c r="S21" s="66" t="s">
        <v>174</v>
      </c>
      <c r="T21" s="163" t="s">
        <v>175</v>
      </c>
    </row>
    <row r="22" spans="1:20" ht="16.5" thickBot="1" x14ac:dyDescent="0.3">
      <c r="A22" s="164" t="s">
        <v>176</v>
      </c>
      <c r="B22" s="165"/>
      <c r="C22" s="37"/>
      <c r="D22" s="37"/>
      <c r="E22" s="37"/>
      <c r="F22" s="37"/>
      <c r="G22" s="169" t="s">
        <v>184</v>
      </c>
      <c r="H22" s="169"/>
      <c r="I22" s="169" t="s">
        <v>177</v>
      </c>
      <c r="J22" s="169"/>
      <c r="K22" s="37" t="s">
        <v>185</v>
      </c>
      <c r="L22" s="37"/>
      <c r="M22" s="37" t="s">
        <v>180</v>
      </c>
      <c r="N22" s="152"/>
      <c r="S22" s="66" t="s">
        <v>181</v>
      </c>
      <c r="T22" s="166">
        <v>42802</v>
      </c>
    </row>
    <row r="23" spans="1:20" x14ac:dyDescent="0.25">
      <c r="A23" s="167" t="s">
        <v>186</v>
      </c>
      <c r="B23" s="66" t="s">
        <v>192</v>
      </c>
    </row>
    <row r="24" spans="1:20" ht="16.5" thickBot="1" x14ac:dyDescent="0.3"/>
    <row r="25" spans="1:20" ht="16.5" thickBot="1" x14ac:dyDescent="0.3">
      <c r="A25" s="153"/>
      <c r="B25" s="154" t="s">
        <v>165</v>
      </c>
      <c r="C25" s="155" t="s">
        <v>188</v>
      </c>
      <c r="D25" s="155"/>
      <c r="E25" s="155" t="s">
        <v>167</v>
      </c>
      <c r="F25" s="155"/>
      <c r="G25" s="155" t="s">
        <v>189</v>
      </c>
      <c r="H25" s="155"/>
      <c r="I25" s="155" t="s">
        <v>190</v>
      </c>
      <c r="J25" s="155"/>
      <c r="K25" s="155" t="s">
        <v>58</v>
      </c>
      <c r="L25" s="156"/>
      <c r="M25" s="157" t="s">
        <v>183</v>
      </c>
      <c r="N25" s="158"/>
    </row>
    <row r="26" spans="1:20" ht="16.5" thickBot="1" x14ac:dyDescent="0.3">
      <c r="A26" s="159" t="s">
        <v>169</v>
      </c>
      <c r="B26" s="170" t="s">
        <v>193</v>
      </c>
      <c r="C26" s="34"/>
      <c r="D26" s="34"/>
      <c r="E26" s="34"/>
      <c r="F26" s="34"/>
      <c r="G26" s="34"/>
      <c r="H26" s="34"/>
      <c r="I26" s="34"/>
      <c r="J26" s="34"/>
      <c r="K26" s="34"/>
      <c r="L26" s="34"/>
      <c r="M26" s="34"/>
      <c r="N26" s="152"/>
    </row>
    <row r="27" spans="1:20" x14ac:dyDescent="0.25">
      <c r="A27" s="161" t="s">
        <v>171</v>
      </c>
      <c r="B27" s="162"/>
      <c r="C27" s="36" t="s">
        <v>172</v>
      </c>
      <c r="D27" s="36"/>
      <c r="E27" s="36" t="s">
        <v>173</v>
      </c>
      <c r="F27" s="36"/>
      <c r="G27" s="36"/>
      <c r="H27" s="36"/>
      <c r="I27" s="36"/>
      <c r="J27" s="36"/>
      <c r="K27" s="36"/>
      <c r="L27" s="36"/>
      <c r="M27" s="36"/>
      <c r="N27" s="152"/>
      <c r="S27" s="66" t="s">
        <v>174</v>
      </c>
      <c r="T27" s="163" t="s">
        <v>175</v>
      </c>
    </row>
    <row r="28" spans="1:20" ht="16.5" thickBot="1" x14ac:dyDescent="0.3">
      <c r="A28" s="164" t="s">
        <v>176</v>
      </c>
      <c r="B28" s="165"/>
      <c r="C28" s="37"/>
      <c r="D28" s="37"/>
      <c r="E28" s="37"/>
      <c r="F28" s="37"/>
      <c r="G28" s="171" t="s">
        <v>184</v>
      </c>
      <c r="H28" s="171"/>
      <c r="I28" s="171" t="s">
        <v>177</v>
      </c>
      <c r="J28" s="171"/>
      <c r="K28" s="37" t="s">
        <v>185</v>
      </c>
      <c r="L28" s="37"/>
      <c r="M28" s="169" t="s">
        <v>194</v>
      </c>
      <c r="N28" s="172"/>
      <c r="S28" s="66" t="s">
        <v>195</v>
      </c>
      <c r="T28" s="166">
        <v>42803</v>
      </c>
    </row>
    <row r="29" spans="1:20" x14ac:dyDescent="0.25">
      <c r="A29" s="167" t="s">
        <v>186</v>
      </c>
      <c r="B29" s="66" t="s">
        <v>196</v>
      </c>
    </row>
    <row r="30" spans="1:20" ht="16.5" thickBot="1" x14ac:dyDescent="0.3"/>
    <row r="31" spans="1:20" ht="16.5" thickBot="1" x14ac:dyDescent="0.3">
      <c r="A31" s="153"/>
      <c r="B31" s="154" t="s">
        <v>165</v>
      </c>
      <c r="C31" s="155" t="s">
        <v>188</v>
      </c>
      <c r="D31" s="155"/>
      <c r="E31" s="155" t="s">
        <v>167</v>
      </c>
      <c r="F31" s="155"/>
      <c r="G31" s="155" t="s">
        <v>189</v>
      </c>
      <c r="H31" s="155"/>
      <c r="I31" s="155" t="s">
        <v>190</v>
      </c>
      <c r="J31" s="155"/>
      <c r="K31" s="155" t="s">
        <v>58</v>
      </c>
      <c r="L31" s="156"/>
      <c r="M31" s="157" t="s">
        <v>183</v>
      </c>
      <c r="N31" s="158"/>
    </row>
    <row r="32" spans="1:20" ht="16.5" thickBot="1" x14ac:dyDescent="0.3">
      <c r="A32" s="159" t="s">
        <v>169</v>
      </c>
      <c r="B32" s="160" t="s">
        <v>193</v>
      </c>
      <c r="C32" s="34"/>
      <c r="D32" s="34"/>
      <c r="E32" s="34"/>
      <c r="F32" s="34"/>
      <c r="G32" s="34"/>
      <c r="H32" s="34"/>
      <c r="I32" s="34"/>
      <c r="J32" s="34"/>
      <c r="K32" s="34"/>
      <c r="L32" s="34"/>
      <c r="M32" s="34"/>
      <c r="N32" s="152"/>
    </row>
    <row r="33" spans="1:20" x14ac:dyDescent="0.25">
      <c r="A33" s="161" t="s">
        <v>171</v>
      </c>
      <c r="B33" s="162"/>
      <c r="C33" s="36" t="s">
        <v>172</v>
      </c>
      <c r="D33" s="36"/>
      <c r="E33" s="36" t="s">
        <v>173</v>
      </c>
      <c r="F33" s="36"/>
      <c r="G33" s="36"/>
      <c r="H33" s="36"/>
      <c r="I33" s="36"/>
      <c r="J33" s="36"/>
      <c r="K33" s="36"/>
      <c r="L33" s="36"/>
      <c r="M33" s="36"/>
      <c r="N33" s="152"/>
      <c r="S33" s="66" t="s">
        <v>174</v>
      </c>
      <c r="T33" s="163" t="s">
        <v>175</v>
      </c>
    </row>
    <row r="34" spans="1:20" ht="16.5" thickBot="1" x14ac:dyDescent="0.3">
      <c r="A34" s="164" t="s">
        <v>176</v>
      </c>
      <c r="B34" s="165"/>
      <c r="C34" s="37"/>
      <c r="D34" s="37"/>
      <c r="E34" s="37"/>
      <c r="F34" s="37"/>
      <c r="G34" s="169" t="s">
        <v>197</v>
      </c>
      <c r="H34" s="169"/>
      <c r="I34" s="171" t="s">
        <v>177</v>
      </c>
      <c r="J34" s="171"/>
      <c r="K34" s="173" t="s">
        <v>185</v>
      </c>
      <c r="L34" s="173"/>
      <c r="M34" s="37" t="s">
        <v>194</v>
      </c>
      <c r="N34" s="152"/>
      <c r="S34" s="66" t="s">
        <v>195</v>
      </c>
      <c r="T34" s="166">
        <v>42805</v>
      </c>
    </row>
    <row r="35" spans="1:20" x14ac:dyDescent="0.25">
      <c r="A35" s="167" t="s">
        <v>186</v>
      </c>
      <c r="B35" s="66" t="s">
        <v>198</v>
      </c>
      <c r="K35" s="66" t="s">
        <v>199</v>
      </c>
    </row>
    <row r="36" spans="1:20" ht="16.5" thickBot="1" x14ac:dyDescent="0.3"/>
    <row r="37" spans="1:20" ht="16.5" thickBot="1" x14ac:dyDescent="0.3">
      <c r="A37" s="153"/>
      <c r="B37" s="154" t="s">
        <v>165</v>
      </c>
      <c r="C37" s="155" t="s">
        <v>188</v>
      </c>
      <c r="D37" s="155"/>
      <c r="E37" s="155" t="s">
        <v>167</v>
      </c>
      <c r="F37" s="155"/>
      <c r="G37" s="155" t="s">
        <v>189</v>
      </c>
      <c r="H37" s="155"/>
      <c r="I37" s="155" t="s">
        <v>190</v>
      </c>
      <c r="J37" s="155"/>
      <c r="K37" s="155" t="s">
        <v>58</v>
      </c>
      <c r="L37" s="156"/>
      <c r="M37" s="157" t="s">
        <v>183</v>
      </c>
      <c r="N37" s="158"/>
    </row>
    <row r="38" spans="1:20" ht="16.5" thickBot="1" x14ac:dyDescent="0.3">
      <c r="A38" s="159" t="s">
        <v>169</v>
      </c>
      <c r="B38" s="160" t="s">
        <v>193</v>
      </c>
      <c r="C38" s="34"/>
      <c r="D38" s="34"/>
      <c r="E38" s="34"/>
      <c r="F38" s="34"/>
      <c r="G38" s="34"/>
      <c r="H38" s="34"/>
      <c r="I38" s="34"/>
      <c r="J38" s="34"/>
      <c r="K38" s="34"/>
      <c r="L38" s="34"/>
      <c r="M38" s="34"/>
      <c r="N38" s="152"/>
    </row>
    <row r="39" spans="1:20" x14ac:dyDescent="0.25">
      <c r="A39" s="161" t="s">
        <v>171</v>
      </c>
      <c r="B39" s="162"/>
      <c r="C39" s="174" t="s">
        <v>200</v>
      </c>
      <c r="D39" s="174"/>
      <c r="E39" s="36" t="s">
        <v>173</v>
      </c>
      <c r="F39" s="36"/>
      <c r="G39" s="36"/>
      <c r="H39" s="36"/>
      <c r="I39" s="36"/>
      <c r="J39" s="36"/>
      <c r="K39" s="36"/>
      <c r="L39" s="36"/>
      <c r="M39" s="36"/>
      <c r="N39" s="152"/>
      <c r="S39" s="66" t="s">
        <v>201</v>
      </c>
      <c r="T39" s="163" t="s">
        <v>175</v>
      </c>
    </row>
    <row r="40" spans="1:20" ht="16.5" thickBot="1" x14ac:dyDescent="0.3">
      <c r="A40" s="164" t="s">
        <v>176</v>
      </c>
      <c r="B40" s="165"/>
      <c r="C40" s="37"/>
      <c r="D40" s="37"/>
      <c r="E40" s="37"/>
      <c r="F40" s="37"/>
      <c r="G40" s="169" t="s">
        <v>202</v>
      </c>
      <c r="H40" s="169"/>
      <c r="I40" s="169" t="s">
        <v>203</v>
      </c>
      <c r="J40" s="169"/>
      <c r="K40" s="173" t="s">
        <v>185</v>
      </c>
      <c r="L40" s="173"/>
      <c r="M40" s="169" t="s">
        <v>204</v>
      </c>
      <c r="N40" s="172"/>
      <c r="S40" s="66" t="s">
        <v>205</v>
      </c>
      <c r="T40" s="166">
        <v>42807</v>
      </c>
    </row>
    <row r="41" spans="1:20" x14ac:dyDescent="0.25">
      <c r="A41" s="167" t="s">
        <v>186</v>
      </c>
      <c r="B41" s="66" t="s">
        <v>206</v>
      </c>
      <c r="I41" s="66" t="s">
        <v>207</v>
      </c>
    </row>
    <row r="42" spans="1:20" ht="16.5" thickBot="1" x14ac:dyDescent="0.3"/>
    <row r="43" spans="1:20" ht="16.5" thickBot="1" x14ac:dyDescent="0.3">
      <c r="A43" s="153"/>
      <c r="B43" s="154" t="s">
        <v>165</v>
      </c>
      <c r="C43" s="155" t="s">
        <v>188</v>
      </c>
      <c r="D43" s="155"/>
      <c r="E43" s="155" t="s">
        <v>167</v>
      </c>
      <c r="F43" s="155"/>
      <c r="G43" s="155" t="s">
        <v>189</v>
      </c>
      <c r="H43" s="155"/>
      <c r="I43" s="155" t="s">
        <v>190</v>
      </c>
      <c r="J43" s="155"/>
      <c r="K43" s="155" t="s">
        <v>58</v>
      </c>
      <c r="L43" s="156"/>
      <c r="M43" s="157" t="s">
        <v>183</v>
      </c>
      <c r="N43" s="158"/>
    </row>
    <row r="44" spans="1:20" ht="16.5" thickBot="1" x14ac:dyDescent="0.3">
      <c r="A44" s="159" t="s">
        <v>169</v>
      </c>
      <c r="B44" s="160" t="s">
        <v>193</v>
      </c>
      <c r="C44" s="34"/>
      <c r="D44" s="34"/>
      <c r="E44" s="34"/>
      <c r="F44" s="34"/>
      <c r="G44" s="34"/>
      <c r="H44" s="34"/>
      <c r="I44" s="34"/>
      <c r="J44" s="34"/>
      <c r="K44" s="34"/>
      <c r="L44" s="34"/>
      <c r="M44" s="34"/>
      <c r="N44" s="152"/>
    </row>
    <row r="45" spans="1:20" x14ac:dyDescent="0.25">
      <c r="A45" s="161" t="s">
        <v>171</v>
      </c>
      <c r="B45" s="162"/>
      <c r="C45" s="174" t="s">
        <v>200</v>
      </c>
      <c r="D45" s="174"/>
      <c r="E45" s="36" t="s">
        <v>173</v>
      </c>
      <c r="F45" s="36"/>
      <c r="G45" s="36"/>
      <c r="H45" s="36"/>
      <c r="I45" s="36"/>
      <c r="J45" s="36"/>
      <c r="K45" s="36"/>
      <c r="L45" s="36"/>
      <c r="M45" s="36"/>
      <c r="N45" s="152"/>
      <c r="S45" s="66" t="s">
        <v>201</v>
      </c>
      <c r="T45" s="163" t="s">
        <v>175</v>
      </c>
    </row>
    <row r="46" spans="1:20" ht="16.5" thickBot="1" x14ac:dyDescent="0.3">
      <c r="A46" s="164" t="s">
        <v>176</v>
      </c>
      <c r="B46" s="165"/>
      <c r="C46" s="37"/>
      <c r="D46" s="37"/>
      <c r="E46" s="37"/>
      <c r="F46" s="37"/>
      <c r="G46" s="169" t="s">
        <v>202</v>
      </c>
      <c r="H46" s="169"/>
      <c r="I46" s="169" t="s">
        <v>194</v>
      </c>
      <c r="J46" s="169"/>
      <c r="K46" s="169" t="s">
        <v>208</v>
      </c>
      <c r="L46" s="169"/>
      <c r="M46" s="37" t="s">
        <v>204</v>
      </c>
      <c r="N46" s="152"/>
      <c r="S46" s="66" t="s">
        <v>205</v>
      </c>
      <c r="T46" s="166">
        <v>42809</v>
      </c>
    </row>
    <row r="47" spans="1:20" x14ac:dyDescent="0.25">
      <c r="A47" s="167" t="s">
        <v>186</v>
      </c>
    </row>
    <row r="48" spans="1:20" ht="16.5" thickBot="1" x14ac:dyDescent="0.3"/>
    <row r="49" spans="1:20" ht="16.5" thickBot="1" x14ac:dyDescent="0.3">
      <c r="A49" s="153"/>
      <c r="B49" s="154" t="s">
        <v>165</v>
      </c>
      <c r="C49" s="155" t="s">
        <v>188</v>
      </c>
      <c r="D49" s="155"/>
      <c r="E49" s="155" t="s">
        <v>167</v>
      </c>
      <c r="F49" s="155"/>
      <c r="G49" s="155" t="s">
        <v>189</v>
      </c>
      <c r="H49" s="155"/>
      <c r="I49" s="155" t="s">
        <v>190</v>
      </c>
      <c r="J49" s="155"/>
      <c r="K49" s="155" t="s">
        <v>58</v>
      </c>
      <c r="L49" s="156"/>
      <c r="M49" s="157" t="s">
        <v>183</v>
      </c>
      <c r="N49" s="158"/>
    </row>
    <row r="50" spans="1:20" ht="16.5" thickBot="1" x14ac:dyDescent="0.3">
      <c r="A50" s="159" t="s">
        <v>169</v>
      </c>
      <c r="B50" s="170" t="str">
        <f>CONCATENATE((N52+L52+J52+H52+F51+D51),"万")</f>
        <v>301万</v>
      </c>
      <c r="C50" s="34"/>
      <c r="D50" s="34"/>
      <c r="E50" s="34"/>
      <c r="F50" s="34"/>
      <c r="G50" s="34"/>
      <c r="H50" s="34"/>
      <c r="I50" s="34"/>
      <c r="J50" s="34"/>
      <c r="K50" s="34"/>
      <c r="L50" s="34"/>
      <c r="M50" s="34"/>
      <c r="N50" s="152"/>
    </row>
    <row r="51" spans="1:20" x14ac:dyDescent="0.25">
      <c r="A51" s="161" t="s">
        <v>171</v>
      </c>
      <c r="B51" s="162"/>
      <c r="C51" s="174" t="s">
        <v>209</v>
      </c>
      <c r="D51" s="174" t="str">
        <f>LEFT(C51,LEN(C51)-1)</f>
        <v>13</v>
      </c>
      <c r="E51" s="174" t="s">
        <v>210</v>
      </c>
      <c r="F51" s="174" t="str">
        <f>LEFT(E51,LEN(E51)-1)</f>
        <v>4</v>
      </c>
      <c r="G51" s="36"/>
      <c r="H51" s="36"/>
      <c r="I51" s="36"/>
      <c r="J51" s="36"/>
      <c r="K51" s="36"/>
      <c r="L51" s="36"/>
      <c r="M51" s="36"/>
      <c r="N51" s="152"/>
      <c r="S51" s="66" t="str">
        <f>CONCATENATE((D51+F51),"万")</f>
        <v>17万</v>
      </c>
      <c r="T51" s="163" t="s">
        <v>175</v>
      </c>
    </row>
    <row r="52" spans="1:20" ht="16.5" thickBot="1" x14ac:dyDescent="0.3">
      <c r="A52" s="164" t="s">
        <v>176</v>
      </c>
      <c r="B52" s="165"/>
      <c r="C52" s="37"/>
      <c r="D52" s="37"/>
      <c r="E52" s="37"/>
      <c r="F52" s="37"/>
      <c r="G52" s="171" t="s">
        <v>202</v>
      </c>
      <c r="H52" s="171" t="str">
        <f>LEFT(G52,LEN(G52)-1)</f>
        <v>23</v>
      </c>
      <c r="I52" s="171" t="s">
        <v>194</v>
      </c>
      <c r="J52" s="171" t="str">
        <f>LEFT(I52,LEN(I52)-1)</f>
        <v>95</v>
      </c>
      <c r="K52" s="171" t="s">
        <v>208</v>
      </c>
      <c r="L52" s="171" t="str">
        <f>LEFT(K52,LEN(K52)-1)</f>
        <v>65</v>
      </c>
      <c r="M52" s="169" t="s">
        <v>211</v>
      </c>
      <c r="N52" s="172" t="str">
        <f>LEFT(M52,LEN(M52)-1)</f>
        <v>101</v>
      </c>
      <c r="S52" s="66" t="str">
        <f>CONCATENATE((H52+J52+L52+N52),"万")</f>
        <v>284万</v>
      </c>
      <c r="T52" s="166">
        <v>42810</v>
      </c>
    </row>
    <row r="53" spans="1:20" x14ac:dyDescent="0.25">
      <c r="A53" s="167" t="s">
        <v>182</v>
      </c>
      <c r="B53" s="66" t="s">
        <v>212</v>
      </c>
    </row>
    <row r="54" spans="1:20" ht="16.5" thickBot="1" x14ac:dyDescent="0.3"/>
    <row r="55" spans="1:20" ht="16.5" thickBot="1" x14ac:dyDescent="0.3">
      <c r="A55" s="153"/>
      <c r="B55" s="154" t="s">
        <v>165</v>
      </c>
      <c r="C55" s="155" t="s">
        <v>166</v>
      </c>
      <c r="D55" s="155"/>
      <c r="E55" s="155" t="s">
        <v>167</v>
      </c>
      <c r="F55" s="155"/>
      <c r="G55" s="155" t="s">
        <v>44</v>
      </c>
      <c r="H55" s="155"/>
      <c r="I55" s="155" t="s">
        <v>168</v>
      </c>
      <c r="J55" s="155"/>
      <c r="K55" s="155" t="s">
        <v>58</v>
      </c>
      <c r="L55" s="156"/>
      <c r="M55" s="157" t="s">
        <v>183</v>
      </c>
      <c r="N55" s="158"/>
    </row>
    <row r="56" spans="1:20" ht="16.5" thickBot="1" x14ac:dyDescent="0.3">
      <c r="A56" s="159" t="s">
        <v>169</v>
      </c>
      <c r="B56" s="170" t="str">
        <f>CONCATENATE((N58+L58+J58+H58+F57+D57),"万")</f>
        <v>305万</v>
      </c>
      <c r="C56" s="34"/>
      <c r="D56" s="34"/>
      <c r="E56" s="34"/>
      <c r="F56" s="34"/>
      <c r="G56" s="34"/>
      <c r="H56" s="34"/>
      <c r="I56" s="34"/>
      <c r="J56" s="34"/>
      <c r="K56" s="34"/>
      <c r="L56" s="34"/>
      <c r="M56" s="34"/>
      <c r="N56" s="152"/>
    </row>
    <row r="57" spans="1:20" x14ac:dyDescent="0.25">
      <c r="A57" s="161" t="s">
        <v>171</v>
      </c>
      <c r="B57" s="162"/>
      <c r="C57" s="174" t="s">
        <v>213</v>
      </c>
      <c r="D57" s="174" t="str">
        <f>LEFT(C57,LEN(C57)-1)</f>
        <v>18</v>
      </c>
      <c r="E57" s="99" t="s">
        <v>210</v>
      </c>
      <c r="F57" s="174" t="str">
        <f>LEFT(E57,LEN(E57)-1)</f>
        <v>4</v>
      </c>
      <c r="G57" s="36"/>
      <c r="H57" s="36"/>
      <c r="I57" s="36"/>
      <c r="J57" s="36"/>
      <c r="K57" s="36"/>
      <c r="L57" s="36"/>
      <c r="M57" s="36"/>
      <c r="N57" s="152"/>
      <c r="S57" s="66" t="str">
        <f>CONCATENATE((D57+F57),"万")</f>
        <v>22万</v>
      </c>
      <c r="T57" s="163" t="s">
        <v>175</v>
      </c>
    </row>
    <row r="58" spans="1:20" ht="16.5" thickBot="1" x14ac:dyDescent="0.3">
      <c r="A58" s="164" t="s">
        <v>176</v>
      </c>
      <c r="B58" s="165"/>
      <c r="C58" s="37"/>
      <c r="D58" s="37"/>
      <c r="E58" s="37"/>
      <c r="F58" s="37"/>
      <c r="G58" s="171" t="s">
        <v>202</v>
      </c>
      <c r="H58" s="171" t="str">
        <f>LEFT(G58,LEN(G58)-1)</f>
        <v>23</v>
      </c>
      <c r="I58" s="169" t="s">
        <v>184</v>
      </c>
      <c r="J58" s="169" t="str">
        <f>LEFT(I58,LEN(I58)-1)</f>
        <v>80</v>
      </c>
      <c r="K58" s="169" t="s">
        <v>214</v>
      </c>
      <c r="L58" s="171" t="str">
        <f>LEFT(K58,LEN(K58)-1)</f>
        <v>75</v>
      </c>
      <c r="M58" s="169" t="s">
        <v>215</v>
      </c>
      <c r="N58" s="172" t="str">
        <f>LEFT(M58,LEN(M58)-1)</f>
        <v>105</v>
      </c>
      <c r="S58" s="66" t="str">
        <f>CONCATENATE((H58+J58+L58+N58),"万")</f>
        <v>283万</v>
      </c>
      <c r="T58" s="166">
        <v>42812</v>
      </c>
    </row>
    <row r="59" spans="1:20" x14ac:dyDescent="0.25">
      <c r="A59" s="167" t="s">
        <v>182</v>
      </c>
      <c r="B59" s="66" t="s">
        <v>216</v>
      </c>
    </row>
    <row r="60" spans="1:20" ht="16.5" thickBot="1" x14ac:dyDescent="0.3"/>
    <row r="61" spans="1:20" ht="16.5" thickBot="1" x14ac:dyDescent="0.3">
      <c r="A61" s="153"/>
      <c r="B61" s="154" t="s">
        <v>165</v>
      </c>
      <c r="C61" s="155" t="s">
        <v>166</v>
      </c>
      <c r="D61" s="155"/>
      <c r="E61" s="155" t="s">
        <v>167</v>
      </c>
      <c r="F61" s="155"/>
      <c r="G61" s="155" t="s">
        <v>44</v>
      </c>
      <c r="H61" s="155"/>
      <c r="I61" s="155" t="s">
        <v>168</v>
      </c>
      <c r="J61" s="155"/>
      <c r="K61" s="155" t="s">
        <v>58</v>
      </c>
      <c r="L61" s="156"/>
      <c r="M61" s="157" t="s">
        <v>183</v>
      </c>
      <c r="N61" s="158"/>
    </row>
    <row r="62" spans="1:20" ht="16.5" thickBot="1" x14ac:dyDescent="0.3">
      <c r="A62" s="159" t="s">
        <v>169</v>
      </c>
      <c r="B62" s="175" t="str">
        <f>CONCATENATE((N64+L64+J64+H64+F63+D63),"万")</f>
        <v>289万</v>
      </c>
      <c r="C62" s="92"/>
      <c r="D62" s="34"/>
      <c r="E62" s="34"/>
      <c r="F62" s="34"/>
      <c r="G62" s="34"/>
      <c r="H62" s="34"/>
      <c r="I62" s="34"/>
      <c r="J62" s="34"/>
      <c r="K62" s="34"/>
      <c r="L62" s="34"/>
      <c r="M62" s="34"/>
      <c r="N62" s="152"/>
    </row>
    <row r="63" spans="1:20" x14ac:dyDescent="0.25">
      <c r="A63" s="161" t="s">
        <v>171</v>
      </c>
      <c r="B63" s="176"/>
      <c r="C63" s="99" t="s">
        <v>213</v>
      </c>
      <c r="D63" s="174" t="str">
        <f>LEFT(C63,LEN(C63)-1)</f>
        <v>18</v>
      </c>
      <c r="E63" s="99" t="s">
        <v>210</v>
      </c>
      <c r="F63" s="174" t="str">
        <f>LEFT(E63,LEN(E63)-1)</f>
        <v>4</v>
      </c>
      <c r="G63" s="36"/>
      <c r="H63" s="36"/>
      <c r="I63" s="36"/>
      <c r="J63" s="36"/>
      <c r="K63" s="36"/>
      <c r="L63" s="36"/>
      <c r="M63" s="36"/>
      <c r="N63" s="152"/>
      <c r="S63" s="66" t="str">
        <f>CONCATENATE((D63+F63),"万")</f>
        <v>22万</v>
      </c>
      <c r="T63" s="163" t="s">
        <v>175</v>
      </c>
    </row>
    <row r="64" spans="1:20" ht="16.5" thickBot="1" x14ac:dyDescent="0.3">
      <c r="A64" s="164" t="s">
        <v>176</v>
      </c>
      <c r="B64" s="165"/>
      <c r="C64" s="37"/>
      <c r="D64" s="37"/>
      <c r="E64" s="37"/>
      <c r="F64" s="37"/>
      <c r="G64" s="169" t="s">
        <v>217</v>
      </c>
      <c r="H64" s="171" t="str">
        <f>LEFT(G64,LEN(G64)-1)</f>
        <v>10</v>
      </c>
      <c r="I64" s="171" t="s">
        <v>184</v>
      </c>
      <c r="J64" s="171" t="str">
        <f>LEFT(I64,LEN(I64)-1)</f>
        <v>80</v>
      </c>
      <c r="K64" s="171" t="s">
        <v>214</v>
      </c>
      <c r="L64" s="171" t="str">
        <f>LEFT(K64,LEN(K64)-1)</f>
        <v>75</v>
      </c>
      <c r="M64" s="169" t="s">
        <v>218</v>
      </c>
      <c r="N64" s="172" t="str">
        <f>LEFT(M64,LEN(M64)-1)</f>
        <v>102</v>
      </c>
      <c r="S64" s="66" t="str">
        <f>CONCATENATE((H64+J64+L64+N64),"万")</f>
        <v>267万</v>
      </c>
      <c r="T64" s="166">
        <v>42815</v>
      </c>
    </row>
    <row r="65" spans="1:20" x14ac:dyDescent="0.25">
      <c r="A65" s="167" t="s">
        <v>182</v>
      </c>
      <c r="B65" s="66" t="s">
        <v>219</v>
      </c>
    </row>
    <row r="66" spans="1:20" ht="16.5" thickBot="1" x14ac:dyDescent="0.3"/>
    <row r="67" spans="1:20" ht="16.5" thickBot="1" x14ac:dyDescent="0.3">
      <c r="A67" s="153"/>
      <c r="B67" s="154" t="s">
        <v>165</v>
      </c>
      <c r="C67" s="155" t="s">
        <v>166</v>
      </c>
      <c r="D67" s="155"/>
      <c r="E67" s="155" t="s">
        <v>167</v>
      </c>
      <c r="F67" s="155"/>
      <c r="G67" s="155" t="s">
        <v>44</v>
      </c>
      <c r="H67" s="155"/>
      <c r="I67" s="155" t="s">
        <v>168</v>
      </c>
      <c r="J67" s="155"/>
      <c r="K67" s="155" t="s">
        <v>58</v>
      </c>
      <c r="L67" s="156"/>
      <c r="M67" s="157" t="s">
        <v>183</v>
      </c>
      <c r="N67" s="158"/>
    </row>
    <row r="68" spans="1:20" ht="16.5" thickBot="1" x14ac:dyDescent="0.3">
      <c r="A68" s="159" t="s">
        <v>169</v>
      </c>
      <c r="B68" s="175" t="str">
        <f>CONCATENATE((N70+L70+J70+H70+F69+D69),"万")</f>
        <v>289万</v>
      </c>
      <c r="C68" s="92"/>
      <c r="D68" s="34"/>
      <c r="E68" s="34"/>
      <c r="F68" s="34"/>
      <c r="G68" s="34"/>
      <c r="H68" s="34"/>
      <c r="I68" s="34"/>
      <c r="J68" s="34"/>
      <c r="K68" s="34"/>
      <c r="L68" s="34"/>
      <c r="M68" s="34"/>
      <c r="N68" s="152"/>
    </row>
    <row r="69" spans="1:20" x14ac:dyDescent="0.25">
      <c r="A69" s="161" t="s">
        <v>171</v>
      </c>
      <c r="B69" s="176"/>
      <c r="C69" s="99" t="s">
        <v>213</v>
      </c>
      <c r="D69" s="174" t="str">
        <f>LEFT(C69,LEN(C69)-1)</f>
        <v>18</v>
      </c>
      <c r="E69" s="99" t="s">
        <v>210</v>
      </c>
      <c r="F69" s="174" t="str">
        <f>LEFT(E69,LEN(E69)-1)</f>
        <v>4</v>
      </c>
      <c r="G69" s="36"/>
      <c r="H69" s="36"/>
      <c r="I69" s="36"/>
      <c r="J69" s="36"/>
      <c r="K69" s="36"/>
      <c r="L69" s="36"/>
      <c r="M69" s="36"/>
      <c r="N69" s="152"/>
      <c r="S69" s="66" t="str">
        <f>CONCATENATE((D69+F69),"万")</f>
        <v>22万</v>
      </c>
      <c r="T69" s="163" t="s">
        <v>175</v>
      </c>
    </row>
    <row r="70" spans="1:20" ht="16.5" thickBot="1" x14ac:dyDescent="0.3">
      <c r="A70" s="164" t="s">
        <v>176</v>
      </c>
      <c r="B70" s="165"/>
      <c r="C70" s="37"/>
      <c r="D70" s="37"/>
      <c r="E70" s="37"/>
      <c r="F70" s="37"/>
      <c r="G70" s="169" t="s">
        <v>217</v>
      </c>
      <c r="H70" s="171" t="str">
        <f>LEFT(G70,LEN(G70)-1)</f>
        <v>10</v>
      </c>
      <c r="I70" s="171" t="s">
        <v>184</v>
      </c>
      <c r="J70" s="171" t="str">
        <f>LEFT(I70,LEN(I70)-1)</f>
        <v>80</v>
      </c>
      <c r="K70" s="171" t="s">
        <v>214</v>
      </c>
      <c r="L70" s="171" t="str">
        <f>LEFT(K70,LEN(K70)-1)</f>
        <v>75</v>
      </c>
      <c r="M70" s="169" t="s">
        <v>218</v>
      </c>
      <c r="N70" s="172" t="str">
        <f>LEFT(M70,LEN(M70)-1)</f>
        <v>102</v>
      </c>
      <c r="S70" s="66" t="str">
        <f>CONCATENATE((H70+J70+L70+N70),"万")</f>
        <v>267万</v>
      </c>
      <c r="T70" s="166">
        <v>42816</v>
      </c>
    </row>
    <row r="71" spans="1:20" x14ac:dyDescent="0.25">
      <c r="A71" s="167" t="s">
        <v>182</v>
      </c>
      <c r="B71" s="66" t="s">
        <v>220</v>
      </c>
    </row>
    <row r="72" spans="1:20" ht="16.5" thickBot="1" x14ac:dyDescent="0.3"/>
    <row r="73" spans="1:20" ht="16.5" thickBot="1" x14ac:dyDescent="0.3">
      <c r="A73" s="153"/>
      <c r="B73" s="154" t="s">
        <v>165</v>
      </c>
      <c r="C73" s="155" t="s">
        <v>166</v>
      </c>
      <c r="D73" s="155"/>
      <c r="E73" s="155" t="s">
        <v>167</v>
      </c>
      <c r="F73" s="155"/>
      <c r="G73" s="155" t="s">
        <v>44</v>
      </c>
      <c r="H73" s="155"/>
      <c r="I73" s="155" t="s">
        <v>168</v>
      </c>
      <c r="J73" s="155"/>
      <c r="K73" s="155" t="s">
        <v>58</v>
      </c>
      <c r="L73" s="156"/>
      <c r="M73" s="157" t="s">
        <v>183</v>
      </c>
      <c r="N73" s="158"/>
    </row>
    <row r="74" spans="1:20" ht="16.5" thickBot="1" x14ac:dyDescent="0.3">
      <c r="A74" s="159" t="s">
        <v>169</v>
      </c>
      <c r="B74" s="170" t="str">
        <f>CONCATENATE((N76+L76+J76+H76+F75+D75),"万")</f>
        <v>307万</v>
      </c>
      <c r="C74" s="92"/>
      <c r="D74" s="34"/>
      <c r="E74" s="34"/>
      <c r="F74" s="34"/>
      <c r="G74" s="34"/>
      <c r="H74" s="34"/>
      <c r="I74" s="34"/>
      <c r="J74" s="34"/>
      <c r="K74" s="34"/>
      <c r="L74" s="34"/>
      <c r="M74" s="34"/>
      <c r="N74" s="152"/>
    </row>
    <row r="75" spans="1:20" x14ac:dyDescent="0.25">
      <c r="A75" s="161" t="s">
        <v>171</v>
      </c>
      <c r="B75" s="176"/>
      <c r="C75" s="174" t="s">
        <v>221</v>
      </c>
      <c r="D75" s="174" t="str">
        <f>LEFT(C75,LEN(C75)-1)</f>
        <v>37</v>
      </c>
      <c r="E75" s="99" t="s">
        <v>210</v>
      </c>
      <c r="F75" s="174" t="str">
        <f>LEFT(E75,LEN(E75)-1)</f>
        <v>4</v>
      </c>
      <c r="G75" s="36"/>
      <c r="H75" s="36"/>
      <c r="I75" s="36"/>
      <c r="J75" s="36"/>
      <c r="K75" s="36"/>
      <c r="L75" s="36"/>
      <c r="M75" s="36"/>
      <c r="N75" s="152"/>
      <c r="S75" s="66" t="str">
        <f>CONCATENATE((D75+F75),"万")</f>
        <v>41万</v>
      </c>
      <c r="T75" s="163" t="s">
        <v>175</v>
      </c>
    </row>
    <row r="76" spans="1:20" ht="16.5" thickBot="1" x14ac:dyDescent="0.3">
      <c r="A76" s="164" t="s">
        <v>176</v>
      </c>
      <c r="B76" s="165"/>
      <c r="C76" s="37"/>
      <c r="D76" s="37"/>
      <c r="E76" s="37"/>
      <c r="F76" s="37"/>
      <c r="G76" s="169" t="s">
        <v>222</v>
      </c>
      <c r="H76" s="171" t="str">
        <f>LEFT(G76,LEN(G76)-1)</f>
        <v>33</v>
      </c>
      <c r="I76" s="169" t="s">
        <v>179</v>
      </c>
      <c r="J76" s="171" t="str">
        <f>LEFT(I76,LEN(I76)-1)</f>
        <v>50</v>
      </c>
      <c r="K76" s="169" t="s">
        <v>223</v>
      </c>
      <c r="L76" s="171" t="str">
        <f>LEFT(K76,LEN(K76)-1)</f>
        <v>73</v>
      </c>
      <c r="M76" s="169" t="s">
        <v>224</v>
      </c>
      <c r="N76" s="172" t="str">
        <f>LEFT(M76,LEN(M76)-1)</f>
        <v>110</v>
      </c>
      <c r="S76" s="66" t="str">
        <f>CONCATENATE((H76+J76+L76+N76),"万")</f>
        <v>266万</v>
      </c>
      <c r="T76" s="166">
        <v>42817</v>
      </c>
    </row>
    <row r="77" spans="1:20" x14ac:dyDescent="0.25">
      <c r="A77" s="167" t="s">
        <v>182</v>
      </c>
      <c r="B77" s="66" t="s">
        <v>225</v>
      </c>
    </row>
    <row r="78" spans="1:20" ht="16.5" thickBot="1" x14ac:dyDescent="0.3"/>
    <row r="79" spans="1:20" ht="16.5" thickBot="1" x14ac:dyDescent="0.3">
      <c r="A79" s="153"/>
      <c r="B79" s="154" t="s">
        <v>165</v>
      </c>
      <c r="C79" s="155" t="s">
        <v>166</v>
      </c>
      <c r="D79" s="155"/>
      <c r="E79" s="155" t="s">
        <v>167</v>
      </c>
      <c r="F79" s="155"/>
      <c r="G79" s="155" t="s">
        <v>44</v>
      </c>
      <c r="H79" s="155"/>
      <c r="I79" s="155" t="s">
        <v>168</v>
      </c>
      <c r="J79" s="155"/>
      <c r="K79" s="155" t="s">
        <v>58</v>
      </c>
      <c r="L79" s="156"/>
      <c r="M79" s="157" t="s">
        <v>183</v>
      </c>
      <c r="N79" s="158"/>
    </row>
    <row r="80" spans="1:20" ht="16.5" thickBot="1" x14ac:dyDescent="0.3">
      <c r="A80" s="159" t="s">
        <v>169</v>
      </c>
      <c r="B80" s="170" t="str">
        <f>CONCATENATE((N82+L82+J82+H82+F81+D81),"万")</f>
        <v>316万</v>
      </c>
      <c r="C80" s="92"/>
      <c r="D80" s="34"/>
      <c r="E80" s="34"/>
      <c r="F80" s="34"/>
      <c r="G80" s="34"/>
      <c r="H80" s="34"/>
      <c r="I80" s="34"/>
      <c r="J80" s="34"/>
      <c r="K80" s="34"/>
      <c r="L80" s="34"/>
      <c r="M80" s="34"/>
      <c r="N80" s="152"/>
    </row>
    <row r="81" spans="1:20" x14ac:dyDescent="0.25">
      <c r="A81" s="161" t="s">
        <v>171</v>
      </c>
      <c r="B81" s="176"/>
      <c r="C81" s="174" t="s">
        <v>202</v>
      </c>
      <c r="D81" s="174" t="str">
        <f>LEFT(C81,LEN(C81)-1)</f>
        <v>23</v>
      </c>
      <c r="E81" s="99" t="s">
        <v>210</v>
      </c>
      <c r="F81" s="174" t="str">
        <f>LEFT(E81,LEN(E81)-1)</f>
        <v>4</v>
      </c>
      <c r="G81" s="36"/>
      <c r="H81" s="36"/>
      <c r="I81" s="36"/>
      <c r="J81" s="36"/>
      <c r="K81" s="36"/>
      <c r="L81" s="36"/>
      <c r="M81" s="36"/>
      <c r="N81" s="152"/>
      <c r="S81" s="66" t="str">
        <f>CONCATENATE((D81+F81),"万")</f>
        <v>27万</v>
      </c>
      <c r="T81" s="163" t="s">
        <v>175</v>
      </c>
    </row>
    <row r="82" spans="1:20" ht="16.5" thickBot="1" x14ac:dyDescent="0.3">
      <c r="A82" s="164" t="s">
        <v>176</v>
      </c>
      <c r="B82" s="165"/>
      <c r="C82" s="37"/>
      <c r="D82" s="37"/>
      <c r="E82" s="37"/>
      <c r="F82" s="37"/>
      <c r="G82" s="171" t="s">
        <v>222</v>
      </c>
      <c r="H82" s="171" t="str">
        <f>LEFT(G82,LEN(G82)-1)</f>
        <v>33</v>
      </c>
      <c r="I82" s="171" t="s">
        <v>179</v>
      </c>
      <c r="J82" s="171" t="str">
        <f>LEFT(I82,LEN(I82)-1)</f>
        <v>50</v>
      </c>
      <c r="K82" s="171" t="s">
        <v>223</v>
      </c>
      <c r="L82" s="171" t="str">
        <f>LEFT(K82,LEN(K82)-1)</f>
        <v>73</v>
      </c>
      <c r="M82" s="169" t="s">
        <v>226</v>
      </c>
      <c r="N82" s="172" t="str">
        <f>LEFT(M82,LEN(M82)-1)</f>
        <v>133</v>
      </c>
      <c r="S82" s="66" t="str">
        <f>CONCATENATE((H82+J82+L82+N82),"万")</f>
        <v>289万</v>
      </c>
      <c r="T82" s="166">
        <v>42821</v>
      </c>
    </row>
    <row r="83" spans="1:20" x14ac:dyDescent="0.25">
      <c r="A83" s="167" t="s">
        <v>182</v>
      </c>
      <c r="B83" s="66" t="s">
        <v>227</v>
      </c>
    </row>
    <row r="84" spans="1:20" ht="16.5" thickBot="1" x14ac:dyDescent="0.3"/>
    <row r="85" spans="1:20" ht="16.5" thickBot="1" x14ac:dyDescent="0.3">
      <c r="A85" s="153"/>
      <c r="B85" s="154" t="s">
        <v>165</v>
      </c>
      <c r="C85" s="155" t="s">
        <v>166</v>
      </c>
      <c r="D85" s="155"/>
      <c r="E85" s="155" t="s">
        <v>167</v>
      </c>
      <c r="F85" s="155"/>
      <c r="G85" s="155" t="s">
        <v>44</v>
      </c>
      <c r="H85" s="155"/>
      <c r="I85" s="155" t="s">
        <v>168</v>
      </c>
      <c r="J85" s="155"/>
      <c r="K85" s="155" t="s">
        <v>58</v>
      </c>
      <c r="L85" s="156"/>
      <c r="M85" s="157" t="s">
        <v>183</v>
      </c>
      <c r="N85" s="158"/>
    </row>
    <row r="86" spans="1:20" ht="16.5" thickBot="1" x14ac:dyDescent="0.3">
      <c r="A86" s="159" t="s">
        <v>169</v>
      </c>
      <c r="B86" s="170" t="str">
        <f>CONCATENATE((N88+L88+J88+H88+F87+D87),"万")</f>
        <v>312万</v>
      </c>
      <c r="C86" s="92"/>
      <c r="D86" s="34"/>
      <c r="E86" s="34"/>
      <c r="F86" s="34"/>
      <c r="G86" s="34"/>
      <c r="H86" s="34"/>
      <c r="I86" s="34"/>
      <c r="J86" s="34"/>
      <c r="K86" s="34"/>
      <c r="L86" s="34"/>
      <c r="M86" s="34"/>
      <c r="N86" s="152"/>
    </row>
    <row r="87" spans="1:20" x14ac:dyDescent="0.25">
      <c r="A87" s="161" t="s">
        <v>171</v>
      </c>
      <c r="B87" s="176"/>
      <c r="C87" s="99" t="s">
        <v>202</v>
      </c>
      <c r="D87" s="174" t="str">
        <f>LEFT(C87,LEN(C87)-1)</f>
        <v>23</v>
      </c>
      <c r="E87" s="99" t="s">
        <v>210</v>
      </c>
      <c r="F87" s="174" t="str">
        <f>LEFT(E87,LEN(E87)-1)</f>
        <v>4</v>
      </c>
      <c r="G87" s="36"/>
      <c r="H87" s="36"/>
      <c r="I87" s="36"/>
      <c r="J87" s="36"/>
      <c r="K87" s="36"/>
      <c r="L87" s="36"/>
      <c r="M87" s="36"/>
      <c r="N87" s="152"/>
      <c r="S87" s="66" t="str">
        <f>CONCATENATE((D87+F87),"万")</f>
        <v>27万</v>
      </c>
      <c r="T87" s="163" t="s">
        <v>175</v>
      </c>
    </row>
    <row r="88" spans="1:20" ht="16.5" thickBot="1" x14ac:dyDescent="0.3">
      <c r="A88" s="164" t="s">
        <v>176</v>
      </c>
      <c r="B88" s="165"/>
      <c r="C88" s="37"/>
      <c r="D88" s="37"/>
      <c r="E88" s="37"/>
      <c r="F88" s="37"/>
      <c r="G88" s="171" t="s">
        <v>222</v>
      </c>
      <c r="H88" s="171" t="str">
        <f>LEFT(G88,LEN(G88)-1)</f>
        <v>33</v>
      </c>
      <c r="I88" s="171" t="s">
        <v>179</v>
      </c>
      <c r="J88" s="171" t="str">
        <f>LEFT(I88,LEN(I88)-1)</f>
        <v>50</v>
      </c>
      <c r="K88" s="169" t="s">
        <v>228</v>
      </c>
      <c r="L88" s="171" t="str">
        <f>LEFT(K88,LEN(K88)-1)</f>
        <v>71</v>
      </c>
      <c r="M88" s="169" t="s">
        <v>229</v>
      </c>
      <c r="N88" s="172" t="str">
        <f>LEFT(M88,LEN(M88)-1)</f>
        <v>131</v>
      </c>
      <c r="S88" s="66" t="str">
        <f>CONCATENATE((H88+J88+L88+N88),"万")</f>
        <v>285万</v>
      </c>
      <c r="T88" s="166">
        <v>42824</v>
      </c>
    </row>
    <row r="89" spans="1:20" x14ac:dyDescent="0.25">
      <c r="A89" s="167" t="s">
        <v>182</v>
      </c>
      <c r="B89" s="66" t="s">
        <v>230</v>
      </c>
    </row>
    <row r="90" spans="1:20" ht="16.5" thickBot="1" x14ac:dyDescent="0.3"/>
    <row r="91" spans="1:20" ht="16.5" thickBot="1" x14ac:dyDescent="0.3">
      <c r="A91" s="153"/>
      <c r="B91" s="154" t="s">
        <v>165</v>
      </c>
      <c r="C91" s="155" t="s">
        <v>166</v>
      </c>
      <c r="D91" s="155"/>
      <c r="E91" s="155" t="s">
        <v>167</v>
      </c>
      <c r="F91" s="155"/>
      <c r="G91" s="155" t="s">
        <v>44</v>
      </c>
      <c r="H91" s="155"/>
      <c r="I91" s="155" t="s">
        <v>168</v>
      </c>
      <c r="J91" s="155"/>
      <c r="K91" s="155" t="s">
        <v>58</v>
      </c>
      <c r="L91" s="156"/>
      <c r="M91" s="157" t="s">
        <v>183</v>
      </c>
      <c r="N91" s="158"/>
    </row>
    <row r="92" spans="1:20" ht="16.5" thickBot="1" x14ac:dyDescent="0.3">
      <c r="A92" s="159" t="s">
        <v>169</v>
      </c>
      <c r="B92" s="170" t="str">
        <f>CONCATENATE((N94+L94+J94+H94+F93+D93),"万")</f>
        <v>312万</v>
      </c>
      <c r="C92" s="92"/>
      <c r="D92" s="34"/>
      <c r="E92" s="34"/>
      <c r="F92" s="34"/>
      <c r="G92" s="34"/>
      <c r="H92" s="34"/>
      <c r="I92" s="34"/>
      <c r="J92" s="34"/>
      <c r="K92" s="34"/>
      <c r="L92" s="34"/>
      <c r="M92" s="34"/>
      <c r="N92" s="152"/>
    </row>
    <row r="93" spans="1:20" x14ac:dyDescent="0.25">
      <c r="A93" s="161" t="s">
        <v>171</v>
      </c>
      <c r="B93" s="176"/>
      <c r="C93" s="174" t="s">
        <v>231</v>
      </c>
      <c r="D93" s="174" t="str">
        <f>LEFT(C93,LEN(C93)-1)</f>
        <v>53</v>
      </c>
      <c r="E93" s="99" t="s">
        <v>210</v>
      </c>
      <c r="F93" s="174" t="str">
        <f>LEFT(E93,LEN(E93)-1)</f>
        <v>4</v>
      </c>
      <c r="G93" s="36"/>
      <c r="H93" s="36"/>
      <c r="I93" s="36"/>
      <c r="J93" s="36"/>
      <c r="K93" s="36"/>
      <c r="L93" s="36"/>
      <c r="M93" s="36"/>
      <c r="N93" s="152"/>
      <c r="S93" s="66" t="str">
        <f>CONCATENATE((D93+F93),"万")</f>
        <v>57万</v>
      </c>
      <c r="T93" s="163" t="s">
        <v>175</v>
      </c>
    </row>
    <row r="94" spans="1:20" ht="16.5" thickBot="1" x14ac:dyDescent="0.3">
      <c r="A94" s="164" t="s">
        <v>176</v>
      </c>
      <c r="B94" s="165"/>
      <c r="C94" s="37"/>
      <c r="D94" s="37"/>
      <c r="E94" s="37"/>
      <c r="F94" s="37"/>
      <c r="G94" s="171" t="s">
        <v>222</v>
      </c>
      <c r="H94" s="171" t="str">
        <f>LEFT(G94,LEN(G94)-1)</f>
        <v>33</v>
      </c>
      <c r="I94" s="171" t="s">
        <v>179</v>
      </c>
      <c r="J94" s="171" t="str">
        <f>LEFT(I94,LEN(I94)-1)</f>
        <v>50</v>
      </c>
      <c r="K94" s="169" t="s">
        <v>232</v>
      </c>
      <c r="L94" s="171" t="str">
        <f>LEFT(K94,LEN(K94)-1)</f>
        <v>41</v>
      </c>
      <c r="M94" s="171" t="s">
        <v>229</v>
      </c>
      <c r="N94" s="172" t="str">
        <f>LEFT(M94,LEN(M94)-1)</f>
        <v>131</v>
      </c>
      <c r="S94" s="66" t="str">
        <f>CONCATENATE((H94+J94+L94+N94),"万")</f>
        <v>255万</v>
      </c>
      <c r="T94" s="166">
        <v>42827</v>
      </c>
    </row>
    <row r="95" spans="1:20" x14ac:dyDescent="0.25">
      <c r="A95" s="167" t="s">
        <v>233</v>
      </c>
      <c r="B95" s="66" t="s">
        <v>234</v>
      </c>
    </row>
    <row r="96" spans="1:20" ht="16.5" thickBot="1" x14ac:dyDescent="0.3"/>
    <row r="97" spans="1:20" ht="16.5" thickBot="1" x14ac:dyDescent="0.3">
      <c r="A97" s="153"/>
      <c r="B97" s="154" t="s">
        <v>165</v>
      </c>
      <c r="C97" s="155" t="s">
        <v>235</v>
      </c>
      <c r="D97" s="155"/>
      <c r="E97" s="155" t="s">
        <v>167</v>
      </c>
      <c r="F97" s="155"/>
      <c r="G97" s="155" t="s">
        <v>236</v>
      </c>
      <c r="H97" s="155"/>
      <c r="I97" s="155" t="s">
        <v>237</v>
      </c>
      <c r="J97" s="155"/>
      <c r="K97" s="155" t="s">
        <v>58</v>
      </c>
      <c r="L97" s="156"/>
      <c r="M97" s="157" t="s">
        <v>183</v>
      </c>
      <c r="N97" s="158"/>
    </row>
    <row r="98" spans="1:20" ht="16.5" thickBot="1" x14ac:dyDescent="0.3">
      <c r="A98" s="159" t="s">
        <v>169</v>
      </c>
      <c r="B98" s="170" t="str">
        <f>CONCATENATE((N100+L100+J100+H100+F99+D99),"万")</f>
        <v>312万</v>
      </c>
      <c r="C98" s="92"/>
      <c r="D98" s="34"/>
      <c r="E98" s="34"/>
      <c r="F98" s="34"/>
      <c r="G98" s="34"/>
      <c r="H98" s="34"/>
      <c r="I98" s="34"/>
      <c r="J98" s="34"/>
      <c r="K98" s="34"/>
      <c r="L98" s="34"/>
      <c r="M98" s="34"/>
      <c r="N98" s="152"/>
    </row>
    <row r="99" spans="1:20" x14ac:dyDescent="0.25">
      <c r="A99" s="161" t="s">
        <v>171</v>
      </c>
      <c r="B99" s="176"/>
      <c r="C99" s="174" t="s">
        <v>209</v>
      </c>
      <c r="D99" s="174" t="str">
        <f>LEFT(C99,LEN(C99)-1)</f>
        <v>13</v>
      </c>
      <c r="E99" s="99" t="s">
        <v>210</v>
      </c>
      <c r="F99" s="174" t="str">
        <f>LEFT(E99,LEN(E99)-1)</f>
        <v>4</v>
      </c>
      <c r="G99" s="36"/>
      <c r="H99" s="36"/>
      <c r="I99" s="36"/>
      <c r="J99" s="36"/>
      <c r="K99" s="36"/>
      <c r="L99" s="36"/>
      <c r="M99" s="36"/>
      <c r="N99" s="152"/>
      <c r="S99" s="66" t="str">
        <f>CONCATENATE((D99+F99),"万")</f>
        <v>17万</v>
      </c>
      <c r="T99" s="163" t="s">
        <v>175</v>
      </c>
    </row>
    <row r="100" spans="1:20" ht="16.5" thickBot="1" x14ac:dyDescent="0.3">
      <c r="A100" s="164" t="s">
        <v>176</v>
      </c>
      <c r="B100" s="165"/>
      <c r="C100" s="37"/>
      <c r="D100" s="37"/>
      <c r="E100" s="37"/>
      <c r="F100" s="37"/>
      <c r="G100" s="171" t="s">
        <v>222</v>
      </c>
      <c r="H100" s="171" t="str">
        <f>LEFT(G100,LEN(G100)-1)</f>
        <v>33</v>
      </c>
      <c r="I100" s="171" t="s">
        <v>179</v>
      </c>
      <c r="J100" s="171" t="str">
        <f>LEFT(I100,LEN(I100)-1)</f>
        <v>50</v>
      </c>
      <c r="K100" s="171" t="s">
        <v>232</v>
      </c>
      <c r="L100" s="171" t="str">
        <f>LEFT(K100,LEN(K100)-1)</f>
        <v>41</v>
      </c>
      <c r="M100" s="169" t="s">
        <v>238</v>
      </c>
      <c r="N100" s="172" t="str">
        <f>LEFT(M100,LEN(M100)-1)</f>
        <v>171</v>
      </c>
      <c r="S100" s="66" t="str">
        <f>CONCATENATE((H100+J100+L100+N100),"万")</f>
        <v>295万</v>
      </c>
      <c r="T100" s="166">
        <v>42828</v>
      </c>
    </row>
    <row r="101" spans="1:20" x14ac:dyDescent="0.25">
      <c r="A101" s="167" t="s">
        <v>182</v>
      </c>
      <c r="B101" s="66" t="s">
        <v>239</v>
      </c>
    </row>
    <row r="102" spans="1:20" ht="16.5" thickBot="1" x14ac:dyDescent="0.3"/>
    <row r="103" spans="1:20" ht="16.5" thickBot="1" x14ac:dyDescent="0.3">
      <c r="A103" s="153"/>
      <c r="B103" s="154" t="s">
        <v>165</v>
      </c>
      <c r="C103" s="155" t="s">
        <v>166</v>
      </c>
      <c r="D103" s="155"/>
      <c r="E103" s="155" t="s">
        <v>167</v>
      </c>
      <c r="F103" s="155"/>
      <c r="G103" s="155" t="s">
        <v>44</v>
      </c>
      <c r="H103" s="155"/>
      <c r="I103" s="155" t="s">
        <v>168</v>
      </c>
      <c r="J103" s="155"/>
      <c r="K103" s="155" t="s">
        <v>58</v>
      </c>
      <c r="L103" s="156"/>
      <c r="M103" s="157" t="s">
        <v>183</v>
      </c>
      <c r="N103" s="158"/>
    </row>
    <row r="104" spans="1:20" ht="16.5" thickBot="1" x14ac:dyDescent="0.3">
      <c r="A104" s="159" t="s">
        <v>169</v>
      </c>
      <c r="B104" s="170" t="str">
        <f>CONCATENATE((N106+L106+J106+H106+F105+D105),"万")</f>
        <v>288万</v>
      </c>
      <c r="C104" s="92"/>
      <c r="D104" s="34"/>
      <c r="E104" s="34"/>
      <c r="F104" s="34"/>
      <c r="G104" s="34"/>
      <c r="H104" s="34"/>
      <c r="I104" s="34"/>
      <c r="J104" s="34"/>
      <c r="K104" s="34"/>
      <c r="L104" s="34"/>
      <c r="M104" s="34"/>
      <c r="N104" s="152"/>
    </row>
    <row r="105" spans="1:20" x14ac:dyDescent="0.25">
      <c r="A105" s="161" t="s">
        <v>171</v>
      </c>
      <c r="B105" s="176"/>
      <c r="C105" s="174" t="s">
        <v>240</v>
      </c>
      <c r="D105" s="174" t="str">
        <f>LEFT(C105,LEN(C105)-1)</f>
        <v>11</v>
      </c>
      <c r="E105" s="99" t="s">
        <v>210</v>
      </c>
      <c r="F105" s="174" t="str">
        <f>LEFT(E105,LEN(E105)-1)</f>
        <v>4</v>
      </c>
      <c r="G105" s="36"/>
      <c r="H105" s="36"/>
      <c r="I105" s="36"/>
      <c r="J105" s="36"/>
      <c r="K105" s="36"/>
      <c r="L105" s="36"/>
      <c r="M105" s="36"/>
      <c r="N105" s="152"/>
      <c r="S105" s="66" t="str">
        <f>CONCATENATE((D105+F105),"万")</f>
        <v>15万</v>
      </c>
      <c r="T105" s="163" t="s">
        <v>175</v>
      </c>
    </row>
    <row r="106" spans="1:20" ht="16.5" thickBot="1" x14ac:dyDescent="0.3">
      <c r="A106" s="164" t="s">
        <v>176</v>
      </c>
      <c r="B106" s="165"/>
      <c r="C106" s="37"/>
      <c r="D106" s="37"/>
      <c r="E106" s="37"/>
      <c r="F106" s="37"/>
      <c r="G106" s="171" t="s">
        <v>222</v>
      </c>
      <c r="H106" s="171" t="str">
        <f>LEFT(G106,LEN(G106)-1)</f>
        <v>33</v>
      </c>
      <c r="I106" s="171" t="s">
        <v>179</v>
      </c>
      <c r="J106" s="171" t="str">
        <f>LEFT(I106,LEN(I106)-1)</f>
        <v>50</v>
      </c>
      <c r="K106" s="171" t="s">
        <v>232</v>
      </c>
      <c r="L106" s="171" t="str">
        <f>LEFT(K106,LEN(K106)-1)</f>
        <v>41</v>
      </c>
      <c r="M106" s="169" t="s">
        <v>241</v>
      </c>
      <c r="N106" s="172" t="str">
        <f>LEFT(M106,LEN(M106)-1)</f>
        <v>149</v>
      </c>
      <c r="S106" s="66" t="str">
        <f>CONCATENATE((H106+J106+L106+N106),"万")</f>
        <v>273万</v>
      </c>
      <c r="T106" s="166">
        <v>42832</v>
      </c>
    </row>
    <row r="107" spans="1:20" x14ac:dyDescent="0.25">
      <c r="A107" s="167" t="s">
        <v>233</v>
      </c>
      <c r="B107" s="66" t="s">
        <v>242</v>
      </c>
    </row>
    <row r="108" spans="1:20" ht="16.5" thickBot="1" x14ac:dyDescent="0.3"/>
    <row r="109" spans="1:20" ht="16.5" thickBot="1" x14ac:dyDescent="0.3">
      <c r="A109" s="153"/>
      <c r="B109" s="154" t="s">
        <v>165</v>
      </c>
      <c r="C109" s="155" t="s">
        <v>235</v>
      </c>
      <c r="D109" s="155"/>
      <c r="E109" s="155" t="s">
        <v>167</v>
      </c>
      <c r="F109" s="155"/>
      <c r="G109" s="155" t="s">
        <v>236</v>
      </c>
      <c r="H109" s="155"/>
      <c r="I109" s="155" t="s">
        <v>237</v>
      </c>
      <c r="J109" s="155"/>
      <c r="K109" s="155" t="s">
        <v>58</v>
      </c>
      <c r="L109" s="156"/>
      <c r="M109" s="157" t="s">
        <v>183</v>
      </c>
      <c r="N109" s="158"/>
      <c r="Q109" s="157" t="s">
        <v>243</v>
      </c>
      <c r="R109" s="158"/>
    </row>
    <row r="110" spans="1:20" ht="16.5" thickBot="1" x14ac:dyDescent="0.3">
      <c r="A110" s="159" t="s">
        <v>169</v>
      </c>
      <c r="B110" s="170" t="str">
        <f>CONCATENATE((N112+L112+J112+H112+F111+D111+R112),"万")</f>
        <v>288万</v>
      </c>
      <c r="C110" s="92"/>
      <c r="D110" s="34"/>
      <c r="E110" s="34"/>
      <c r="F110" s="34"/>
      <c r="G110" s="34"/>
      <c r="H110" s="34"/>
      <c r="I110" s="34"/>
      <c r="J110" s="34"/>
      <c r="K110" s="34"/>
      <c r="L110" s="34"/>
      <c r="M110" s="34"/>
      <c r="N110" s="152"/>
      <c r="Q110" s="34"/>
      <c r="R110" s="152"/>
    </row>
    <row r="111" spans="1:20" x14ac:dyDescent="0.25">
      <c r="A111" s="161" t="s">
        <v>171</v>
      </c>
      <c r="B111" s="176"/>
      <c r="C111" s="174" t="s">
        <v>244</v>
      </c>
      <c r="D111" s="174" t="str">
        <f>LEFT(C111,LEN(C111)-1)</f>
        <v>9</v>
      </c>
      <c r="E111" s="99" t="s">
        <v>210</v>
      </c>
      <c r="F111" s="174" t="str">
        <f>LEFT(E111,LEN(E111)-1)</f>
        <v>4</v>
      </c>
      <c r="G111" s="36"/>
      <c r="H111" s="36"/>
      <c r="I111" s="36"/>
      <c r="J111" s="36"/>
      <c r="K111" s="36"/>
      <c r="L111" s="36"/>
      <c r="M111" s="36"/>
      <c r="N111" s="152"/>
      <c r="Q111" s="36"/>
      <c r="R111" s="152"/>
      <c r="S111" s="66" t="str">
        <f>CONCATENATE((D111+F111),"万")</f>
        <v>13万</v>
      </c>
      <c r="T111" s="163" t="s">
        <v>175</v>
      </c>
    </row>
    <row r="112" spans="1:20" ht="16.5" thickBot="1" x14ac:dyDescent="0.3">
      <c r="A112" s="164" t="s">
        <v>176</v>
      </c>
      <c r="B112" s="165"/>
      <c r="C112" s="37"/>
      <c r="D112" s="37"/>
      <c r="E112" s="37"/>
      <c r="F112" s="37"/>
      <c r="G112" s="171" t="s">
        <v>222</v>
      </c>
      <c r="H112" s="171" t="str">
        <f>LEFT(G112,LEN(G112)-1)</f>
        <v>33</v>
      </c>
      <c r="I112" s="171" t="s">
        <v>179</v>
      </c>
      <c r="J112" s="171" t="str">
        <f>LEFT(I112,LEN(I112)-1)</f>
        <v>50</v>
      </c>
      <c r="K112" s="169" t="s">
        <v>245</v>
      </c>
      <c r="L112" s="171" t="str">
        <f>LEFT(K112,LEN(K112)-1)</f>
        <v>26</v>
      </c>
      <c r="M112" s="169" t="s">
        <v>246</v>
      </c>
      <c r="N112" s="172" t="str">
        <f>LEFT(M112,LEN(M112)-1)</f>
        <v>151</v>
      </c>
      <c r="Q112" s="169" t="s">
        <v>247</v>
      </c>
      <c r="R112" s="172" t="str">
        <f>LEFT(Q112,LEN(Q112)-1)</f>
        <v>15</v>
      </c>
      <c r="S112" s="66" t="str">
        <f>CONCATENATE((H112+J112+L112+N112+R112),"万")</f>
        <v>275万</v>
      </c>
      <c r="T112" s="166">
        <v>42835</v>
      </c>
    </row>
    <row r="113" spans="1:20" x14ac:dyDescent="0.25">
      <c r="A113" s="167" t="s">
        <v>233</v>
      </c>
      <c r="B113" s="66" t="s">
        <v>248</v>
      </c>
    </row>
    <row r="114" spans="1:20" ht="16.5" thickBot="1" x14ac:dyDescent="0.3"/>
    <row r="115" spans="1:20" ht="16.5" thickBot="1" x14ac:dyDescent="0.3">
      <c r="A115" s="153"/>
      <c r="B115" s="154" t="s">
        <v>165</v>
      </c>
      <c r="C115" s="155" t="s">
        <v>235</v>
      </c>
      <c r="D115" s="155"/>
      <c r="E115" s="155" t="s">
        <v>167</v>
      </c>
      <c r="F115" s="155"/>
      <c r="G115" s="155" t="s">
        <v>236</v>
      </c>
      <c r="H115" s="155"/>
      <c r="I115" s="155" t="s">
        <v>237</v>
      </c>
      <c r="J115" s="155"/>
      <c r="K115" s="155" t="s">
        <v>58</v>
      </c>
      <c r="L115" s="156"/>
      <c r="M115" s="157" t="s">
        <v>183</v>
      </c>
      <c r="N115" s="158"/>
      <c r="Q115" s="157" t="s">
        <v>243</v>
      </c>
      <c r="R115" s="158"/>
    </row>
    <row r="116" spans="1:20" ht="16.5" thickBot="1" x14ac:dyDescent="0.3">
      <c r="A116" s="159" t="s">
        <v>169</v>
      </c>
      <c r="B116" s="170" t="str">
        <f>CONCATENATE((N118+L118+J118+H118+F117+D117+R118),"万")</f>
        <v>284万</v>
      </c>
      <c r="C116" s="92"/>
      <c r="D116" s="34"/>
      <c r="E116" s="34"/>
      <c r="F116" s="34"/>
      <c r="G116" s="34"/>
      <c r="H116" s="34"/>
      <c r="I116" s="34"/>
      <c r="J116" s="34"/>
      <c r="K116" s="34"/>
      <c r="L116" s="34"/>
      <c r="M116" s="34"/>
      <c r="N116" s="152"/>
      <c r="Q116" s="34"/>
      <c r="R116" s="152"/>
    </row>
    <row r="117" spans="1:20" x14ac:dyDescent="0.25">
      <c r="A117" s="161" t="s">
        <v>171</v>
      </c>
      <c r="B117" s="176"/>
      <c r="C117" s="99" t="s">
        <v>244</v>
      </c>
      <c r="D117" s="174" t="str">
        <f>LEFT(C117,LEN(C117)-1)</f>
        <v>9</v>
      </c>
      <c r="E117" s="99" t="s">
        <v>210</v>
      </c>
      <c r="F117" s="174" t="str">
        <f>LEFT(E117,LEN(E117)-1)</f>
        <v>4</v>
      </c>
      <c r="G117" s="36"/>
      <c r="H117" s="36"/>
      <c r="I117" s="36"/>
      <c r="J117" s="36"/>
      <c r="K117" s="36"/>
      <c r="L117" s="36"/>
      <c r="M117" s="36"/>
      <c r="N117" s="152"/>
      <c r="Q117" s="36"/>
      <c r="R117" s="152"/>
      <c r="S117" s="66" t="str">
        <f>CONCATENATE((D117+F117),"万")</f>
        <v>13万</v>
      </c>
      <c r="T117" s="163" t="s">
        <v>175</v>
      </c>
    </row>
    <row r="118" spans="1:20" ht="16.5" thickBot="1" x14ac:dyDescent="0.3">
      <c r="A118" s="164" t="s">
        <v>176</v>
      </c>
      <c r="B118" s="165"/>
      <c r="C118" s="37"/>
      <c r="D118" s="37"/>
      <c r="E118" s="37"/>
      <c r="F118" s="37"/>
      <c r="G118" s="171" t="s">
        <v>222</v>
      </c>
      <c r="H118" s="171" t="str">
        <f>LEFT(G118,LEN(G118)-1)</f>
        <v>33</v>
      </c>
      <c r="I118" s="171" t="s">
        <v>179</v>
      </c>
      <c r="J118" s="171" t="str">
        <f>LEFT(I118,LEN(I118)-1)</f>
        <v>50</v>
      </c>
      <c r="K118" s="171" t="s">
        <v>245</v>
      </c>
      <c r="L118" s="171" t="str">
        <f>LEFT(K118,LEN(K118)-1)</f>
        <v>26</v>
      </c>
      <c r="M118" s="169" t="s">
        <v>249</v>
      </c>
      <c r="N118" s="172" t="str">
        <f>LEFT(M118,LEN(M118)-1)</f>
        <v>147</v>
      </c>
      <c r="Q118" s="171" t="s">
        <v>247</v>
      </c>
      <c r="R118" s="172" t="str">
        <f>LEFT(Q118,LEN(Q118)-1)</f>
        <v>15</v>
      </c>
      <c r="S118" s="66" t="str">
        <f>CONCATENATE((H118+J118+L118+N118+R118),"万")</f>
        <v>271万</v>
      </c>
      <c r="T118" s="166">
        <v>42836</v>
      </c>
    </row>
    <row r="119" spans="1:20" x14ac:dyDescent="0.25">
      <c r="A119" s="167" t="s">
        <v>233</v>
      </c>
      <c r="B119" s="66" t="s">
        <v>250</v>
      </c>
    </row>
    <row r="120" spans="1:20" ht="16.5" thickBot="1" x14ac:dyDescent="0.3"/>
    <row r="121" spans="1:20" ht="16.5" thickBot="1" x14ac:dyDescent="0.3">
      <c r="A121" s="153"/>
      <c r="B121" s="154" t="s">
        <v>165</v>
      </c>
      <c r="C121" s="155" t="s">
        <v>235</v>
      </c>
      <c r="D121" s="155"/>
      <c r="E121" s="155" t="s">
        <v>167</v>
      </c>
      <c r="F121" s="155"/>
      <c r="G121" s="155" t="s">
        <v>236</v>
      </c>
      <c r="H121" s="155"/>
      <c r="I121" s="155" t="s">
        <v>237</v>
      </c>
      <c r="J121" s="155"/>
      <c r="K121" s="155" t="s">
        <v>58</v>
      </c>
      <c r="L121" s="156"/>
      <c r="M121" s="157" t="s">
        <v>183</v>
      </c>
      <c r="N121" s="158"/>
      <c r="Q121" s="157" t="s">
        <v>243</v>
      </c>
      <c r="R121" s="158"/>
    </row>
    <row r="122" spans="1:20" ht="16.5" thickBot="1" x14ac:dyDescent="0.3">
      <c r="A122" s="159" t="s">
        <v>169</v>
      </c>
      <c r="B122" s="170" t="str">
        <f>CONCATENATE((N124+L124+J124+H124+F123+D123+R124),"万")</f>
        <v>294万</v>
      </c>
      <c r="C122" s="92"/>
      <c r="D122" s="34"/>
      <c r="E122" s="34"/>
      <c r="F122" s="34"/>
      <c r="G122" s="34"/>
      <c r="H122" s="34"/>
      <c r="I122" s="34"/>
      <c r="J122" s="34"/>
      <c r="K122" s="34"/>
      <c r="L122" s="34"/>
      <c r="M122" s="34"/>
      <c r="N122" s="152"/>
      <c r="Q122" s="34"/>
      <c r="R122" s="152"/>
    </row>
    <row r="123" spans="1:20" x14ac:dyDescent="0.25">
      <c r="A123" s="161" t="s">
        <v>171</v>
      </c>
      <c r="B123" s="176"/>
      <c r="C123" s="99" t="s">
        <v>244</v>
      </c>
      <c r="D123" s="174" t="str">
        <f>LEFT(C123,LEN(C123)-1)</f>
        <v>9</v>
      </c>
      <c r="E123" s="99" t="s">
        <v>210</v>
      </c>
      <c r="F123" s="174" t="str">
        <f>LEFT(E123,LEN(E123)-1)</f>
        <v>4</v>
      </c>
      <c r="G123" s="36"/>
      <c r="H123" s="36"/>
      <c r="I123" s="36"/>
      <c r="J123" s="36"/>
      <c r="K123" s="36"/>
      <c r="L123" s="36"/>
      <c r="M123" s="36"/>
      <c r="N123" s="152"/>
      <c r="Q123" s="36"/>
      <c r="R123" s="152"/>
      <c r="S123" s="66" t="str">
        <f>CONCATENATE((D123+F123),"万")</f>
        <v>13万</v>
      </c>
      <c r="T123" s="163" t="s">
        <v>175</v>
      </c>
    </row>
    <row r="124" spans="1:20" ht="16.5" thickBot="1" x14ac:dyDescent="0.3">
      <c r="A124" s="164" t="s">
        <v>176</v>
      </c>
      <c r="B124" s="165"/>
      <c r="C124" s="37"/>
      <c r="D124" s="37"/>
      <c r="E124" s="37"/>
      <c r="F124" s="37"/>
      <c r="G124" s="171" t="s">
        <v>222</v>
      </c>
      <c r="H124" s="171" t="str">
        <f>LEFT(G124,LEN(G124)-1)</f>
        <v>33</v>
      </c>
      <c r="I124" s="171" t="s">
        <v>179</v>
      </c>
      <c r="J124" s="171" t="str">
        <f>LEFT(I124,LEN(I124)-1)</f>
        <v>50</v>
      </c>
      <c r="K124" s="171" t="s">
        <v>245</v>
      </c>
      <c r="L124" s="171" t="str">
        <f>LEFT(K124,LEN(K124)-1)</f>
        <v>26</v>
      </c>
      <c r="M124" s="169" t="s">
        <v>251</v>
      </c>
      <c r="N124" s="172" t="str">
        <f>LEFT(M124,LEN(M124)-1)</f>
        <v>157</v>
      </c>
      <c r="Q124" s="171" t="s">
        <v>247</v>
      </c>
      <c r="R124" s="172" t="str">
        <f>LEFT(Q124,LEN(Q124)-1)</f>
        <v>15</v>
      </c>
      <c r="S124" s="66" t="str">
        <f>CONCATENATE((H124+J124+L124+N124+R124),"万")</f>
        <v>281万</v>
      </c>
      <c r="T124" s="166">
        <v>42843</v>
      </c>
    </row>
    <row r="125" spans="1:20" x14ac:dyDescent="0.25">
      <c r="A125" s="167" t="s">
        <v>233</v>
      </c>
      <c r="B125" s="66" t="s">
        <v>252</v>
      </c>
    </row>
    <row r="126" spans="1:20" ht="16.5" thickBot="1" x14ac:dyDescent="0.3"/>
    <row r="127" spans="1:20" ht="16.5" thickBot="1" x14ac:dyDescent="0.3">
      <c r="A127" s="153"/>
      <c r="B127" s="154" t="s">
        <v>165</v>
      </c>
      <c r="C127" s="155" t="s">
        <v>235</v>
      </c>
      <c r="D127" s="155"/>
      <c r="E127" s="155" t="s">
        <v>167</v>
      </c>
      <c r="F127" s="155"/>
      <c r="G127" s="155" t="s">
        <v>236</v>
      </c>
      <c r="H127" s="155"/>
      <c r="I127" s="155" t="s">
        <v>237</v>
      </c>
      <c r="J127" s="155"/>
      <c r="K127" s="155" t="s">
        <v>58</v>
      </c>
      <c r="L127" s="156"/>
      <c r="M127" s="157" t="s">
        <v>183</v>
      </c>
      <c r="N127" s="158"/>
      <c r="Q127" s="157" t="s">
        <v>243</v>
      </c>
      <c r="R127" s="158"/>
    </row>
    <row r="128" spans="1:20" ht="16.5" thickBot="1" x14ac:dyDescent="0.3">
      <c r="A128" s="159" t="s">
        <v>169</v>
      </c>
      <c r="B128" s="170" t="str">
        <f>CONCATENATE((N130+L130+J130+H130+F129+D129+R130),"万")</f>
        <v>299万</v>
      </c>
      <c r="C128" s="92"/>
      <c r="D128" s="34"/>
      <c r="E128" s="34"/>
      <c r="F128" s="34"/>
      <c r="G128" s="34"/>
      <c r="H128" s="34"/>
      <c r="I128" s="34"/>
      <c r="J128" s="34"/>
      <c r="K128" s="34"/>
      <c r="L128" s="34"/>
      <c r="M128" s="34"/>
      <c r="N128" s="152"/>
      <c r="Q128" s="34"/>
      <c r="R128" s="152"/>
    </row>
    <row r="129" spans="1:20" x14ac:dyDescent="0.25">
      <c r="A129" s="161" t="s">
        <v>171</v>
      </c>
      <c r="B129" s="176"/>
      <c r="C129" s="99" t="s">
        <v>244</v>
      </c>
      <c r="D129" s="174" t="str">
        <f>LEFT(C129,LEN(C129)-1)</f>
        <v>9</v>
      </c>
      <c r="E129" s="99" t="s">
        <v>210</v>
      </c>
      <c r="F129" s="174" t="str">
        <f>LEFT(E129,LEN(E129)-1)</f>
        <v>4</v>
      </c>
      <c r="G129" s="36"/>
      <c r="H129" s="36"/>
      <c r="I129" s="36"/>
      <c r="J129" s="36"/>
      <c r="K129" s="36"/>
      <c r="L129" s="36"/>
      <c r="M129" s="36"/>
      <c r="N129" s="152"/>
      <c r="Q129" s="36"/>
      <c r="R129" s="152"/>
      <c r="S129" s="66" t="str">
        <f>CONCATENATE((D129+F129),"万")</f>
        <v>13万</v>
      </c>
      <c r="T129" s="163" t="s">
        <v>175</v>
      </c>
    </row>
    <row r="130" spans="1:20" ht="16.5" thickBot="1" x14ac:dyDescent="0.3">
      <c r="A130" s="164" t="s">
        <v>176</v>
      </c>
      <c r="B130" s="165"/>
      <c r="C130" s="37"/>
      <c r="D130" s="37"/>
      <c r="E130" s="37"/>
      <c r="F130" s="37"/>
      <c r="G130" s="169" t="s">
        <v>253</v>
      </c>
      <c r="H130" s="171" t="str">
        <f>LEFT(G130,LEN(G130)-1)</f>
        <v>34</v>
      </c>
      <c r="I130" s="171" t="s">
        <v>179</v>
      </c>
      <c r="J130" s="171" t="str">
        <f>LEFT(I130,LEN(I130)-1)</f>
        <v>50</v>
      </c>
      <c r="K130" s="171" t="s">
        <v>245</v>
      </c>
      <c r="L130" s="171" t="str">
        <f>LEFT(K130,LEN(K130)-1)</f>
        <v>26</v>
      </c>
      <c r="M130" s="169" t="s">
        <v>254</v>
      </c>
      <c r="N130" s="172" t="str">
        <f>LEFT(M130,LEN(M130)-1)</f>
        <v>161</v>
      </c>
      <c r="Q130" s="171" t="s">
        <v>247</v>
      </c>
      <c r="R130" s="172" t="str">
        <f>LEFT(Q130,LEN(Q130)-1)</f>
        <v>15</v>
      </c>
      <c r="S130" s="66" t="str">
        <f>CONCATENATE((H130+J130+L130+N130+R130),"万")</f>
        <v>286万</v>
      </c>
      <c r="T130" s="166">
        <v>42845</v>
      </c>
    </row>
    <row r="131" spans="1:20" x14ac:dyDescent="0.25">
      <c r="A131" s="167" t="s">
        <v>233</v>
      </c>
      <c r="B131" s="66" t="s">
        <v>255</v>
      </c>
    </row>
    <row r="132" spans="1:20" ht="16.5" thickBot="1" x14ac:dyDescent="0.3"/>
    <row r="133" spans="1:20" ht="16.5" thickBot="1" x14ac:dyDescent="0.3">
      <c r="A133" s="153"/>
      <c r="B133" s="154" t="s">
        <v>165</v>
      </c>
      <c r="C133" s="155" t="s">
        <v>235</v>
      </c>
      <c r="D133" s="155"/>
      <c r="E133" s="155" t="s">
        <v>167</v>
      </c>
      <c r="F133" s="155"/>
      <c r="G133" s="155" t="s">
        <v>236</v>
      </c>
      <c r="H133" s="155"/>
      <c r="I133" s="155" t="s">
        <v>237</v>
      </c>
      <c r="J133" s="155"/>
      <c r="K133" s="155" t="s">
        <v>58</v>
      </c>
      <c r="L133" s="156"/>
      <c r="M133" s="157" t="s">
        <v>183</v>
      </c>
      <c r="N133" s="158"/>
      <c r="Q133" s="157" t="s">
        <v>243</v>
      </c>
      <c r="R133" s="158"/>
    </row>
    <row r="134" spans="1:20" ht="16.5" thickBot="1" x14ac:dyDescent="0.3">
      <c r="A134" s="159" t="s">
        <v>169</v>
      </c>
      <c r="B134" s="170" t="str">
        <f>CONCATENATE((N136+L136+J136+H136+F135+D135+R136),"万")</f>
        <v>302万</v>
      </c>
      <c r="C134" s="92"/>
      <c r="D134" s="34"/>
      <c r="E134" s="34"/>
      <c r="F134" s="34"/>
      <c r="G134" s="34"/>
      <c r="H134" s="34"/>
      <c r="I134" s="34"/>
      <c r="J134" s="34"/>
      <c r="K134" s="34"/>
      <c r="L134" s="34"/>
      <c r="M134" s="34"/>
      <c r="N134" s="152"/>
      <c r="Q134" s="34"/>
      <c r="R134" s="152"/>
    </row>
    <row r="135" spans="1:20" x14ac:dyDescent="0.25">
      <c r="A135" s="161" t="s">
        <v>171</v>
      </c>
      <c r="B135" s="176"/>
      <c r="C135" s="99" t="s">
        <v>244</v>
      </c>
      <c r="D135" s="174" t="str">
        <f>LEFT(C135,LEN(C135)-1)</f>
        <v>9</v>
      </c>
      <c r="E135" s="99" t="s">
        <v>210</v>
      </c>
      <c r="F135" s="174" t="str">
        <f>LEFT(E135,LEN(E135)-1)</f>
        <v>4</v>
      </c>
      <c r="G135" s="36"/>
      <c r="H135" s="36"/>
      <c r="I135" s="36"/>
      <c r="J135" s="36"/>
      <c r="K135" s="36"/>
      <c r="L135" s="36"/>
      <c r="M135" s="36"/>
      <c r="N135" s="152"/>
      <c r="Q135" s="36"/>
      <c r="R135" s="152"/>
      <c r="S135" s="66" t="str">
        <f>CONCATENATE((D135+F135),"万")</f>
        <v>13万</v>
      </c>
      <c r="T135" s="163" t="s">
        <v>175</v>
      </c>
    </row>
    <row r="136" spans="1:20" ht="16.5" thickBot="1" x14ac:dyDescent="0.3">
      <c r="A136" s="164" t="s">
        <v>176</v>
      </c>
      <c r="B136" s="165"/>
      <c r="C136" s="37"/>
      <c r="D136" s="37"/>
      <c r="E136" s="37"/>
      <c r="F136" s="37"/>
      <c r="G136" s="171" t="s">
        <v>253</v>
      </c>
      <c r="H136" s="171" t="str">
        <f>LEFT(G136,LEN(G136)-1)</f>
        <v>34</v>
      </c>
      <c r="I136" s="171" t="s">
        <v>179</v>
      </c>
      <c r="J136" s="171" t="str">
        <f>LEFT(I136,LEN(I136)-1)</f>
        <v>50</v>
      </c>
      <c r="K136" s="171" t="s">
        <v>245</v>
      </c>
      <c r="L136" s="171" t="str">
        <f>LEFT(K136,LEN(K136)-1)</f>
        <v>26</v>
      </c>
      <c r="M136" s="169" t="s">
        <v>256</v>
      </c>
      <c r="N136" s="172" t="str">
        <f>LEFT(M136,LEN(M136)-1)</f>
        <v>164</v>
      </c>
      <c r="Q136" s="171" t="s">
        <v>247</v>
      </c>
      <c r="R136" s="172" t="str">
        <f>LEFT(Q136,LEN(Q136)-1)</f>
        <v>15</v>
      </c>
      <c r="S136" s="66" t="str">
        <f>CONCATENATE((H136+J136+L136+N136+R136),"万")</f>
        <v>289万</v>
      </c>
      <c r="T136" s="166">
        <v>42847</v>
      </c>
    </row>
    <row r="137" spans="1:20" x14ac:dyDescent="0.25">
      <c r="A137" s="167" t="s">
        <v>233</v>
      </c>
      <c r="B137" s="66" t="s">
        <v>257</v>
      </c>
    </row>
    <row r="138" spans="1:20" ht="16.5" thickBot="1" x14ac:dyDescent="0.3"/>
    <row r="139" spans="1:20" ht="16.5" thickBot="1" x14ac:dyDescent="0.3">
      <c r="A139" s="153"/>
      <c r="B139" s="154" t="s">
        <v>165</v>
      </c>
      <c r="C139" s="155" t="s">
        <v>235</v>
      </c>
      <c r="D139" s="155"/>
      <c r="E139" s="155" t="s">
        <v>167</v>
      </c>
      <c r="F139" s="155"/>
      <c r="G139" s="155" t="s">
        <v>236</v>
      </c>
      <c r="H139" s="155"/>
      <c r="I139" s="155" t="s">
        <v>237</v>
      </c>
      <c r="J139" s="155"/>
      <c r="K139" s="155" t="s">
        <v>58</v>
      </c>
      <c r="L139" s="156"/>
      <c r="M139" s="157" t="s">
        <v>183</v>
      </c>
      <c r="N139" s="158"/>
      <c r="Q139" s="157" t="s">
        <v>243</v>
      </c>
      <c r="R139" s="158"/>
    </row>
    <row r="140" spans="1:20" ht="16.5" thickBot="1" x14ac:dyDescent="0.3">
      <c r="A140" s="159" t="s">
        <v>169</v>
      </c>
      <c r="B140" s="170" t="str">
        <f>CONCATENATE((N142+L142+J142+H142+F141+D141+R142),"万")</f>
        <v>277万</v>
      </c>
      <c r="C140" s="92"/>
      <c r="D140" s="34"/>
      <c r="E140" s="34"/>
      <c r="F140" s="34"/>
      <c r="G140" s="34"/>
      <c r="H140" s="34"/>
      <c r="I140" s="34"/>
      <c r="J140" s="34"/>
      <c r="K140" s="34"/>
      <c r="L140" s="34"/>
      <c r="M140" s="34"/>
      <c r="N140" s="152"/>
      <c r="Q140" s="34"/>
      <c r="R140" s="152"/>
    </row>
    <row r="141" spans="1:20" x14ac:dyDescent="0.25">
      <c r="A141" s="161" t="s">
        <v>171</v>
      </c>
      <c r="B141" s="176"/>
      <c r="C141" s="174" t="s">
        <v>217</v>
      </c>
      <c r="D141" s="174" t="str">
        <f>LEFT(C141,LEN(C141)-1)</f>
        <v>10</v>
      </c>
      <c r="E141" s="174" t="s">
        <v>258</v>
      </c>
      <c r="F141" s="174" t="str">
        <f>LEFT(E141,LEN(E141)-1)</f>
        <v>2</v>
      </c>
      <c r="G141" s="36"/>
      <c r="H141" s="36"/>
      <c r="I141" s="36"/>
      <c r="J141" s="36"/>
      <c r="K141" s="36"/>
      <c r="L141" s="36"/>
      <c r="M141" s="36"/>
      <c r="N141" s="152"/>
      <c r="Q141" s="36"/>
      <c r="R141" s="152"/>
      <c r="S141" s="66" t="str">
        <f>CONCATENATE((D141+F141),"万")</f>
        <v>12万</v>
      </c>
      <c r="T141" s="163" t="s">
        <v>175</v>
      </c>
    </row>
    <row r="142" spans="1:20" ht="16.5" thickBot="1" x14ac:dyDescent="0.3">
      <c r="A142" s="164" t="s">
        <v>176</v>
      </c>
      <c r="B142" s="165"/>
      <c r="C142" s="37"/>
      <c r="D142" s="37"/>
      <c r="E142" s="37"/>
      <c r="F142" s="37"/>
      <c r="G142" s="171" t="s">
        <v>253</v>
      </c>
      <c r="H142" s="171" t="str">
        <f>LEFT(G142,LEN(G142)-1)</f>
        <v>34</v>
      </c>
      <c r="I142" s="171" t="s">
        <v>179</v>
      </c>
      <c r="J142" s="171" t="str">
        <f>LEFT(I142,LEN(I142)-1)</f>
        <v>50</v>
      </c>
      <c r="K142" s="171" t="s">
        <v>245</v>
      </c>
      <c r="L142" s="171" t="str">
        <f>LEFT(K142,LEN(K142)-1)</f>
        <v>26</v>
      </c>
      <c r="M142" s="169" t="s">
        <v>259</v>
      </c>
      <c r="N142" s="172" t="str">
        <f>LEFT(M142,LEN(M142)-1)</f>
        <v>140</v>
      </c>
      <c r="Q142" s="171" t="s">
        <v>247</v>
      </c>
      <c r="R142" s="172" t="str">
        <f>LEFT(Q142,LEN(Q142)-1)</f>
        <v>15</v>
      </c>
      <c r="S142" s="66" t="str">
        <f>CONCATENATE((H142+J142+L142+N142+R142),"万")</f>
        <v>265万</v>
      </c>
      <c r="T142" s="166">
        <v>42864</v>
      </c>
    </row>
    <row r="143" spans="1:20" x14ac:dyDescent="0.25">
      <c r="A143" s="167" t="s">
        <v>233</v>
      </c>
      <c r="B143" s="66" t="s">
        <v>260</v>
      </c>
    </row>
    <row r="144" spans="1:20" ht="16.5" thickBot="1" x14ac:dyDescent="0.3"/>
    <row r="145" spans="1:20" ht="16.5" thickBot="1" x14ac:dyDescent="0.3">
      <c r="A145" s="153"/>
      <c r="B145" s="154" t="s">
        <v>165</v>
      </c>
      <c r="C145" s="155" t="s">
        <v>235</v>
      </c>
      <c r="D145" s="155"/>
      <c r="E145" s="155" t="s">
        <v>167</v>
      </c>
      <c r="F145" s="155"/>
      <c r="G145" s="155" t="s">
        <v>236</v>
      </c>
      <c r="H145" s="155"/>
      <c r="I145" s="155" t="s">
        <v>237</v>
      </c>
      <c r="J145" s="155"/>
      <c r="K145" s="155" t="s">
        <v>58</v>
      </c>
      <c r="L145" s="156"/>
      <c r="M145" s="157" t="s">
        <v>183</v>
      </c>
      <c r="N145" s="158"/>
      <c r="Q145" s="157" t="s">
        <v>243</v>
      </c>
      <c r="R145" s="158"/>
    </row>
    <row r="146" spans="1:20" ht="16.5" thickBot="1" x14ac:dyDescent="0.3">
      <c r="A146" s="159" t="s">
        <v>169</v>
      </c>
      <c r="B146" s="170" t="str">
        <f>CONCATENATE((N148+L148+J148+H148+F147+D147+R148),"万")</f>
        <v>280万</v>
      </c>
      <c r="C146" s="92"/>
      <c r="D146" s="34"/>
      <c r="E146" s="34"/>
      <c r="F146" s="34"/>
      <c r="G146" s="34"/>
      <c r="H146" s="34"/>
      <c r="I146" s="34"/>
      <c r="J146" s="34"/>
      <c r="K146" s="34"/>
      <c r="L146" s="34"/>
      <c r="M146" s="34"/>
      <c r="N146" s="152"/>
      <c r="Q146" s="34"/>
      <c r="R146" s="152"/>
    </row>
    <row r="147" spans="1:20" x14ac:dyDescent="0.25">
      <c r="A147" s="161" t="s">
        <v>171</v>
      </c>
      <c r="B147" s="176"/>
      <c r="C147" s="99" t="s">
        <v>217</v>
      </c>
      <c r="D147" s="99" t="str">
        <f>LEFT(C147,LEN(C147)-1)</f>
        <v>10</v>
      </c>
      <c r="E147" s="99" t="s">
        <v>258</v>
      </c>
      <c r="F147" s="174" t="str">
        <f>LEFT(E147,LEN(E147)-1)</f>
        <v>2</v>
      </c>
      <c r="G147" s="36"/>
      <c r="H147" s="36"/>
      <c r="I147" s="36"/>
      <c r="J147" s="36"/>
      <c r="K147" s="36"/>
      <c r="L147" s="36"/>
      <c r="M147" s="36"/>
      <c r="N147" s="152"/>
      <c r="Q147" s="36"/>
      <c r="R147" s="152"/>
      <c r="S147" s="66" t="str">
        <f>CONCATENATE((D147+F147),"万")</f>
        <v>12万</v>
      </c>
      <c r="T147" s="163" t="s">
        <v>175</v>
      </c>
    </row>
    <row r="148" spans="1:20" ht="16.5" thickBot="1" x14ac:dyDescent="0.3">
      <c r="A148" s="164" t="s">
        <v>176</v>
      </c>
      <c r="B148" s="165"/>
      <c r="C148" s="37"/>
      <c r="D148" s="37"/>
      <c r="E148" s="37"/>
      <c r="F148" s="37"/>
      <c r="G148" s="171" t="s">
        <v>253</v>
      </c>
      <c r="H148" s="171" t="str">
        <f>LEFT(G148,LEN(G148)-1)</f>
        <v>34</v>
      </c>
      <c r="I148" s="171" t="s">
        <v>179</v>
      </c>
      <c r="J148" s="171" t="str">
        <f>LEFT(I148,LEN(I148)-1)</f>
        <v>50</v>
      </c>
      <c r="K148" s="171" t="s">
        <v>245</v>
      </c>
      <c r="L148" s="171" t="str">
        <f>LEFT(K148,LEN(K148)-1)</f>
        <v>26</v>
      </c>
      <c r="M148" s="169" t="s">
        <v>261</v>
      </c>
      <c r="N148" s="172" t="str">
        <f>LEFT(M148,LEN(M148)-1)</f>
        <v>143</v>
      </c>
      <c r="Q148" s="171" t="s">
        <v>247</v>
      </c>
      <c r="R148" s="172" t="str">
        <f>LEFT(Q148,LEN(Q148)-1)</f>
        <v>15</v>
      </c>
      <c r="S148" s="66" t="str">
        <f>CONCATENATE((H148+J148+L148+N148+R148),"万")</f>
        <v>268万</v>
      </c>
      <c r="T148" s="166">
        <v>42865</v>
      </c>
    </row>
    <row r="149" spans="1:20" x14ac:dyDescent="0.25">
      <c r="A149" s="167" t="s">
        <v>233</v>
      </c>
      <c r="B149" s="66" t="s">
        <v>262</v>
      </c>
    </row>
    <row r="150" spans="1:20" ht="16.5" thickBot="1" x14ac:dyDescent="0.3"/>
    <row r="151" spans="1:20" ht="16.5" thickBot="1" x14ac:dyDescent="0.3">
      <c r="A151" s="153"/>
      <c r="B151" s="154" t="s">
        <v>165</v>
      </c>
      <c r="C151" s="155" t="s">
        <v>235</v>
      </c>
      <c r="D151" s="155"/>
      <c r="E151" s="155" t="s">
        <v>167</v>
      </c>
      <c r="F151" s="155"/>
      <c r="G151" s="155" t="s">
        <v>236</v>
      </c>
      <c r="H151" s="155"/>
      <c r="I151" s="155" t="s">
        <v>237</v>
      </c>
      <c r="J151" s="155"/>
      <c r="K151" s="155" t="s">
        <v>58</v>
      </c>
      <c r="L151" s="156"/>
      <c r="M151" s="157" t="s">
        <v>183</v>
      </c>
      <c r="N151" s="158"/>
      <c r="Q151" s="157" t="s">
        <v>243</v>
      </c>
      <c r="R151" s="158"/>
    </row>
    <row r="152" spans="1:20" ht="16.5" thickBot="1" x14ac:dyDescent="0.3">
      <c r="A152" s="159" t="s">
        <v>169</v>
      </c>
      <c r="B152" s="170" t="str">
        <f>CONCATENATE((N154+L154+J154+H154+F153+D153+R154),"万")</f>
        <v>277万</v>
      </c>
      <c r="C152" s="92"/>
      <c r="D152" s="34"/>
      <c r="E152" s="34"/>
      <c r="F152" s="34"/>
      <c r="G152" s="34"/>
      <c r="H152" s="34"/>
      <c r="I152" s="34"/>
      <c r="J152" s="34"/>
      <c r="K152" s="34"/>
      <c r="L152" s="34"/>
      <c r="M152" s="34"/>
      <c r="N152" s="152"/>
      <c r="Q152" s="34"/>
      <c r="R152" s="152"/>
    </row>
    <row r="153" spans="1:20" x14ac:dyDescent="0.25">
      <c r="A153" s="161" t="s">
        <v>171</v>
      </c>
      <c r="B153" s="176"/>
      <c r="C153" s="99" t="s">
        <v>217</v>
      </c>
      <c r="D153" s="99" t="str">
        <f>LEFT(C153,LEN(C153)-1)</f>
        <v>10</v>
      </c>
      <c r="E153" s="99" t="s">
        <v>258</v>
      </c>
      <c r="F153" s="174" t="str">
        <f>LEFT(E153,LEN(E153)-1)</f>
        <v>2</v>
      </c>
      <c r="G153" s="36"/>
      <c r="H153" s="36"/>
      <c r="I153" s="36"/>
      <c r="J153" s="36"/>
      <c r="K153" s="36"/>
      <c r="L153" s="36"/>
      <c r="M153" s="36"/>
      <c r="N153" s="152"/>
      <c r="Q153" s="36"/>
      <c r="R153" s="152"/>
      <c r="S153" s="66" t="str">
        <f>CONCATENATE((D153+F153),"万")</f>
        <v>12万</v>
      </c>
      <c r="T153" s="163" t="s">
        <v>175</v>
      </c>
    </row>
    <row r="154" spans="1:20" ht="16.5" thickBot="1" x14ac:dyDescent="0.3">
      <c r="A154" s="164" t="s">
        <v>176</v>
      </c>
      <c r="B154" s="165"/>
      <c r="C154" s="37"/>
      <c r="D154" s="37"/>
      <c r="E154" s="37"/>
      <c r="F154" s="37"/>
      <c r="G154" s="171" t="s">
        <v>253</v>
      </c>
      <c r="H154" s="171" t="str">
        <f>LEFT(G154,LEN(G154)-1)</f>
        <v>34</v>
      </c>
      <c r="I154" s="171" t="s">
        <v>179</v>
      </c>
      <c r="J154" s="171" t="str">
        <f>LEFT(I154,LEN(I154)-1)</f>
        <v>50</v>
      </c>
      <c r="K154" s="171" t="s">
        <v>245</v>
      </c>
      <c r="L154" s="171" t="str">
        <f>LEFT(K154,LEN(K154)-1)</f>
        <v>26</v>
      </c>
      <c r="M154" s="169" t="s">
        <v>259</v>
      </c>
      <c r="N154" s="172" t="str">
        <f>LEFT(M154,LEN(M154)-1)</f>
        <v>140</v>
      </c>
      <c r="Q154" s="171" t="s">
        <v>247</v>
      </c>
      <c r="R154" s="172" t="str">
        <f>LEFT(Q154,LEN(Q154)-1)</f>
        <v>15</v>
      </c>
      <c r="S154" s="66" t="str">
        <f>CONCATENATE((H154+J154+L154+N154+R154),"万")</f>
        <v>265万</v>
      </c>
      <c r="T154" s="166">
        <v>42866</v>
      </c>
    </row>
    <row r="155" spans="1:20" x14ac:dyDescent="0.25">
      <c r="A155" s="167" t="s">
        <v>233</v>
      </c>
      <c r="B155" s="66" t="s">
        <v>263</v>
      </c>
    </row>
    <row r="156" spans="1:20" ht="16.5" thickBot="1" x14ac:dyDescent="0.3"/>
    <row r="157" spans="1:20" ht="16.5" thickBot="1" x14ac:dyDescent="0.3">
      <c r="A157" s="153"/>
      <c r="B157" s="154" t="s">
        <v>165</v>
      </c>
      <c r="C157" s="155" t="s">
        <v>235</v>
      </c>
      <c r="D157" s="155"/>
      <c r="E157" s="155" t="s">
        <v>167</v>
      </c>
      <c r="F157" s="155"/>
      <c r="G157" s="155" t="s">
        <v>236</v>
      </c>
      <c r="H157" s="155"/>
      <c r="I157" s="155" t="s">
        <v>237</v>
      </c>
      <c r="J157" s="155"/>
      <c r="K157" s="155" t="s">
        <v>58</v>
      </c>
      <c r="L157" s="156"/>
      <c r="M157" s="157" t="s">
        <v>183</v>
      </c>
      <c r="N157" s="158"/>
      <c r="Q157" s="157" t="s">
        <v>243</v>
      </c>
      <c r="R157" s="158"/>
    </row>
    <row r="158" spans="1:20" ht="16.5" thickBot="1" x14ac:dyDescent="0.3">
      <c r="A158" s="159" t="s">
        <v>169</v>
      </c>
      <c r="B158" s="170" t="str">
        <f>CONCATENATE((N160+L160+J160+H160+F159+D159+R160),"万")</f>
        <v>279万</v>
      </c>
      <c r="C158" s="92"/>
      <c r="D158" s="34"/>
      <c r="E158" s="34"/>
      <c r="F158" s="34"/>
      <c r="G158" s="34"/>
      <c r="H158" s="34"/>
      <c r="I158" s="34"/>
      <c r="J158" s="34"/>
      <c r="K158" s="34"/>
      <c r="L158" s="34"/>
      <c r="M158" s="34"/>
      <c r="N158" s="152"/>
      <c r="Q158" s="34"/>
      <c r="R158" s="152"/>
    </row>
    <row r="159" spans="1:20" x14ac:dyDescent="0.25">
      <c r="A159" s="161" t="s">
        <v>171</v>
      </c>
      <c r="B159" s="176"/>
      <c r="C159" s="174" t="s">
        <v>264</v>
      </c>
      <c r="D159" s="99" t="str">
        <f>LEFT(C159,LEN(C159)-1)</f>
        <v>8</v>
      </c>
      <c r="E159" s="99" t="s">
        <v>258</v>
      </c>
      <c r="F159" s="174" t="str">
        <f>LEFT(E159,LEN(E159)-1)</f>
        <v>2</v>
      </c>
      <c r="G159" s="36"/>
      <c r="H159" s="36"/>
      <c r="I159" s="36"/>
      <c r="J159" s="36"/>
      <c r="K159" s="36"/>
      <c r="L159" s="36"/>
      <c r="M159" s="36"/>
      <c r="N159" s="152"/>
      <c r="Q159" s="36"/>
      <c r="R159" s="152"/>
      <c r="S159" s="66" t="str">
        <f>CONCATENATE((D159+F159),"万")</f>
        <v>10万</v>
      </c>
      <c r="T159" s="163" t="s">
        <v>175</v>
      </c>
    </row>
    <row r="160" spans="1:20" ht="16.5" thickBot="1" x14ac:dyDescent="0.3">
      <c r="A160" s="164" t="s">
        <v>176</v>
      </c>
      <c r="B160" s="165"/>
      <c r="C160" s="37"/>
      <c r="D160" s="37"/>
      <c r="E160" s="37"/>
      <c r="F160" s="37"/>
      <c r="G160" s="171" t="s">
        <v>253</v>
      </c>
      <c r="H160" s="171" t="str">
        <f>LEFT(G160,LEN(G160)-1)</f>
        <v>34</v>
      </c>
      <c r="I160" s="171" t="s">
        <v>179</v>
      </c>
      <c r="J160" s="171" t="str">
        <f>LEFT(I160,LEN(I160)-1)</f>
        <v>50</v>
      </c>
      <c r="K160" s="171" t="s">
        <v>245</v>
      </c>
      <c r="L160" s="171" t="str">
        <f>LEFT(K160,LEN(K160)-1)</f>
        <v>26</v>
      </c>
      <c r="M160" s="169" t="s">
        <v>265</v>
      </c>
      <c r="N160" s="172" t="str">
        <f>LEFT(M160,LEN(M160)-1)</f>
        <v>144</v>
      </c>
      <c r="Q160" s="171" t="s">
        <v>247</v>
      </c>
      <c r="R160" s="172" t="str">
        <f>LEFT(Q160,LEN(Q160)-1)</f>
        <v>15</v>
      </c>
      <c r="S160" s="66" t="str">
        <f>CONCATENATE((H160+J160+L160+N160+R160),"万")</f>
        <v>269万</v>
      </c>
      <c r="T160" s="166">
        <v>42871</v>
      </c>
    </row>
    <row r="161" spans="1:20" x14ac:dyDescent="0.25">
      <c r="A161" s="167" t="s">
        <v>233</v>
      </c>
      <c r="B161" s="66" t="s">
        <v>266</v>
      </c>
    </row>
    <row r="162" spans="1:20" ht="16.5" thickBot="1" x14ac:dyDescent="0.3"/>
    <row r="163" spans="1:20" ht="16.5" thickBot="1" x14ac:dyDescent="0.3">
      <c r="A163" s="153"/>
      <c r="B163" s="154" t="s">
        <v>165</v>
      </c>
      <c r="C163" s="155" t="s">
        <v>235</v>
      </c>
      <c r="D163" s="155"/>
      <c r="E163" s="155" t="s">
        <v>167</v>
      </c>
      <c r="F163" s="155"/>
      <c r="G163" s="155" t="s">
        <v>236</v>
      </c>
      <c r="H163" s="155"/>
      <c r="I163" s="155" t="s">
        <v>237</v>
      </c>
      <c r="J163" s="155"/>
      <c r="K163" s="155" t="s">
        <v>58</v>
      </c>
      <c r="L163" s="156"/>
      <c r="M163" s="157" t="s">
        <v>183</v>
      </c>
      <c r="N163" s="158"/>
      <c r="Q163" s="157" t="s">
        <v>243</v>
      </c>
      <c r="R163" s="158"/>
    </row>
    <row r="164" spans="1:20" ht="16.5" thickBot="1" x14ac:dyDescent="0.3">
      <c r="A164" s="159" t="s">
        <v>169</v>
      </c>
      <c r="B164" s="170" t="str">
        <f>CONCATENATE((N166+L166+J166+H166+F165+D165+R166),"万")</f>
        <v>281万</v>
      </c>
      <c r="C164" s="92"/>
      <c r="D164" s="34"/>
      <c r="E164" s="34"/>
      <c r="F164" s="34"/>
      <c r="G164" s="34"/>
      <c r="H164" s="34"/>
      <c r="I164" s="34"/>
      <c r="J164" s="34"/>
      <c r="K164" s="34"/>
      <c r="L164" s="34"/>
      <c r="M164" s="34"/>
      <c r="N164" s="152"/>
      <c r="Q164" s="34"/>
      <c r="R164" s="152"/>
    </row>
    <row r="165" spans="1:20" x14ac:dyDescent="0.25">
      <c r="A165" s="161" t="s">
        <v>171</v>
      </c>
      <c r="B165" s="176"/>
      <c r="C165" s="99" t="s">
        <v>264</v>
      </c>
      <c r="D165" s="99" t="str">
        <f>LEFT(C165,LEN(C165)-1)</f>
        <v>8</v>
      </c>
      <c r="E165" s="99" t="s">
        <v>258</v>
      </c>
      <c r="F165" s="174" t="str">
        <f>LEFT(E165,LEN(E165)-1)</f>
        <v>2</v>
      </c>
      <c r="G165" s="36"/>
      <c r="H165" s="36"/>
      <c r="I165" s="36"/>
      <c r="J165" s="36"/>
      <c r="K165" s="36"/>
      <c r="L165" s="36"/>
      <c r="M165" s="36"/>
      <c r="N165" s="152"/>
      <c r="Q165" s="36"/>
      <c r="R165" s="152"/>
      <c r="S165" s="66" t="str">
        <f>CONCATENATE((D165+F165),"万")</f>
        <v>10万</v>
      </c>
      <c r="T165" s="163" t="s">
        <v>175</v>
      </c>
    </row>
    <row r="166" spans="1:20" ht="16.5" thickBot="1" x14ac:dyDescent="0.3">
      <c r="A166" s="164" t="s">
        <v>176</v>
      </c>
      <c r="B166" s="165"/>
      <c r="C166" s="37"/>
      <c r="D166" s="37"/>
      <c r="E166" s="37"/>
      <c r="F166" s="37"/>
      <c r="G166" s="171" t="s">
        <v>253</v>
      </c>
      <c r="H166" s="171" t="str">
        <f>LEFT(G166,LEN(G166)-1)</f>
        <v>34</v>
      </c>
      <c r="I166" s="171" t="s">
        <v>179</v>
      </c>
      <c r="J166" s="171" t="str">
        <f>LEFT(I166,LEN(I166)-1)</f>
        <v>50</v>
      </c>
      <c r="K166" s="171" t="s">
        <v>245</v>
      </c>
      <c r="L166" s="171" t="str">
        <f>LEFT(K166,LEN(K166)-1)</f>
        <v>26</v>
      </c>
      <c r="M166" s="169" t="s">
        <v>267</v>
      </c>
      <c r="N166" s="172" t="str">
        <f>LEFT(M166,LEN(M166)-1)</f>
        <v>146</v>
      </c>
      <c r="Q166" s="171" t="s">
        <v>247</v>
      </c>
      <c r="R166" s="172" t="str">
        <f>LEFT(Q166,LEN(Q166)-1)</f>
        <v>15</v>
      </c>
      <c r="S166" s="66" t="str">
        <f>CONCATENATE((H166+J166+L166+N166+R166),"万")</f>
        <v>271万</v>
      </c>
      <c r="T166" s="166">
        <v>42872</v>
      </c>
    </row>
    <row r="167" spans="1:20" x14ac:dyDescent="0.25">
      <c r="A167" s="167" t="s">
        <v>233</v>
      </c>
      <c r="B167" s="66" t="s">
        <v>268</v>
      </c>
    </row>
    <row r="168" spans="1:20" ht="16.5" thickBot="1" x14ac:dyDescent="0.3"/>
    <row r="169" spans="1:20" ht="16.5" thickBot="1" x14ac:dyDescent="0.3">
      <c r="A169" s="153"/>
      <c r="B169" s="154" t="s">
        <v>165</v>
      </c>
      <c r="C169" s="155" t="s">
        <v>235</v>
      </c>
      <c r="D169" s="155"/>
      <c r="E169" s="155" t="s">
        <v>167</v>
      </c>
      <c r="F169" s="155"/>
      <c r="G169" s="155" t="s">
        <v>236</v>
      </c>
      <c r="H169" s="155"/>
      <c r="I169" s="155" t="s">
        <v>237</v>
      </c>
      <c r="J169" s="155"/>
      <c r="K169" s="155" t="s">
        <v>58</v>
      </c>
      <c r="L169" s="156"/>
      <c r="M169" s="157" t="s">
        <v>183</v>
      </c>
      <c r="N169" s="158"/>
      <c r="Q169" s="157" t="s">
        <v>243</v>
      </c>
      <c r="R169" s="158"/>
    </row>
    <row r="170" spans="1:20" ht="16.5" thickBot="1" x14ac:dyDescent="0.3">
      <c r="A170" s="159" t="s">
        <v>169</v>
      </c>
      <c r="B170" s="170" t="str">
        <f>CONCATENATE((N172+L172+J172+H172+F171+D171+R172),"万")</f>
        <v>290万</v>
      </c>
      <c r="C170" s="92"/>
      <c r="D170" s="34"/>
      <c r="E170" s="34"/>
      <c r="F170" s="34"/>
      <c r="G170" s="34"/>
      <c r="H170" s="34"/>
      <c r="I170" s="34"/>
      <c r="J170" s="34"/>
      <c r="K170" s="34"/>
      <c r="L170" s="34"/>
      <c r="M170" s="34"/>
      <c r="N170" s="152"/>
      <c r="Q170" s="34"/>
      <c r="R170" s="152"/>
    </row>
    <row r="171" spans="1:20" x14ac:dyDescent="0.25">
      <c r="A171" s="161" t="s">
        <v>171</v>
      </c>
      <c r="B171" s="176"/>
      <c r="C171" s="99" t="s">
        <v>264</v>
      </c>
      <c r="D171" s="99" t="str">
        <f>LEFT(C171,LEN(C171)-1)</f>
        <v>8</v>
      </c>
      <c r="E171" s="174" t="s">
        <v>269</v>
      </c>
      <c r="F171" s="174" t="str">
        <f>LEFT(E171,LEN(E171)-1)</f>
        <v>3</v>
      </c>
      <c r="G171" s="36"/>
      <c r="H171" s="36"/>
      <c r="I171" s="36"/>
      <c r="J171" s="36"/>
      <c r="K171" s="36"/>
      <c r="L171" s="36"/>
      <c r="M171" s="36"/>
      <c r="N171" s="152"/>
      <c r="Q171" s="36"/>
      <c r="R171" s="152"/>
      <c r="S171" s="66" t="str">
        <f>CONCATENATE((D171+F171),"万")</f>
        <v>11万</v>
      </c>
      <c r="T171" s="163" t="s">
        <v>175</v>
      </c>
    </row>
    <row r="172" spans="1:20" ht="16.5" thickBot="1" x14ac:dyDescent="0.3">
      <c r="A172" s="164" t="s">
        <v>176</v>
      </c>
      <c r="B172" s="165"/>
      <c r="C172" s="37"/>
      <c r="D172" s="37"/>
      <c r="E172" s="37"/>
      <c r="F172" s="37"/>
      <c r="G172" s="169" t="s">
        <v>270</v>
      </c>
      <c r="H172" s="171" t="str">
        <f>LEFT(G172,LEN(G172)-1)</f>
        <v>35</v>
      </c>
      <c r="I172" s="171" t="s">
        <v>179</v>
      </c>
      <c r="J172" s="171" t="str">
        <f>LEFT(I172,LEN(I172)-1)</f>
        <v>50</v>
      </c>
      <c r="K172" s="171" t="s">
        <v>245</v>
      </c>
      <c r="L172" s="171" t="str">
        <f>LEFT(K172,LEN(K172)-1)</f>
        <v>26</v>
      </c>
      <c r="M172" s="169" t="s">
        <v>271</v>
      </c>
      <c r="N172" s="172" t="str">
        <f>LEFT(M172,LEN(M172)-1)</f>
        <v>153</v>
      </c>
      <c r="Q172" s="171" t="s">
        <v>247</v>
      </c>
      <c r="R172" s="172" t="str">
        <f>LEFT(Q172,LEN(Q172)-1)</f>
        <v>15</v>
      </c>
      <c r="S172" s="66" t="str">
        <f>CONCATENATE((H172+J172+L172+N172+R172),"万")</f>
        <v>279万</v>
      </c>
      <c r="T172" s="166">
        <v>42874</v>
      </c>
    </row>
    <row r="173" spans="1:20" x14ac:dyDescent="0.25">
      <c r="A173" s="167" t="s">
        <v>182</v>
      </c>
      <c r="B173" s="66" t="s">
        <v>272</v>
      </c>
    </row>
    <row r="174" spans="1:20" ht="16.5" thickBot="1" x14ac:dyDescent="0.3"/>
    <row r="175" spans="1:20" ht="16.5" thickBot="1" x14ac:dyDescent="0.3">
      <c r="A175" s="153"/>
      <c r="B175" s="154" t="s">
        <v>165</v>
      </c>
      <c r="C175" s="155" t="s">
        <v>166</v>
      </c>
      <c r="D175" s="155"/>
      <c r="E175" s="155" t="s">
        <v>167</v>
      </c>
      <c r="F175" s="155"/>
      <c r="G175" s="155" t="s">
        <v>189</v>
      </c>
      <c r="H175" s="155"/>
      <c r="I175" s="155" t="s">
        <v>168</v>
      </c>
      <c r="J175" s="155"/>
      <c r="K175" s="155" t="s">
        <v>58</v>
      </c>
      <c r="L175" s="156"/>
      <c r="M175" s="157" t="s">
        <v>183</v>
      </c>
      <c r="N175" s="158"/>
      <c r="Q175" s="157" t="s">
        <v>243</v>
      </c>
      <c r="R175" s="158"/>
    </row>
    <row r="176" spans="1:20" ht="16.5" thickBot="1" x14ac:dyDescent="0.3">
      <c r="A176" s="159" t="s">
        <v>169</v>
      </c>
      <c r="B176" s="175" t="str">
        <f>CONCATENATE((N178+L178+J178+H178+F177+D177+R178),"万")</f>
        <v>290万</v>
      </c>
      <c r="C176" s="92"/>
      <c r="D176" s="92"/>
      <c r="E176" s="92"/>
      <c r="F176" s="92"/>
      <c r="G176" s="92"/>
      <c r="H176" s="92"/>
      <c r="I176" s="92"/>
      <c r="J176" s="92"/>
      <c r="K176" s="92"/>
      <c r="L176" s="92"/>
      <c r="M176" s="92"/>
      <c r="N176" s="152"/>
      <c r="Q176" s="34"/>
      <c r="R176" s="152"/>
    </row>
    <row r="177" spans="1:20" x14ac:dyDescent="0.25">
      <c r="A177" s="161" t="s">
        <v>171</v>
      </c>
      <c r="B177" s="176"/>
      <c r="C177" s="99" t="s">
        <v>264</v>
      </c>
      <c r="D177" s="99" t="str">
        <f>LEFT(C177,LEN(C177)-1)</f>
        <v>8</v>
      </c>
      <c r="E177" s="99" t="s">
        <v>269</v>
      </c>
      <c r="F177" s="99" t="str">
        <f>LEFT(E177,LEN(E177)-1)</f>
        <v>3</v>
      </c>
      <c r="G177" s="99"/>
      <c r="H177" s="99"/>
      <c r="I177" s="99"/>
      <c r="J177" s="99"/>
      <c r="K177" s="99"/>
      <c r="L177" s="99"/>
      <c r="M177" s="99"/>
      <c r="N177" s="152"/>
      <c r="Q177" s="36"/>
      <c r="R177" s="152"/>
      <c r="S177" s="66" t="str">
        <f>CONCATENATE((D177+F177),"万")</f>
        <v>11万</v>
      </c>
      <c r="T177" s="163" t="s">
        <v>175</v>
      </c>
    </row>
    <row r="178" spans="1:20" ht="16.5" thickBot="1" x14ac:dyDescent="0.3">
      <c r="A178" s="164" t="s">
        <v>176</v>
      </c>
      <c r="B178" s="360"/>
      <c r="C178" s="171"/>
      <c r="D178" s="171"/>
      <c r="E178" s="171"/>
      <c r="F178" s="171"/>
      <c r="G178" s="171" t="s">
        <v>270</v>
      </c>
      <c r="H178" s="171" t="str">
        <f>LEFT(G178,LEN(G178)-1)</f>
        <v>35</v>
      </c>
      <c r="I178" s="171" t="s">
        <v>179</v>
      </c>
      <c r="J178" s="171" t="str">
        <f>LEFT(I178,LEN(I178)-1)</f>
        <v>50</v>
      </c>
      <c r="K178" s="171" t="s">
        <v>245</v>
      </c>
      <c r="L178" s="171" t="str">
        <f>LEFT(K178,LEN(K178)-1)</f>
        <v>26</v>
      </c>
      <c r="M178" s="171" t="s">
        <v>271</v>
      </c>
      <c r="N178" s="172" t="str">
        <f>LEFT(M178,LEN(M178)-1)</f>
        <v>153</v>
      </c>
      <c r="Q178" s="171" t="s">
        <v>247</v>
      </c>
      <c r="R178" s="172" t="str">
        <f>LEFT(Q178,LEN(Q178)-1)</f>
        <v>15</v>
      </c>
      <c r="S178" s="66" t="str">
        <f>CONCATENATE((H178+J178+L178+N178+R178),"万")</f>
        <v>279万</v>
      </c>
      <c r="T178" s="166">
        <v>42879</v>
      </c>
    </row>
    <row r="179" spans="1:20" x14ac:dyDescent="0.25">
      <c r="A179" s="167" t="s">
        <v>182</v>
      </c>
      <c r="B179" s="66" t="s">
        <v>464</v>
      </c>
    </row>
    <row r="180" spans="1:20" ht="16.5" thickBot="1" x14ac:dyDescent="0.3"/>
    <row r="181" spans="1:20" ht="16.5" thickBot="1" x14ac:dyDescent="0.3">
      <c r="A181" s="153"/>
      <c r="B181" s="154" t="s">
        <v>165</v>
      </c>
      <c r="C181" s="155" t="s">
        <v>166</v>
      </c>
      <c r="D181" s="155"/>
      <c r="E181" s="155" t="s">
        <v>167</v>
      </c>
      <c r="F181" s="155"/>
      <c r="G181" s="155" t="s">
        <v>189</v>
      </c>
      <c r="H181" s="155"/>
      <c r="I181" s="155" t="s">
        <v>168</v>
      </c>
      <c r="J181" s="155"/>
      <c r="K181" s="155" t="s">
        <v>58</v>
      </c>
      <c r="L181" s="156"/>
      <c r="M181" s="157" t="s">
        <v>183</v>
      </c>
      <c r="N181" s="158"/>
      <c r="Q181" s="157" t="s">
        <v>243</v>
      </c>
      <c r="R181" s="158"/>
    </row>
    <row r="182" spans="1:20" ht="16.5" thickBot="1" x14ac:dyDescent="0.3">
      <c r="A182" s="159" t="s">
        <v>169</v>
      </c>
      <c r="B182" s="175" t="str">
        <f>CONCATENATE((N184+L184+J184+H184+F183+D183+R184),"万")</f>
        <v>301万</v>
      </c>
      <c r="C182" s="92"/>
      <c r="D182" s="92"/>
      <c r="E182" s="92"/>
      <c r="F182" s="92"/>
      <c r="G182" s="92"/>
      <c r="H182" s="92"/>
      <c r="I182" s="92"/>
      <c r="J182" s="92"/>
      <c r="K182" s="92"/>
      <c r="L182" s="92"/>
      <c r="M182" s="92"/>
      <c r="N182" s="152"/>
      <c r="Q182" s="34"/>
      <c r="R182" s="152"/>
    </row>
    <row r="183" spans="1:20" x14ac:dyDescent="0.25">
      <c r="A183" s="161" t="s">
        <v>171</v>
      </c>
      <c r="B183" s="176"/>
      <c r="C183" s="174" t="s">
        <v>202</v>
      </c>
      <c r="D183" s="99" t="str">
        <f>LEFT(C183,LEN(C183)-1)</f>
        <v>23</v>
      </c>
      <c r="E183" s="174" t="s">
        <v>258</v>
      </c>
      <c r="F183" s="99" t="str">
        <f>LEFT(E183,LEN(E183)-1)</f>
        <v>2</v>
      </c>
      <c r="G183" s="99"/>
      <c r="H183" s="99"/>
      <c r="I183" s="99"/>
      <c r="J183" s="99"/>
      <c r="K183" s="99"/>
      <c r="L183" s="99"/>
      <c r="M183" s="99"/>
      <c r="N183" s="152"/>
      <c r="Q183" s="36"/>
      <c r="R183" s="152"/>
      <c r="S183" s="66" t="str">
        <f>CONCATENATE((D183+F183),"万")</f>
        <v>25万</v>
      </c>
      <c r="T183" s="163" t="s">
        <v>175</v>
      </c>
    </row>
    <row r="184" spans="1:20" ht="16.5" thickBot="1" x14ac:dyDescent="0.3">
      <c r="A184" s="164" t="s">
        <v>176</v>
      </c>
      <c r="B184" s="360"/>
      <c r="C184" s="171"/>
      <c r="D184" s="171"/>
      <c r="E184" s="171"/>
      <c r="F184" s="171"/>
      <c r="G184" s="171" t="s">
        <v>270</v>
      </c>
      <c r="H184" s="171" t="str">
        <f>LEFT(G184,LEN(G184)-1)</f>
        <v>35</v>
      </c>
      <c r="I184" s="171" t="s">
        <v>179</v>
      </c>
      <c r="J184" s="171" t="str">
        <f>LEFT(I184,LEN(I184)-1)</f>
        <v>50</v>
      </c>
      <c r="K184" s="171" t="s">
        <v>245</v>
      </c>
      <c r="L184" s="171" t="str">
        <f>LEFT(K184,LEN(K184)-1)</f>
        <v>26</v>
      </c>
      <c r="M184" s="169" t="s">
        <v>475</v>
      </c>
      <c r="N184" s="172" t="str">
        <f>LEFT(M184,LEN(M184)-1)</f>
        <v>150</v>
      </c>
      <c r="Q184" s="171" t="s">
        <v>247</v>
      </c>
      <c r="R184" s="172" t="str">
        <f>LEFT(Q184,LEN(Q184)-1)</f>
        <v>15</v>
      </c>
      <c r="S184" s="66" t="str">
        <f>CONCATENATE((H184+J184+L184+N184+R184),"万")</f>
        <v>276万</v>
      </c>
      <c r="T184" s="166">
        <v>42886</v>
      </c>
    </row>
    <row r="185" spans="1:20" x14ac:dyDescent="0.25">
      <c r="A185" s="167" t="s">
        <v>182</v>
      </c>
      <c r="B185" s="66" t="s">
        <v>476</v>
      </c>
    </row>
    <row r="186" spans="1:20" ht="16.5" thickBot="1" x14ac:dyDescent="0.3"/>
    <row r="187" spans="1:20" ht="16.5" thickBot="1" x14ac:dyDescent="0.3">
      <c r="A187" s="153"/>
      <c r="B187" s="154" t="s">
        <v>165</v>
      </c>
      <c r="C187" s="155" t="s">
        <v>166</v>
      </c>
      <c r="D187" s="155"/>
      <c r="E187" s="155" t="s">
        <v>167</v>
      </c>
      <c r="F187" s="155"/>
      <c r="G187" s="155" t="s">
        <v>189</v>
      </c>
      <c r="H187" s="155"/>
      <c r="I187" s="155" t="s">
        <v>168</v>
      </c>
      <c r="J187" s="155"/>
      <c r="K187" s="155" t="s">
        <v>58</v>
      </c>
      <c r="L187" s="156"/>
      <c r="M187" s="157" t="s">
        <v>183</v>
      </c>
      <c r="N187" s="158"/>
      <c r="O187" s="157" t="s">
        <v>480</v>
      </c>
      <c r="P187" s="158"/>
      <c r="Q187" s="157" t="s">
        <v>243</v>
      </c>
      <c r="R187" s="158"/>
    </row>
    <row r="188" spans="1:20" ht="16.5" thickBot="1" x14ac:dyDescent="0.3">
      <c r="A188" s="159" t="s">
        <v>169</v>
      </c>
      <c r="B188" s="175" t="str">
        <f>CONCATENATE((N190+L190+J190+H190+F189+D189+R190+P190),"万")</f>
        <v>306万</v>
      </c>
      <c r="C188" s="92"/>
      <c r="D188" s="92"/>
      <c r="E188" s="92"/>
      <c r="F188" s="92"/>
      <c r="G188" s="92"/>
      <c r="H188" s="92"/>
      <c r="I188" s="92"/>
      <c r="J188" s="92"/>
      <c r="K188" s="92"/>
      <c r="L188" s="92"/>
      <c r="M188" s="92"/>
      <c r="N188" s="152"/>
      <c r="O188" s="92"/>
      <c r="P188" s="152"/>
      <c r="Q188" s="34"/>
      <c r="R188" s="152"/>
    </row>
    <row r="189" spans="1:20" x14ac:dyDescent="0.25">
      <c r="A189" s="161" t="s">
        <v>171</v>
      </c>
      <c r="B189" s="176"/>
      <c r="C189" s="174" t="s">
        <v>482</v>
      </c>
      <c r="D189" s="99" t="str">
        <f>LEFT(C189,LEN(C189)-1)</f>
        <v>19</v>
      </c>
      <c r="E189" s="99" t="s">
        <v>258</v>
      </c>
      <c r="F189" s="99" t="str">
        <f>LEFT(E189,LEN(E189)-1)</f>
        <v>2</v>
      </c>
      <c r="G189" s="99"/>
      <c r="H189" s="99"/>
      <c r="I189" s="99"/>
      <c r="J189" s="99"/>
      <c r="K189" s="99"/>
      <c r="L189" s="99"/>
      <c r="M189" s="99"/>
      <c r="N189" s="152"/>
      <c r="O189" s="99"/>
      <c r="P189" s="152"/>
      <c r="Q189" s="36"/>
      <c r="R189" s="152"/>
      <c r="S189" s="66" t="str">
        <f>CONCATENATE((D189+F189),"万")</f>
        <v>21万</v>
      </c>
      <c r="T189" s="163" t="s">
        <v>175</v>
      </c>
    </row>
    <row r="190" spans="1:20" ht="16.5" thickBot="1" x14ac:dyDescent="0.3">
      <c r="A190" s="164" t="s">
        <v>176</v>
      </c>
      <c r="B190" s="360"/>
      <c r="C190" s="171"/>
      <c r="D190" s="171"/>
      <c r="E190" s="171"/>
      <c r="F190" s="171"/>
      <c r="G190" s="171" t="s">
        <v>270</v>
      </c>
      <c r="H190" s="171" t="str">
        <f>LEFT(G190,LEN(G190)-1)</f>
        <v>35</v>
      </c>
      <c r="I190" s="171" t="s">
        <v>179</v>
      </c>
      <c r="J190" s="171" t="str">
        <f>LEFT(I190,LEN(I190)-1)</f>
        <v>50</v>
      </c>
      <c r="K190" s="171" t="s">
        <v>245</v>
      </c>
      <c r="L190" s="171" t="str">
        <f>LEFT(K190,LEN(K190)-1)</f>
        <v>26</v>
      </c>
      <c r="M190" s="169" t="s">
        <v>479</v>
      </c>
      <c r="N190" s="172" t="str">
        <f>LEFT(M190,LEN(M190)-1)</f>
        <v>154</v>
      </c>
      <c r="O190" s="169" t="s">
        <v>173</v>
      </c>
      <c r="P190" s="172" t="str">
        <f>LEFT(O190,LEN(O190)-1)</f>
        <v>5</v>
      </c>
      <c r="Q190" s="171" t="s">
        <v>247</v>
      </c>
      <c r="R190" s="172" t="str">
        <f>LEFT(Q190,LEN(Q190)-1)</f>
        <v>15</v>
      </c>
      <c r="S190" s="66" t="str">
        <f>CONCATENATE((H190+J190+L190+N190+R190+P190),"万")</f>
        <v>285万</v>
      </c>
      <c r="T190" s="166">
        <v>42891</v>
      </c>
    </row>
    <row r="191" spans="1:20" x14ac:dyDescent="0.25">
      <c r="A191" s="167" t="s">
        <v>182</v>
      </c>
      <c r="B191" s="66" t="s">
        <v>483</v>
      </c>
    </row>
    <row r="192" spans="1:20" ht="16.5" thickBot="1" x14ac:dyDescent="0.3"/>
    <row r="193" spans="1:20" ht="16.5" thickBot="1" x14ac:dyDescent="0.3">
      <c r="A193" s="153"/>
      <c r="B193" s="154" t="s">
        <v>165</v>
      </c>
      <c r="C193" s="155" t="s">
        <v>166</v>
      </c>
      <c r="D193" s="155"/>
      <c r="E193" s="155" t="s">
        <v>167</v>
      </c>
      <c r="F193" s="155"/>
      <c r="G193" s="155" t="s">
        <v>189</v>
      </c>
      <c r="H193" s="155"/>
      <c r="I193" s="155" t="s">
        <v>168</v>
      </c>
      <c r="J193" s="155"/>
      <c r="K193" s="155" t="s">
        <v>58</v>
      </c>
      <c r="L193" s="156"/>
      <c r="M193" s="157" t="s">
        <v>183</v>
      </c>
      <c r="N193" s="158"/>
      <c r="O193" s="157" t="s">
        <v>480</v>
      </c>
      <c r="P193" s="158"/>
      <c r="Q193" s="157" t="s">
        <v>243</v>
      </c>
      <c r="R193" s="158"/>
    </row>
    <row r="194" spans="1:20" ht="16.5" thickBot="1" x14ac:dyDescent="0.3">
      <c r="A194" s="159" t="s">
        <v>169</v>
      </c>
      <c r="B194" s="175" t="str">
        <f>CONCATENATE((N196+L196+J196+H196+F195+D195+R196+P196),"万")</f>
        <v>290万</v>
      </c>
      <c r="C194" s="92"/>
      <c r="D194" s="92"/>
      <c r="E194" s="92"/>
      <c r="F194" s="92"/>
      <c r="G194" s="92"/>
      <c r="H194" s="92"/>
      <c r="I194" s="92"/>
      <c r="J194" s="92"/>
      <c r="K194" s="92"/>
      <c r="L194" s="92"/>
      <c r="M194" s="92"/>
      <c r="N194" s="152"/>
      <c r="O194" s="92"/>
      <c r="P194" s="152"/>
      <c r="Q194" s="34"/>
      <c r="R194" s="152"/>
    </row>
    <row r="195" spans="1:20" x14ac:dyDescent="0.25">
      <c r="A195" s="161" t="s">
        <v>171</v>
      </c>
      <c r="B195" s="176"/>
      <c r="C195" s="174" t="s">
        <v>489</v>
      </c>
      <c r="D195" s="99" t="str">
        <f>LEFT(C195,LEN(C195)-1)</f>
        <v>17</v>
      </c>
      <c r="E195" s="99" t="s">
        <v>258</v>
      </c>
      <c r="F195" s="99" t="str">
        <f>LEFT(E195,LEN(E195)-1)</f>
        <v>2</v>
      </c>
      <c r="G195" s="99"/>
      <c r="H195" s="99"/>
      <c r="I195" s="99"/>
      <c r="J195" s="99"/>
      <c r="K195" s="99"/>
      <c r="L195" s="99"/>
      <c r="M195" s="99"/>
      <c r="N195" s="152"/>
      <c r="O195" s="99"/>
      <c r="P195" s="152"/>
      <c r="Q195" s="36"/>
      <c r="R195" s="152"/>
      <c r="S195" s="66" t="str">
        <f>CONCATENATE((D195+F195),"万")</f>
        <v>19万</v>
      </c>
      <c r="T195" s="163" t="s">
        <v>175</v>
      </c>
    </row>
    <row r="196" spans="1:20" ht="16.5" thickBot="1" x14ac:dyDescent="0.3">
      <c r="A196" s="164" t="s">
        <v>176</v>
      </c>
      <c r="B196" s="360"/>
      <c r="C196" s="171"/>
      <c r="D196" s="171"/>
      <c r="E196" s="171"/>
      <c r="F196" s="171"/>
      <c r="G196" s="171" t="s">
        <v>270</v>
      </c>
      <c r="H196" s="171" t="str">
        <f>LEFT(G196,LEN(G196)-1)</f>
        <v>35</v>
      </c>
      <c r="I196" s="171" t="s">
        <v>179</v>
      </c>
      <c r="J196" s="171" t="str">
        <f>LEFT(I196,LEN(I196)-1)</f>
        <v>50</v>
      </c>
      <c r="K196" s="171" t="s">
        <v>245</v>
      </c>
      <c r="L196" s="171" t="str">
        <f>LEFT(K196,LEN(K196)-1)</f>
        <v>26</v>
      </c>
      <c r="M196" s="169" t="s">
        <v>259</v>
      </c>
      <c r="N196" s="172" t="str">
        <f>LEFT(M196,LEN(M196)-1)</f>
        <v>140</v>
      </c>
      <c r="O196" s="169" t="s">
        <v>173</v>
      </c>
      <c r="P196" s="172" t="str">
        <f>LEFT(O196,LEN(O196)-1)</f>
        <v>5</v>
      </c>
      <c r="Q196" s="171" t="s">
        <v>247</v>
      </c>
      <c r="R196" s="172" t="str">
        <f>LEFT(Q196,LEN(Q196)-1)</f>
        <v>15</v>
      </c>
      <c r="S196" s="66" t="str">
        <f>CONCATENATE((H196+J196+L196+N196+R196+P196),"万")</f>
        <v>271万</v>
      </c>
      <c r="T196" s="166">
        <v>42901</v>
      </c>
    </row>
    <row r="197" spans="1:20" x14ac:dyDescent="0.25">
      <c r="A197" s="167" t="s">
        <v>182</v>
      </c>
    </row>
    <row r="198" spans="1:20" ht="16.5" thickBot="1" x14ac:dyDescent="0.3"/>
    <row r="199" spans="1:20" ht="16.5" thickBot="1" x14ac:dyDescent="0.3">
      <c r="A199" s="153"/>
      <c r="B199" s="154" t="s">
        <v>165</v>
      </c>
      <c r="C199" s="155" t="s">
        <v>166</v>
      </c>
      <c r="D199" s="155"/>
      <c r="E199" s="155" t="s">
        <v>167</v>
      </c>
      <c r="F199" s="155"/>
      <c r="G199" s="155" t="s">
        <v>189</v>
      </c>
      <c r="H199" s="155"/>
      <c r="I199" s="155" t="s">
        <v>168</v>
      </c>
      <c r="J199" s="155"/>
      <c r="K199" s="155" t="s">
        <v>58</v>
      </c>
      <c r="L199" s="156"/>
      <c r="M199" s="157" t="s">
        <v>183</v>
      </c>
      <c r="N199" s="158"/>
      <c r="O199" s="157" t="s">
        <v>480</v>
      </c>
      <c r="P199" s="158"/>
      <c r="Q199" s="157" t="s">
        <v>243</v>
      </c>
      <c r="R199" s="158"/>
    </row>
    <row r="200" spans="1:20" ht="16.5" thickBot="1" x14ac:dyDescent="0.3">
      <c r="A200" s="159" t="s">
        <v>169</v>
      </c>
      <c r="B200" s="175" t="str">
        <f>CONCATENATE((N202+L202+J202+H202+F201+D201+R202+P202),"万")</f>
        <v>352万</v>
      </c>
      <c r="C200" s="92"/>
      <c r="D200" s="92"/>
      <c r="E200" s="92"/>
      <c r="F200" s="92"/>
      <c r="G200" s="92"/>
      <c r="H200" s="92"/>
      <c r="I200" s="92"/>
      <c r="J200" s="92"/>
      <c r="K200" s="92"/>
      <c r="L200" s="92"/>
      <c r="M200" s="92"/>
      <c r="N200" s="152"/>
      <c r="O200" s="92"/>
      <c r="P200" s="152"/>
      <c r="Q200" s="34"/>
      <c r="R200" s="152"/>
    </row>
    <row r="201" spans="1:20" x14ac:dyDescent="0.25">
      <c r="A201" s="161" t="s">
        <v>171</v>
      </c>
      <c r="B201" s="176"/>
      <c r="C201" s="174" t="s">
        <v>498</v>
      </c>
      <c r="D201" s="99" t="str">
        <f>LEFT(C201,LEN(C201)-1)</f>
        <v>30</v>
      </c>
      <c r="E201" s="174" t="s">
        <v>499</v>
      </c>
      <c r="F201" s="99" t="str">
        <f>LEFT(E201,LEN(E201)-1)</f>
        <v>1</v>
      </c>
      <c r="G201" s="99"/>
      <c r="H201" s="99"/>
      <c r="I201" s="99"/>
      <c r="J201" s="99"/>
      <c r="K201" s="99"/>
      <c r="L201" s="99"/>
      <c r="M201" s="99"/>
      <c r="N201" s="152"/>
      <c r="O201" s="99"/>
      <c r="P201" s="152"/>
      <c r="Q201" s="36"/>
      <c r="R201" s="152"/>
      <c r="S201" s="66" t="str">
        <f>CONCATENATE((D201+F201),"万")</f>
        <v>31万</v>
      </c>
      <c r="T201" s="163" t="s">
        <v>175</v>
      </c>
    </row>
    <row r="202" spans="1:20" ht="16.5" thickBot="1" x14ac:dyDescent="0.3">
      <c r="A202" s="164" t="s">
        <v>176</v>
      </c>
      <c r="B202" s="360"/>
      <c r="C202" s="171"/>
      <c r="D202" s="171"/>
      <c r="E202" s="171"/>
      <c r="F202" s="171"/>
      <c r="G202" s="171" t="s">
        <v>270</v>
      </c>
      <c r="H202" s="171" t="str">
        <f>LEFT(G202,LEN(G202)-1)</f>
        <v>35</v>
      </c>
      <c r="I202" s="169" t="s">
        <v>502</v>
      </c>
      <c r="J202" s="171" t="str">
        <f>LEFT(I202,LEN(I202)-1)</f>
        <v>51</v>
      </c>
      <c r="K202" s="171" t="s">
        <v>245</v>
      </c>
      <c r="L202" s="171" t="str">
        <f>LEFT(K202,LEN(K202)-1)</f>
        <v>26</v>
      </c>
      <c r="M202" s="169" t="s">
        <v>500</v>
      </c>
      <c r="N202" s="172" t="str">
        <f>LEFT(M202,LEN(M202)-1)</f>
        <v>189</v>
      </c>
      <c r="O202" s="171" t="s">
        <v>173</v>
      </c>
      <c r="P202" s="172" t="str">
        <f>LEFT(O202,LEN(O202)-1)</f>
        <v>5</v>
      </c>
      <c r="Q202" s="171" t="s">
        <v>247</v>
      </c>
      <c r="R202" s="172" t="str">
        <f>LEFT(Q202,LEN(Q202)-1)</f>
        <v>15</v>
      </c>
      <c r="S202" s="66" t="str">
        <f>CONCATENATE((H202+J202+L202+N202+R202+P202),"万")</f>
        <v>321万</v>
      </c>
      <c r="T202" s="166">
        <v>42916</v>
      </c>
    </row>
    <row r="203" spans="1:20" x14ac:dyDescent="0.25">
      <c r="A203" s="167" t="s">
        <v>182</v>
      </c>
      <c r="B203" s="66" t="s">
        <v>501</v>
      </c>
      <c r="E203" s="113" t="s">
        <v>503</v>
      </c>
    </row>
  </sheetData>
  <phoneticPr fontId="2"/>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49"/>
  <sheetViews>
    <sheetView topLeftCell="A22" workbookViewId="0">
      <selection activeCell="A49" sqref="A49"/>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548</v>
      </c>
      <c r="C2" s="4" t="s">
        <v>523</v>
      </c>
      <c r="D2" s="5">
        <v>100</v>
      </c>
      <c r="E2" s="6">
        <v>2497</v>
      </c>
      <c r="F2" s="7">
        <v>2</v>
      </c>
      <c r="G2" s="8">
        <v>0.08</v>
      </c>
      <c r="H2" s="5">
        <v>2600</v>
      </c>
      <c r="I2" s="5">
        <v>2500</v>
      </c>
      <c r="J2" s="5">
        <v>2500</v>
      </c>
      <c r="K2" s="5">
        <v>2470</v>
      </c>
      <c r="L2" s="9">
        <v>42926</v>
      </c>
      <c r="M2" s="10">
        <v>0.62291666666666667</v>
      </c>
      <c r="N2" s="1" t="s">
        <v>549</v>
      </c>
      <c r="O2" s="5"/>
    </row>
    <row r="3" spans="1:15" x14ac:dyDescent="0.15">
      <c r="A3" s="1">
        <v>9519</v>
      </c>
      <c r="B3" s="3" t="s">
        <v>550</v>
      </c>
      <c r="C3" s="1" t="s">
        <v>511</v>
      </c>
      <c r="D3" s="5">
        <v>100</v>
      </c>
      <c r="E3" s="6">
        <v>1222</v>
      </c>
      <c r="F3" s="7">
        <v>-3</v>
      </c>
      <c r="G3" s="8">
        <v>-0.24</v>
      </c>
      <c r="H3" s="5">
        <v>140500</v>
      </c>
      <c r="I3" s="5">
        <v>1235</v>
      </c>
      <c r="J3" s="5">
        <v>1255</v>
      </c>
      <c r="K3" s="5">
        <v>1220</v>
      </c>
      <c r="L3" s="9">
        <v>42926</v>
      </c>
      <c r="M3" s="10">
        <v>0.625</v>
      </c>
      <c r="N3" s="1" t="s">
        <v>519</v>
      </c>
      <c r="O3" s="5"/>
    </row>
    <row r="4" spans="1:15" x14ac:dyDescent="0.15">
      <c r="A4" s="1">
        <v>3557</v>
      </c>
      <c r="B4" s="3" t="s">
        <v>551</v>
      </c>
      <c r="C4" s="1" t="s">
        <v>511</v>
      </c>
      <c r="D4" s="5">
        <v>100</v>
      </c>
      <c r="E4" s="6">
        <v>4040</v>
      </c>
      <c r="F4" s="7">
        <v>75</v>
      </c>
      <c r="G4" s="8">
        <v>1.89</v>
      </c>
      <c r="H4" s="5">
        <v>1200</v>
      </c>
      <c r="I4" s="5">
        <v>3985</v>
      </c>
      <c r="J4" s="5">
        <v>4040</v>
      </c>
      <c r="K4" s="5">
        <v>3965</v>
      </c>
      <c r="L4" s="9">
        <v>42926</v>
      </c>
      <c r="M4" s="10">
        <v>0.625</v>
      </c>
      <c r="N4" s="1" t="s">
        <v>552</v>
      </c>
      <c r="O4" s="5"/>
    </row>
    <row r="5" spans="1:15" x14ac:dyDescent="0.15">
      <c r="A5" s="1">
        <v>3558</v>
      </c>
      <c r="B5" s="3" t="s">
        <v>524</v>
      </c>
      <c r="C5" s="4" t="s">
        <v>511</v>
      </c>
      <c r="D5" s="5">
        <v>100</v>
      </c>
      <c r="E5" s="6">
        <v>1967</v>
      </c>
      <c r="F5" s="7">
        <v>-23</v>
      </c>
      <c r="G5" s="8">
        <v>-1.1599999999999999</v>
      </c>
      <c r="H5" s="5">
        <v>25600</v>
      </c>
      <c r="I5" s="5">
        <v>2009</v>
      </c>
      <c r="J5" s="5">
        <v>2023</v>
      </c>
      <c r="K5" s="5">
        <v>1952</v>
      </c>
      <c r="L5" s="9">
        <v>42926</v>
      </c>
      <c r="M5" s="10">
        <v>0.625</v>
      </c>
      <c r="N5" s="1" t="s">
        <v>552</v>
      </c>
      <c r="O5" s="5"/>
    </row>
    <row r="6" spans="1:15" x14ac:dyDescent="0.15">
      <c r="A6" s="1">
        <v>3559</v>
      </c>
      <c r="B6" s="3" t="s">
        <v>525</v>
      </c>
      <c r="C6" s="4" t="s">
        <v>511</v>
      </c>
      <c r="D6" s="5">
        <v>100</v>
      </c>
      <c r="E6" s="6">
        <v>2156</v>
      </c>
      <c r="F6" s="7">
        <v>-29</v>
      </c>
      <c r="G6" s="8">
        <v>-1.33</v>
      </c>
      <c r="H6" s="5">
        <v>7800</v>
      </c>
      <c r="I6" s="5">
        <v>2185</v>
      </c>
      <c r="J6" s="5">
        <v>2198</v>
      </c>
      <c r="K6" s="5">
        <v>2156</v>
      </c>
      <c r="L6" s="9">
        <v>42926</v>
      </c>
      <c r="M6" s="10">
        <v>0.625</v>
      </c>
      <c r="N6" s="1" t="s">
        <v>552</v>
      </c>
      <c r="O6" s="5"/>
    </row>
    <row r="7" spans="1:15" x14ac:dyDescent="0.15">
      <c r="A7" s="1">
        <v>9325</v>
      </c>
      <c r="B7" s="3" t="s">
        <v>526</v>
      </c>
      <c r="C7" s="4" t="s">
        <v>511</v>
      </c>
      <c r="D7" s="5">
        <v>100</v>
      </c>
      <c r="E7" s="6">
        <v>6810</v>
      </c>
      <c r="F7" s="7">
        <v>-90</v>
      </c>
      <c r="G7" s="8">
        <v>-1.3</v>
      </c>
      <c r="H7" s="5">
        <v>10600</v>
      </c>
      <c r="I7" s="5">
        <v>6950</v>
      </c>
      <c r="J7" s="5">
        <v>6960</v>
      </c>
      <c r="K7" s="5">
        <v>6780</v>
      </c>
      <c r="L7" s="11">
        <v>42926</v>
      </c>
      <c r="M7" s="10">
        <v>0.625</v>
      </c>
      <c r="N7" s="1" t="s">
        <v>552</v>
      </c>
      <c r="O7" s="5"/>
    </row>
    <row r="8" spans="1:15" x14ac:dyDescent="0.15">
      <c r="A8" s="1">
        <v>3979</v>
      </c>
      <c r="B8" s="3" t="s">
        <v>553</v>
      </c>
      <c r="C8" s="1" t="s">
        <v>511</v>
      </c>
      <c r="D8" s="5">
        <v>100</v>
      </c>
      <c r="E8" s="5">
        <v>4995</v>
      </c>
      <c r="F8" s="7">
        <v>95</v>
      </c>
      <c r="G8" s="8">
        <v>1.94</v>
      </c>
      <c r="H8" s="5">
        <v>28200</v>
      </c>
      <c r="I8" s="5">
        <v>4885</v>
      </c>
      <c r="J8" s="5">
        <v>5020</v>
      </c>
      <c r="K8" s="5">
        <v>4875</v>
      </c>
      <c r="L8" s="11">
        <v>42926</v>
      </c>
      <c r="M8" s="10">
        <v>0.625</v>
      </c>
      <c r="N8" s="1" t="s">
        <v>552</v>
      </c>
      <c r="O8" s="5"/>
    </row>
    <row r="9" spans="1:15" x14ac:dyDescent="0.15">
      <c r="A9" s="1">
        <v>3560</v>
      </c>
      <c r="B9" s="3" t="s">
        <v>554</v>
      </c>
      <c r="C9" s="1" t="s">
        <v>523</v>
      </c>
      <c r="D9" s="5">
        <v>100</v>
      </c>
      <c r="E9" s="5">
        <v>5270</v>
      </c>
      <c r="F9" s="7">
        <v>20</v>
      </c>
      <c r="G9" s="8">
        <v>0.38</v>
      </c>
      <c r="H9" s="5">
        <v>1400</v>
      </c>
      <c r="I9" s="5">
        <v>5280</v>
      </c>
      <c r="J9" s="5">
        <v>5320</v>
      </c>
      <c r="K9" s="5">
        <v>5270</v>
      </c>
      <c r="L9" s="11">
        <v>42926</v>
      </c>
      <c r="M9" s="10">
        <v>0.625</v>
      </c>
      <c r="N9" s="1" t="s">
        <v>552</v>
      </c>
      <c r="O9" s="5"/>
    </row>
    <row r="10" spans="1:15" x14ac:dyDescent="0.15">
      <c r="A10" s="1">
        <v>6544</v>
      </c>
      <c r="B10" s="3" t="s">
        <v>555</v>
      </c>
      <c r="C10" s="1" t="s">
        <v>511</v>
      </c>
      <c r="D10" s="5">
        <v>100</v>
      </c>
      <c r="E10" s="5">
        <v>1745</v>
      </c>
      <c r="F10" s="7">
        <v>44</v>
      </c>
      <c r="G10" s="8">
        <v>2.59</v>
      </c>
      <c r="H10" s="5">
        <v>85000</v>
      </c>
      <c r="I10" s="5">
        <v>1750</v>
      </c>
      <c r="J10" s="5">
        <v>1771</v>
      </c>
      <c r="K10" s="5">
        <v>1708</v>
      </c>
      <c r="L10" s="11">
        <v>42926</v>
      </c>
      <c r="M10" s="10">
        <v>0.625</v>
      </c>
      <c r="N10" s="1" t="s">
        <v>552</v>
      </c>
      <c r="O10" s="5"/>
    </row>
    <row r="11" spans="1:15" x14ac:dyDescent="0.15">
      <c r="A11" s="1">
        <v>3981</v>
      </c>
      <c r="B11" s="3" t="s">
        <v>504</v>
      </c>
      <c r="C11" s="1" t="s">
        <v>511</v>
      </c>
      <c r="D11" s="5">
        <v>100</v>
      </c>
      <c r="E11" s="5">
        <v>2170</v>
      </c>
      <c r="F11" s="7">
        <v>90</v>
      </c>
      <c r="G11" s="8">
        <v>4.33</v>
      </c>
      <c r="H11" s="5">
        <v>111000</v>
      </c>
      <c r="I11" s="5">
        <v>2120</v>
      </c>
      <c r="J11" s="5">
        <v>2178</v>
      </c>
      <c r="K11" s="5">
        <v>2100</v>
      </c>
      <c r="L11" s="11">
        <v>42926</v>
      </c>
      <c r="M11" s="10">
        <v>0.625</v>
      </c>
      <c r="N11" s="1" t="s">
        <v>552</v>
      </c>
      <c r="O11" s="5"/>
    </row>
    <row r="12" spans="1:15" x14ac:dyDescent="0.15">
      <c r="A12" s="1">
        <v>3561</v>
      </c>
      <c r="B12" s="3" t="s">
        <v>527</v>
      </c>
      <c r="C12" s="4" t="s">
        <v>511</v>
      </c>
      <c r="D12" s="5">
        <v>100</v>
      </c>
      <c r="E12" s="5">
        <v>1982</v>
      </c>
      <c r="F12" s="7">
        <v>5</v>
      </c>
      <c r="G12" s="8">
        <v>0.25</v>
      </c>
      <c r="H12" s="5">
        <v>8000</v>
      </c>
      <c r="I12" s="5">
        <v>1993</v>
      </c>
      <c r="J12" s="5">
        <v>1994</v>
      </c>
      <c r="K12" s="5">
        <v>1981</v>
      </c>
      <c r="L12" s="11">
        <v>42926</v>
      </c>
      <c r="M12" s="10">
        <v>0.625</v>
      </c>
      <c r="N12" s="1" t="s">
        <v>552</v>
      </c>
      <c r="O12" s="5"/>
    </row>
    <row r="13" spans="1:15" x14ac:dyDescent="0.15">
      <c r="A13" s="1">
        <v>6545</v>
      </c>
      <c r="B13" s="3" t="s">
        <v>528</v>
      </c>
      <c r="C13" s="4" t="s">
        <v>511</v>
      </c>
      <c r="D13" s="5">
        <v>100</v>
      </c>
      <c r="E13" s="5">
        <v>9130</v>
      </c>
      <c r="F13" s="7">
        <v>-300</v>
      </c>
      <c r="G13" s="8">
        <v>-3.18</v>
      </c>
      <c r="H13" s="5">
        <v>81200</v>
      </c>
      <c r="I13" s="5">
        <v>9430</v>
      </c>
      <c r="J13" s="5">
        <v>9570</v>
      </c>
      <c r="K13" s="5">
        <v>8960</v>
      </c>
      <c r="L13" s="11">
        <v>42926</v>
      </c>
      <c r="M13" s="10">
        <v>0.625</v>
      </c>
      <c r="N13" s="1" t="s">
        <v>552</v>
      </c>
      <c r="O13" s="5"/>
    </row>
    <row r="14" spans="1:15" x14ac:dyDescent="0.15">
      <c r="A14" s="1">
        <v>6546</v>
      </c>
      <c r="B14" s="3" t="s">
        <v>529</v>
      </c>
      <c r="C14" s="1" t="s">
        <v>530</v>
      </c>
      <c r="D14" s="5">
        <v>100</v>
      </c>
      <c r="E14" s="5">
        <v>1041</v>
      </c>
      <c r="F14" s="7">
        <v>1</v>
      </c>
      <c r="G14" s="8">
        <v>0.1</v>
      </c>
      <c r="H14" s="5">
        <v>7400</v>
      </c>
      <c r="I14" s="5">
        <v>1050</v>
      </c>
      <c r="J14" s="5">
        <v>1050</v>
      </c>
      <c r="K14" s="5">
        <v>1038</v>
      </c>
      <c r="L14" s="11">
        <v>42926</v>
      </c>
      <c r="M14" s="10">
        <v>0.61944444444444446</v>
      </c>
      <c r="N14" s="1" t="s">
        <v>552</v>
      </c>
      <c r="O14" s="5"/>
    </row>
    <row r="15" spans="1:15" x14ac:dyDescent="0.15">
      <c r="A15" s="1">
        <v>3978</v>
      </c>
      <c r="B15" s="3" t="s">
        <v>556</v>
      </c>
      <c r="C15" s="4" t="s">
        <v>512</v>
      </c>
      <c r="D15" s="5">
        <v>100</v>
      </c>
      <c r="E15" s="5">
        <v>2718</v>
      </c>
      <c r="F15" s="7">
        <v>172</v>
      </c>
      <c r="G15" s="8">
        <v>6.76</v>
      </c>
      <c r="H15" s="5">
        <v>536200</v>
      </c>
      <c r="I15" s="5">
        <v>2569</v>
      </c>
      <c r="J15" s="5">
        <v>2731</v>
      </c>
      <c r="K15" s="5">
        <v>2567</v>
      </c>
      <c r="L15" s="11">
        <v>42926</v>
      </c>
      <c r="M15" s="10">
        <v>0.625</v>
      </c>
      <c r="N15" s="1" t="s">
        <v>552</v>
      </c>
      <c r="O15" s="5"/>
    </row>
    <row r="16" spans="1:15" x14ac:dyDescent="0.15">
      <c r="A16" s="1">
        <v>6547</v>
      </c>
      <c r="B16" s="3" t="s">
        <v>531</v>
      </c>
      <c r="C16" s="1" t="s">
        <v>530</v>
      </c>
      <c r="D16" s="5">
        <v>100</v>
      </c>
      <c r="E16" s="5">
        <v>1426</v>
      </c>
      <c r="F16" s="7">
        <v>11</v>
      </c>
      <c r="G16" s="8">
        <v>0.78</v>
      </c>
      <c r="H16" s="5">
        <v>31600</v>
      </c>
      <c r="I16" s="5">
        <v>1439</v>
      </c>
      <c r="J16" s="5">
        <v>1440</v>
      </c>
      <c r="K16" s="5">
        <v>1422</v>
      </c>
      <c r="L16" s="11">
        <v>42926</v>
      </c>
      <c r="M16" s="10">
        <v>0.62291666666666667</v>
      </c>
      <c r="N16" s="1" t="s">
        <v>552</v>
      </c>
      <c r="O16" s="5"/>
    </row>
    <row r="17" spans="1:15" x14ac:dyDescent="0.15">
      <c r="A17" s="1">
        <v>3983</v>
      </c>
      <c r="B17" s="3" t="s">
        <v>532</v>
      </c>
      <c r="C17" s="1" t="s">
        <v>511</v>
      </c>
      <c r="D17" s="5">
        <v>100</v>
      </c>
      <c r="E17" s="5">
        <v>3145</v>
      </c>
      <c r="F17" s="7">
        <v>10</v>
      </c>
      <c r="G17" s="8">
        <v>0.32</v>
      </c>
      <c r="H17" s="5">
        <v>6100</v>
      </c>
      <c r="I17" s="5">
        <v>3205</v>
      </c>
      <c r="J17" s="5">
        <v>3205</v>
      </c>
      <c r="K17" s="5">
        <v>3135</v>
      </c>
      <c r="L17" s="11">
        <v>42926</v>
      </c>
      <c r="M17" s="10">
        <v>0.62430555555555556</v>
      </c>
      <c r="N17" s="1" t="s">
        <v>557</v>
      </c>
      <c r="O17" s="5"/>
    </row>
    <row r="18" spans="1:15" x14ac:dyDescent="0.15">
      <c r="A18" s="1">
        <v>4597</v>
      </c>
      <c r="B18" s="3" t="s">
        <v>558</v>
      </c>
      <c r="C18" s="4" t="s">
        <v>511</v>
      </c>
      <c r="D18" s="5">
        <v>100</v>
      </c>
      <c r="E18" s="5">
        <v>401</v>
      </c>
      <c r="F18" s="7">
        <v>-22</v>
      </c>
      <c r="G18" s="8">
        <v>-5.2</v>
      </c>
      <c r="H18" s="5">
        <v>56492100</v>
      </c>
      <c r="I18" s="5">
        <v>439</v>
      </c>
      <c r="J18" s="5">
        <v>469</v>
      </c>
      <c r="K18" s="5">
        <v>398</v>
      </c>
      <c r="L18" s="11">
        <v>42926</v>
      </c>
      <c r="M18" s="10">
        <v>0.625</v>
      </c>
      <c r="N18" s="1" t="s">
        <v>552</v>
      </c>
      <c r="O18" s="5"/>
    </row>
    <row r="19" spans="1:15" x14ac:dyDescent="0.15">
      <c r="A19" s="1">
        <v>3479</v>
      </c>
      <c r="B19" s="3" t="s">
        <v>533</v>
      </c>
      <c r="C19" s="1" t="s">
        <v>511</v>
      </c>
      <c r="D19" s="5">
        <v>100</v>
      </c>
      <c r="E19" s="5">
        <v>15010</v>
      </c>
      <c r="F19" s="7">
        <v>570</v>
      </c>
      <c r="G19" s="8">
        <v>3.95</v>
      </c>
      <c r="H19" s="5">
        <v>23700</v>
      </c>
      <c r="I19" s="5">
        <v>14630</v>
      </c>
      <c r="J19" s="5">
        <v>15060</v>
      </c>
      <c r="K19" s="5">
        <v>14600</v>
      </c>
      <c r="L19" s="11">
        <v>42926</v>
      </c>
      <c r="M19" s="10">
        <v>0.625</v>
      </c>
      <c r="N19" s="1" t="s">
        <v>559</v>
      </c>
      <c r="O19" s="5"/>
    </row>
    <row r="20" spans="1:15" x14ac:dyDescent="0.15">
      <c r="A20" s="1">
        <v>6694</v>
      </c>
      <c r="B20" s="3" t="s">
        <v>560</v>
      </c>
      <c r="C20" s="1" t="s">
        <v>523</v>
      </c>
      <c r="D20" s="5">
        <v>100</v>
      </c>
      <c r="E20" s="5">
        <v>1807</v>
      </c>
      <c r="F20" s="7">
        <v>41</v>
      </c>
      <c r="G20" s="8">
        <v>2.3199999999999998</v>
      </c>
      <c r="H20" s="5">
        <v>8900</v>
      </c>
      <c r="I20" s="5">
        <v>1790</v>
      </c>
      <c r="J20" s="5">
        <v>1817</v>
      </c>
      <c r="K20" s="5">
        <v>1790</v>
      </c>
      <c r="L20" s="11">
        <v>42926</v>
      </c>
      <c r="M20" s="10">
        <v>0.625</v>
      </c>
      <c r="N20" s="1" t="s">
        <v>552</v>
      </c>
      <c r="O20" s="5"/>
    </row>
    <row r="21" spans="1:15" x14ac:dyDescent="0.15">
      <c r="A21" s="1">
        <v>3562</v>
      </c>
      <c r="B21" s="3" t="s">
        <v>534</v>
      </c>
      <c r="C21" s="1" t="s">
        <v>523</v>
      </c>
      <c r="D21" s="5">
        <v>100</v>
      </c>
      <c r="E21" s="5">
        <v>2750</v>
      </c>
      <c r="F21" s="7">
        <v>50</v>
      </c>
      <c r="G21" s="8">
        <v>1.85</v>
      </c>
      <c r="H21" s="5">
        <v>2800</v>
      </c>
      <c r="I21" s="5">
        <v>2700</v>
      </c>
      <c r="J21" s="5">
        <v>2750</v>
      </c>
      <c r="K21" s="5">
        <v>2700</v>
      </c>
      <c r="L21" s="11">
        <v>42926</v>
      </c>
      <c r="M21" s="10">
        <v>0.625</v>
      </c>
      <c r="N21" s="1" t="s">
        <v>552</v>
      </c>
      <c r="O21" s="5"/>
    </row>
    <row r="22" spans="1:15" x14ac:dyDescent="0.15">
      <c r="A22" s="1">
        <v>3964</v>
      </c>
      <c r="B22" s="3" t="s">
        <v>535</v>
      </c>
      <c r="C22" s="1" t="s">
        <v>512</v>
      </c>
      <c r="D22" s="5">
        <v>100</v>
      </c>
      <c r="E22" s="5">
        <v>1414</v>
      </c>
      <c r="F22" s="7">
        <v>30</v>
      </c>
      <c r="G22" s="8">
        <v>2.17</v>
      </c>
      <c r="H22" s="5">
        <v>24000</v>
      </c>
      <c r="I22" s="5">
        <v>1400</v>
      </c>
      <c r="J22" s="5">
        <v>1441</v>
      </c>
      <c r="K22" s="5">
        <v>1399</v>
      </c>
      <c r="L22" s="11">
        <v>42926</v>
      </c>
      <c r="M22" s="10">
        <v>0.625</v>
      </c>
      <c r="N22" s="1" t="s">
        <v>552</v>
      </c>
      <c r="O22" s="5"/>
    </row>
    <row r="23" spans="1:15" x14ac:dyDescent="0.15">
      <c r="A23" s="1">
        <v>3563</v>
      </c>
      <c r="B23" s="3" t="s">
        <v>561</v>
      </c>
      <c r="C23" s="1" t="s">
        <v>512</v>
      </c>
      <c r="D23" s="5">
        <v>100</v>
      </c>
      <c r="E23" s="5">
        <v>3345</v>
      </c>
      <c r="F23" s="7">
        <v>10</v>
      </c>
      <c r="G23" s="8">
        <v>0.3</v>
      </c>
      <c r="H23" s="5">
        <v>90400</v>
      </c>
      <c r="I23" s="5">
        <v>3345</v>
      </c>
      <c r="J23" s="5">
        <v>3355</v>
      </c>
      <c r="K23" s="5">
        <v>3325</v>
      </c>
      <c r="L23" s="11">
        <v>42926</v>
      </c>
      <c r="M23" s="10">
        <v>0.625</v>
      </c>
      <c r="N23" s="1" t="s">
        <v>552</v>
      </c>
      <c r="O23" s="5"/>
    </row>
    <row r="24" spans="1:15" x14ac:dyDescent="0.15">
      <c r="A24" s="1">
        <v>3984</v>
      </c>
      <c r="B24" s="3" t="s">
        <v>536</v>
      </c>
      <c r="C24" s="1" t="s">
        <v>511</v>
      </c>
      <c r="D24" s="5">
        <v>100</v>
      </c>
      <c r="E24" s="5">
        <v>8450</v>
      </c>
      <c r="F24" s="7">
        <v>50</v>
      </c>
      <c r="G24" s="8">
        <v>0.6</v>
      </c>
      <c r="H24" s="5">
        <v>6100</v>
      </c>
      <c r="I24" s="5">
        <v>8400</v>
      </c>
      <c r="J24" s="5">
        <v>8450</v>
      </c>
      <c r="K24" s="5">
        <v>8300</v>
      </c>
      <c r="L24" s="11">
        <v>42926</v>
      </c>
      <c r="M24" s="10">
        <v>0.62430555555555556</v>
      </c>
      <c r="N24" s="1" t="s">
        <v>552</v>
      </c>
      <c r="O24" s="5"/>
    </row>
    <row r="25" spans="1:15" x14ac:dyDescent="0.15">
      <c r="A25" s="1">
        <v>6175</v>
      </c>
      <c r="B25" s="3" t="s">
        <v>513</v>
      </c>
      <c r="C25" s="1" t="s">
        <v>523</v>
      </c>
      <c r="D25" s="5">
        <v>100</v>
      </c>
      <c r="E25" s="5">
        <v>1244</v>
      </c>
      <c r="F25" s="7">
        <v>81</v>
      </c>
      <c r="G25" s="8">
        <v>6.96</v>
      </c>
      <c r="H25" s="5">
        <v>102300</v>
      </c>
      <c r="I25" s="5">
        <v>1190</v>
      </c>
      <c r="J25" s="5">
        <v>1246</v>
      </c>
      <c r="K25" s="5">
        <v>1184</v>
      </c>
      <c r="L25" s="11">
        <v>42926</v>
      </c>
      <c r="M25" s="10">
        <v>0.625</v>
      </c>
      <c r="N25" s="1" t="s">
        <v>552</v>
      </c>
      <c r="O25" s="5"/>
    </row>
    <row r="26" spans="1:15" x14ac:dyDescent="0.15">
      <c r="A26" s="1">
        <v>3985</v>
      </c>
      <c r="B26" s="3" t="s">
        <v>520</v>
      </c>
      <c r="C26" s="1" t="s">
        <v>511</v>
      </c>
      <c r="D26" s="5">
        <v>100</v>
      </c>
      <c r="E26" s="5">
        <v>6500</v>
      </c>
      <c r="F26" s="7">
        <v>-100</v>
      </c>
      <c r="G26" s="8">
        <v>-1.52</v>
      </c>
      <c r="H26" s="5">
        <v>3200</v>
      </c>
      <c r="I26" s="5">
        <v>6670</v>
      </c>
      <c r="J26" s="5">
        <v>6710</v>
      </c>
      <c r="K26" s="5">
        <v>6500</v>
      </c>
      <c r="L26" s="11">
        <v>42926</v>
      </c>
      <c r="M26" s="10">
        <v>0.625</v>
      </c>
      <c r="N26" s="1" t="s">
        <v>552</v>
      </c>
      <c r="O26" s="5"/>
    </row>
    <row r="27" spans="1:15" x14ac:dyDescent="0.15">
      <c r="A27" s="1">
        <v>7940</v>
      </c>
      <c r="B27" s="3" t="s">
        <v>537</v>
      </c>
      <c r="C27" s="1" t="s">
        <v>530</v>
      </c>
      <c r="D27" s="5">
        <v>100</v>
      </c>
      <c r="E27" s="5">
        <v>1134</v>
      </c>
      <c r="F27" s="7">
        <v>-15</v>
      </c>
      <c r="G27" s="8">
        <v>-1.31</v>
      </c>
      <c r="H27" s="5">
        <v>261800</v>
      </c>
      <c r="I27" s="5">
        <v>1175</v>
      </c>
      <c r="J27" s="5">
        <v>1175</v>
      </c>
      <c r="K27" s="5">
        <v>1130</v>
      </c>
      <c r="L27" s="11">
        <v>42926</v>
      </c>
      <c r="M27" s="10">
        <v>0.625</v>
      </c>
      <c r="N27" s="1" t="s">
        <v>562</v>
      </c>
      <c r="O27" s="5"/>
    </row>
    <row r="28" spans="1:15" x14ac:dyDescent="0.15">
      <c r="A28" s="1">
        <v>3564</v>
      </c>
      <c r="B28" s="3" t="s">
        <v>563</v>
      </c>
      <c r="C28" s="1" t="s">
        <v>512</v>
      </c>
      <c r="D28" s="5">
        <v>100</v>
      </c>
      <c r="E28" s="5">
        <v>2003</v>
      </c>
      <c r="F28" s="7">
        <v>3</v>
      </c>
      <c r="G28" s="8">
        <v>0.15</v>
      </c>
      <c r="H28" s="5">
        <v>60400</v>
      </c>
      <c r="I28" s="5">
        <v>1999</v>
      </c>
      <c r="J28" s="5">
        <v>2003</v>
      </c>
      <c r="K28" s="5">
        <v>1993</v>
      </c>
      <c r="L28" s="11">
        <v>42926</v>
      </c>
      <c r="M28" s="10">
        <v>0.625</v>
      </c>
      <c r="N28" s="1" t="s">
        <v>552</v>
      </c>
      <c r="O28" s="5"/>
    </row>
    <row r="29" spans="1:15" x14ac:dyDescent="0.15">
      <c r="A29" s="1">
        <v>6548</v>
      </c>
      <c r="B29" s="3" t="s">
        <v>538</v>
      </c>
      <c r="C29" s="1" t="s">
        <v>511</v>
      </c>
      <c r="D29" s="5">
        <v>100</v>
      </c>
      <c r="E29" s="5">
        <v>3555</v>
      </c>
      <c r="F29" s="7">
        <v>-35</v>
      </c>
      <c r="G29" s="8">
        <v>-0.97</v>
      </c>
      <c r="H29" s="5">
        <v>18300</v>
      </c>
      <c r="I29" s="5">
        <v>3600</v>
      </c>
      <c r="J29" s="5">
        <v>3605</v>
      </c>
      <c r="K29" s="5">
        <v>3530</v>
      </c>
      <c r="L29" s="11">
        <v>42926</v>
      </c>
      <c r="M29" s="10">
        <v>0.625</v>
      </c>
      <c r="N29" s="1" t="s">
        <v>552</v>
      </c>
      <c r="O29" s="5"/>
    </row>
    <row r="30" spans="1:15" x14ac:dyDescent="0.15">
      <c r="A30" s="1">
        <v>3565</v>
      </c>
      <c r="B30" s="3" t="s">
        <v>521</v>
      </c>
      <c r="C30" s="1" t="s">
        <v>511</v>
      </c>
      <c r="D30" s="5">
        <v>100</v>
      </c>
      <c r="E30" s="5">
        <v>5750</v>
      </c>
      <c r="F30" s="7">
        <v>-110</v>
      </c>
      <c r="G30" s="8">
        <v>-1.88</v>
      </c>
      <c r="H30" s="5">
        <v>48500</v>
      </c>
      <c r="I30" s="5">
        <v>5850</v>
      </c>
      <c r="J30" s="5">
        <v>5940</v>
      </c>
      <c r="K30" s="5">
        <v>5640</v>
      </c>
      <c r="L30" s="11">
        <v>42926</v>
      </c>
      <c r="M30" s="10">
        <v>0.625</v>
      </c>
      <c r="N30" s="1" t="s">
        <v>552</v>
      </c>
      <c r="O30" s="5"/>
    </row>
    <row r="31" spans="1:15" x14ac:dyDescent="0.15">
      <c r="A31" s="1">
        <v>3758</v>
      </c>
      <c r="B31" s="3" t="s">
        <v>564</v>
      </c>
      <c r="C31" s="1" t="s">
        <v>505</v>
      </c>
      <c r="D31" s="5">
        <v>100</v>
      </c>
      <c r="E31" s="5">
        <v>3225</v>
      </c>
      <c r="F31" s="7">
        <v>-30</v>
      </c>
      <c r="G31" s="8">
        <v>-0.92</v>
      </c>
      <c r="H31" s="5">
        <v>734900</v>
      </c>
      <c r="I31" s="5">
        <v>3205</v>
      </c>
      <c r="J31" s="5">
        <v>3280</v>
      </c>
      <c r="K31" s="5">
        <v>3165</v>
      </c>
      <c r="L31" s="11">
        <v>42926</v>
      </c>
      <c r="M31" s="10">
        <v>0.625</v>
      </c>
      <c r="N31" s="1" t="s">
        <v>565</v>
      </c>
      <c r="O31" s="5"/>
    </row>
    <row r="32" spans="1:15" x14ac:dyDescent="0.15">
      <c r="A32" s="1">
        <v>3932</v>
      </c>
      <c r="B32" s="3" t="s">
        <v>506</v>
      </c>
      <c r="C32" s="1" t="s">
        <v>507</v>
      </c>
      <c r="D32" s="5">
        <v>100</v>
      </c>
      <c r="E32" s="5">
        <v>8810</v>
      </c>
      <c r="F32" s="7">
        <v>420</v>
      </c>
      <c r="G32" s="8">
        <v>5.01</v>
      </c>
      <c r="H32" s="5">
        <v>555000</v>
      </c>
      <c r="I32" s="5">
        <v>8880</v>
      </c>
      <c r="J32" s="5">
        <v>8890</v>
      </c>
      <c r="K32" s="5">
        <v>8620</v>
      </c>
      <c r="L32" s="11">
        <v>42926</v>
      </c>
      <c r="M32" s="10">
        <v>0.625</v>
      </c>
      <c r="N32" s="1" t="s">
        <v>566</v>
      </c>
      <c r="O32" s="5"/>
    </row>
    <row r="33" spans="1:15" x14ac:dyDescent="0.15">
      <c r="A33" s="1">
        <v>6787</v>
      </c>
      <c r="B33" s="3" t="s">
        <v>539</v>
      </c>
      <c r="C33" s="1" t="s">
        <v>505</v>
      </c>
      <c r="D33" s="5">
        <v>100</v>
      </c>
      <c r="E33" s="5">
        <v>1471</v>
      </c>
      <c r="F33" s="7">
        <v>-10</v>
      </c>
      <c r="G33" s="8">
        <v>-0.68</v>
      </c>
      <c r="H33" s="5">
        <v>302000</v>
      </c>
      <c r="I33" s="5">
        <v>1499</v>
      </c>
      <c r="J33" s="5">
        <v>1518</v>
      </c>
      <c r="K33" s="5">
        <v>1467</v>
      </c>
      <c r="L33" s="11">
        <v>42926</v>
      </c>
      <c r="M33" s="10">
        <v>0.625</v>
      </c>
      <c r="N33" s="1" t="s">
        <v>540</v>
      </c>
      <c r="O33" s="5"/>
    </row>
    <row r="34" spans="1:15" x14ac:dyDescent="0.15">
      <c r="A34" s="1">
        <v>2138</v>
      </c>
      <c r="B34" s="3" t="s">
        <v>541</v>
      </c>
      <c r="C34" s="1" t="s">
        <v>505</v>
      </c>
      <c r="D34" s="5">
        <v>100</v>
      </c>
      <c r="E34" s="5">
        <v>2925</v>
      </c>
      <c r="F34" s="7">
        <v>136</v>
      </c>
      <c r="G34" s="8">
        <v>4.88</v>
      </c>
      <c r="H34" s="5">
        <v>395800</v>
      </c>
      <c r="I34" s="5">
        <v>2809</v>
      </c>
      <c r="J34" s="5">
        <v>2962</v>
      </c>
      <c r="K34" s="5">
        <v>2795</v>
      </c>
      <c r="L34" s="11">
        <v>42926</v>
      </c>
      <c r="M34" s="10">
        <v>0.625</v>
      </c>
      <c r="N34" s="1" t="s">
        <v>567</v>
      </c>
      <c r="O34" s="5"/>
    </row>
    <row r="35" spans="1:15" x14ac:dyDescent="0.15">
      <c r="A35" s="1">
        <v>3810</v>
      </c>
      <c r="B35" s="3" t="s">
        <v>568</v>
      </c>
      <c r="C35" s="1" t="s">
        <v>507</v>
      </c>
      <c r="D35" s="5">
        <v>100</v>
      </c>
      <c r="E35" s="5">
        <v>7050</v>
      </c>
      <c r="F35" s="7">
        <v>320</v>
      </c>
      <c r="G35" s="8">
        <v>4.75</v>
      </c>
      <c r="H35" s="5">
        <v>392300</v>
      </c>
      <c r="I35" s="5">
        <v>6670</v>
      </c>
      <c r="J35" s="5">
        <v>7200</v>
      </c>
      <c r="K35" s="5">
        <v>6650</v>
      </c>
      <c r="L35" s="11">
        <v>42926</v>
      </c>
      <c r="M35" s="10">
        <v>0.625</v>
      </c>
      <c r="N35" s="1" t="s">
        <v>569</v>
      </c>
      <c r="O35" s="5"/>
    </row>
    <row r="36" spans="1:15" x14ac:dyDescent="0.15">
      <c r="A36" s="1">
        <v>4288</v>
      </c>
      <c r="B36" s="3" t="s">
        <v>570</v>
      </c>
      <c r="C36" s="1" t="s">
        <v>571</v>
      </c>
      <c r="D36" s="5">
        <v>100</v>
      </c>
      <c r="E36" s="5">
        <v>4230</v>
      </c>
      <c r="F36" s="7">
        <v>265</v>
      </c>
      <c r="G36" s="8">
        <v>6.68</v>
      </c>
      <c r="H36" s="5">
        <v>285000</v>
      </c>
      <c r="I36" s="5">
        <v>3980</v>
      </c>
      <c r="J36" s="5">
        <v>4240</v>
      </c>
      <c r="K36" s="5">
        <v>3980</v>
      </c>
      <c r="L36" s="11">
        <v>42926</v>
      </c>
      <c r="M36" s="10">
        <v>0.625</v>
      </c>
      <c r="N36" s="1" t="s">
        <v>572</v>
      </c>
      <c r="O36" s="5"/>
    </row>
    <row r="37" spans="1:15" x14ac:dyDescent="0.15">
      <c r="A37" s="1">
        <v>3825</v>
      </c>
      <c r="B37" s="3" t="s">
        <v>573</v>
      </c>
      <c r="C37" s="1" t="s">
        <v>507</v>
      </c>
      <c r="D37" s="5">
        <v>100</v>
      </c>
      <c r="E37" s="5">
        <v>1140</v>
      </c>
      <c r="F37" s="7">
        <v>-78</v>
      </c>
      <c r="G37" s="8">
        <v>-6.4</v>
      </c>
      <c r="H37" s="5">
        <v>3491600</v>
      </c>
      <c r="I37" s="5">
        <v>1158</v>
      </c>
      <c r="J37" s="5">
        <v>1178</v>
      </c>
      <c r="K37" s="5">
        <v>1118</v>
      </c>
      <c r="L37" s="11">
        <v>42926</v>
      </c>
      <c r="M37" s="10">
        <v>0.625</v>
      </c>
      <c r="N37" s="1" t="s">
        <v>574</v>
      </c>
      <c r="O37" s="5"/>
    </row>
    <row r="38" spans="1:15" x14ac:dyDescent="0.15">
      <c r="A38" s="1">
        <v>3661</v>
      </c>
      <c r="B38" s="3" t="s">
        <v>575</v>
      </c>
      <c r="C38" s="1" t="s">
        <v>508</v>
      </c>
      <c r="D38" s="5">
        <v>100</v>
      </c>
      <c r="E38" s="5">
        <v>1865</v>
      </c>
      <c r="F38" s="7">
        <v>35</v>
      </c>
      <c r="G38" s="8">
        <v>1.91</v>
      </c>
      <c r="H38" s="5">
        <v>595400</v>
      </c>
      <c r="I38" s="5">
        <v>1835</v>
      </c>
      <c r="J38" s="5">
        <v>1909</v>
      </c>
      <c r="K38" s="5">
        <v>1800</v>
      </c>
      <c r="L38" s="11">
        <v>42926</v>
      </c>
      <c r="M38" s="10">
        <v>0.625</v>
      </c>
      <c r="N38" s="1" t="s">
        <v>576</v>
      </c>
      <c r="O38" s="5"/>
    </row>
    <row r="39" spans="1:15" x14ac:dyDescent="0.15">
      <c r="A39" s="1">
        <v>3986</v>
      </c>
      <c r="B39" s="3" t="s">
        <v>577</v>
      </c>
      <c r="C39" s="1" t="s">
        <v>578</v>
      </c>
      <c r="D39" s="5">
        <v>100</v>
      </c>
      <c r="E39" s="5">
        <v>5940</v>
      </c>
      <c r="F39" s="7">
        <v>0</v>
      </c>
      <c r="G39" s="8">
        <v>0</v>
      </c>
      <c r="H39" s="5">
        <v>13300</v>
      </c>
      <c r="I39" s="5">
        <v>6060</v>
      </c>
      <c r="J39" s="5">
        <v>6080</v>
      </c>
      <c r="K39" s="5">
        <v>5940</v>
      </c>
      <c r="L39" s="11">
        <v>42926</v>
      </c>
      <c r="M39" s="10">
        <v>0.61458333333333337</v>
      </c>
      <c r="N39" s="1" t="s">
        <v>566</v>
      </c>
      <c r="O39" s="5"/>
    </row>
    <row r="40" spans="1:15" x14ac:dyDescent="0.15">
      <c r="A40" s="1">
        <v>6549</v>
      </c>
      <c r="B40" s="3" t="s">
        <v>579</v>
      </c>
      <c r="C40" s="1" t="s">
        <v>505</v>
      </c>
      <c r="D40" s="5">
        <v>100</v>
      </c>
      <c r="E40" s="5">
        <v>5760</v>
      </c>
      <c r="F40" s="7">
        <v>-120</v>
      </c>
      <c r="G40" s="8">
        <v>-2.04</v>
      </c>
      <c r="H40" s="5">
        <v>9300</v>
      </c>
      <c r="I40" s="5">
        <v>5890</v>
      </c>
      <c r="J40" s="5">
        <v>6030</v>
      </c>
      <c r="K40" s="5">
        <v>5750</v>
      </c>
      <c r="L40" s="11">
        <v>42926</v>
      </c>
      <c r="M40" s="10">
        <v>0.625</v>
      </c>
      <c r="N40" s="1" t="s">
        <v>580</v>
      </c>
      <c r="O40" s="5"/>
    </row>
    <row r="41" spans="1:15" x14ac:dyDescent="0.15">
      <c r="A41" s="1">
        <v>3987</v>
      </c>
      <c r="B41" s="3" t="s">
        <v>581</v>
      </c>
      <c r="C41" s="1" t="s">
        <v>542</v>
      </c>
      <c r="D41" s="5">
        <v>100</v>
      </c>
      <c r="E41" s="5">
        <v>3810</v>
      </c>
      <c r="F41" s="7">
        <v>60</v>
      </c>
      <c r="G41" s="8">
        <v>1.6</v>
      </c>
      <c r="H41" s="5">
        <v>4900</v>
      </c>
      <c r="I41" s="5">
        <v>3765</v>
      </c>
      <c r="J41" s="5">
        <v>3835</v>
      </c>
      <c r="K41" s="5">
        <v>3760</v>
      </c>
      <c r="L41" s="11">
        <v>42926</v>
      </c>
      <c r="M41" s="10">
        <v>0.62222222222222223</v>
      </c>
      <c r="N41" s="1" t="s">
        <v>580</v>
      </c>
      <c r="O41" s="5"/>
    </row>
    <row r="42" spans="1:15" x14ac:dyDescent="0.15">
      <c r="A42" s="1">
        <v>6550</v>
      </c>
      <c r="B42" s="3" t="s">
        <v>543</v>
      </c>
      <c r="C42" s="1" t="s">
        <v>507</v>
      </c>
      <c r="D42" s="5">
        <v>100</v>
      </c>
      <c r="E42" s="5">
        <v>5900</v>
      </c>
      <c r="F42" s="7">
        <v>290</v>
      </c>
      <c r="G42" s="8">
        <v>5.17</v>
      </c>
      <c r="H42" s="5">
        <v>137000</v>
      </c>
      <c r="I42" s="5">
        <v>5750</v>
      </c>
      <c r="J42" s="5">
        <v>6090</v>
      </c>
      <c r="K42" s="5">
        <v>5680</v>
      </c>
      <c r="L42" s="11">
        <v>42926</v>
      </c>
      <c r="M42" s="10">
        <v>0.625</v>
      </c>
      <c r="N42" s="1" t="s">
        <v>580</v>
      </c>
      <c r="O42" s="5"/>
    </row>
    <row r="43" spans="1:15" x14ac:dyDescent="0.15">
      <c r="A43" s="1">
        <v>3853</v>
      </c>
      <c r="B43" s="3" t="s">
        <v>582</v>
      </c>
      <c r="C43" s="1" t="s">
        <v>507</v>
      </c>
      <c r="D43" s="5">
        <v>100</v>
      </c>
      <c r="E43" s="5">
        <v>1440</v>
      </c>
      <c r="F43" s="7">
        <v>-50</v>
      </c>
      <c r="G43" s="8">
        <v>-3.36</v>
      </c>
      <c r="H43" s="5">
        <v>6722900</v>
      </c>
      <c r="I43" s="5">
        <v>1480</v>
      </c>
      <c r="J43" s="5">
        <v>1514</v>
      </c>
      <c r="K43" s="5">
        <v>1431</v>
      </c>
      <c r="L43" s="11">
        <v>42926</v>
      </c>
      <c r="M43" s="10">
        <v>0.625</v>
      </c>
      <c r="N43" s="1" t="s">
        <v>583</v>
      </c>
      <c r="O43" s="5"/>
    </row>
    <row r="44" spans="1:15" x14ac:dyDescent="0.15">
      <c r="A44" s="1">
        <v>2160</v>
      </c>
      <c r="B44" s="3" t="s">
        <v>544</v>
      </c>
      <c r="C44" s="1" t="s">
        <v>507</v>
      </c>
      <c r="D44" s="5">
        <v>1000</v>
      </c>
      <c r="E44" s="5">
        <v>641</v>
      </c>
      <c r="F44" s="7">
        <v>-14</v>
      </c>
      <c r="G44" s="8">
        <v>-2.14</v>
      </c>
      <c r="H44" s="5">
        <v>2324000</v>
      </c>
      <c r="I44" s="5">
        <v>660</v>
      </c>
      <c r="J44" s="5">
        <v>660</v>
      </c>
      <c r="K44" s="5">
        <v>634</v>
      </c>
      <c r="L44" s="11">
        <v>42926</v>
      </c>
      <c r="M44" s="10">
        <v>0.625</v>
      </c>
      <c r="N44" s="1" t="s">
        <v>580</v>
      </c>
      <c r="O44" s="5"/>
    </row>
    <row r="45" spans="1:15" x14ac:dyDescent="0.15">
      <c r="A45" s="1">
        <v>6551</v>
      </c>
      <c r="B45" s="3" t="s">
        <v>545</v>
      </c>
      <c r="C45" s="1" t="s">
        <v>507</v>
      </c>
      <c r="D45" s="5">
        <v>100</v>
      </c>
      <c r="E45" s="5">
        <v>5540</v>
      </c>
      <c r="F45" s="7">
        <v>-260</v>
      </c>
      <c r="G45" s="8">
        <v>-4.4800000000000004</v>
      </c>
      <c r="H45" s="5">
        <v>75600</v>
      </c>
      <c r="I45" s="5">
        <v>5900</v>
      </c>
      <c r="J45" s="5">
        <v>5910</v>
      </c>
      <c r="K45" s="5">
        <v>5540</v>
      </c>
      <c r="L45" s="11">
        <v>42926</v>
      </c>
      <c r="M45" s="10">
        <v>0.625</v>
      </c>
      <c r="N45" s="1" t="s">
        <v>580</v>
      </c>
      <c r="O45" s="5"/>
    </row>
    <row r="46" spans="1:15" x14ac:dyDescent="0.15">
      <c r="A46" s="1">
        <v>3988</v>
      </c>
      <c r="B46" s="3" t="s">
        <v>584</v>
      </c>
      <c r="C46" s="1" t="s">
        <v>505</v>
      </c>
      <c r="D46" s="5">
        <v>100</v>
      </c>
      <c r="E46" s="5">
        <v>4240</v>
      </c>
      <c r="F46" s="7">
        <v>140</v>
      </c>
      <c r="G46" s="8">
        <v>3.41</v>
      </c>
      <c r="H46" s="5">
        <v>30400</v>
      </c>
      <c r="I46" s="5">
        <v>4085</v>
      </c>
      <c r="J46" s="5">
        <v>4300</v>
      </c>
      <c r="K46" s="5">
        <v>4085</v>
      </c>
      <c r="L46" s="11">
        <v>42926</v>
      </c>
      <c r="M46" s="10">
        <v>0.625</v>
      </c>
      <c r="N46" s="1" t="s">
        <v>580</v>
      </c>
      <c r="O46" s="5"/>
    </row>
    <row r="47" spans="1:15" x14ac:dyDescent="0.15">
      <c r="A47" s="1">
        <v>6552</v>
      </c>
      <c r="B47" s="3" t="s">
        <v>546</v>
      </c>
      <c r="C47" s="1" t="s">
        <v>507</v>
      </c>
      <c r="D47" s="5">
        <v>100</v>
      </c>
      <c r="E47" s="5">
        <v>4000</v>
      </c>
      <c r="F47" s="7">
        <v>-100</v>
      </c>
      <c r="G47" s="8">
        <v>-2.44</v>
      </c>
      <c r="H47" s="5">
        <v>170800</v>
      </c>
      <c r="I47" s="5">
        <v>4130</v>
      </c>
      <c r="J47" s="5">
        <v>4130</v>
      </c>
      <c r="K47" s="5">
        <v>3920</v>
      </c>
      <c r="L47" s="11">
        <v>42926</v>
      </c>
      <c r="M47" s="10">
        <v>0.625</v>
      </c>
      <c r="N47" s="1" t="s">
        <v>580</v>
      </c>
      <c r="O47" s="5"/>
    </row>
    <row r="48" spans="1:15" x14ac:dyDescent="0.15">
      <c r="A48" s="1">
        <v>4563</v>
      </c>
      <c r="B48" s="3" t="s">
        <v>547</v>
      </c>
      <c r="C48" s="1" t="s">
        <v>507</v>
      </c>
      <c r="D48" s="5">
        <v>100</v>
      </c>
      <c r="E48" s="5">
        <v>692</v>
      </c>
      <c r="F48" s="7">
        <v>17</v>
      </c>
      <c r="G48" s="8">
        <v>2.52</v>
      </c>
      <c r="H48" s="5">
        <v>3011100</v>
      </c>
      <c r="I48" s="5">
        <v>694</v>
      </c>
      <c r="J48" s="5">
        <v>699</v>
      </c>
      <c r="K48" s="5">
        <v>671</v>
      </c>
      <c r="L48" s="11">
        <v>42926</v>
      </c>
      <c r="M48" s="10">
        <v>0.625</v>
      </c>
      <c r="N48" s="1" t="s">
        <v>585</v>
      </c>
    </row>
    <row r="49" spans="1:14" x14ac:dyDescent="0.15">
      <c r="A49" s="1">
        <v>8704</v>
      </c>
      <c r="B49" s="3" t="s">
        <v>586</v>
      </c>
      <c r="C49" s="1" t="s">
        <v>587</v>
      </c>
      <c r="D49" s="5">
        <v>100</v>
      </c>
      <c r="E49" s="5">
        <v>333</v>
      </c>
      <c r="F49" s="7">
        <v>3</v>
      </c>
      <c r="G49" s="8">
        <v>0.91</v>
      </c>
      <c r="H49" s="5">
        <v>42268000</v>
      </c>
      <c r="I49" s="5">
        <v>322</v>
      </c>
      <c r="J49" s="5">
        <v>365</v>
      </c>
      <c r="K49" s="5">
        <v>317</v>
      </c>
      <c r="L49" s="11">
        <v>42926</v>
      </c>
      <c r="M49" s="10">
        <v>0.625</v>
      </c>
      <c r="N49" s="1" t="s">
        <v>588</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s>
  <pageMargins left="0.75" right="0.75" top="1" bottom="1" header="0.51200000000000001" footer="0.51200000000000001"/>
  <headerFooter alignWithMargins="0"/>
  <drawing r:id="rId49"/>
  <legacyDrawing r:id="rId50"/>
  <controls>
    <mc:AlternateContent xmlns:mc="http://schemas.openxmlformats.org/markup-compatibility/2006">
      <mc:Choice Requires="x14">
        <control shapeId="1025" r:id="rId51" name="cmdKabukaGet">
          <controlPr defaultSize="0" autoLine="0" r:id="rId52">
            <anchor moveWithCells="1">
              <from>
                <xdr:col>1</xdr:col>
                <xdr:colOff>1200150</xdr:colOff>
                <xdr:row>0</xdr:row>
                <xdr:rowOff>19050</xdr:rowOff>
              </from>
              <to>
                <xdr:col>1</xdr:col>
                <xdr:colOff>1914525</xdr:colOff>
                <xdr:row>1</xdr:row>
                <xdr:rowOff>9525</xdr:rowOff>
              </to>
            </anchor>
          </controlPr>
        </control>
      </mc:Choice>
      <mc:Fallback>
        <control shapeId="1025" r:id="rId51" name="cmdKabukaG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Z12"/>
  <sheetViews>
    <sheetView zoomScaleNormal="100" workbookViewId="0">
      <pane xSplit="2" topLeftCell="C1" activePane="topRight" state="frozen"/>
      <selection pane="topRight" activeCell="F20" sqref="F20"/>
    </sheetView>
  </sheetViews>
  <sheetFormatPr defaultRowHeight="15.75" x14ac:dyDescent="0.25"/>
  <cols>
    <col min="1" max="1" width="3.21875" style="66" customWidth="1"/>
    <col min="2" max="2" width="12.88671875" style="177" customWidth="1"/>
    <col min="3" max="3" width="11.44140625" style="66" bestFit="1" customWidth="1"/>
    <col min="4" max="4" width="9.109375" style="66" customWidth="1"/>
    <col min="5" max="10" width="9.109375" style="66" bestFit="1" customWidth="1"/>
    <col min="11" max="11" width="10.109375" style="66" bestFit="1" customWidth="1"/>
    <col min="12" max="13" width="9.109375" style="66" bestFit="1" customWidth="1"/>
    <col min="14" max="16384" width="8.88671875" style="66"/>
  </cols>
  <sheetData>
    <row r="1" spans="2:26" ht="16.5" thickBot="1" x14ac:dyDescent="0.3"/>
    <row r="2" spans="2:26" s="178" customFormat="1" ht="16.5" thickBot="1" x14ac:dyDescent="0.3">
      <c r="B2" s="361" t="s">
        <v>466</v>
      </c>
      <c r="C2" s="393">
        <v>42795</v>
      </c>
      <c r="D2" s="394"/>
      <c r="E2" s="393">
        <v>42826</v>
      </c>
      <c r="F2" s="394"/>
      <c r="G2" s="393">
        <v>42856</v>
      </c>
      <c r="H2" s="394"/>
      <c r="I2" s="393">
        <v>42887</v>
      </c>
      <c r="J2" s="394"/>
      <c r="K2" s="393">
        <v>42917</v>
      </c>
      <c r="L2" s="394"/>
      <c r="M2" s="393">
        <v>42948</v>
      </c>
      <c r="N2" s="394"/>
      <c r="O2" s="393">
        <v>42979</v>
      </c>
      <c r="P2" s="394"/>
      <c r="Q2" s="393">
        <v>43009</v>
      </c>
      <c r="R2" s="394"/>
      <c r="S2" s="393">
        <v>43040</v>
      </c>
      <c r="T2" s="394"/>
      <c r="U2" s="393">
        <v>43070</v>
      </c>
      <c r="V2" s="394"/>
      <c r="W2" s="393">
        <v>43101</v>
      </c>
      <c r="X2" s="394"/>
      <c r="Y2" s="393">
        <v>43132</v>
      </c>
      <c r="Z2" s="394"/>
    </row>
    <row r="3" spans="2:26" ht="16.5" thickBot="1" x14ac:dyDescent="0.3">
      <c r="C3" s="179" t="s">
        <v>273</v>
      </c>
      <c r="D3" s="180" t="s">
        <v>274</v>
      </c>
      <c r="E3" s="179" t="s">
        <v>273</v>
      </c>
      <c r="F3" s="180" t="s">
        <v>274</v>
      </c>
      <c r="G3" s="179" t="s">
        <v>273</v>
      </c>
      <c r="H3" s="180" t="s">
        <v>274</v>
      </c>
      <c r="I3" s="179" t="s">
        <v>273</v>
      </c>
      <c r="J3" s="180" t="s">
        <v>274</v>
      </c>
      <c r="K3" s="179" t="s">
        <v>273</v>
      </c>
      <c r="L3" s="180" t="s">
        <v>274</v>
      </c>
      <c r="M3" s="179" t="s">
        <v>273</v>
      </c>
      <c r="N3" s="180" t="s">
        <v>274</v>
      </c>
      <c r="O3" s="179" t="s">
        <v>273</v>
      </c>
      <c r="P3" s="180" t="s">
        <v>274</v>
      </c>
      <c r="Q3" s="179" t="s">
        <v>273</v>
      </c>
      <c r="R3" s="180" t="s">
        <v>274</v>
      </c>
      <c r="S3" s="179" t="s">
        <v>273</v>
      </c>
      <c r="T3" s="180" t="s">
        <v>274</v>
      </c>
      <c r="U3" s="179" t="s">
        <v>273</v>
      </c>
      <c r="V3" s="180" t="s">
        <v>274</v>
      </c>
      <c r="W3" s="179" t="s">
        <v>273</v>
      </c>
      <c r="X3" s="180" t="s">
        <v>274</v>
      </c>
      <c r="Y3" s="179" t="s">
        <v>273</v>
      </c>
      <c r="Z3" s="180" t="s">
        <v>274</v>
      </c>
    </row>
    <row r="4" spans="2:26" x14ac:dyDescent="0.25">
      <c r="B4" s="177" t="s">
        <v>275</v>
      </c>
      <c r="C4" s="181">
        <f>COUNTIFS('セカンダリ投資分析(SBI証券)'!$S3:$S1048576,"&gt;=0",'セカンダリ投資分析(SBI証券)'!$T3:$T1048576,"&gt;="&amp;C2,'セカンダリ投資分析(SBI証券)'!$T3:$T1048576,"&lt;"&amp;E2)</f>
        <v>23</v>
      </c>
      <c r="D4" s="182">
        <f>COUNTIFS('セカンダリ投資分析(SBI証券)'!$S3:$S1048576,"&lt;0",'セカンダリ投資分析(SBI証券)'!$T3:$T1048576,"&gt;="&amp;C2,'セカンダリ投資分析(SBI証券)'!$T3:$T1048576,"&lt;"&amp;E2)</f>
        <v>8</v>
      </c>
      <c r="E4" s="181">
        <f>COUNTIFS('セカンダリ投資分析(SBI証券)'!$S3:$S1048576,"&gt;=0",'セカンダリ投資分析(SBI証券)'!$T3:$T1048576,"&gt;="&amp;E2,'セカンダリ投資分析(SBI証券)'!$T3:$T1048576,"&lt;"&amp;G2)</f>
        <v>33</v>
      </c>
      <c r="F4" s="182">
        <f>COUNTIFS('セカンダリ投資分析(SBI証券)'!$S3:$S1048576,"&lt;0",'セカンダリ投資分析(SBI証券)'!$T3:$T1048576,"&gt;="&amp;E2,'セカンダリ投資分析(SBI証券)'!$T3:$T1048576,"&lt;"&amp;G2)</f>
        <v>7</v>
      </c>
      <c r="G4" s="181">
        <f>COUNTIFS('セカンダリ投資分析(SBI証券)'!$S3:$S1048576,"&gt;=0",'セカンダリ投資分析(SBI証券)'!$T3:$T1048576,"&gt;="&amp;G2,'セカンダリ投資分析(SBI証券)'!$T3:$T1048576,"&lt;"&amp;I2)</f>
        <v>52</v>
      </c>
      <c r="H4" s="182">
        <f>COUNTIFS('セカンダリ投資分析(SBI証券)'!$S3:$S1048576,"&lt;0",'セカンダリ投資分析(SBI証券)'!$T3:$T1048576,"&gt;="&amp;G2,'セカンダリ投資分析(SBI証券)'!$T3:$T1048576,"&lt;"&amp;I2)</f>
        <v>10</v>
      </c>
      <c r="I4" s="181">
        <f>COUNTIFS('セカンダリ投資分析(SBI証券)'!$S3:$S1048576,"&gt;=0",'セカンダリ投資分析(SBI証券)'!$T3:$T1048576,"&gt;="&amp;I2,'セカンダリ投資分析(SBI証券)'!$T3:$T1048576,"&lt;"&amp;K2)</f>
        <v>18</v>
      </c>
      <c r="J4" s="182">
        <f>COUNTIFS('セカンダリ投資分析(SBI証券)'!$S3:$S1048576,"&lt;0",'セカンダリ投資分析(SBI証券)'!$T3:$T1048576,"&gt;="&amp;I2,'セカンダリ投資分析(SBI証券)'!$T3:$T1048576,"&lt;"&amp;K2)</f>
        <v>9</v>
      </c>
      <c r="K4" s="181">
        <f>COUNTIFS('セカンダリ投資分析(SBI証券)'!$S3:$S1048576,"&gt;=0",'セカンダリ投資分析(SBI証券)'!$T3:$T1048576,"&gt;="&amp;K2,'セカンダリ投資分析(SBI証券)'!$T3:$T1048576,"&lt;"&amp;M2)</f>
        <v>3</v>
      </c>
      <c r="L4" s="182">
        <f>COUNTIFS('セカンダリ投資分析(SBI証券)'!$S3:$S1048576,"&lt;0",'セカンダリ投資分析(SBI証券)'!$T3:$T1048576,"&gt;="&amp;K2,'セカンダリ投資分析(SBI証券)'!$T3:$T1048576,"&lt;"&amp;M2)</f>
        <v>0</v>
      </c>
      <c r="M4" s="181">
        <f>COUNTIFS('セカンダリ投資分析(SBI証券)'!$S3:$S1048576,"&gt;=0",'セカンダリ投資分析(SBI証券)'!$T3:$T1048576,"&gt;="&amp;M2,'セカンダリ投資分析(SBI証券)'!$T3:$T1048576,"&lt;"&amp;O2)</f>
        <v>0</v>
      </c>
      <c r="N4" s="182">
        <f>COUNTIFS('セカンダリ投資分析(SBI証券)'!$S3:$S1048576,"&lt;0",'セカンダリ投資分析(SBI証券)'!$T3:$T1048576,"&gt;="&amp;M2,'セカンダリ投資分析(SBI証券)'!$T3:$T1048576,"&lt;"&amp;O2)</f>
        <v>0</v>
      </c>
      <c r="O4" s="181">
        <f>COUNTIFS('セカンダリ投資分析(SBI証券)'!$S3:$S1048576,"&gt;=0",'セカンダリ投資分析(SBI証券)'!$T3:$T1048576,"&gt;="&amp;O2,'セカンダリ投資分析(SBI証券)'!$T3:$T1048576,"&lt;"&amp;Q2)</f>
        <v>0</v>
      </c>
      <c r="P4" s="182">
        <f>COUNTIFS('セカンダリ投資分析(SBI証券)'!$S3:$S1048576,"&lt;0",'セカンダリ投資分析(SBI証券)'!$T3:$T1048576,"&gt;="&amp;O2,'セカンダリ投資分析(SBI証券)'!$T3:$T1048576,"&lt;"&amp;Q2)</f>
        <v>0</v>
      </c>
      <c r="Q4" s="181">
        <f>COUNTIFS('セカンダリ投資分析(SBI証券)'!$S3:$S1048576,"&gt;=0",'セカンダリ投資分析(SBI証券)'!$T3:$T1048576,"&gt;="&amp;Q2,'セカンダリ投資分析(SBI証券)'!$T3:$T1048576,"&lt;"&amp;S2)</f>
        <v>0</v>
      </c>
      <c r="R4" s="182">
        <f>COUNTIFS('セカンダリ投資分析(SBI証券)'!$S3:$S1048576,"&lt;0",'セカンダリ投資分析(SBI証券)'!$T3:$T1048576,"&gt;="&amp;Q2,'セカンダリ投資分析(SBI証券)'!$T3:$T1048576,"&lt;"&amp;S2)</f>
        <v>0</v>
      </c>
      <c r="S4" s="181">
        <f>COUNTIFS('セカンダリ投資分析(SBI証券)'!$S3:$S1048576,"&gt;=0",'セカンダリ投資分析(SBI証券)'!$T3:$T1048576,"&gt;="&amp;S2,'セカンダリ投資分析(SBI証券)'!$T3:$T1048576,"&lt;"&amp;U2)</f>
        <v>0</v>
      </c>
      <c r="T4" s="182">
        <f>COUNTIFS('セカンダリ投資分析(SBI証券)'!$S3:$S1048576,"&lt;0",'セカンダリ投資分析(SBI証券)'!$T3:$T1048576,"&gt;="&amp;S2,'セカンダリ投資分析(SBI証券)'!$T3:$T1048576,"&lt;"&amp;U2)</f>
        <v>0</v>
      </c>
      <c r="U4" s="181">
        <f>COUNTIFS('セカンダリ投資分析(SBI証券)'!$S3:$S1048576,"&gt;=0",'セカンダリ投資分析(SBI証券)'!$T3:$T1048576,"&gt;="&amp;U2,'セカンダリ投資分析(SBI証券)'!$T3:$T1048576,"&lt;"&amp;W2)</f>
        <v>0</v>
      </c>
      <c r="V4" s="182">
        <f>COUNTIFS('セカンダリ投資分析(SBI証券)'!$S3:$S1048576,"&lt;0",'セカンダリ投資分析(SBI証券)'!$T3:$T1048576,"&gt;="&amp;U2,'セカンダリ投資分析(SBI証券)'!$T3:$T1048576,"&lt;"&amp;W2)</f>
        <v>0</v>
      </c>
      <c r="W4" s="181">
        <f>COUNTIFS('セカンダリ投資分析(SBI証券)'!$S3:$S1048576,"&gt;=0",'セカンダリ投資分析(SBI証券)'!$T3:$T1048576,"&gt;="&amp;W2,'セカンダリ投資分析(SBI証券)'!$T3:$T1048576,"&lt;"&amp;Y2)</f>
        <v>0</v>
      </c>
      <c r="X4" s="182">
        <f>COUNTIFS('セカンダリ投資分析(SBI証券)'!$S3:$S1048576,"&lt;0",'セカンダリ投資分析(SBI証券)'!$T3:$T1048576,"&gt;="&amp;W2,'セカンダリ投資分析(SBI証券)'!$T3:$T1048576,"&lt;"&amp;Y2)</f>
        <v>0</v>
      </c>
      <c r="Y4" s="181">
        <f>COUNTIFS('セカンダリ投資分析(SBI証券)'!$S3:$S1048576,"&gt;=0",'セカンダリ投資分析(SBI証券)'!$T3:$T1048576,"&gt;="&amp;Y2,'セカンダリ投資分析(SBI証券)'!$T3:$T1048576,"&lt;"&amp;AA2)</f>
        <v>0</v>
      </c>
      <c r="Z4" s="182">
        <f>COUNTIFS('セカンダリ投資分析(SBI証券)'!$S3:$S1048576,"&lt;0",'セカンダリ投資分析(SBI証券)'!$T3:$T1048576,"&gt;="&amp;Y2,'セカンダリ投資分析(SBI証券)'!$T3:$T1048576,"&lt;"&amp;AA2)</f>
        <v>0</v>
      </c>
    </row>
    <row r="5" spans="2:26" ht="16.5" thickBot="1" x14ac:dyDescent="0.3">
      <c r="B5" s="177" t="s">
        <v>276</v>
      </c>
      <c r="C5" s="183">
        <f>ROUND(SUMIFS('セカンダリ投資分析(SBI証券)'!$S3:$S1048576,'セカンダリ投資分析(SBI証券)'!$S3:$S1048576,"&gt;=0",'セカンダリ投資分析(SBI証券)'!$T3:$T1048576,"&gt;="&amp;C2,'セカンダリ投資分析(SBI証券)'!$T3:$T1048576,"&lt;"&amp;E2),0)</f>
        <v>386761</v>
      </c>
      <c r="D5" s="184">
        <f>ROUND(SUMIFS('セカンダリ投資分析(SBI証券)'!$S3:$S1048576,'セカンダリ投資分析(SBI証券)'!$S3:$S1048576,"&lt;0",'セカンダリ投資分析(SBI証券)'!$T3:$T1048576,"&gt;="&amp;C2,'セカンダリ投資分析(SBI証券)'!$T3:$T1048576,"&lt;"&amp;E2),0)</f>
        <v>-464363</v>
      </c>
      <c r="E5" s="183">
        <f>ROUND(SUMIFS('セカンダリ投資分析(SBI証券)'!$S3:$S1048576,'セカンダリ投資分析(SBI証券)'!$S3:$S1048576,"&gt;=0",'セカンダリ投資分析(SBI証券)'!$T3:$T1048576,"&gt;="&amp;E2,'セカンダリ投資分析(SBI証券)'!$T3:$T1048576,"&lt;"&amp;G2),0)</f>
        <v>287990</v>
      </c>
      <c r="F5" s="184">
        <f>ROUND(SUMIFS('セカンダリ投資分析(SBI証券)'!$S3:$S1048576,'セカンダリ投資分析(SBI証券)'!$S3:$S1048576,"&lt;0",'セカンダリ投資分析(SBI証券)'!$T3:$T1048576,"&gt;="&amp;E2,'セカンダリ投資分析(SBI証券)'!$T3:$T1048576,"&lt;"&amp;G2),0)</f>
        <v>-434971</v>
      </c>
      <c r="G5" s="183">
        <f>ROUND(SUMIFS('セカンダリ投資分析(SBI証券)'!$S3:$S1048576,'セカンダリ投資分析(SBI証券)'!$S3:$S1048576,"&gt;=0",'セカンダリ投資分析(SBI証券)'!$T3:$T1048576,"&gt;="&amp;G2,'セカンダリ投資分析(SBI証券)'!$T3:$T1048576,"&lt;"&amp;I2),0)</f>
        <v>350235</v>
      </c>
      <c r="H5" s="184">
        <f>ROUND(SUMIFS('セカンダリ投資分析(SBI証券)'!$S3:$S1048576,'セカンダリ投資分析(SBI証券)'!$S3:$S1048576,"&lt;0",'セカンダリ投資分析(SBI証券)'!$T3:$T1048576,"&gt;="&amp;G2,'セカンダリ投資分析(SBI証券)'!$T3:$T1048576,"&lt;"&amp;I2),0)</f>
        <v>-189592</v>
      </c>
      <c r="I5" s="183">
        <f>ROUND(SUMIFS('セカンダリ投資分析(SBI証券)'!$S3:$S1048576,'セカンダリ投資分析(SBI証券)'!$S3:$S1048576,"&gt;=0",'セカンダリ投資分析(SBI証券)'!$T3:$T1048576,"&gt;="&amp;I2,'セカンダリ投資分析(SBI証券)'!$T3:$T1048576,"&lt;"&amp;K2),0)</f>
        <v>245239</v>
      </c>
      <c r="J5" s="184">
        <f>ROUND(SUMIFS('セカンダリ投資分析(SBI証券)'!$S3:$S1048576,'セカンダリ投資分析(SBI証券)'!$S3:$S1048576,"&lt;0",'セカンダリ投資分析(SBI証券)'!$T3:$T1048576,"&gt;="&amp;I2,'セカンダリ投資分析(SBI証券)'!$T3:$T1048576,"&lt;"&amp;K2),0)</f>
        <v>-262510</v>
      </c>
      <c r="K5" s="183">
        <f>ROUND(SUMIFS('セカンダリ投資分析(SBI証券)'!$S3:$S1048576,'セカンダリ投資分析(SBI証券)'!$S3:$S1048576,"&gt;=0",'セカンダリ投資分析(SBI証券)'!$T3:$T1048576,"&gt;="&amp;K2,'セカンダリ投資分析(SBI証券)'!$T3:$T1048576,"&lt;"&amp;M2),0)</f>
        <v>22817</v>
      </c>
      <c r="L5" s="184">
        <f>ROUND(SUMIFS('セカンダリ投資分析(SBI証券)'!$S3:$S1048576,'セカンダリ投資分析(SBI証券)'!$S3:$S1048576,"&lt;0",'セカンダリ投資分析(SBI証券)'!$T3:$T1048576,"&gt;="&amp;K2,'セカンダリ投資分析(SBI証券)'!$T3:$T1048576,"&lt;"&amp;M2),0)</f>
        <v>0</v>
      </c>
      <c r="M5" s="183">
        <f>ROUND(SUMIFS('セカンダリ投資分析(SBI証券)'!$S3:$S1048576,'セカンダリ投資分析(SBI証券)'!$S3:$S1048576,"&gt;=0",'セカンダリ投資分析(SBI証券)'!$T3:$T1048576,"&gt;="&amp;M2,'セカンダリ投資分析(SBI証券)'!$T3:$T1048576,"&lt;"&amp;O2),0)</f>
        <v>0</v>
      </c>
      <c r="N5" s="184">
        <f>ROUND(SUMIFS('セカンダリ投資分析(SBI証券)'!$S3:$S1048576,'セカンダリ投資分析(SBI証券)'!$S3:$S1048576,"&lt;0",'セカンダリ投資分析(SBI証券)'!$T3:$T1048576,"&gt;="&amp;M2,'セカンダリ投資分析(SBI証券)'!$T3:$T1048576,"&lt;"&amp;O2),0)</f>
        <v>0</v>
      </c>
      <c r="O5" s="183">
        <f>ROUND(SUMIFS('セカンダリ投資分析(SBI証券)'!$S3:$S1048576,'セカンダリ投資分析(SBI証券)'!$S3:$S1048576,"&gt;=0",'セカンダリ投資分析(SBI証券)'!$T3:$T1048576,"&gt;="&amp;O2,'セカンダリ投資分析(SBI証券)'!$T3:$T1048576,"&lt;"&amp;Q2),0)</f>
        <v>0</v>
      </c>
      <c r="P5" s="184">
        <f>ROUND(SUMIFS('セカンダリ投資分析(SBI証券)'!$S3:$S1048576,'セカンダリ投資分析(SBI証券)'!$S3:$S1048576,"&lt;0",'セカンダリ投資分析(SBI証券)'!$T3:$T1048576,"&gt;="&amp;O2,'セカンダリ投資分析(SBI証券)'!$T3:$T1048576,"&lt;"&amp;Q2),0)</f>
        <v>0</v>
      </c>
      <c r="Q5" s="183">
        <f>ROUND(SUMIFS('セカンダリ投資分析(SBI証券)'!$S3:$S1048576,'セカンダリ投資分析(SBI証券)'!$S3:$S1048576,"&gt;=0",'セカンダリ投資分析(SBI証券)'!$T3:$T1048576,"&gt;="&amp;Q2,'セカンダリ投資分析(SBI証券)'!$T3:$T1048576,"&lt;"&amp;S2),0)</f>
        <v>0</v>
      </c>
      <c r="R5" s="184">
        <f>ROUND(SUMIFS('セカンダリ投資分析(SBI証券)'!$S3:$S1048576,'セカンダリ投資分析(SBI証券)'!$S3:$S1048576,"&lt;0",'セカンダリ投資分析(SBI証券)'!$T3:$T1048576,"&gt;="&amp;Q2,'セカンダリ投資分析(SBI証券)'!$T3:$T1048576,"&lt;"&amp;S2),0)</f>
        <v>0</v>
      </c>
      <c r="S5" s="183">
        <f>ROUND(SUMIFS('セカンダリ投資分析(SBI証券)'!$S3:$S1048576,'セカンダリ投資分析(SBI証券)'!$S3:$S1048576,"&gt;=0",'セカンダリ投資分析(SBI証券)'!$T3:$T1048576,"&gt;="&amp;S2,'セカンダリ投資分析(SBI証券)'!$T3:$T1048576,"&lt;"&amp;U2),0)</f>
        <v>0</v>
      </c>
      <c r="T5" s="184">
        <f>ROUND(SUMIFS('セカンダリ投資分析(SBI証券)'!$S3:$S1048576,'セカンダリ投資分析(SBI証券)'!$S3:$S1048576,"&lt;0",'セカンダリ投資分析(SBI証券)'!$T3:$T1048576,"&gt;="&amp;S2,'セカンダリ投資分析(SBI証券)'!$T3:$T1048576,"&lt;"&amp;U2),0)</f>
        <v>0</v>
      </c>
      <c r="U5" s="183">
        <f>ROUND(SUMIFS('セカンダリ投資分析(SBI証券)'!$S3:$S1048576,'セカンダリ投資分析(SBI証券)'!$S3:$S1048576,"&gt;=0",'セカンダリ投資分析(SBI証券)'!$T3:$T1048576,"&gt;="&amp;U2,'セカンダリ投資分析(SBI証券)'!$T3:$T1048576,"&lt;"&amp;W2),0)</f>
        <v>0</v>
      </c>
      <c r="V5" s="184">
        <f>ROUND(SUMIFS('セカンダリ投資分析(SBI証券)'!$S3:$S1048576,'セカンダリ投資分析(SBI証券)'!$S3:$S1048576,"&lt;0",'セカンダリ投資分析(SBI証券)'!$T3:$T1048576,"&gt;="&amp;U2,'セカンダリ投資分析(SBI証券)'!$T3:$T1048576,"&lt;"&amp;W2),0)</f>
        <v>0</v>
      </c>
      <c r="W5" s="183">
        <f>ROUND(SUMIFS('セカンダリ投資分析(SBI証券)'!$S3:$S1048576,'セカンダリ投資分析(SBI証券)'!$S3:$S1048576,"&gt;=0",'セカンダリ投資分析(SBI証券)'!$T3:$T1048576,"&gt;="&amp;W2,'セカンダリ投資分析(SBI証券)'!$T3:$T1048576,"&lt;"&amp;Y2),0)</f>
        <v>0</v>
      </c>
      <c r="X5" s="184">
        <f>ROUND(SUMIFS('セカンダリ投資分析(SBI証券)'!$S3:$S1048576,'セカンダリ投資分析(SBI証券)'!$S3:$S1048576,"&lt;0",'セカンダリ投資分析(SBI証券)'!$T3:$T1048576,"&gt;="&amp;W2,'セカンダリ投資分析(SBI証券)'!$T3:$T1048576,"&lt;"&amp;Y2),0)</f>
        <v>0</v>
      </c>
      <c r="Y5" s="183">
        <f>ROUND(SUMIFS('セカンダリ投資分析(SBI証券)'!$S3:$S1048576,'セカンダリ投資分析(SBI証券)'!$S3:$S1048576,"&gt;=0",'セカンダリ投資分析(SBI証券)'!$T3:$T1048576,"&gt;="&amp;Y2,'セカンダリ投資分析(SBI証券)'!$T3:$T1048576,"&lt;"&amp;AA2),0)</f>
        <v>0</v>
      </c>
      <c r="Z5" s="184">
        <f>ROUND(SUMIFS('セカンダリ投資分析(SBI証券)'!$S3:$S1048576,'セカンダリ投資分析(SBI証券)'!$S3:$S1048576,"&lt;0",'セカンダリ投資分析(SBI証券)'!$T3:$T1048576,"&gt;="&amp;Y2,'セカンダリ投資分析(SBI証券)'!$T3:$T1048576,"&lt;"&amp;AA2),0)</f>
        <v>0</v>
      </c>
    </row>
    <row r="6" spans="2:26" s="178" customFormat="1" ht="16.5" thickBot="1" x14ac:dyDescent="0.3">
      <c r="B6" s="177" t="s">
        <v>277</v>
      </c>
      <c r="C6" s="395">
        <f>C5+D5</f>
        <v>-77602</v>
      </c>
      <c r="D6" s="396"/>
      <c r="E6" s="395">
        <f>E5+F5</f>
        <v>-146981</v>
      </c>
      <c r="F6" s="396"/>
      <c r="G6" s="395">
        <f>G5+H5</f>
        <v>160643</v>
      </c>
      <c r="H6" s="396"/>
      <c r="I6" s="395">
        <f>I5+J5</f>
        <v>-17271</v>
      </c>
      <c r="J6" s="396"/>
      <c r="K6" s="395">
        <f>K5+L5</f>
        <v>22817</v>
      </c>
      <c r="L6" s="396"/>
      <c r="M6" s="395">
        <f>M5+N5</f>
        <v>0</v>
      </c>
      <c r="N6" s="396"/>
      <c r="O6" s="395">
        <f>O5+P5</f>
        <v>0</v>
      </c>
      <c r="P6" s="396"/>
      <c r="Q6" s="395">
        <f>Q5+R5</f>
        <v>0</v>
      </c>
      <c r="R6" s="396"/>
      <c r="S6" s="395">
        <f>S5+T5</f>
        <v>0</v>
      </c>
      <c r="T6" s="396"/>
      <c r="U6" s="395">
        <f>U5+V5</f>
        <v>0</v>
      </c>
      <c r="V6" s="396"/>
      <c r="W6" s="395">
        <f>W5+X5</f>
        <v>0</v>
      </c>
      <c r="X6" s="396"/>
      <c r="Y6" s="395">
        <f>Y5+Z5</f>
        <v>0</v>
      </c>
      <c r="Z6" s="396"/>
    </row>
    <row r="8" spans="2:26" x14ac:dyDescent="0.25">
      <c r="B8" s="177" t="s">
        <v>278</v>
      </c>
      <c r="C8" s="185">
        <f>SUM(C6:Z6)</f>
        <v>-58394</v>
      </c>
      <c r="E8" s="178"/>
      <c r="F8" s="186"/>
    </row>
    <row r="9" spans="2:26" x14ac:dyDescent="0.25">
      <c r="B9" s="177" t="s">
        <v>279</v>
      </c>
      <c r="C9" s="185">
        <f>('セカンダリ投資分析(SBI証券)'!I1+'セカンダリ投資分析(SBI証券)'!P1+'セカンダリ投資分析(SBI証券)'!U1+'セカンダリ投資分析(SBI証券)'!AF1)*-1</f>
        <v>-6586</v>
      </c>
      <c r="E9" s="178"/>
      <c r="F9" s="186"/>
    </row>
    <row r="11" spans="2:26" x14ac:dyDescent="0.25">
      <c r="B11" s="177" t="s">
        <v>280</v>
      </c>
      <c r="C11" s="15">
        <f>C5/C4</f>
        <v>16815.695652173912</v>
      </c>
      <c r="D11" s="15">
        <f>D5/D4</f>
        <v>-58045.375</v>
      </c>
      <c r="E11" s="15">
        <f t="shared" ref="E11:Z11" si="0">E5/E4</f>
        <v>8726.9696969696961</v>
      </c>
      <c r="F11" s="15">
        <f t="shared" si="0"/>
        <v>-62138.714285714283</v>
      </c>
      <c r="G11" s="15">
        <f t="shared" si="0"/>
        <v>6735.2884615384619</v>
      </c>
      <c r="H11" s="15">
        <f t="shared" si="0"/>
        <v>-18959.2</v>
      </c>
      <c r="I11" s="15">
        <f t="shared" si="0"/>
        <v>13624.388888888889</v>
      </c>
      <c r="J11" s="15">
        <f t="shared" si="0"/>
        <v>-29167.777777777777</v>
      </c>
      <c r="K11" s="15">
        <f t="shared" si="0"/>
        <v>7605.666666666667</v>
      </c>
      <c r="L11" s="15" t="e">
        <f t="shared" si="0"/>
        <v>#DIV/0!</v>
      </c>
      <c r="M11" s="15" t="e">
        <f t="shared" si="0"/>
        <v>#DIV/0!</v>
      </c>
      <c r="N11" s="15" t="e">
        <f t="shared" si="0"/>
        <v>#DIV/0!</v>
      </c>
      <c r="O11" s="15" t="e">
        <f t="shared" si="0"/>
        <v>#DIV/0!</v>
      </c>
      <c r="P11" s="15" t="e">
        <f t="shared" si="0"/>
        <v>#DIV/0!</v>
      </c>
      <c r="Q11" s="15" t="e">
        <f t="shared" si="0"/>
        <v>#DIV/0!</v>
      </c>
      <c r="R11" s="15" t="e">
        <f t="shared" si="0"/>
        <v>#DIV/0!</v>
      </c>
      <c r="S11" s="15" t="e">
        <f t="shared" si="0"/>
        <v>#DIV/0!</v>
      </c>
      <c r="T11" s="15" t="e">
        <f t="shared" si="0"/>
        <v>#DIV/0!</v>
      </c>
      <c r="U11" s="15" t="e">
        <f t="shared" si="0"/>
        <v>#DIV/0!</v>
      </c>
      <c r="V11" s="15" t="e">
        <f t="shared" si="0"/>
        <v>#DIV/0!</v>
      </c>
      <c r="W11" s="15" t="e">
        <f t="shared" si="0"/>
        <v>#DIV/0!</v>
      </c>
      <c r="X11" s="15" t="e">
        <f t="shared" si="0"/>
        <v>#DIV/0!</v>
      </c>
      <c r="Y11" s="15" t="e">
        <f t="shared" si="0"/>
        <v>#DIV/0!</v>
      </c>
      <c r="Z11" s="15" t="e">
        <f t="shared" si="0"/>
        <v>#DIV/0!</v>
      </c>
    </row>
    <row r="12" spans="2:26" x14ac:dyDescent="0.25">
      <c r="C12" s="12"/>
      <c r="D12" s="12"/>
    </row>
  </sheetData>
  <mergeCells count="24">
    <mergeCell ref="C6:D6"/>
    <mergeCell ref="E6:F6"/>
    <mergeCell ref="G6:H6"/>
    <mergeCell ref="I6:J6"/>
    <mergeCell ref="K6:L6"/>
    <mergeCell ref="C2:D2"/>
    <mergeCell ref="E2:F2"/>
    <mergeCell ref="G2:H2"/>
    <mergeCell ref="I2:J2"/>
    <mergeCell ref="K2:L2"/>
    <mergeCell ref="W2:X2"/>
    <mergeCell ref="W6:X6"/>
    <mergeCell ref="Y2:Z2"/>
    <mergeCell ref="Y6:Z6"/>
    <mergeCell ref="M6:N6"/>
    <mergeCell ref="M2:N2"/>
    <mergeCell ref="O6:P6"/>
    <mergeCell ref="Q6:R6"/>
    <mergeCell ref="S6:T6"/>
    <mergeCell ref="U6:V6"/>
    <mergeCell ref="O2:P2"/>
    <mergeCell ref="Q2:R2"/>
    <mergeCell ref="S2:T2"/>
    <mergeCell ref="U2:V2"/>
  </mergeCells>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51" customWidth="1"/>
    <col min="2" max="16384" width="8.21875" style="151"/>
  </cols>
  <sheetData>
    <row r="2" spans="2:25" s="188" customFormat="1" ht="19.5" x14ac:dyDescent="0.25">
      <c r="B2" s="187" t="s">
        <v>281</v>
      </c>
    </row>
    <row r="3" spans="2:25" ht="16.5" thickBot="1" x14ac:dyDescent="0.3">
      <c r="B3" s="151" t="s">
        <v>282</v>
      </c>
    </row>
    <row r="4" spans="2:25" x14ac:dyDescent="0.25">
      <c r="C4" s="189" t="s">
        <v>283</v>
      </c>
      <c r="D4" s="190"/>
      <c r="E4" s="190"/>
      <c r="F4" s="190"/>
      <c r="G4" s="190"/>
      <c r="H4" s="190"/>
      <c r="I4" s="190"/>
      <c r="J4" s="191"/>
      <c r="O4" s="192"/>
      <c r="P4" s="193" t="s">
        <v>284</v>
      </c>
      <c r="Q4" s="194"/>
      <c r="R4" s="195"/>
      <c r="S4" s="194"/>
      <c r="T4" s="190"/>
      <c r="U4" s="190"/>
      <c r="V4" s="190"/>
      <c r="W4" s="191"/>
    </row>
    <row r="5" spans="2:25" x14ac:dyDescent="0.25">
      <c r="C5" s="196" t="s">
        <v>285</v>
      </c>
      <c r="D5" s="197"/>
      <c r="E5" s="197"/>
      <c r="F5" s="197"/>
      <c r="G5" s="197"/>
      <c r="H5" s="197"/>
      <c r="I5" s="197"/>
      <c r="J5" s="198"/>
      <c r="O5" s="192"/>
      <c r="P5" s="199"/>
      <c r="Q5" s="200" t="s">
        <v>286</v>
      </c>
      <c r="R5" s="201"/>
      <c r="S5" s="200"/>
      <c r="T5" s="197"/>
      <c r="U5" s="197"/>
      <c r="V5" s="197"/>
      <c r="W5" s="198"/>
    </row>
    <row r="6" spans="2:25" ht="16.5" thickBot="1" x14ac:dyDescent="0.3">
      <c r="C6" s="202" t="s">
        <v>287</v>
      </c>
      <c r="D6" s="203"/>
      <c r="E6" s="203"/>
      <c r="F6" s="203"/>
      <c r="G6" s="203"/>
      <c r="H6" s="203"/>
      <c r="I6" s="203"/>
      <c r="J6" s="204"/>
      <c r="K6" s="151" t="s">
        <v>288</v>
      </c>
      <c r="L6" s="151" t="s">
        <v>289</v>
      </c>
      <c r="M6" s="205" t="s">
        <v>290</v>
      </c>
      <c r="P6" s="206"/>
      <c r="Q6" s="200" t="s">
        <v>291</v>
      </c>
      <c r="R6" s="197"/>
      <c r="S6" s="200"/>
      <c r="T6" s="197"/>
      <c r="U6" s="197"/>
      <c r="V6" s="197"/>
      <c r="W6" s="198"/>
    </row>
    <row r="7" spans="2:25" ht="16.5" thickBot="1" x14ac:dyDescent="0.3">
      <c r="P7" s="206"/>
      <c r="Q7" s="200" t="s">
        <v>292</v>
      </c>
      <c r="R7" s="197"/>
      <c r="S7" s="200"/>
      <c r="T7" s="197"/>
      <c r="U7" s="197"/>
      <c r="V7" s="197"/>
      <c r="W7" s="198"/>
    </row>
    <row r="8" spans="2:25" x14ac:dyDescent="0.25">
      <c r="C8" s="189" t="s">
        <v>293</v>
      </c>
      <c r="D8" s="190"/>
      <c r="E8" s="190"/>
      <c r="F8" s="190"/>
      <c r="G8" s="190"/>
      <c r="H8" s="190"/>
      <c r="I8" s="190"/>
      <c r="J8" s="191"/>
      <c r="P8" s="206"/>
      <c r="Q8" s="200" t="s">
        <v>294</v>
      </c>
      <c r="R8" s="197"/>
      <c r="S8" s="200"/>
      <c r="T8" s="197"/>
      <c r="U8" s="197"/>
      <c r="V8" s="197"/>
      <c r="W8" s="198"/>
    </row>
    <row r="9" spans="2:25" ht="16.5" thickBot="1" x14ac:dyDescent="0.3">
      <c r="C9" s="196" t="s">
        <v>295</v>
      </c>
      <c r="D9" s="197"/>
      <c r="E9" s="197"/>
      <c r="F9" s="197"/>
      <c r="G9" s="197"/>
      <c r="H9" s="197"/>
      <c r="I9" s="197"/>
      <c r="J9" s="198"/>
      <c r="P9" s="202"/>
      <c r="Q9" s="207" t="s">
        <v>296</v>
      </c>
      <c r="R9" s="203"/>
      <c r="S9" s="203"/>
      <c r="T9" s="203"/>
      <c r="U9" s="203"/>
      <c r="V9" s="203"/>
      <c r="W9" s="204"/>
    </row>
    <row r="10" spans="2:25" ht="16.5" thickBot="1" x14ac:dyDescent="0.3">
      <c r="C10" s="202" t="s">
        <v>297</v>
      </c>
      <c r="D10" s="203"/>
      <c r="E10" s="203"/>
      <c r="F10" s="203"/>
      <c r="G10" s="203"/>
      <c r="H10" s="203" t="s">
        <v>298</v>
      </c>
      <c r="I10" s="203"/>
      <c r="J10" s="204"/>
      <c r="K10" s="151" t="s">
        <v>288</v>
      </c>
      <c r="L10" s="151" t="s">
        <v>299</v>
      </c>
      <c r="M10" s="205" t="s">
        <v>300</v>
      </c>
    </row>
    <row r="12" spans="2:25" x14ac:dyDescent="0.25">
      <c r="C12" s="208" t="s">
        <v>301</v>
      </c>
    </row>
    <row r="14" spans="2:25" ht="16.5" thickBot="1" x14ac:dyDescent="0.3">
      <c r="B14" s="151" t="s">
        <v>302</v>
      </c>
      <c r="W14" s="397" t="s">
        <v>288</v>
      </c>
      <c r="X14" s="397"/>
      <c r="Y14" s="397"/>
    </row>
    <row r="15" spans="2:25" ht="16.5" thickTop="1" x14ac:dyDescent="0.25">
      <c r="B15" s="209" t="s">
        <v>303</v>
      </c>
      <c r="C15" s="151" t="s">
        <v>304</v>
      </c>
      <c r="K15" s="151" t="s">
        <v>305</v>
      </c>
      <c r="O15" s="151" t="s">
        <v>306</v>
      </c>
      <c r="W15" s="151" t="s">
        <v>307</v>
      </c>
      <c r="Y15" s="151" t="s">
        <v>308</v>
      </c>
    </row>
    <row r="16" spans="2:25" ht="16.5" thickBot="1" x14ac:dyDescent="0.3">
      <c r="B16" s="209" t="s">
        <v>309</v>
      </c>
      <c r="C16" s="151" t="s">
        <v>310</v>
      </c>
      <c r="O16" s="151" t="s">
        <v>311</v>
      </c>
    </row>
    <row r="17" spans="2:25" ht="16.5" thickBot="1" x14ac:dyDescent="0.3">
      <c r="C17" s="151" t="s">
        <v>312</v>
      </c>
      <c r="L17" s="398" t="s">
        <v>288</v>
      </c>
      <c r="M17" s="399"/>
      <c r="N17" s="400"/>
      <c r="O17" s="151" t="s">
        <v>313</v>
      </c>
      <c r="W17" s="151" t="s">
        <v>314</v>
      </c>
      <c r="Y17" s="151" t="s">
        <v>315</v>
      </c>
    </row>
    <row r="18" spans="2:25" ht="16.5" thickTop="1" x14ac:dyDescent="0.25">
      <c r="B18" s="209" t="s">
        <v>316</v>
      </c>
      <c r="C18" s="151" t="s">
        <v>317</v>
      </c>
      <c r="L18" s="206" t="s">
        <v>318</v>
      </c>
      <c r="M18" s="210" t="s">
        <v>319</v>
      </c>
      <c r="N18" s="198"/>
      <c r="O18" s="151" t="s">
        <v>320</v>
      </c>
    </row>
    <row r="19" spans="2:25" x14ac:dyDescent="0.25">
      <c r="B19" s="209" t="s">
        <v>321</v>
      </c>
      <c r="C19" s="151" t="s">
        <v>322</v>
      </c>
      <c r="L19" s="206" t="s">
        <v>323</v>
      </c>
      <c r="M19" s="210"/>
      <c r="N19" s="198"/>
      <c r="O19" s="151" t="s">
        <v>324</v>
      </c>
      <c r="W19" s="151" t="s">
        <v>325</v>
      </c>
      <c r="Y19" s="151" t="s">
        <v>326</v>
      </c>
    </row>
    <row r="20" spans="2:25" x14ac:dyDescent="0.25">
      <c r="B20" s="209" t="s">
        <v>327</v>
      </c>
      <c r="C20" s="151" t="s">
        <v>328</v>
      </c>
      <c r="L20" s="206" t="s">
        <v>329</v>
      </c>
      <c r="M20" s="210" t="s">
        <v>330</v>
      </c>
      <c r="N20" s="198"/>
      <c r="O20" s="151" t="s">
        <v>331</v>
      </c>
      <c r="W20" s="151" t="s">
        <v>332</v>
      </c>
      <c r="Y20" s="151" t="s">
        <v>333</v>
      </c>
    </row>
    <row r="21" spans="2:25" ht="16.5" thickBot="1" x14ac:dyDescent="0.3">
      <c r="B21" s="209" t="s">
        <v>334</v>
      </c>
      <c r="C21" s="151" t="s">
        <v>335</v>
      </c>
      <c r="L21" s="202" t="s">
        <v>336</v>
      </c>
      <c r="M21" s="203" t="s">
        <v>337</v>
      </c>
      <c r="N21" s="204"/>
    </row>
    <row r="23" spans="2:25" x14ac:dyDescent="0.25">
      <c r="B23" s="211"/>
      <c r="C23" s="212" t="s">
        <v>338</v>
      </c>
      <c r="D23" s="211"/>
    </row>
    <row r="24" spans="2:25" x14ac:dyDescent="0.25">
      <c r="B24" s="213"/>
    </row>
    <row r="25" spans="2:25" x14ac:dyDescent="0.25">
      <c r="B25" s="213"/>
    </row>
    <row r="26" spans="2:25" x14ac:dyDescent="0.25">
      <c r="B26" s="213"/>
    </row>
    <row r="27" spans="2:25" x14ac:dyDescent="0.25">
      <c r="B27" s="213"/>
    </row>
    <row r="28" spans="2:25" x14ac:dyDescent="0.25">
      <c r="B28" s="213"/>
    </row>
    <row r="29" spans="2:25" x14ac:dyDescent="0.25">
      <c r="B29" s="213"/>
    </row>
    <row r="30" spans="2:25" x14ac:dyDescent="0.25">
      <c r="B30" s="213"/>
    </row>
    <row r="31" spans="2:25" x14ac:dyDescent="0.25">
      <c r="B31" s="213"/>
    </row>
    <row r="32" spans="2:25" x14ac:dyDescent="0.25">
      <c r="B32" s="213"/>
    </row>
    <row r="33" spans="2:5" x14ac:dyDescent="0.25">
      <c r="B33" s="213"/>
    </row>
    <row r="34" spans="2:5" x14ac:dyDescent="0.25">
      <c r="B34" s="213"/>
    </row>
    <row r="35" spans="2:5" x14ac:dyDescent="0.25">
      <c r="B35" s="213"/>
    </row>
    <row r="36" spans="2:5" x14ac:dyDescent="0.25">
      <c r="B36" s="213"/>
    </row>
    <row r="37" spans="2:5" x14ac:dyDescent="0.25">
      <c r="B37" s="213"/>
    </row>
    <row r="38" spans="2:5" x14ac:dyDescent="0.25">
      <c r="B38" s="213"/>
    </row>
    <row r="39" spans="2:5" x14ac:dyDescent="0.25">
      <c r="B39" s="213"/>
    </row>
    <row r="40" spans="2:5" x14ac:dyDescent="0.25">
      <c r="B40" s="213"/>
    </row>
    <row r="41" spans="2:5" x14ac:dyDescent="0.25">
      <c r="B41" s="213"/>
    </row>
    <row r="42" spans="2:5" x14ac:dyDescent="0.25">
      <c r="B42" s="213"/>
    </row>
    <row r="43" spans="2:5" x14ac:dyDescent="0.25">
      <c r="B43" s="213"/>
    </row>
    <row r="44" spans="2:5" x14ac:dyDescent="0.25">
      <c r="B44" s="213"/>
    </row>
    <row r="45" spans="2:5" x14ac:dyDescent="0.25">
      <c r="B45" s="213"/>
    </row>
    <row r="46" spans="2:5" x14ac:dyDescent="0.25">
      <c r="B46" s="213"/>
    </row>
    <row r="47" spans="2:5" ht="16.5" x14ac:dyDescent="0.25">
      <c r="B47" s="213"/>
      <c r="C47" s="214" t="s">
        <v>339</v>
      </c>
      <c r="D47" s="214"/>
      <c r="E47" s="214"/>
    </row>
    <row r="48" spans="2:5" x14ac:dyDescent="0.25">
      <c r="B48" s="213"/>
      <c r="C48" s="151" t="s">
        <v>340</v>
      </c>
    </row>
    <row r="49" spans="2:11" x14ac:dyDescent="0.25">
      <c r="B49" s="213"/>
      <c r="C49" s="151" t="s">
        <v>341</v>
      </c>
      <c r="K49" s="215" t="s">
        <v>290</v>
      </c>
    </row>
    <row r="50" spans="2:11" x14ac:dyDescent="0.25">
      <c r="B50" s="213"/>
      <c r="C50" s="208" t="s">
        <v>342</v>
      </c>
    </row>
    <row r="51" spans="2:11" x14ac:dyDescent="0.25">
      <c r="B51" s="213"/>
      <c r="C51" s="151" t="s">
        <v>343</v>
      </c>
    </row>
    <row r="52" spans="2:11" x14ac:dyDescent="0.25">
      <c r="B52" s="213"/>
      <c r="C52" s="151" t="s">
        <v>344</v>
      </c>
    </row>
    <row r="53" spans="2:11" x14ac:dyDescent="0.25">
      <c r="B53" s="213"/>
      <c r="C53" s="151" t="s">
        <v>345</v>
      </c>
    </row>
    <row r="54" spans="2:11" x14ac:dyDescent="0.25">
      <c r="B54" s="213"/>
      <c r="C54" s="151" t="s">
        <v>346</v>
      </c>
    </row>
    <row r="55" spans="2:11" x14ac:dyDescent="0.25">
      <c r="B55" s="213"/>
    </row>
    <row r="56" spans="2:11" x14ac:dyDescent="0.25">
      <c r="B56" s="213"/>
    </row>
    <row r="57" spans="2:11" x14ac:dyDescent="0.25">
      <c r="B57" s="213"/>
    </row>
    <row r="58" spans="2:11" x14ac:dyDescent="0.25">
      <c r="B58" s="213"/>
    </row>
    <row r="59" spans="2:11" x14ac:dyDescent="0.25">
      <c r="B59" s="213"/>
    </row>
    <row r="60" spans="2:11" x14ac:dyDescent="0.25">
      <c r="B60" s="213"/>
    </row>
    <row r="61" spans="2:11" x14ac:dyDescent="0.25">
      <c r="B61" s="213"/>
    </row>
    <row r="62" spans="2:11" x14ac:dyDescent="0.25">
      <c r="B62" s="213"/>
    </row>
    <row r="63" spans="2:11" x14ac:dyDescent="0.25">
      <c r="B63" s="213"/>
    </row>
    <row r="64" spans="2:11" x14ac:dyDescent="0.25">
      <c r="B64" s="213"/>
    </row>
    <row r="65" spans="2:3" x14ac:dyDescent="0.25">
      <c r="B65" s="213"/>
    </row>
    <row r="66" spans="2:3" x14ac:dyDescent="0.25">
      <c r="B66" s="213"/>
    </row>
    <row r="67" spans="2:3" x14ac:dyDescent="0.25">
      <c r="B67" s="213"/>
    </row>
    <row r="68" spans="2:3" x14ac:dyDescent="0.25">
      <c r="B68" s="213"/>
    </row>
    <row r="69" spans="2:3" x14ac:dyDescent="0.25">
      <c r="B69" s="213"/>
    </row>
    <row r="70" spans="2:3" x14ac:dyDescent="0.25">
      <c r="B70" s="213"/>
    </row>
    <row r="71" spans="2:3" x14ac:dyDescent="0.25">
      <c r="B71" s="213"/>
    </row>
    <row r="72" spans="2:3" x14ac:dyDescent="0.25">
      <c r="B72" s="213"/>
    </row>
    <row r="73" spans="2:3" x14ac:dyDescent="0.25">
      <c r="B73" s="213"/>
    </row>
    <row r="74" spans="2:3" x14ac:dyDescent="0.25">
      <c r="B74" s="213"/>
    </row>
    <row r="75" spans="2:3" x14ac:dyDescent="0.25">
      <c r="B75" s="213"/>
    </row>
    <row r="76" spans="2:3" x14ac:dyDescent="0.25">
      <c r="B76" s="213"/>
    </row>
    <row r="77" spans="2:3" x14ac:dyDescent="0.25">
      <c r="B77" s="213"/>
    </row>
    <row r="78" spans="2:3" x14ac:dyDescent="0.25">
      <c r="B78" s="213"/>
    </row>
    <row r="79" spans="2:3" x14ac:dyDescent="0.25">
      <c r="B79" s="213"/>
    </row>
    <row r="80" spans="2:3" ht="16.5" x14ac:dyDescent="0.25">
      <c r="B80" s="213"/>
      <c r="C80" s="214" t="s">
        <v>347</v>
      </c>
    </row>
    <row r="81" spans="2:24" x14ac:dyDescent="0.25">
      <c r="B81" s="213"/>
      <c r="C81" s="151" t="s">
        <v>348</v>
      </c>
      <c r="V81" s="208"/>
      <c r="X81" s="208"/>
    </row>
    <row r="82" spans="2:24" x14ac:dyDescent="0.25">
      <c r="B82" s="213"/>
      <c r="C82" s="151" t="s">
        <v>349</v>
      </c>
      <c r="P82" s="215" t="s">
        <v>300</v>
      </c>
    </row>
    <row r="83" spans="2:24" x14ac:dyDescent="0.25">
      <c r="B83" s="213"/>
      <c r="C83" s="208" t="s">
        <v>342</v>
      </c>
      <c r="X83" s="208"/>
    </row>
    <row r="84" spans="2:24" ht="16.5" x14ac:dyDescent="0.25">
      <c r="B84" s="213"/>
      <c r="C84" s="151" t="s">
        <v>350</v>
      </c>
      <c r="X84" s="214"/>
    </row>
    <row r="85" spans="2:24" x14ac:dyDescent="0.25">
      <c r="B85" s="213"/>
      <c r="C85" s="151" t="s">
        <v>351</v>
      </c>
    </row>
    <row r="86" spans="2:24" x14ac:dyDescent="0.25">
      <c r="B86" s="213"/>
      <c r="C86" s="151" t="s">
        <v>352</v>
      </c>
    </row>
    <row r="87" spans="2:24" x14ac:dyDescent="0.25">
      <c r="B87" s="213"/>
    </row>
    <row r="88" spans="2:24" x14ac:dyDescent="0.25">
      <c r="B88" s="213"/>
    </row>
    <row r="89" spans="2:24" x14ac:dyDescent="0.25">
      <c r="B89" s="213"/>
    </row>
    <row r="90" spans="2:24" x14ac:dyDescent="0.25">
      <c r="B90" s="213"/>
    </row>
    <row r="91" spans="2:24" x14ac:dyDescent="0.25">
      <c r="B91" s="213"/>
    </row>
    <row r="92" spans="2:24" x14ac:dyDescent="0.25">
      <c r="B92" s="213"/>
    </row>
    <row r="93" spans="2:24" x14ac:dyDescent="0.25">
      <c r="B93" s="213"/>
    </row>
    <row r="94" spans="2:24" x14ac:dyDescent="0.25">
      <c r="B94" s="213"/>
    </row>
    <row r="95" spans="2:24" x14ac:dyDescent="0.25">
      <c r="B95" s="213"/>
    </row>
    <row r="96" spans="2:24" x14ac:dyDescent="0.25">
      <c r="B96" s="213"/>
    </row>
    <row r="97" spans="2:3" x14ac:dyDescent="0.25">
      <c r="B97" s="213"/>
    </row>
    <row r="98" spans="2:3" x14ac:dyDescent="0.25">
      <c r="B98" s="213"/>
    </row>
    <row r="99" spans="2:3" x14ac:dyDescent="0.25">
      <c r="B99" s="213"/>
    </row>
    <row r="100" spans="2:3" x14ac:dyDescent="0.25">
      <c r="B100" s="213"/>
    </row>
    <row r="101" spans="2:3" x14ac:dyDescent="0.25">
      <c r="B101" s="213"/>
    </row>
    <row r="102" spans="2:3" x14ac:dyDescent="0.25">
      <c r="B102" s="213"/>
    </row>
    <row r="103" spans="2:3" x14ac:dyDescent="0.25">
      <c r="B103" s="213"/>
    </row>
    <row r="104" spans="2:3" x14ac:dyDescent="0.25">
      <c r="B104" s="213"/>
    </row>
    <row r="105" spans="2:3" x14ac:dyDescent="0.25">
      <c r="B105" s="213"/>
    </row>
    <row r="106" spans="2:3" x14ac:dyDescent="0.25">
      <c r="B106" s="213"/>
    </row>
    <row r="107" spans="2:3" x14ac:dyDescent="0.25">
      <c r="B107" s="213"/>
    </row>
    <row r="108" spans="2:3" x14ac:dyDescent="0.25">
      <c r="B108" s="213"/>
    </row>
    <row r="109" spans="2:3" x14ac:dyDescent="0.25">
      <c r="B109" s="213"/>
    </row>
    <row r="110" spans="2:3" x14ac:dyDescent="0.25">
      <c r="B110" s="213"/>
    </row>
    <row r="111" spans="2:3" x14ac:dyDescent="0.25">
      <c r="B111" s="213"/>
    </row>
    <row r="112" spans="2:3" ht="16.5" x14ac:dyDescent="0.25">
      <c r="B112" s="213"/>
      <c r="C112" s="214" t="s">
        <v>353</v>
      </c>
    </row>
    <row r="113" spans="2:16" x14ac:dyDescent="0.25">
      <c r="B113" s="213"/>
      <c r="C113" s="151" t="s">
        <v>354</v>
      </c>
    </row>
    <row r="114" spans="2:16" x14ac:dyDescent="0.25">
      <c r="B114" s="213"/>
      <c r="C114" s="151" t="s">
        <v>355</v>
      </c>
      <c r="P114" s="215" t="s">
        <v>330</v>
      </c>
    </row>
    <row r="115" spans="2:16" x14ac:dyDescent="0.25">
      <c r="B115" s="213"/>
      <c r="C115" s="208" t="s">
        <v>342</v>
      </c>
    </row>
    <row r="116" spans="2:16" x14ac:dyDescent="0.25">
      <c r="B116" s="213"/>
      <c r="C116" s="151" t="s">
        <v>356</v>
      </c>
    </row>
    <row r="117" spans="2:16" x14ac:dyDescent="0.25">
      <c r="B117" s="213"/>
      <c r="C117" s="151" t="s">
        <v>357</v>
      </c>
    </row>
    <row r="118" spans="2:16" x14ac:dyDescent="0.25">
      <c r="B118" s="213"/>
    </row>
    <row r="119" spans="2:16" x14ac:dyDescent="0.25">
      <c r="B119" s="213"/>
    </row>
    <row r="120" spans="2:16" x14ac:dyDescent="0.25">
      <c r="B120" s="213"/>
    </row>
    <row r="121" spans="2:16" x14ac:dyDescent="0.25">
      <c r="B121" s="213"/>
    </row>
    <row r="122" spans="2:16" x14ac:dyDescent="0.25">
      <c r="B122" s="213"/>
    </row>
    <row r="123" spans="2:16" x14ac:dyDescent="0.25">
      <c r="B123" s="213"/>
    </row>
    <row r="124" spans="2:16" x14ac:dyDescent="0.25">
      <c r="B124" s="213"/>
    </row>
    <row r="125" spans="2:16" x14ac:dyDescent="0.25">
      <c r="B125" s="213"/>
    </row>
    <row r="126" spans="2:16" x14ac:dyDescent="0.25">
      <c r="B126" s="213"/>
    </row>
    <row r="127" spans="2:16" x14ac:dyDescent="0.25">
      <c r="B127" s="213"/>
    </row>
    <row r="128" spans="2:16" x14ac:dyDescent="0.25">
      <c r="B128" s="213"/>
    </row>
    <row r="129" spans="2:3" x14ac:dyDescent="0.25">
      <c r="B129" s="213"/>
    </row>
    <row r="130" spans="2:3" x14ac:dyDescent="0.25">
      <c r="B130" s="213"/>
    </row>
    <row r="131" spans="2:3" x14ac:dyDescent="0.25">
      <c r="B131" s="213"/>
    </row>
    <row r="132" spans="2:3" x14ac:dyDescent="0.25">
      <c r="B132" s="213"/>
    </row>
    <row r="133" spans="2:3" x14ac:dyDescent="0.25">
      <c r="B133" s="213"/>
    </row>
    <row r="134" spans="2:3" x14ac:dyDescent="0.25">
      <c r="B134" s="213"/>
    </row>
    <row r="135" spans="2:3" x14ac:dyDescent="0.25">
      <c r="B135" s="213"/>
    </row>
    <row r="136" spans="2:3" x14ac:dyDescent="0.25">
      <c r="B136" s="213"/>
    </row>
    <row r="137" spans="2:3" x14ac:dyDescent="0.25">
      <c r="B137" s="213"/>
    </row>
    <row r="138" spans="2:3" x14ac:dyDescent="0.25">
      <c r="B138" s="213"/>
    </row>
    <row r="139" spans="2:3" x14ac:dyDescent="0.25">
      <c r="B139" s="213"/>
    </row>
    <row r="140" spans="2:3" x14ac:dyDescent="0.25">
      <c r="B140" s="213"/>
    </row>
    <row r="141" spans="2:3" x14ac:dyDescent="0.25">
      <c r="B141" s="213"/>
    </row>
    <row r="142" spans="2:3" x14ac:dyDescent="0.25">
      <c r="B142" s="213"/>
    </row>
    <row r="143" spans="2:3" ht="16.5" x14ac:dyDescent="0.25">
      <c r="B143" s="213"/>
      <c r="C143" s="214" t="s">
        <v>358</v>
      </c>
    </row>
    <row r="144" spans="2:3" x14ac:dyDescent="0.25">
      <c r="B144" s="213"/>
      <c r="C144" s="151" t="s">
        <v>359</v>
      </c>
    </row>
    <row r="145" spans="2:3" x14ac:dyDescent="0.25">
      <c r="B145" s="213"/>
      <c r="C145" s="151" t="s">
        <v>360</v>
      </c>
    </row>
    <row r="146" spans="2:3" x14ac:dyDescent="0.25">
      <c r="B146" s="213"/>
      <c r="C146" s="208" t="s">
        <v>342</v>
      </c>
    </row>
    <row r="147" spans="2:3" x14ac:dyDescent="0.25">
      <c r="B147" s="213"/>
      <c r="C147" s="151" t="s">
        <v>361</v>
      </c>
    </row>
    <row r="148" spans="2:3" x14ac:dyDescent="0.25">
      <c r="B148" s="213"/>
      <c r="C148" s="151" t="s">
        <v>362</v>
      </c>
    </row>
    <row r="149" spans="2:3" x14ac:dyDescent="0.25">
      <c r="B149" s="213"/>
    </row>
    <row r="150" spans="2:3" x14ac:dyDescent="0.25">
      <c r="B150" s="213"/>
    </row>
    <row r="151" spans="2:3" x14ac:dyDescent="0.25">
      <c r="B151" s="213"/>
    </row>
    <row r="152" spans="2:3" x14ac:dyDescent="0.25">
      <c r="B152" s="213"/>
    </row>
    <row r="153" spans="2:3" x14ac:dyDescent="0.25">
      <c r="B153" s="213"/>
    </row>
    <row r="154" spans="2:3" x14ac:dyDescent="0.25">
      <c r="B154" s="213"/>
    </row>
    <row r="155" spans="2:3" x14ac:dyDescent="0.25">
      <c r="B155" s="213"/>
    </row>
    <row r="156" spans="2:3" x14ac:dyDescent="0.25">
      <c r="B156" s="213"/>
    </row>
    <row r="157" spans="2:3" x14ac:dyDescent="0.25">
      <c r="B157" s="213"/>
    </row>
    <row r="158" spans="2:3" x14ac:dyDescent="0.25">
      <c r="B158" s="213"/>
    </row>
    <row r="159" spans="2:3" x14ac:dyDescent="0.25">
      <c r="B159" s="213"/>
    </row>
    <row r="160" spans="2:3" x14ac:dyDescent="0.25">
      <c r="B160" s="213"/>
    </row>
    <row r="161" spans="2:16" x14ac:dyDescent="0.25">
      <c r="B161" s="213"/>
    </row>
    <row r="162" spans="2:16" x14ac:dyDescent="0.25">
      <c r="B162" s="213"/>
    </row>
    <row r="163" spans="2:16" x14ac:dyDescent="0.25">
      <c r="B163" s="213"/>
    </row>
    <row r="164" spans="2:16" x14ac:dyDescent="0.25">
      <c r="B164" s="213"/>
    </row>
    <row r="165" spans="2:16" x14ac:dyDescent="0.25">
      <c r="B165" s="213"/>
    </row>
    <row r="166" spans="2:16" x14ac:dyDescent="0.25">
      <c r="B166" s="213"/>
    </row>
    <row r="167" spans="2:16" x14ac:dyDescent="0.25">
      <c r="B167" s="213"/>
    </row>
    <row r="168" spans="2:16" x14ac:dyDescent="0.25">
      <c r="B168" s="213"/>
    </row>
    <row r="169" spans="2:16" x14ac:dyDescent="0.25">
      <c r="B169" s="213"/>
    </row>
    <row r="170" spans="2:16" x14ac:dyDescent="0.25">
      <c r="B170" s="213"/>
    </row>
    <row r="171" spans="2:16" x14ac:dyDescent="0.25">
      <c r="B171" s="213"/>
    </row>
    <row r="172" spans="2:16" x14ac:dyDescent="0.25">
      <c r="B172" s="213"/>
    </row>
    <row r="173" spans="2:16" x14ac:dyDescent="0.25">
      <c r="B173" s="213"/>
    </row>
    <row r="174" spans="2:16" x14ac:dyDescent="0.25">
      <c r="B174" s="213"/>
    </row>
    <row r="175" spans="2:16" ht="16.5" x14ac:dyDescent="0.25">
      <c r="B175" s="213"/>
      <c r="C175" s="214" t="s">
        <v>363</v>
      </c>
      <c r="O175" s="151" t="s">
        <v>364</v>
      </c>
    </row>
    <row r="176" spans="2:16" x14ac:dyDescent="0.25">
      <c r="B176" s="213"/>
      <c r="C176" s="151" t="s">
        <v>365</v>
      </c>
      <c r="P176" s="215" t="s">
        <v>366</v>
      </c>
    </row>
    <row r="177" spans="2:3" x14ac:dyDescent="0.25">
      <c r="B177" s="213"/>
      <c r="C177" s="151" t="s">
        <v>367</v>
      </c>
    </row>
    <row r="178" spans="2:3" x14ac:dyDescent="0.25">
      <c r="B178" s="213"/>
      <c r="C178" s="208" t="s">
        <v>342</v>
      </c>
    </row>
    <row r="179" spans="2:3" x14ac:dyDescent="0.25">
      <c r="B179" s="213"/>
      <c r="C179" s="151" t="s">
        <v>368</v>
      </c>
    </row>
    <row r="180" spans="2:3" x14ac:dyDescent="0.25">
      <c r="B180" s="213"/>
      <c r="C180" s="151" t="s">
        <v>369</v>
      </c>
    </row>
    <row r="181" spans="2:3" x14ac:dyDescent="0.25">
      <c r="B181" s="213"/>
    </row>
    <row r="182" spans="2:3" x14ac:dyDescent="0.25">
      <c r="B182" s="213"/>
    </row>
    <row r="183" spans="2:3" x14ac:dyDescent="0.25">
      <c r="B183" s="213"/>
    </row>
    <row r="184" spans="2:3" x14ac:dyDescent="0.25">
      <c r="B184" s="213"/>
    </row>
    <row r="185" spans="2:3" x14ac:dyDescent="0.25">
      <c r="B185" s="216"/>
    </row>
    <row r="186" spans="2:3" x14ac:dyDescent="0.25">
      <c r="B186" s="213"/>
    </row>
    <row r="187" spans="2:3" x14ac:dyDescent="0.25">
      <c r="B187" s="213"/>
    </row>
    <row r="188" spans="2:3" x14ac:dyDescent="0.25">
      <c r="B188" s="213"/>
    </row>
    <row r="189" spans="2:3" x14ac:dyDescent="0.25">
      <c r="B189" s="213"/>
    </row>
    <row r="190" spans="2:3" x14ac:dyDescent="0.25">
      <c r="B190" s="216"/>
    </row>
    <row r="191" spans="2:3" x14ac:dyDescent="0.25">
      <c r="B191" s="216"/>
    </row>
    <row r="192" spans="2:3" x14ac:dyDescent="0.25">
      <c r="B192" s="216"/>
    </row>
    <row r="193" spans="2:15" x14ac:dyDescent="0.25">
      <c r="B193" s="216"/>
    </row>
    <row r="194" spans="2:15" x14ac:dyDescent="0.25">
      <c r="B194" s="216"/>
    </row>
    <row r="195" spans="2:15" x14ac:dyDescent="0.25">
      <c r="B195" s="216"/>
    </row>
    <row r="196" spans="2:15" x14ac:dyDescent="0.25">
      <c r="B196" s="216"/>
    </row>
    <row r="197" spans="2:15" x14ac:dyDescent="0.25">
      <c r="B197" s="216"/>
    </row>
    <row r="198" spans="2:15" x14ac:dyDescent="0.25">
      <c r="B198" s="216"/>
    </row>
    <row r="199" spans="2:15" x14ac:dyDescent="0.25">
      <c r="B199" s="216"/>
    </row>
    <row r="200" spans="2:15" x14ac:dyDescent="0.25">
      <c r="B200" s="216"/>
    </row>
    <row r="201" spans="2:15" x14ac:dyDescent="0.25">
      <c r="B201" s="216"/>
    </row>
    <row r="202" spans="2:15" x14ac:dyDescent="0.25">
      <c r="B202" s="216"/>
    </row>
    <row r="203" spans="2:15" x14ac:dyDescent="0.25">
      <c r="B203" s="216"/>
    </row>
    <row r="204" spans="2:15" x14ac:dyDescent="0.25">
      <c r="B204" s="216"/>
    </row>
    <row r="205" spans="2:15" x14ac:dyDescent="0.25">
      <c r="B205" s="216"/>
    </row>
    <row r="206" spans="2:15" ht="16.5" x14ac:dyDescent="0.25">
      <c r="B206" s="216"/>
      <c r="C206" s="214" t="s">
        <v>370</v>
      </c>
    </row>
    <row r="207" spans="2:15" x14ac:dyDescent="0.25">
      <c r="B207" s="216"/>
      <c r="C207" s="151" t="s">
        <v>371</v>
      </c>
      <c r="O207" s="215" t="s">
        <v>308</v>
      </c>
    </row>
    <row r="208" spans="2:15" x14ac:dyDescent="0.25">
      <c r="B208" s="216"/>
      <c r="C208" s="151" t="s">
        <v>372</v>
      </c>
    </row>
    <row r="209" spans="2:29" x14ac:dyDescent="0.25">
      <c r="B209" s="216"/>
      <c r="C209" s="151" t="s">
        <v>373</v>
      </c>
    </row>
    <row r="210" spans="2:29" x14ac:dyDescent="0.25">
      <c r="B210" s="216"/>
      <c r="C210" s="151" t="s">
        <v>374</v>
      </c>
    </row>
    <row r="211" spans="2:29" x14ac:dyDescent="0.25">
      <c r="B211" s="216"/>
      <c r="C211" s="151" t="s">
        <v>375</v>
      </c>
    </row>
    <row r="212" spans="2:29" x14ac:dyDescent="0.25">
      <c r="B212" s="216"/>
      <c r="O212" s="215" t="s">
        <v>333</v>
      </c>
      <c r="AC212" s="215" t="s">
        <v>326</v>
      </c>
    </row>
    <row r="213" spans="2:29" x14ac:dyDescent="0.25">
      <c r="B213" s="216"/>
    </row>
    <row r="214" spans="2:29" x14ac:dyDescent="0.25">
      <c r="B214" s="216"/>
    </row>
    <row r="215" spans="2:29" x14ac:dyDescent="0.25">
      <c r="B215" s="216"/>
    </row>
    <row r="216" spans="2:29" x14ac:dyDescent="0.25">
      <c r="B216" s="216"/>
    </row>
    <row r="217" spans="2:29" x14ac:dyDescent="0.25">
      <c r="B217" s="216"/>
    </row>
    <row r="218" spans="2:29" x14ac:dyDescent="0.25">
      <c r="B218" s="216"/>
    </row>
    <row r="219" spans="2:29" x14ac:dyDescent="0.25">
      <c r="B219" s="216"/>
    </row>
    <row r="220" spans="2:29" x14ac:dyDescent="0.25">
      <c r="B220" s="216"/>
    </row>
    <row r="221" spans="2:29" x14ac:dyDescent="0.25">
      <c r="B221" s="216"/>
    </row>
    <row r="222" spans="2:29" x14ac:dyDescent="0.25">
      <c r="B222" s="216"/>
    </row>
    <row r="223" spans="2:29" x14ac:dyDescent="0.25">
      <c r="B223" s="216"/>
    </row>
    <row r="224" spans="2:29" x14ac:dyDescent="0.25">
      <c r="B224" s="216"/>
    </row>
    <row r="225" spans="2:17" x14ac:dyDescent="0.25">
      <c r="B225" s="216"/>
    </row>
    <row r="226" spans="2:17" x14ac:dyDescent="0.25">
      <c r="B226" s="216"/>
    </row>
    <row r="227" spans="2:17" x14ac:dyDescent="0.25">
      <c r="B227" s="216"/>
    </row>
    <row r="228" spans="2:17" x14ac:dyDescent="0.25">
      <c r="B228" s="216"/>
    </row>
    <row r="229" spans="2:17" x14ac:dyDescent="0.25">
      <c r="B229" s="216"/>
    </row>
    <row r="230" spans="2:17" x14ac:dyDescent="0.25">
      <c r="B230" s="216"/>
    </row>
    <row r="231" spans="2:17" x14ac:dyDescent="0.25">
      <c r="B231" s="216"/>
    </row>
    <row r="232" spans="2:17" x14ac:dyDescent="0.25">
      <c r="B232" s="216"/>
    </row>
    <row r="233" spans="2:17" x14ac:dyDescent="0.25">
      <c r="B233" s="216"/>
    </row>
    <row r="234" spans="2:17" x14ac:dyDescent="0.25">
      <c r="B234" s="216"/>
    </row>
    <row r="235" spans="2:17" x14ac:dyDescent="0.25">
      <c r="B235" s="216"/>
    </row>
    <row r="236" spans="2:17" x14ac:dyDescent="0.25">
      <c r="B236" s="216"/>
    </row>
    <row r="237" spans="2:17" x14ac:dyDescent="0.25">
      <c r="B237" s="216"/>
    </row>
    <row r="238" spans="2:17" ht="16.5" x14ac:dyDescent="0.25">
      <c r="B238" s="216"/>
      <c r="Q238" s="214" t="s">
        <v>376</v>
      </c>
    </row>
    <row r="239" spans="2:17" x14ac:dyDescent="0.25">
      <c r="B239" s="216"/>
      <c r="Q239" s="151" t="s">
        <v>377</v>
      </c>
    </row>
    <row r="240" spans="2:17" x14ac:dyDescent="0.25">
      <c r="B240" s="216"/>
      <c r="Q240" s="151" t="s">
        <v>378</v>
      </c>
    </row>
    <row r="241" spans="2:17" x14ac:dyDescent="0.25">
      <c r="B241" s="216"/>
      <c r="Q241" s="151" t="s">
        <v>379</v>
      </c>
    </row>
    <row r="242" spans="2:17" x14ac:dyDescent="0.25">
      <c r="B242" s="216"/>
      <c r="Q242" s="151" t="s">
        <v>380</v>
      </c>
    </row>
    <row r="243" spans="2:17" x14ac:dyDescent="0.25">
      <c r="B243" s="216"/>
      <c r="Q243" s="151" t="s">
        <v>381</v>
      </c>
    </row>
    <row r="244" spans="2:17" x14ac:dyDescent="0.25">
      <c r="B244" s="216"/>
      <c r="Q244" s="208" t="s">
        <v>382</v>
      </c>
    </row>
    <row r="245" spans="2:17" x14ac:dyDescent="0.25">
      <c r="B245" s="216"/>
      <c r="Q245" s="151" t="s">
        <v>383</v>
      </c>
    </row>
    <row r="246" spans="2:17" x14ac:dyDescent="0.25">
      <c r="B246" s="216"/>
      <c r="Q246" s="151" t="s">
        <v>384</v>
      </c>
    </row>
    <row r="247" spans="2:17" x14ac:dyDescent="0.25">
      <c r="B247" s="216"/>
      <c r="Q247" s="151" t="s">
        <v>385</v>
      </c>
    </row>
    <row r="248" spans="2:17" x14ac:dyDescent="0.25">
      <c r="B248" s="216"/>
    </row>
    <row r="249" spans="2:17" x14ac:dyDescent="0.25">
      <c r="B249" s="216"/>
      <c r="Q249" s="151" t="s">
        <v>386</v>
      </c>
    </row>
    <row r="250" spans="2:17" x14ac:dyDescent="0.25">
      <c r="B250" s="216"/>
      <c r="Q250" s="151" t="s">
        <v>387</v>
      </c>
    </row>
    <row r="251" spans="2:17" x14ac:dyDescent="0.25">
      <c r="B251" s="216"/>
      <c r="Q251" s="151" t="s">
        <v>388</v>
      </c>
    </row>
    <row r="252" spans="2:17" x14ac:dyDescent="0.25">
      <c r="B252" s="216"/>
    </row>
    <row r="253" spans="2:17" x14ac:dyDescent="0.25">
      <c r="B253" s="216"/>
    </row>
    <row r="254" spans="2:17" x14ac:dyDescent="0.25">
      <c r="B254" s="216"/>
    </row>
    <row r="255" spans="2:17" x14ac:dyDescent="0.25">
      <c r="B255" s="216"/>
    </row>
    <row r="256" spans="2:17" x14ac:dyDescent="0.25">
      <c r="B256" s="216"/>
    </row>
    <row r="257" spans="2:2" x14ac:dyDescent="0.25">
      <c r="B257" s="216"/>
    </row>
    <row r="258" spans="2:2" x14ac:dyDescent="0.25">
      <c r="B258" s="216"/>
    </row>
    <row r="259" spans="2:2" x14ac:dyDescent="0.25">
      <c r="B259" s="216"/>
    </row>
    <row r="260" spans="2:2" x14ac:dyDescent="0.25">
      <c r="B260" s="216"/>
    </row>
    <row r="261" spans="2:2" x14ac:dyDescent="0.25">
      <c r="B261" s="216"/>
    </row>
    <row r="262" spans="2:2" x14ac:dyDescent="0.25">
      <c r="B262" s="216"/>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66" customWidth="1"/>
    <col min="2" max="2" width="15.21875" style="66" customWidth="1"/>
    <col min="3" max="3" width="8.21875" style="151" bestFit="1" customWidth="1"/>
    <col min="4" max="4" width="6.88671875" style="66" bestFit="1" customWidth="1"/>
    <col min="5" max="5" width="8.77734375" style="66" bestFit="1" customWidth="1"/>
    <col min="6" max="6" width="6.5546875" style="66" bestFit="1" customWidth="1"/>
    <col min="7" max="7" width="8.21875" style="66" bestFit="1" customWidth="1"/>
    <col min="8" max="8" width="7.5546875" style="66" customWidth="1"/>
    <col min="9" max="9" width="8.6640625" style="66" bestFit="1" customWidth="1"/>
    <col min="10" max="10" width="7.88671875" style="151" bestFit="1" customWidth="1"/>
    <col min="11" max="11" width="7.33203125" style="66" customWidth="1"/>
    <col min="12" max="13" width="9.109375" style="66" bestFit="1" customWidth="1"/>
    <col min="14" max="14" width="8.77734375" style="12" bestFit="1" customWidth="1"/>
    <col min="15" max="15" width="9.109375" style="66" bestFit="1" customWidth="1"/>
    <col min="16" max="17" width="9.109375" style="129" customWidth="1"/>
    <col min="18" max="18" width="10.21875" style="66" bestFit="1" customWidth="1"/>
    <col min="19" max="19" width="7.88671875" style="66" bestFit="1" customWidth="1"/>
    <col min="20" max="21" width="8.5546875" style="66" bestFit="1" customWidth="1"/>
    <col min="22" max="16384" width="8" style="66"/>
  </cols>
  <sheetData>
    <row r="1" spans="1:21" x14ac:dyDescent="0.25">
      <c r="L1" s="140" t="s">
        <v>30</v>
      </c>
      <c r="M1" s="217"/>
      <c r="N1" s="21"/>
      <c r="O1" s="140" t="s">
        <v>30</v>
      </c>
      <c r="P1" s="217" t="s">
        <v>389</v>
      </c>
    </row>
    <row r="2" spans="1:21" ht="16.5" thickBot="1" x14ac:dyDescent="0.3">
      <c r="A2" s="26" t="s">
        <v>24</v>
      </c>
      <c r="B2" s="26" t="s">
        <v>18</v>
      </c>
      <c r="C2" s="27" t="s">
        <v>23</v>
      </c>
      <c r="D2" s="30" t="s">
        <v>31</v>
      </c>
      <c r="E2" s="26" t="s">
        <v>32</v>
      </c>
      <c r="F2" s="26" t="s">
        <v>131</v>
      </c>
      <c r="G2" s="26" t="s">
        <v>132</v>
      </c>
      <c r="H2" s="26" t="s">
        <v>133</v>
      </c>
      <c r="I2" s="26" t="s">
        <v>134</v>
      </c>
      <c r="J2" s="27" t="s">
        <v>136</v>
      </c>
      <c r="L2" s="218">
        <v>42801</v>
      </c>
      <c r="M2" s="219">
        <v>42802</v>
      </c>
      <c r="N2" s="220" t="s">
        <v>155</v>
      </c>
      <c r="O2" s="219">
        <v>42803</v>
      </c>
      <c r="P2" s="221" t="s">
        <v>155</v>
      </c>
      <c r="Q2" s="221" t="s">
        <v>160</v>
      </c>
      <c r="R2" s="219">
        <v>42804</v>
      </c>
      <c r="S2" s="221" t="s">
        <v>155</v>
      </c>
      <c r="T2" s="221" t="s">
        <v>160</v>
      </c>
      <c r="U2" s="222" t="s">
        <v>390</v>
      </c>
    </row>
    <row r="3" spans="1:21" ht="16.5" thickTop="1" x14ac:dyDescent="0.25">
      <c r="A3" s="91"/>
      <c r="B3" s="141" t="str">
        <f>IPO監視一覧!B3</f>
        <v>日宣</v>
      </c>
      <c r="C3" s="223">
        <v>1600</v>
      </c>
      <c r="D3" s="224">
        <v>3000</v>
      </c>
      <c r="E3" s="225" t="str">
        <f>CONCATENATE((IF(ISBLANK(D3),0,D3)-IF(ISBLANK(C3),0,C3))/IF(ISBLANK(C3),0,C3)*100,"%")</f>
        <v>87.5%</v>
      </c>
      <c r="F3" s="226"/>
      <c r="G3" s="226"/>
      <c r="H3" s="226"/>
      <c r="I3" s="226"/>
      <c r="J3" s="227"/>
      <c r="L3" s="228">
        <v>2519</v>
      </c>
      <c r="M3" s="229">
        <v>2603</v>
      </c>
      <c r="N3" s="230">
        <f>(M3-L3)/L3</f>
        <v>3.33465660976578E-2</v>
      </c>
      <c r="O3" s="229">
        <v>2592</v>
      </c>
      <c r="P3" s="231">
        <f>(O3-M3)/M3</f>
        <v>-4.2258932001536685E-3</v>
      </c>
      <c r="Q3" s="231">
        <f>(O3-L3)/L3</f>
        <v>2.8979753870583564E-2</v>
      </c>
      <c r="R3" s="229">
        <v>2632</v>
      </c>
      <c r="S3" s="232">
        <f>(R3-O3)/O3</f>
        <v>1.5432098765432098E-2</v>
      </c>
      <c r="T3" s="232">
        <f>(R3-M3)/M3</f>
        <v>1.114099116404149E-2</v>
      </c>
      <c r="U3" s="233">
        <f>(R3-L3)/L3</f>
        <v>4.4859071059944425E-2</v>
      </c>
    </row>
    <row r="4" spans="1:21" x14ac:dyDescent="0.25">
      <c r="A4" s="99" t="str">
        <f>IPO監視一覧!H4</f>
        <v>C</v>
      </c>
      <c r="B4" s="99" t="str">
        <f>IPO監視一覧!B4</f>
        <v>レノバ </v>
      </c>
      <c r="C4" s="109">
        <v>750</v>
      </c>
      <c r="D4" s="108">
        <v>1125</v>
      </c>
      <c r="E4" s="234" t="str">
        <f>CONCATENATE((IF(ISBLANK(D4),0,D4)-IF(ISBLANK(C4),0,C4))/IF(ISBLANK(C4),0,C4)*100,"%")</f>
        <v>50%</v>
      </c>
      <c r="F4" s="235"/>
      <c r="G4" s="235"/>
      <c r="H4" s="235"/>
      <c r="I4" s="235"/>
      <c r="J4" s="236"/>
      <c r="L4" s="228">
        <v>1990</v>
      </c>
      <c r="M4" s="229">
        <v>1915</v>
      </c>
      <c r="N4" s="230">
        <f>(M4-L4)/L4</f>
        <v>-3.7688442211055273E-2</v>
      </c>
      <c r="O4" s="229">
        <v>1872</v>
      </c>
      <c r="P4" s="231">
        <f>(O4-M4)/M4</f>
        <v>-2.2454308093994776E-2</v>
      </c>
      <c r="Q4" s="231">
        <f>(O4-L4)/L4</f>
        <v>-5.92964824120603E-2</v>
      </c>
      <c r="R4" s="229">
        <v>2073</v>
      </c>
      <c r="S4" s="232">
        <f>(R4-O4)/O4</f>
        <v>0.10737179487179487</v>
      </c>
      <c r="T4" s="232">
        <f>(R4-M4)/M4</f>
        <v>8.2506527415143596E-2</v>
      </c>
      <c r="U4" s="233">
        <f>(R4-L4)/L4</f>
        <v>4.1708542713567838E-2</v>
      </c>
    </row>
    <row r="5" spans="1:21" x14ac:dyDescent="0.25">
      <c r="A5" s="99" t="str">
        <f>IPO監視一覧!H5</f>
        <v>B</v>
      </c>
      <c r="B5" s="99" t="str">
        <f>IPO監視一覧!B5</f>
        <v>ユナイテッド＆コレクティブ</v>
      </c>
      <c r="C5" s="109">
        <v>1620</v>
      </c>
      <c r="D5" s="108">
        <v>4500</v>
      </c>
      <c r="E5" s="234" t="str">
        <f>CONCATENATE(ROUND((IF(ISBLANK(D5),0,D5)-IF(ISBLANK(C5),0,C5))/IF(ISBLANK(C5),0,C5)*100,2),"%")</f>
        <v>177.78%</v>
      </c>
      <c r="F5" s="235"/>
      <c r="G5" s="235"/>
      <c r="H5" s="235"/>
      <c r="I5" s="235"/>
      <c r="J5" s="236"/>
      <c r="L5" s="237">
        <v>5600</v>
      </c>
      <c r="M5" s="229">
        <v>5380</v>
      </c>
      <c r="N5" s="230">
        <f>(M5-L5)/L5</f>
        <v>-3.9285714285714285E-2</v>
      </c>
      <c r="O5" s="229">
        <v>5550</v>
      </c>
      <c r="P5" s="231">
        <f>(O5-M5)/M5</f>
        <v>3.1598513011152414E-2</v>
      </c>
      <c r="Q5" s="231">
        <f>(O5-L5)/L5</f>
        <v>-8.9285714285714281E-3</v>
      </c>
      <c r="R5" s="229">
        <v>5320</v>
      </c>
      <c r="S5" s="232">
        <f>(R5-O5)/O5</f>
        <v>-4.1441441441441441E-2</v>
      </c>
      <c r="T5" s="232">
        <f>(R5-M5)/M5</f>
        <v>-1.1152416356877323E-2</v>
      </c>
      <c r="U5" s="233">
        <f>(R5-L5)/L5</f>
        <v>-0.05</v>
      </c>
    </row>
    <row r="6" spans="1:21" x14ac:dyDescent="0.25">
      <c r="A6" s="99" t="str">
        <f>IPO監視一覧!H6</f>
        <v>D</v>
      </c>
      <c r="B6" s="99" t="str">
        <f>IPO監視一覧!B6</f>
        <v>ロコンド</v>
      </c>
      <c r="C6" s="109">
        <v>1850</v>
      </c>
      <c r="D6" s="108">
        <v>2625</v>
      </c>
      <c r="E6" s="234" t="str">
        <f>CONCATENATE(ROUND((IF(ISBLANK(D6),0,D6)-IF(ISBLANK(C6),0,C6))/IF(ISBLANK(C6),0,C6)*100,2),"%")</f>
        <v>41.89%</v>
      </c>
      <c r="F6" s="235"/>
      <c r="G6" s="235"/>
      <c r="H6" s="235"/>
      <c r="I6" s="235"/>
      <c r="J6" s="236"/>
      <c r="L6" s="150">
        <v>2735</v>
      </c>
      <c r="M6" s="238">
        <v>2402</v>
      </c>
      <c r="N6" s="239">
        <f>(M6-L6)/L6</f>
        <v>-0.12175502742230347</v>
      </c>
      <c r="O6" s="238">
        <v>2270</v>
      </c>
      <c r="P6" s="240">
        <f>(O6-M6)/M6</f>
        <v>-5.4954204829308906E-2</v>
      </c>
      <c r="Q6" s="241">
        <f>(O6-L6)/L6</f>
        <v>-0.17001828153564899</v>
      </c>
      <c r="R6" s="229">
        <v>2351</v>
      </c>
      <c r="S6" s="232">
        <f>(R6-O6)/O6</f>
        <v>3.5682819383259914E-2</v>
      </c>
      <c r="T6" s="232">
        <f>(R6-M6)/M6</f>
        <v>-2.1232306411323898E-2</v>
      </c>
      <c r="U6" s="233">
        <f>(R6-L6)/L6</f>
        <v>-0.14040219378427787</v>
      </c>
    </row>
    <row r="7" spans="1:21" x14ac:dyDescent="0.25">
      <c r="A7" s="99" t="str">
        <f>IPO監視一覧!H7</f>
        <v>C</v>
      </c>
      <c r="B7" s="107" t="str">
        <f>IPO監視一覧!B7</f>
        <v>ピーバンドットコム</v>
      </c>
      <c r="C7" s="109">
        <v>1650</v>
      </c>
      <c r="D7" s="108">
        <v>3530</v>
      </c>
      <c r="E7" s="234" t="str">
        <f>CONCATENATE(ROUND((IF(ISBLANK(D7),0,D7)-IF(ISBLANK(C7),0,C7))/IF(ISBLANK(C7),0,C7)*100,2),"%")</f>
        <v>113.94%</v>
      </c>
      <c r="F7" s="55">
        <v>3550</v>
      </c>
      <c r="G7" s="36">
        <v>200</v>
      </c>
      <c r="H7" s="55">
        <v>3320</v>
      </c>
      <c r="I7" s="55">
        <v>1050</v>
      </c>
      <c r="J7" s="236">
        <f>(H7-F7)*G7-I7</f>
        <v>-47050</v>
      </c>
      <c r="O7" s="150">
        <v>2850</v>
      </c>
      <c r="P7" s="242">
        <f>(O7-D7)/D7</f>
        <v>-0.19263456090651557</v>
      </c>
      <c r="Q7" s="243"/>
      <c r="R7" s="238">
        <v>3350</v>
      </c>
      <c r="S7" s="244">
        <f>(R7-O7)/O7</f>
        <v>0.17543859649122806</v>
      </c>
      <c r="T7" s="245"/>
      <c r="U7" s="246"/>
    </row>
    <row r="9" spans="1:21" ht="16.5" thickBot="1" x14ac:dyDescent="0.3">
      <c r="E9" s="247">
        <v>0.15</v>
      </c>
      <c r="F9" s="248">
        <v>0.1</v>
      </c>
      <c r="G9" s="247">
        <v>0.05</v>
      </c>
      <c r="H9" s="249">
        <v>0.03</v>
      </c>
      <c r="I9" s="249">
        <v>-0.03</v>
      </c>
      <c r="J9" s="250">
        <v>-0.05</v>
      </c>
      <c r="K9" s="249">
        <v>-7.0000000000000007E-2</v>
      </c>
    </row>
    <row r="10" spans="1:21" ht="16.5" thickTop="1" x14ac:dyDescent="0.25">
      <c r="B10" s="251" t="s">
        <v>391</v>
      </c>
      <c r="C10" s="252">
        <v>3670</v>
      </c>
      <c r="E10" s="253">
        <f>C10*1.15</f>
        <v>4220.5</v>
      </c>
      <c r="F10" s="253">
        <f>C10*1.1</f>
        <v>4037.0000000000005</v>
      </c>
      <c r="G10" s="253">
        <f>C10*1.05</f>
        <v>3853.5</v>
      </c>
      <c r="H10" s="253">
        <f>C10*1.03</f>
        <v>3780.1</v>
      </c>
      <c r="I10" s="253">
        <f>C10*0.97</f>
        <v>3559.9</v>
      </c>
      <c r="J10" s="253">
        <f>C10*0.95</f>
        <v>3486.5</v>
      </c>
      <c r="K10" s="253">
        <f>C10*0.93</f>
        <v>3413.1000000000004</v>
      </c>
    </row>
    <row r="11" spans="1:21" x14ac:dyDescent="0.25">
      <c r="E11" s="12"/>
      <c r="F11" s="12" t="s">
        <v>392</v>
      </c>
      <c r="G11" s="12"/>
      <c r="H11" s="12" t="s">
        <v>392</v>
      </c>
      <c r="I11" s="254" t="s">
        <v>393</v>
      </c>
      <c r="J11" s="15"/>
      <c r="K11" s="12" t="s">
        <v>394</v>
      </c>
    </row>
  </sheetData>
  <phoneticPr fontId="2"/>
  <conditionalFormatting sqref="J2:J7">
    <cfRule type="cellIs" dxfId="0" priority="1" operator="lessThan">
      <formula>0</formula>
    </cfRule>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55" customWidth="1"/>
    <col min="2" max="16384" width="8.88671875" style="255"/>
  </cols>
  <sheetData>
    <row r="2" spans="2:2" ht="15.75" x14ac:dyDescent="0.25">
      <c r="B2" s="12"/>
    </row>
    <row r="3" spans="2:2" ht="15.75" x14ac:dyDescent="0.25">
      <c r="B3" s="12" t="s">
        <v>82</v>
      </c>
    </row>
    <row r="4" spans="2:2" ht="15.75" x14ac:dyDescent="0.25">
      <c r="B4" s="12" t="s">
        <v>395</v>
      </c>
    </row>
    <row r="5" spans="2:2" x14ac:dyDescent="0.25">
      <c r="B5" s="38" t="s">
        <v>396</v>
      </c>
    </row>
    <row r="6" spans="2:2" ht="15.75" x14ac:dyDescent="0.25">
      <c r="B6" s="12" t="s">
        <v>397</v>
      </c>
    </row>
    <row r="7" spans="2:2" x14ac:dyDescent="0.25">
      <c r="B7" s="38" t="s">
        <v>398</v>
      </c>
    </row>
    <row r="8" spans="2:2" ht="15.75" x14ac:dyDescent="0.25">
      <c r="B8" s="14" t="s">
        <v>399</v>
      </c>
    </row>
    <row r="9" spans="2:2" x14ac:dyDescent="0.25">
      <c r="B9" s="38" t="s">
        <v>400</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66" customWidth="1"/>
    <col min="2" max="16384" width="8" style="66"/>
  </cols>
  <sheetData>
    <row r="2" spans="2:8" x14ac:dyDescent="0.25">
      <c r="B2" s="113" t="s">
        <v>401</v>
      </c>
      <c r="H2" s="113" t="s">
        <v>402</v>
      </c>
    </row>
    <row r="3" spans="2:8" x14ac:dyDescent="0.25">
      <c r="B3" s="66" t="s">
        <v>403</v>
      </c>
      <c r="H3" s="66" t="s">
        <v>404</v>
      </c>
    </row>
    <row r="4" spans="2:8" x14ac:dyDescent="0.25">
      <c r="B4" s="66" t="s">
        <v>405</v>
      </c>
      <c r="H4" s="66" t="s">
        <v>406</v>
      </c>
    </row>
    <row r="5" spans="2:8" x14ac:dyDescent="0.25">
      <c r="B5" s="66" t="s">
        <v>407</v>
      </c>
      <c r="H5" s="66" t="s">
        <v>408</v>
      </c>
    </row>
    <row r="33" spans="2:2" x14ac:dyDescent="0.25">
      <c r="B33" s="113" t="s">
        <v>409</v>
      </c>
    </row>
  </sheetData>
  <phoneticPr fontId="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66" customWidth="1"/>
    <col min="2" max="2" width="14.5546875" style="66" bestFit="1" customWidth="1"/>
    <col min="3" max="3" width="118.88671875" style="66" bestFit="1" customWidth="1"/>
    <col min="4" max="16384" width="8" style="66"/>
  </cols>
  <sheetData>
    <row r="2" spans="2:3" x14ac:dyDescent="0.25">
      <c r="B2" s="256" t="s">
        <v>410</v>
      </c>
      <c r="C2" s="256" t="s">
        <v>411</v>
      </c>
    </row>
    <row r="3" spans="2:3" x14ac:dyDescent="0.25">
      <c r="B3" s="401" t="s">
        <v>412</v>
      </c>
      <c r="C3" s="257" t="s">
        <v>413</v>
      </c>
    </row>
    <row r="4" spans="2:3" x14ac:dyDescent="0.25">
      <c r="B4" s="402"/>
      <c r="C4" s="258" t="s">
        <v>414</v>
      </c>
    </row>
    <row r="5" spans="2:3" x14ac:dyDescent="0.25">
      <c r="B5" s="403" t="s">
        <v>415</v>
      </c>
      <c r="C5" s="259" t="s">
        <v>416</v>
      </c>
    </row>
    <row r="6" spans="2:3" x14ac:dyDescent="0.25">
      <c r="B6" s="404"/>
      <c r="C6" s="246" t="s">
        <v>417</v>
      </c>
    </row>
    <row r="7" spans="2:3" x14ac:dyDescent="0.25">
      <c r="B7" s="260" t="s">
        <v>418</v>
      </c>
      <c r="C7" s="260" t="s">
        <v>419</v>
      </c>
    </row>
    <row r="8" spans="2:3" x14ac:dyDescent="0.25">
      <c r="B8" s="405" t="s">
        <v>420</v>
      </c>
      <c r="C8" s="261" t="s">
        <v>421</v>
      </c>
    </row>
    <row r="9" spans="2:3" x14ac:dyDescent="0.25">
      <c r="B9" s="405"/>
      <c r="C9" s="262" t="s">
        <v>422</v>
      </c>
    </row>
    <row r="10" spans="2:3" x14ac:dyDescent="0.25">
      <c r="B10" s="405"/>
      <c r="C10" s="263" t="s">
        <v>423</v>
      </c>
    </row>
    <row r="11" spans="2:3" x14ac:dyDescent="0.25">
      <c r="B11" s="260" t="s">
        <v>424</v>
      </c>
      <c r="C11" s="260" t="s">
        <v>425</v>
      </c>
    </row>
    <row r="12" spans="2:3" x14ac:dyDescent="0.25">
      <c r="B12" s="403" t="s">
        <v>426</v>
      </c>
      <c r="C12" s="261" t="s">
        <v>427</v>
      </c>
    </row>
    <row r="13" spans="2:3" x14ac:dyDescent="0.25">
      <c r="B13" s="404"/>
      <c r="C13" s="263" t="s">
        <v>428</v>
      </c>
    </row>
    <row r="14" spans="2:3" x14ac:dyDescent="0.25">
      <c r="B14" s="401" t="s">
        <v>429</v>
      </c>
      <c r="C14" s="264" t="s">
        <v>430</v>
      </c>
    </row>
    <row r="15" spans="2:3" x14ac:dyDescent="0.25">
      <c r="B15" s="406"/>
      <c r="C15" s="265" t="s">
        <v>431</v>
      </c>
    </row>
    <row r="16" spans="2:3" x14ac:dyDescent="0.25">
      <c r="B16" s="402"/>
      <c r="C16" s="266" t="s">
        <v>432</v>
      </c>
    </row>
    <row r="17" spans="2:3" x14ac:dyDescent="0.25">
      <c r="B17" s="256" t="s">
        <v>433</v>
      </c>
      <c r="C17" s="256" t="s">
        <v>434</v>
      </c>
    </row>
    <row r="18" spans="2:3" x14ac:dyDescent="0.25">
      <c r="B18" s="401" t="s">
        <v>435</v>
      </c>
      <c r="C18" s="264" t="s">
        <v>436</v>
      </c>
    </row>
    <row r="19" spans="2:3" x14ac:dyDescent="0.25">
      <c r="B19" s="402"/>
      <c r="C19" s="266" t="s">
        <v>437</v>
      </c>
    </row>
    <row r="20" spans="2:3" x14ac:dyDescent="0.25">
      <c r="B20" s="256" t="s">
        <v>438</v>
      </c>
      <c r="C20" s="256" t="s">
        <v>439</v>
      </c>
    </row>
    <row r="21" spans="2:3" x14ac:dyDescent="0.25">
      <c r="B21" s="401" t="s">
        <v>440</v>
      </c>
      <c r="C21" s="264" t="s">
        <v>441</v>
      </c>
    </row>
    <row r="22" spans="2:3" x14ac:dyDescent="0.25">
      <c r="B22" s="402"/>
      <c r="C22" s="266" t="s">
        <v>442</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55" customWidth="1"/>
    <col min="2" max="4" width="8.88671875" style="255"/>
    <col min="5" max="6" width="7.21875" style="255" customWidth="1"/>
    <col min="7" max="7" width="9.6640625" style="255" customWidth="1"/>
    <col min="8" max="9" width="8.88671875" style="255"/>
    <col min="10" max="10" width="9" style="255" customWidth="1"/>
    <col min="11" max="11" width="8.88671875" style="255"/>
    <col min="12" max="12" width="8.44140625" style="255" bestFit="1" customWidth="1"/>
    <col min="13" max="16384" width="8.88671875" style="255"/>
  </cols>
  <sheetData>
    <row r="2" spans="1:13" x14ac:dyDescent="0.25">
      <c r="A2" s="255" t="s">
        <v>443</v>
      </c>
      <c r="B2" s="255" t="s">
        <v>444</v>
      </c>
      <c r="C2" s="255" t="s">
        <v>445</v>
      </c>
      <c r="D2" s="255" t="s">
        <v>446</v>
      </c>
      <c r="E2" s="255" t="s">
        <v>447</v>
      </c>
      <c r="G2" s="255" t="s">
        <v>448</v>
      </c>
      <c r="J2" s="255" t="s">
        <v>449</v>
      </c>
    </row>
    <row r="3" spans="1:13" x14ac:dyDescent="0.25">
      <c r="A3" s="255">
        <v>2</v>
      </c>
      <c r="B3" s="255">
        <v>200</v>
      </c>
      <c r="C3" s="255">
        <v>3320</v>
      </c>
      <c r="D3" s="255">
        <v>487</v>
      </c>
      <c r="E3" s="255">
        <v>38</v>
      </c>
      <c r="G3" s="255">
        <v>663475</v>
      </c>
      <c r="J3" s="255">
        <v>663475</v>
      </c>
      <c r="L3" s="255">
        <v>710600</v>
      </c>
      <c r="M3" s="255">
        <f>J3-L3</f>
        <v>-47125</v>
      </c>
    </row>
    <row r="4" spans="1:13" x14ac:dyDescent="0.25">
      <c r="A4" s="255">
        <v>1</v>
      </c>
      <c r="B4" s="255">
        <v>200</v>
      </c>
      <c r="C4" s="255">
        <v>3550</v>
      </c>
      <c r="D4" s="255">
        <v>487</v>
      </c>
      <c r="E4" s="255">
        <v>38</v>
      </c>
      <c r="G4" s="255">
        <f>710525*-1</f>
        <v>-710525</v>
      </c>
    </row>
    <row r="5" spans="1:13" x14ac:dyDescent="0.25">
      <c r="A5" s="267">
        <v>2</v>
      </c>
      <c r="B5" s="267">
        <v>100</v>
      </c>
      <c r="C5" s="267">
        <v>3015</v>
      </c>
      <c r="D5" s="267">
        <v>272</v>
      </c>
      <c r="E5" s="267">
        <v>21</v>
      </c>
      <c r="F5" s="267"/>
      <c r="G5" s="267">
        <v>301207</v>
      </c>
      <c r="J5" s="255">
        <v>301207</v>
      </c>
      <c r="L5" s="255">
        <v>300200</v>
      </c>
      <c r="M5" s="255">
        <f>J5-L5</f>
        <v>1007</v>
      </c>
    </row>
    <row r="6" spans="1:13" x14ac:dyDescent="0.25">
      <c r="A6" s="267">
        <v>2</v>
      </c>
      <c r="B6" s="267">
        <v>100</v>
      </c>
      <c r="C6" s="267">
        <v>3120</v>
      </c>
      <c r="D6" s="267">
        <v>244</v>
      </c>
      <c r="E6" s="267">
        <v>20</v>
      </c>
      <c r="F6" s="267"/>
      <c r="G6" s="267">
        <v>311736</v>
      </c>
      <c r="J6" s="255">
        <v>311239</v>
      </c>
      <c r="L6" s="255">
        <v>300200</v>
      </c>
      <c r="M6" s="255">
        <f>J6-L6</f>
        <v>11039</v>
      </c>
    </row>
    <row r="7" spans="1:13" x14ac:dyDescent="0.25">
      <c r="A7" s="267">
        <v>2</v>
      </c>
      <c r="B7" s="267">
        <v>100</v>
      </c>
      <c r="C7" s="267">
        <v>3115</v>
      </c>
      <c r="D7" s="267">
        <v>243</v>
      </c>
      <c r="E7" s="267">
        <v>18</v>
      </c>
      <c r="F7" s="267"/>
      <c r="G7" s="267">
        <v>311239</v>
      </c>
      <c r="J7" s="255">
        <v>311736</v>
      </c>
      <c r="L7" s="255">
        <v>300200</v>
      </c>
      <c r="M7" s="255">
        <f>J7-L7</f>
        <v>11536</v>
      </c>
    </row>
    <row r="8" spans="1:13" x14ac:dyDescent="0.25">
      <c r="A8" s="267">
        <v>2</v>
      </c>
      <c r="B8" s="267">
        <v>100</v>
      </c>
      <c r="C8" s="267">
        <v>1912</v>
      </c>
      <c r="D8" s="267">
        <v>176</v>
      </c>
      <c r="E8" s="267">
        <v>14</v>
      </c>
      <c r="F8" s="267"/>
      <c r="G8" s="268">
        <v>191010</v>
      </c>
      <c r="J8" s="255">
        <v>191010</v>
      </c>
      <c r="L8" s="255">
        <v>190200</v>
      </c>
      <c r="M8" s="255">
        <f>J8-L8</f>
        <v>810</v>
      </c>
    </row>
    <row r="9" spans="1:13" x14ac:dyDescent="0.25">
      <c r="A9" s="267">
        <v>2</v>
      </c>
      <c r="B9" s="267">
        <v>100</v>
      </c>
      <c r="C9" s="267">
        <v>1926</v>
      </c>
      <c r="D9" s="267">
        <v>176</v>
      </c>
      <c r="E9" s="267">
        <v>14</v>
      </c>
      <c r="F9" s="267"/>
      <c r="G9" s="268">
        <v>192410</v>
      </c>
      <c r="J9" s="255">
        <v>192410</v>
      </c>
      <c r="L9" s="255">
        <v>190200</v>
      </c>
      <c r="M9" s="255">
        <f>J9-L9</f>
        <v>2210</v>
      </c>
    </row>
    <row r="10" spans="1:13" x14ac:dyDescent="0.25">
      <c r="A10" s="267">
        <v>1</v>
      </c>
      <c r="B10" s="267">
        <v>200</v>
      </c>
      <c r="C10" s="267">
        <v>2996</v>
      </c>
      <c r="D10" s="267">
        <v>487</v>
      </c>
      <c r="E10" s="267">
        <v>38</v>
      </c>
      <c r="F10" s="267"/>
      <c r="G10" s="267">
        <f>599725*-1</f>
        <v>-599725</v>
      </c>
    </row>
    <row r="11" spans="1:13" x14ac:dyDescent="0.25">
      <c r="A11" s="267">
        <v>1</v>
      </c>
      <c r="B11" s="267">
        <v>100</v>
      </c>
      <c r="C11" s="267">
        <v>3005</v>
      </c>
      <c r="D11" s="267">
        <v>272</v>
      </c>
      <c r="E11" s="267">
        <v>21</v>
      </c>
      <c r="F11" s="267"/>
      <c r="G11" s="267">
        <f>300793*-1</f>
        <v>-300793</v>
      </c>
    </row>
    <row r="12" spans="1:13" x14ac:dyDescent="0.25">
      <c r="A12" s="267">
        <v>1</v>
      </c>
      <c r="B12" s="267">
        <v>100</v>
      </c>
      <c r="C12" s="267">
        <v>1900</v>
      </c>
      <c r="D12" s="267">
        <v>185</v>
      </c>
      <c r="E12" s="267">
        <v>14</v>
      </c>
      <c r="F12" s="267"/>
      <c r="G12" s="268">
        <f>190199*-1</f>
        <v>-190199</v>
      </c>
    </row>
    <row r="13" spans="1:13" x14ac:dyDescent="0.25">
      <c r="A13" s="267">
        <v>1</v>
      </c>
      <c r="B13" s="267">
        <v>100</v>
      </c>
      <c r="C13" s="267">
        <v>1900</v>
      </c>
      <c r="D13" s="267">
        <v>185</v>
      </c>
      <c r="E13" s="267">
        <v>14</v>
      </c>
      <c r="F13" s="267"/>
      <c r="G13" s="268">
        <f>190199*-1</f>
        <v>-190199</v>
      </c>
    </row>
    <row r="14" spans="1:13" x14ac:dyDescent="0.25">
      <c r="A14" s="255">
        <v>1</v>
      </c>
      <c r="B14" s="255">
        <v>200</v>
      </c>
      <c r="C14" s="255">
        <v>2900</v>
      </c>
      <c r="D14" s="255">
        <v>325</v>
      </c>
      <c r="E14" s="255">
        <v>26</v>
      </c>
      <c r="G14" s="255">
        <f>580351*-1</f>
        <v>-580351</v>
      </c>
    </row>
    <row r="15" spans="1:13" x14ac:dyDescent="0.25">
      <c r="A15" s="255">
        <v>1</v>
      </c>
      <c r="B15" s="255">
        <v>100</v>
      </c>
      <c r="C15" s="255">
        <v>2901</v>
      </c>
      <c r="D15" s="255">
        <v>162</v>
      </c>
      <c r="E15" s="255">
        <v>12</v>
      </c>
      <c r="G15" s="255">
        <f>290274*-1</f>
        <v>-290274</v>
      </c>
    </row>
    <row r="16" spans="1:13" x14ac:dyDescent="0.25">
      <c r="A16" s="255">
        <v>2</v>
      </c>
      <c r="B16" s="255">
        <v>300</v>
      </c>
      <c r="C16" s="255">
        <v>3020</v>
      </c>
      <c r="D16" s="255">
        <v>487</v>
      </c>
      <c r="E16" s="255">
        <v>38</v>
      </c>
      <c r="G16" s="255">
        <v>905475</v>
      </c>
      <c r="J16" s="255">
        <v>905475</v>
      </c>
      <c r="L16" s="255">
        <v>870900</v>
      </c>
      <c r="M16" s="255">
        <f>J16-L16</f>
        <v>34575</v>
      </c>
    </row>
    <row r="17" spans="1:15" x14ac:dyDescent="0.25">
      <c r="A17" s="269">
        <v>1</v>
      </c>
      <c r="B17" s="269">
        <v>500</v>
      </c>
      <c r="C17" s="269">
        <v>901.8</v>
      </c>
      <c r="D17" s="269">
        <v>457</v>
      </c>
      <c r="E17" s="269">
        <v>35</v>
      </c>
      <c r="F17" s="269"/>
      <c r="G17" s="269">
        <f>(B17*C17+D17+E17)*-1</f>
        <v>-451392</v>
      </c>
      <c r="H17" s="255" t="s">
        <v>450</v>
      </c>
      <c r="I17" s="255">
        <v>451392</v>
      </c>
      <c r="O17" s="255">
        <f>I17+G17</f>
        <v>0</v>
      </c>
    </row>
    <row r="18" spans="1:15" x14ac:dyDescent="0.25">
      <c r="A18" s="269">
        <v>2</v>
      </c>
      <c r="B18" s="269">
        <v>500</v>
      </c>
      <c r="C18" s="269">
        <v>950.4</v>
      </c>
      <c r="D18" s="269">
        <v>457</v>
      </c>
      <c r="E18" s="269">
        <v>4772</v>
      </c>
      <c r="F18" s="269"/>
      <c r="G18" s="269">
        <f>B18*C18-D18-E18</f>
        <v>469971</v>
      </c>
      <c r="H18" s="255" t="s">
        <v>450</v>
      </c>
      <c r="L18" s="255">
        <f>(B17*C17-D17-E17)</f>
        <v>450408</v>
      </c>
    </row>
    <row r="19" spans="1:15" x14ac:dyDescent="0.25">
      <c r="A19" s="269">
        <v>1</v>
      </c>
      <c r="B19" s="269">
        <v>200</v>
      </c>
      <c r="C19" s="269">
        <v>3700</v>
      </c>
      <c r="D19" s="269">
        <v>487</v>
      </c>
      <c r="E19" s="269">
        <v>38</v>
      </c>
      <c r="F19" s="269"/>
      <c r="G19" s="269">
        <f>(B19*C19+D19+E19)*-1</f>
        <v>-740525</v>
      </c>
      <c r="H19" s="255" t="s">
        <v>450</v>
      </c>
      <c r="I19" s="255">
        <v>740525</v>
      </c>
      <c r="O19" s="255">
        <f>I19+G19</f>
        <v>0</v>
      </c>
    </row>
    <row r="20" spans="1:15" x14ac:dyDescent="0.25">
      <c r="A20" s="269">
        <v>2</v>
      </c>
      <c r="B20" s="269">
        <v>200</v>
      </c>
      <c r="C20" s="269">
        <v>3807.5</v>
      </c>
      <c r="D20" s="269">
        <v>487</v>
      </c>
      <c r="E20" s="269">
        <v>4179</v>
      </c>
      <c r="F20" s="269"/>
      <c r="G20" s="269">
        <f>C20*B20-D20-E20</f>
        <v>756834</v>
      </c>
      <c r="H20" s="255" t="s">
        <v>450</v>
      </c>
      <c r="L20" s="255">
        <f>(B19*C19-D19-E19)</f>
        <v>739475</v>
      </c>
    </row>
    <row r="21" spans="1:15" x14ac:dyDescent="0.25">
      <c r="M21" s="255">
        <f>SUM(M3:M20)</f>
        <v>14052</v>
      </c>
    </row>
    <row r="22" spans="1:15" x14ac:dyDescent="0.25">
      <c r="M22" s="255">
        <f>M21*0.20315</f>
        <v>2854.6637999999998</v>
      </c>
    </row>
    <row r="24" spans="1:15" x14ac:dyDescent="0.25">
      <c r="L24" s="255">
        <f>SUM(L3:L23)*-1</f>
        <v>-4052383</v>
      </c>
    </row>
    <row r="25" spans="1:15" x14ac:dyDescent="0.25">
      <c r="A25" s="270" t="s">
        <v>451</v>
      </c>
      <c r="B25" s="255">
        <v>46520</v>
      </c>
      <c r="E25" s="270" t="s">
        <v>452</v>
      </c>
      <c r="F25" s="255">
        <v>1</v>
      </c>
      <c r="G25" s="255">
        <f>G4+G10+G11+G12+G13+G14+G15+G17+G19</f>
        <v>-4053983</v>
      </c>
    </row>
    <row r="26" spans="1:15" x14ac:dyDescent="0.25">
      <c r="E26" s="270" t="s">
        <v>453</v>
      </c>
      <c r="F26" s="255">
        <v>2</v>
      </c>
      <c r="G26" s="255">
        <f>G3+G5+G6+G7+G8+G9+G16+G18+G20</f>
        <v>4103357</v>
      </c>
    </row>
    <row r="29" spans="1:15" x14ac:dyDescent="0.25">
      <c r="E29" s="255" t="s">
        <v>273</v>
      </c>
      <c r="G29" s="255">
        <f>G26+G25</f>
        <v>49374</v>
      </c>
      <c r="I29" s="255">
        <v>47050</v>
      </c>
      <c r="L29" s="255">
        <f>G26+L24</f>
        <v>50974</v>
      </c>
    </row>
    <row r="30" spans="1:15" x14ac:dyDescent="0.25">
      <c r="E30" s="255" t="s">
        <v>454</v>
      </c>
      <c r="G30" s="255">
        <f>2854*-1</f>
        <v>-2854</v>
      </c>
      <c r="L30" s="255">
        <f>2854*-1</f>
        <v>-2854</v>
      </c>
    </row>
    <row r="31" spans="1:15" x14ac:dyDescent="0.25">
      <c r="E31" s="255" t="s">
        <v>455</v>
      </c>
      <c r="G31" s="255">
        <f>G29-2854</f>
        <v>46520</v>
      </c>
      <c r="L31" s="255">
        <f>L29+L30</f>
        <v>48120</v>
      </c>
    </row>
    <row r="34" spans="7:10" x14ac:dyDescent="0.25">
      <c r="G34" s="255">
        <v>46520</v>
      </c>
      <c r="J34" s="255">
        <f>G17+G19</f>
        <v>-1191917</v>
      </c>
    </row>
    <row r="35" spans="7:10" x14ac:dyDescent="0.25">
      <c r="J35" s="271">
        <v>-1191917</v>
      </c>
    </row>
    <row r="36" spans="7:10" x14ac:dyDescent="0.25">
      <c r="G36" s="255">
        <f>G31-G34</f>
        <v>0</v>
      </c>
    </row>
    <row r="37" spans="7:10" x14ac:dyDescent="0.25">
      <c r="J37" s="271">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IPO監視一覧</vt:lpstr>
      <vt:lpstr>セカンダリ投資分析(SBI証券)</vt:lpstr>
      <vt:lpstr>参加条件計算</vt:lpstr>
      <vt:lpstr>終値履歴</vt:lpstr>
      <vt:lpstr>口座残高一覧</vt:lpstr>
      <vt:lpstr>株価一覧</vt:lpstr>
      <vt:lpstr>株式売買勝敗サマリ</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2017-07-10T06:06:53Z</dcterms:modified>
</cp:coreProperties>
</file>