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ICF_AutoCapsule_disabled\source tree\"/>
    </mc:Choice>
  </mc:AlternateContent>
  <bookViews>
    <workbookView xWindow="0" yWindow="0" windowWidth="25185" windowHeight="12270"/>
  </bookViews>
  <sheets>
    <sheet name="IPO監視一覧" sheetId="3" r:id="rId1"/>
    <sheet name="セカンダリ投資分析(SBI証券)" sheetId="4" r:id="rId2"/>
    <sheet name="参加条件計算" sheetId="5" r:id="rId3"/>
    <sheet name="終値履歴" sheetId="6" r:id="rId4"/>
    <sheet name="株価一覧" sheetId="2" r:id="rId5"/>
    <sheet name="株式売買勝敗サマリ" sheetId="9" r:id="rId6"/>
    <sheet name="口座残高一覧" sheetId="7" r:id="rId7"/>
    <sheet name="グラフライン" sheetId="16" r:id="rId8"/>
    <sheet name="セカンダリマイルール " sheetId="10" r:id="rId9"/>
    <sheet name="【OLD】セカンダリマイルール" sheetId="11" r:id="rId10"/>
    <sheet name="参考リンク" sheetId="12" r:id="rId11"/>
    <sheet name="IPO気配キャプチャ" sheetId="13" r:id="rId12"/>
    <sheet name="用語集" sheetId="14" r:id="rId13"/>
    <sheet name="損益計算方法参考" sheetId="15" r:id="rId14"/>
  </sheets>
  <functionGroups builtInGroupCount="18"/>
  <definedNames>
    <definedName name="_xlnm._FilterDatabase" localSheetId="1" hidden="1">'セカンダリ投資分析(SBI証券)'!$A$2:$X$181</definedName>
    <definedName name="_xlnm._FilterDatabase" localSheetId="13" hidden="1">損益計算方法参考!$A$2:$O$20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5" i="3" l="1"/>
  <c r="Q95" i="3"/>
  <c r="A96" i="3"/>
  <c r="Q96" i="3"/>
  <c r="A97" i="3"/>
  <c r="Q97" i="3"/>
  <c r="A98" i="3"/>
  <c r="Q98" i="3"/>
  <c r="A99" i="3"/>
  <c r="Q99" i="3"/>
  <c r="A100" i="3"/>
  <c r="Q100" i="3"/>
  <c r="A101" i="3"/>
  <c r="Q101" i="3"/>
  <c r="A102" i="3"/>
  <c r="Q102" i="3"/>
  <c r="A103" i="3"/>
  <c r="Q103" i="3"/>
  <c r="A104" i="3"/>
  <c r="Q104" i="3"/>
  <c r="A105" i="3"/>
  <c r="Q105" i="3"/>
  <c r="V280" i="7"/>
  <c r="T280" i="7"/>
  <c r="R280" i="7"/>
  <c r="P280" i="7"/>
  <c r="N280" i="7"/>
  <c r="L280" i="7"/>
  <c r="J280" i="7"/>
  <c r="H280" i="7"/>
  <c r="W280" i="7" s="1"/>
  <c r="F279" i="7"/>
  <c r="D279" i="7"/>
  <c r="W279" i="7" s="1"/>
  <c r="B278" i="7" l="1"/>
  <c r="T274" i="7"/>
  <c r="R274" i="7"/>
  <c r="V274" i="7"/>
  <c r="P274" i="7"/>
  <c r="N274" i="7"/>
  <c r="L274" i="7"/>
  <c r="J274" i="7"/>
  <c r="H274" i="7"/>
  <c r="F273" i="7"/>
  <c r="D273" i="7"/>
  <c r="B272" i="7" l="1"/>
  <c r="W274" i="7"/>
  <c r="W273" i="7"/>
  <c r="C17" i="9"/>
  <c r="O212" i="4"/>
  <c r="N212" i="4"/>
  <c r="P212" i="4" l="1"/>
  <c r="R268" i="7"/>
  <c r="P268" i="7"/>
  <c r="N268" i="7"/>
  <c r="L268" i="7"/>
  <c r="J268" i="7"/>
  <c r="H268" i="7"/>
  <c r="F267" i="7"/>
  <c r="D267" i="7"/>
  <c r="S268" i="7" l="1"/>
  <c r="S267" i="7"/>
  <c r="B266" i="7"/>
  <c r="B87" i="5"/>
  <c r="C87" i="5"/>
  <c r="D87" i="5"/>
  <c r="E87" i="5"/>
  <c r="F87" i="5"/>
  <c r="G87" i="5"/>
  <c r="R87" i="5"/>
  <c r="T87" i="5"/>
  <c r="W87" i="5"/>
  <c r="B88" i="5"/>
  <c r="C88" i="5"/>
  <c r="D88" i="5"/>
  <c r="E88" i="5"/>
  <c r="F88" i="5"/>
  <c r="G88" i="5"/>
  <c r="R88" i="5"/>
  <c r="T88" i="5"/>
  <c r="W88" i="5"/>
  <c r="B89" i="5"/>
  <c r="C89" i="5"/>
  <c r="D89" i="5"/>
  <c r="E89" i="5"/>
  <c r="F89" i="5"/>
  <c r="G89" i="5"/>
  <c r="U89" i="5" s="1"/>
  <c r="R89" i="5"/>
  <c r="T89" i="5"/>
  <c r="W89" i="5"/>
  <c r="B90" i="5"/>
  <c r="C90" i="5"/>
  <c r="D90" i="5"/>
  <c r="E90" i="5"/>
  <c r="F90" i="5"/>
  <c r="G90" i="5"/>
  <c r="R90" i="5"/>
  <c r="T90" i="5"/>
  <c r="W90" i="5"/>
  <c r="B91" i="5"/>
  <c r="C91" i="5"/>
  <c r="D91" i="5"/>
  <c r="E91" i="5"/>
  <c r="F91" i="5"/>
  <c r="G91" i="5"/>
  <c r="R91" i="5"/>
  <c r="T91" i="5"/>
  <c r="W91" i="5"/>
  <c r="B92" i="5"/>
  <c r="C92" i="5"/>
  <c r="D92" i="5"/>
  <c r="E92" i="5"/>
  <c r="F92" i="5"/>
  <c r="G92" i="5"/>
  <c r="X92" i="5" s="1"/>
  <c r="R92" i="5"/>
  <c r="T92" i="5"/>
  <c r="W92" i="5"/>
  <c r="B93" i="5"/>
  <c r="C93" i="5"/>
  <c r="D93" i="5"/>
  <c r="E93" i="5"/>
  <c r="F93" i="5"/>
  <c r="G93" i="5"/>
  <c r="R93" i="5"/>
  <c r="T93" i="5"/>
  <c r="W93" i="5"/>
  <c r="B94" i="5"/>
  <c r="C94" i="5"/>
  <c r="D94" i="5"/>
  <c r="E94" i="5"/>
  <c r="F94" i="5"/>
  <c r="G94" i="5"/>
  <c r="X94" i="5" s="1"/>
  <c r="R94" i="5"/>
  <c r="T94" i="5"/>
  <c r="W94" i="5"/>
  <c r="B95" i="5"/>
  <c r="C95" i="5"/>
  <c r="D95" i="5"/>
  <c r="E95" i="5"/>
  <c r="F95" i="5"/>
  <c r="G95" i="5"/>
  <c r="R95" i="5"/>
  <c r="T95" i="5"/>
  <c r="W95" i="5"/>
  <c r="B96" i="5"/>
  <c r="C96" i="5"/>
  <c r="D96" i="5"/>
  <c r="E96" i="5"/>
  <c r="F96" i="5"/>
  <c r="G96" i="5"/>
  <c r="X96" i="5" s="1"/>
  <c r="R96" i="5"/>
  <c r="T96" i="5"/>
  <c r="W96" i="5"/>
  <c r="B97" i="5"/>
  <c r="C97" i="5"/>
  <c r="D97" i="5"/>
  <c r="E97" i="5"/>
  <c r="F97" i="5"/>
  <c r="G97" i="5"/>
  <c r="R97" i="5"/>
  <c r="T97" i="5"/>
  <c r="W97" i="5"/>
  <c r="B98" i="5"/>
  <c r="C98" i="5"/>
  <c r="D98" i="5"/>
  <c r="E98" i="5"/>
  <c r="F98" i="5"/>
  <c r="G98" i="5"/>
  <c r="R98" i="5"/>
  <c r="T98" i="5"/>
  <c r="W98" i="5"/>
  <c r="B99" i="5"/>
  <c r="C99" i="5"/>
  <c r="D99" i="5"/>
  <c r="E99" i="5"/>
  <c r="F99" i="5"/>
  <c r="G99" i="5"/>
  <c r="R99" i="5"/>
  <c r="T99" i="5"/>
  <c r="W99" i="5"/>
  <c r="B100" i="5"/>
  <c r="C100" i="5"/>
  <c r="D100" i="5"/>
  <c r="E100" i="5"/>
  <c r="F100" i="5"/>
  <c r="G100" i="5"/>
  <c r="R100" i="5"/>
  <c r="T100" i="5"/>
  <c r="W100" i="5"/>
  <c r="B101" i="5"/>
  <c r="C101" i="5"/>
  <c r="D101" i="5"/>
  <c r="E101" i="5"/>
  <c r="F101" i="5"/>
  <c r="G101" i="5"/>
  <c r="R101" i="5"/>
  <c r="T101" i="5"/>
  <c r="W101" i="5"/>
  <c r="B102" i="5"/>
  <c r="C102" i="5"/>
  <c r="D102" i="5"/>
  <c r="E102" i="5"/>
  <c r="F102" i="5"/>
  <c r="G102" i="5"/>
  <c r="R102" i="5"/>
  <c r="T102" i="5"/>
  <c r="W102" i="5"/>
  <c r="B103" i="5"/>
  <c r="C103" i="5"/>
  <c r="D103" i="5"/>
  <c r="E103" i="5"/>
  <c r="F103" i="5"/>
  <c r="G103" i="5"/>
  <c r="R103" i="5"/>
  <c r="T103" i="5"/>
  <c r="W103" i="5"/>
  <c r="B104" i="5"/>
  <c r="C104" i="5"/>
  <c r="D104" i="5"/>
  <c r="E104" i="5"/>
  <c r="F104" i="5"/>
  <c r="G104" i="5"/>
  <c r="X104" i="5" s="1"/>
  <c r="R104" i="5"/>
  <c r="T104" i="5"/>
  <c r="W104" i="5"/>
  <c r="B105" i="5"/>
  <c r="C105" i="5"/>
  <c r="D105" i="5"/>
  <c r="E105" i="5"/>
  <c r="F105" i="5"/>
  <c r="G105" i="5"/>
  <c r="R105" i="5"/>
  <c r="T105" i="5"/>
  <c r="W105" i="5"/>
  <c r="B106" i="5"/>
  <c r="C106" i="5"/>
  <c r="D106" i="5"/>
  <c r="E106" i="5"/>
  <c r="F106" i="5"/>
  <c r="G106" i="5"/>
  <c r="R106" i="5"/>
  <c r="T106" i="5"/>
  <c r="W106" i="5"/>
  <c r="B107" i="5"/>
  <c r="C107" i="5"/>
  <c r="D107" i="5"/>
  <c r="E107" i="5"/>
  <c r="F107" i="5"/>
  <c r="G107" i="5"/>
  <c r="R107" i="5"/>
  <c r="T107" i="5"/>
  <c r="W107" i="5"/>
  <c r="B108" i="5"/>
  <c r="C108" i="5"/>
  <c r="D108" i="5"/>
  <c r="E108" i="5"/>
  <c r="F108" i="5"/>
  <c r="G108" i="5"/>
  <c r="U108" i="5" s="1"/>
  <c r="R108" i="5"/>
  <c r="T108" i="5"/>
  <c r="W108" i="5"/>
  <c r="B109" i="5"/>
  <c r="C109" i="5"/>
  <c r="D109" i="5"/>
  <c r="E109" i="5"/>
  <c r="F109" i="5"/>
  <c r="G109" i="5"/>
  <c r="R109" i="5"/>
  <c r="T109" i="5"/>
  <c r="W109" i="5"/>
  <c r="B110" i="5"/>
  <c r="C110" i="5"/>
  <c r="D110" i="5"/>
  <c r="E110" i="5"/>
  <c r="F110" i="5"/>
  <c r="G110" i="5"/>
  <c r="X110" i="5" s="1"/>
  <c r="R110" i="5"/>
  <c r="T110" i="5"/>
  <c r="W110" i="5"/>
  <c r="B111" i="5"/>
  <c r="C111" i="5"/>
  <c r="D111" i="5"/>
  <c r="E111" i="5"/>
  <c r="F111" i="5"/>
  <c r="G111" i="5"/>
  <c r="R111" i="5"/>
  <c r="T111" i="5"/>
  <c r="W111" i="5"/>
  <c r="B112" i="5"/>
  <c r="C112" i="5"/>
  <c r="D112" i="5"/>
  <c r="E112" i="5"/>
  <c r="F112" i="5"/>
  <c r="G112" i="5"/>
  <c r="X112" i="5" s="1"/>
  <c r="R112" i="5"/>
  <c r="T112" i="5"/>
  <c r="W112" i="5"/>
  <c r="B113" i="5"/>
  <c r="C113" i="5"/>
  <c r="D113" i="5"/>
  <c r="E113" i="5"/>
  <c r="F113" i="5"/>
  <c r="G113" i="5"/>
  <c r="R113" i="5"/>
  <c r="T113" i="5"/>
  <c r="W113" i="5"/>
  <c r="B114" i="5"/>
  <c r="C114" i="5"/>
  <c r="D114" i="5"/>
  <c r="E114" i="5"/>
  <c r="F114" i="5"/>
  <c r="G114" i="5"/>
  <c r="R114" i="5"/>
  <c r="T114" i="5"/>
  <c r="W114" i="5"/>
  <c r="B115" i="5"/>
  <c r="C115" i="5"/>
  <c r="D115" i="5"/>
  <c r="E115" i="5"/>
  <c r="F115" i="5"/>
  <c r="G115" i="5"/>
  <c r="R115" i="5"/>
  <c r="T115" i="5"/>
  <c r="W115" i="5"/>
  <c r="B116" i="5"/>
  <c r="C116" i="5"/>
  <c r="D116" i="5"/>
  <c r="E116" i="5"/>
  <c r="F116" i="5"/>
  <c r="G116" i="5"/>
  <c r="R116" i="5"/>
  <c r="T116" i="5"/>
  <c r="W116" i="5"/>
  <c r="B117" i="5"/>
  <c r="C117" i="5"/>
  <c r="D117" i="5"/>
  <c r="E117" i="5"/>
  <c r="F117" i="5"/>
  <c r="G117" i="5"/>
  <c r="U117" i="5" s="1"/>
  <c r="R117" i="5"/>
  <c r="T117" i="5"/>
  <c r="W117" i="5"/>
  <c r="B118" i="5"/>
  <c r="C118" i="5"/>
  <c r="D118" i="5"/>
  <c r="E118" i="5"/>
  <c r="F118" i="5"/>
  <c r="G118" i="5"/>
  <c r="U118" i="5" s="1"/>
  <c r="R118" i="5"/>
  <c r="T118" i="5"/>
  <c r="W118" i="5"/>
  <c r="B119" i="5"/>
  <c r="C119" i="5"/>
  <c r="D119" i="5"/>
  <c r="E119" i="5"/>
  <c r="F119" i="5"/>
  <c r="G119" i="5"/>
  <c r="R119" i="5"/>
  <c r="T119" i="5"/>
  <c r="W119" i="5"/>
  <c r="B120" i="5"/>
  <c r="C120" i="5"/>
  <c r="D120" i="5"/>
  <c r="E120" i="5"/>
  <c r="F120" i="5"/>
  <c r="G120" i="5"/>
  <c r="R120" i="5"/>
  <c r="T120" i="5"/>
  <c r="W120" i="5"/>
  <c r="B121" i="5"/>
  <c r="C121" i="5"/>
  <c r="D121" i="5"/>
  <c r="E121" i="5"/>
  <c r="F121" i="5"/>
  <c r="G121" i="5"/>
  <c r="R121" i="5"/>
  <c r="T121" i="5"/>
  <c r="W121" i="5"/>
  <c r="B122" i="5"/>
  <c r="C122" i="5"/>
  <c r="D122" i="5"/>
  <c r="E122" i="5"/>
  <c r="F122" i="5"/>
  <c r="G122" i="5"/>
  <c r="R122" i="5"/>
  <c r="T122" i="5"/>
  <c r="W122" i="5"/>
  <c r="B123" i="5"/>
  <c r="C123" i="5"/>
  <c r="D123" i="5"/>
  <c r="E123" i="5"/>
  <c r="F123" i="5"/>
  <c r="G123" i="5"/>
  <c r="R123" i="5"/>
  <c r="T123" i="5"/>
  <c r="W123" i="5"/>
  <c r="B124" i="5"/>
  <c r="C124" i="5"/>
  <c r="D124" i="5"/>
  <c r="E124" i="5"/>
  <c r="F124" i="5"/>
  <c r="G124" i="5"/>
  <c r="R124" i="5"/>
  <c r="T124" i="5"/>
  <c r="W124" i="5"/>
  <c r="B125" i="5"/>
  <c r="C125" i="5"/>
  <c r="D125" i="5"/>
  <c r="E125" i="5"/>
  <c r="F125" i="5"/>
  <c r="G125" i="5"/>
  <c r="R125" i="5"/>
  <c r="T125" i="5"/>
  <c r="W125" i="5"/>
  <c r="B126" i="5"/>
  <c r="C126" i="5"/>
  <c r="D126" i="5"/>
  <c r="E126" i="5"/>
  <c r="F126" i="5"/>
  <c r="G126" i="5"/>
  <c r="R126" i="5"/>
  <c r="T126" i="5"/>
  <c r="W126" i="5"/>
  <c r="B127" i="5"/>
  <c r="C127" i="5"/>
  <c r="D127" i="5"/>
  <c r="E127" i="5"/>
  <c r="F127" i="5"/>
  <c r="G127" i="5"/>
  <c r="R127" i="5"/>
  <c r="T127" i="5"/>
  <c r="W127" i="5"/>
  <c r="B128" i="5"/>
  <c r="C128" i="5"/>
  <c r="D128" i="5"/>
  <c r="E128" i="5"/>
  <c r="F128" i="5"/>
  <c r="G128" i="5"/>
  <c r="R128" i="5"/>
  <c r="T128" i="5"/>
  <c r="W128" i="5"/>
  <c r="B129" i="5"/>
  <c r="C129" i="5"/>
  <c r="D129" i="5"/>
  <c r="E129" i="5"/>
  <c r="F129" i="5"/>
  <c r="G129" i="5"/>
  <c r="R129" i="5"/>
  <c r="T129" i="5"/>
  <c r="W129" i="5"/>
  <c r="B75" i="5"/>
  <c r="C75" i="5"/>
  <c r="D75" i="5"/>
  <c r="E75" i="5"/>
  <c r="F75" i="5"/>
  <c r="G75" i="5"/>
  <c r="B76" i="5"/>
  <c r="C76" i="5"/>
  <c r="D76" i="5"/>
  <c r="E76" i="5"/>
  <c r="F76" i="5"/>
  <c r="G76" i="5"/>
  <c r="R76" i="5"/>
  <c r="T76" i="5"/>
  <c r="W76" i="5"/>
  <c r="B77" i="5"/>
  <c r="C77" i="5"/>
  <c r="D77" i="5"/>
  <c r="E77" i="5"/>
  <c r="F77" i="5"/>
  <c r="G77" i="5"/>
  <c r="R77" i="5"/>
  <c r="T77" i="5"/>
  <c r="W77" i="5"/>
  <c r="B78" i="5"/>
  <c r="C78" i="5"/>
  <c r="D78" i="5"/>
  <c r="E78" i="5"/>
  <c r="F78" i="5"/>
  <c r="G78" i="5"/>
  <c r="X78" i="5" s="1"/>
  <c r="R78" i="5"/>
  <c r="T78" i="5"/>
  <c r="W78" i="5"/>
  <c r="B79" i="5"/>
  <c r="C79" i="5"/>
  <c r="D79" i="5"/>
  <c r="E79" i="5"/>
  <c r="F79" i="5"/>
  <c r="G79" i="5"/>
  <c r="R79" i="5"/>
  <c r="T79" i="5"/>
  <c r="W79" i="5"/>
  <c r="B80" i="5"/>
  <c r="C80" i="5"/>
  <c r="D80" i="5"/>
  <c r="E80" i="5"/>
  <c r="F80" i="5"/>
  <c r="G80" i="5"/>
  <c r="X80" i="5" s="1"/>
  <c r="R80" i="5"/>
  <c r="T80" i="5"/>
  <c r="W80" i="5"/>
  <c r="B81" i="5"/>
  <c r="C81" i="5"/>
  <c r="D81" i="5"/>
  <c r="E81" i="5"/>
  <c r="F81" i="5"/>
  <c r="G81" i="5"/>
  <c r="R81" i="5"/>
  <c r="T81" i="5"/>
  <c r="W81" i="5"/>
  <c r="B82" i="5"/>
  <c r="C82" i="5"/>
  <c r="D82" i="5"/>
  <c r="E82" i="5"/>
  <c r="F82" i="5"/>
  <c r="G82" i="5"/>
  <c r="R82" i="5"/>
  <c r="T82" i="5"/>
  <c r="W82" i="5"/>
  <c r="B83" i="5"/>
  <c r="C83" i="5"/>
  <c r="D83" i="5"/>
  <c r="E83" i="5"/>
  <c r="F83" i="5"/>
  <c r="G83" i="5"/>
  <c r="R83" i="5"/>
  <c r="T83" i="5"/>
  <c r="W83" i="5"/>
  <c r="B84" i="5"/>
  <c r="C84" i="5"/>
  <c r="D84" i="5"/>
  <c r="E84" i="5"/>
  <c r="F84" i="5"/>
  <c r="G84" i="5"/>
  <c r="R84" i="5"/>
  <c r="T84" i="5"/>
  <c r="W84" i="5"/>
  <c r="B85" i="5"/>
  <c r="C85" i="5"/>
  <c r="D85" i="5"/>
  <c r="E85" i="5"/>
  <c r="F85" i="5"/>
  <c r="G85" i="5"/>
  <c r="R85" i="5"/>
  <c r="T85" i="5"/>
  <c r="W85" i="5"/>
  <c r="B86" i="5"/>
  <c r="C86" i="5"/>
  <c r="D86" i="5"/>
  <c r="E86" i="5"/>
  <c r="F86" i="5"/>
  <c r="G86" i="5"/>
  <c r="R86" i="5"/>
  <c r="T86" i="5"/>
  <c r="W86" i="5"/>
  <c r="Q114" i="5" l="1"/>
  <c r="Q88" i="5"/>
  <c r="M87" i="5"/>
  <c r="N87" i="5"/>
  <c r="I87" i="5"/>
  <c r="Q127" i="5"/>
  <c r="K118" i="5"/>
  <c r="P87" i="5"/>
  <c r="Q120" i="5"/>
  <c r="U88" i="5"/>
  <c r="I88" i="5"/>
  <c r="S107" i="5"/>
  <c r="X88" i="5"/>
  <c r="S122" i="5"/>
  <c r="M107" i="5"/>
  <c r="P126" i="5"/>
  <c r="K117" i="5"/>
  <c r="K110" i="5"/>
  <c r="X87" i="5"/>
  <c r="S121" i="5"/>
  <c r="I126" i="5"/>
  <c r="N126" i="5"/>
  <c r="M121" i="5"/>
  <c r="M110" i="5"/>
  <c r="Q104" i="5"/>
  <c r="I111" i="5"/>
  <c r="K93" i="5"/>
  <c r="P79" i="5"/>
  <c r="M126" i="5"/>
  <c r="M125" i="5"/>
  <c r="I122" i="5"/>
  <c r="N93" i="5"/>
  <c r="P88" i="5"/>
  <c r="N78" i="5"/>
  <c r="N111" i="5"/>
  <c r="U110" i="5"/>
  <c r="U104" i="5"/>
  <c r="M84" i="5"/>
  <c r="M129" i="5"/>
  <c r="M114" i="5"/>
  <c r="J111" i="5"/>
  <c r="Q108" i="5"/>
  <c r="X103" i="5"/>
  <c r="I103" i="5"/>
  <c r="K102" i="5"/>
  <c r="S88" i="5"/>
  <c r="M115" i="5"/>
  <c r="P96" i="5"/>
  <c r="I90" i="5"/>
  <c r="M83" i="5"/>
  <c r="X79" i="5"/>
  <c r="Q76" i="5"/>
  <c r="K116" i="5"/>
  <c r="N115" i="5"/>
  <c r="J100" i="5"/>
  <c r="Q96" i="5"/>
  <c r="S96" i="5"/>
  <c r="M94" i="5"/>
  <c r="Q93" i="5"/>
  <c r="K92" i="5"/>
  <c r="I75" i="5"/>
  <c r="U127" i="5"/>
  <c r="K123" i="5"/>
  <c r="U96" i="5"/>
  <c r="U94" i="5"/>
  <c r="N83" i="5"/>
  <c r="Q80" i="5"/>
  <c r="I79" i="5"/>
  <c r="N128" i="5"/>
  <c r="K127" i="5"/>
  <c r="I125" i="5"/>
  <c r="Q124" i="5"/>
  <c r="M117" i="5"/>
  <c r="M106" i="5"/>
  <c r="P103" i="5"/>
  <c r="N100" i="5"/>
  <c r="K94" i="5"/>
  <c r="U93" i="5"/>
  <c r="N92" i="5"/>
  <c r="Q90" i="5"/>
  <c r="J87" i="5"/>
  <c r="P123" i="5"/>
  <c r="M122" i="5"/>
  <c r="K101" i="5"/>
  <c r="S99" i="5"/>
  <c r="Q92" i="5"/>
  <c r="J92" i="5"/>
  <c r="N91" i="5"/>
  <c r="N89" i="5"/>
  <c r="J126" i="5"/>
  <c r="X127" i="5"/>
  <c r="P127" i="5"/>
  <c r="S125" i="5"/>
  <c r="K124" i="5"/>
  <c r="U123" i="5"/>
  <c r="S123" i="5"/>
  <c r="N122" i="5"/>
  <c r="P117" i="5"/>
  <c r="S115" i="5"/>
  <c r="N108" i="5"/>
  <c r="N105" i="5"/>
  <c r="I104" i="5"/>
  <c r="N101" i="5"/>
  <c r="M99" i="5"/>
  <c r="Q98" i="5"/>
  <c r="U92" i="5"/>
  <c r="S91" i="5"/>
  <c r="X125" i="5"/>
  <c r="X123" i="5"/>
  <c r="U100" i="5"/>
  <c r="X76" i="5"/>
  <c r="S127" i="5"/>
  <c r="X126" i="5"/>
  <c r="N124" i="5"/>
  <c r="J122" i="5"/>
  <c r="S118" i="5"/>
  <c r="J116" i="5"/>
  <c r="N116" i="5"/>
  <c r="N114" i="5"/>
  <c r="Q110" i="5"/>
  <c r="S110" i="5"/>
  <c r="N109" i="5"/>
  <c r="S104" i="5"/>
  <c r="Q100" i="5"/>
  <c r="M98" i="5"/>
  <c r="I95" i="5"/>
  <c r="K84" i="5"/>
  <c r="U84" i="5"/>
  <c r="Q84" i="5"/>
  <c r="X84" i="5"/>
  <c r="I119" i="5"/>
  <c r="J119" i="5"/>
  <c r="P119" i="5"/>
  <c r="I106" i="5"/>
  <c r="Q106" i="5"/>
  <c r="I129" i="5"/>
  <c r="X129" i="5"/>
  <c r="S126" i="5"/>
  <c r="J108" i="5"/>
  <c r="K108" i="5"/>
  <c r="S108" i="5"/>
  <c r="X108" i="5"/>
  <c r="U105" i="5"/>
  <c r="P105" i="5"/>
  <c r="P75" i="5"/>
  <c r="K128" i="5"/>
  <c r="U128" i="5"/>
  <c r="N121" i="5"/>
  <c r="K109" i="5"/>
  <c r="P109" i="5"/>
  <c r="U109" i="5"/>
  <c r="Q109" i="5"/>
  <c r="S129" i="5"/>
  <c r="I120" i="5"/>
  <c r="X120" i="5"/>
  <c r="P120" i="5"/>
  <c r="U120" i="5"/>
  <c r="J120" i="5"/>
  <c r="I112" i="5"/>
  <c r="J112" i="5"/>
  <c r="U112" i="5"/>
  <c r="P112" i="5"/>
  <c r="P104" i="5"/>
  <c r="J88" i="5"/>
  <c r="K83" i="5"/>
  <c r="M79" i="5"/>
  <c r="M75" i="5"/>
  <c r="X122" i="5"/>
  <c r="J104" i="5"/>
  <c r="M103" i="5"/>
  <c r="S102" i="5"/>
  <c r="Q101" i="5"/>
  <c r="X95" i="5"/>
  <c r="P95" i="5"/>
  <c r="P93" i="5"/>
  <c r="S92" i="5"/>
  <c r="M90" i="5"/>
  <c r="S84" i="5"/>
  <c r="N79" i="5"/>
  <c r="N75" i="5"/>
  <c r="M128" i="5"/>
  <c r="J127" i="5"/>
  <c r="K126" i="5"/>
  <c r="N125" i="5"/>
  <c r="U124" i="5"/>
  <c r="P122" i="5"/>
  <c r="S120" i="5"/>
  <c r="X119" i="5"/>
  <c r="M119" i="5"/>
  <c r="X118" i="5"/>
  <c r="Q117" i="5"/>
  <c r="N117" i="5"/>
  <c r="S112" i="5"/>
  <c r="X111" i="5"/>
  <c r="P111" i="5"/>
  <c r="M109" i="5"/>
  <c r="N107" i="5"/>
  <c r="N103" i="5"/>
  <c r="Q102" i="5"/>
  <c r="P101" i="5"/>
  <c r="M101" i="5"/>
  <c r="X100" i="5"/>
  <c r="S100" i="5"/>
  <c r="K100" i="5"/>
  <c r="N99" i="5"/>
  <c r="N98" i="5"/>
  <c r="N97" i="5"/>
  <c r="I96" i="5"/>
  <c r="J95" i="5"/>
  <c r="M95" i="5"/>
  <c r="S94" i="5"/>
  <c r="M91" i="5"/>
  <c r="N90" i="5"/>
  <c r="M89" i="5"/>
  <c r="M85" i="5"/>
  <c r="M81" i="5"/>
  <c r="J79" i="5"/>
  <c r="M77" i="5"/>
  <c r="J75" i="5"/>
  <c r="U116" i="5"/>
  <c r="Q116" i="5"/>
  <c r="J103" i="5"/>
  <c r="X102" i="5"/>
  <c r="J96" i="5"/>
  <c r="M93" i="5"/>
  <c r="P89" i="5"/>
  <c r="M86" i="5"/>
  <c r="I85" i="5"/>
  <c r="M82" i="5"/>
  <c r="I81" i="5"/>
  <c r="M80" i="5"/>
  <c r="M78" i="5"/>
  <c r="I77" i="5"/>
  <c r="M76" i="5"/>
  <c r="N129" i="5"/>
  <c r="N119" i="5"/>
  <c r="Q118" i="5"/>
  <c r="X116" i="5"/>
  <c r="S116" i="5"/>
  <c r="N113" i="5"/>
  <c r="Q112" i="5"/>
  <c r="M111" i="5"/>
  <c r="N106" i="5"/>
  <c r="M105" i="5"/>
  <c r="U102" i="5"/>
  <c r="U101" i="5"/>
  <c r="N95" i="5"/>
  <c r="Q94" i="5"/>
  <c r="J86" i="5"/>
  <c r="I86" i="5"/>
  <c r="S86" i="5"/>
  <c r="J82" i="5"/>
  <c r="I82" i="5"/>
  <c r="S82" i="5"/>
  <c r="K120" i="5"/>
  <c r="N120" i="5"/>
  <c r="J114" i="5"/>
  <c r="P114" i="5"/>
  <c r="K114" i="5"/>
  <c r="S114" i="5"/>
  <c r="X114" i="5"/>
  <c r="I113" i="5"/>
  <c r="S113" i="5"/>
  <c r="X113" i="5"/>
  <c r="J113" i="5"/>
  <c r="Q113" i="5"/>
  <c r="K113" i="5"/>
  <c r="K107" i="5"/>
  <c r="Q107" i="5"/>
  <c r="U107" i="5"/>
  <c r="I107" i="5"/>
  <c r="P107" i="5"/>
  <c r="J107" i="5"/>
  <c r="X107" i="5"/>
  <c r="K104" i="5"/>
  <c r="N104" i="5"/>
  <c r="J98" i="5"/>
  <c r="P98" i="5"/>
  <c r="K98" i="5"/>
  <c r="S98" i="5"/>
  <c r="X98" i="5"/>
  <c r="I97" i="5"/>
  <c r="S97" i="5"/>
  <c r="X97" i="5"/>
  <c r="J97" i="5"/>
  <c r="Q97" i="5"/>
  <c r="K97" i="5"/>
  <c r="K91" i="5"/>
  <c r="Q91" i="5"/>
  <c r="U91" i="5"/>
  <c r="I91" i="5"/>
  <c r="P91" i="5"/>
  <c r="J91" i="5"/>
  <c r="X91" i="5"/>
  <c r="K88" i="5"/>
  <c r="N88" i="5"/>
  <c r="X83" i="5"/>
  <c r="P83" i="5"/>
  <c r="J80" i="5"/>
  <c r="K80" i="5"/>
  <c r="U80" i="5"/>
  <c r="J78" i="5"/>
  <c r="I78" i="5"/>
  <c r="S78" i="5"/>
  <c r="J129" i="5"/>
  <c r="P129" i="5"/>
  <c r="K129" i="5"/>
  <c r="Q129" i="5"/>
  <c r="U129" i="5"/>
  <c r="M124" i="5"/>
  <c r="J123" i="5"/>
  <c r="K122" i="5"/>
  <c r="N118" i="5"/>
  <c r="I118" i="5"/>
  <c r="J117" i="5"/>
  <c r="U114" i="5"/>
  <c r="M108" i="5"/>
  <c r="I108" i="5"/>
  <c r="P108" i="5"/>
  <c r="N102" i="5"/>
  <c r="I102" i="5"/>
  <c r="J101" i="5"/>
  <c r="U98" i="5"/>
  <c r="M92" i="5"/>
  <c r="I92" i="5"/>
  <c r="P92" i="5"/>
  <c r="X86" i="5"/>
  <c r="N86" i="5"/>
  <c r="J83" i="5"/>
  <c r="X82" i="5"/>
  <c r="N82" i="5"/>
  <c r="J76" i="5"/>
  <c r="K76" i="5"/>
  <c r="U76" i="5"/>
  <c r="I128" i="5"/>
  <c r="S128" i="5"/>
  <c r="X128" i="5"/>
  <c r="J128" i="5"/>
  <c r="P128" i="5"/>
  <c r="M127" i="5"/>
  <c r="I127" i="5"/>
  <c r="N127" i="5"/>
  <c r="J125" i="5"/>
  <c r="P125" i="5"/>
  <c r="K125" i="5"/>
  <c r="Q125" i="5"/>
  <c r="U125" i="5"/>
  <c r="Q123" i="5"/>
  <c r="I121" i="5"/>
  <c r="J121" i="5"/>
  <c r="P121" i="5"/>
  <c r="K121" i="5"/>
  <c r="Q121" i="5"/>
  <c r="U121" i="5"/>
  <c r="M118" i="5"/>
  <c r="K115" i="5"/>
  <c r="Q115" i="5"/>
  <c r="U115" i="5"/>
  <c r="I115" i="5"/>
  <c r="P115" i="5"/>
  <c r="J115" i="5"/>
  <c r="X115" i="5"/>
  <c r="P113" i="5"/>
  <c r="K112" i="5"/>
  <c r="N112" i="5"/>
  <c r="J106" i="5"/>
  <c r="P106" i="5"/>
  <c r="K106" i="5"/>
  <c r="S106" i="5"/>
  <c r="X106" i="5"/>
  <c r="I105" i="5"/>
  <c r="S105" i="5"/>
  <c r="X105" i="5"/>
  <c r="J105" i="5"/>
  <c r="Q105" i="5"/>
  <c r="K105" i="5"/>
  <c r="M102" i="5"/>
  <c r="K99" i="5"/>
  <c r="Q99" i="5"/>
  <c r="U99" i="5"/>
  <c r="I99" i="5"/>
  <c r="P99" i="5"/>
  <c r="J99" i="5"/>
  <c r="X99" i="5"/>
  <c r="P97" i="5"/>
  <c r="K96" i="5"/>
  <c r="N96" i="5"/>
  <c r="J90" i="5"/>
  <c r="P90" i="5"/>
  <c r="K90" i="5"/>
  <c r="S90" i="5"/>
  <c r="X90" i="5"/>
  <c r="I89" i="5"/>
  <c r="S89" i="5"/>
  <c r="X89" i="5"/>
  <c r="J89" i="5"/>
  <c r="Q89" i="5"/>
  <c r="K89" i="5"/>
  <c r="J84" i="5"/>
  <c r="I83" i="5"/>
  <c r="Q128" i="5"/>
  <c r="I124" i="5"/>
  <c r="S124" i="5"/>
  <c r="X124" i="5"/>
  <c r="J124" i="5"/>
  <c r="P124" i="5"/>
  <c r="M123" i="5"/>
  <c r="I123" i="5"/>
  <c r="N123" i="5"/>
  <c r="X121" i="5"/>
  <c r="M116" i="5"/>
  <c r="I116" i="5"/>
  <c r="P116" i="5"/>
  <c r="I114" i="5"/>
  <c r="U113" i="5"/>
  <c r="M113" i="5"/>
  <c r="N110" i="5"/>
  <c r="I110" i="5"/>
  <c r="J109" i="5"/>
  <c r="U106" i="5"/>
  <c r="M100" i="5"/>
  <c r="I100" i="5"/>
  <c r="P100" i="5"/>
  <c r="I98" i="5"/>
  <c r="U97" i="5"/>
  <c r="M97" i="5"/>
  <c r="N94" i="5"/>
  <c r="I94" i="5"/>
  <c r="J93" i="5"/>
  <c r="U90" i="5"/>
  <c r="S80" i="5"/>
  <c r="K79" i="5"/>
  <c r="S76" i="5"/>
  <c r="K75" i="5"/>
  <c r="K119" i="5"/>
  <c r="Q119" i="5"/>
  <c r="U119" i="5"/>
  <c r="I117" i="5"/>
  <c r="S117" i="5"/>
  <c r="X117" i="5"/>
  <c r="K111" i="5"/>
  <c r="Q111" i="5"/>
  <c r="U111" i="5"/>
  <c r="I109" i="5"/>
  <c r="S109" i="5"/>
  <c r="X109" i="5"/>
  <c r="K103" i="5"/>
  <c r="Q103" i="5"/>
  <c r="U103" i="5"/>
  <c r="I101" i="5"/>
  <c r="S101" i="5"/>
  <c r="X101" i="5"/>
  <c r="K95" i="5"/>
  <c r="Q95" i="5"/>
  <c r="U95" i="5"/>
  <c r="I93" i="5"/>
  <c r="S93" i="5"/>
  <c r="X93" i="5"/>
  <c r="K87" i="5"/>
  <c r="Q87" i="5"/>
  <c r="U87" i="5"/>
  <c r="N85" i="5"/>
  <c r="N81" i="5"/>
  <c r="N77" i="5"/>
  <c r="U126" i="5"/>
  <c r="Q126" i="5"/>
  <c r="U122" i="5"/>
  <c r="Q122" i="5"/>
  <c r="M120" i="5"/>
  <c r="S119" i="5"/>
  <c r="J118" i="5"/>
  <c r="P118" i="5"/>
  <c r="M112" i="5"/>
  <c r="S111" i="5"/>
  <c r="J110" i="5"/>
  <c r="P110" i="5"/>
  <c r="M104" i="5"/>
  <c r="S103" i="5"/>
  <c r="J102" i="5"/>
  <c r="P102" i="5"/>
  <c r="M96" i="5"/>
  <c r="S95" i="5"/>
  <c r="J94" i="5"/>
  <c r="P94" i="5"/>
  <c r="M88" i="5"/>
  <c r="S87" i="5"/>
  <c r="U85" i="5"/>
  <c r="Q85" i="5"/>
  <c r="K85" i="5"/>
  <c r="P84" i="5"/>
  <c r="S83" i="5"/>
  <c r="U81" i="5"/>
  <c r="Q81" i="5"/>
  <c r="K81" i="5"/>
  <c r="P80" i="5"/>
  <c r="S79" i="5"/>
  <c r="U77" i="5"/>
  <c r="Q77" i="5"/>
  <c r="K77" i="5"/>
  <c r="P76" i="5"/>
  <c r="U86" i="5"/>
  <c r="Q86" i="5"/>
  <c r="K86" i="5"/>
  <c r="P85" i="5"/>
  <c r="J85" i="5"/>
  <c r="N84" i="5"/>
  <c r="I84" i="5"/>
  <c r="U82" i="5"/>
  <c r="Q82" i="5"/>
  <c r="K82" i="5"/>
  <c r="P81" i="5"/>
  <c r="J81" i="5"/>
  <c r="N80" i="5"/>
  <c r="I80" i="5"/>
  <c r="U78" i="5"/>
  <c r="Q78" i="5"/>
  <c r="K78" i="5"/>
  <c r="P77" i="5"/>
  <c r="J77" i="5"/>
  <c r="N76" i="5"/>
  <c r="I76" i="5"/>
  <c r="P86" i="5"/>
  <c r="X85" i="5"/>
  <c r="S85" i="5"/>
  <c r="U83" i="5"/>
  <c r="Q83" i="5"/>
  <c r="P82" i="5"/>
  <c r="X81" i="5"/>
  <c r="S81" i="5"/>
  <c r="U79" i="5"/>
  <c r="Q79" i="5"/>
  <c r="P78" i="5"/>
  <c r="X77" i="5"/>
  <c r="S77" i="5"/>
  <c r="R262" i="7" l="1"/>
  <c r="P262" i="7"/>
  <c r="N262" i="7"/>
  <c r="L262" i="7"/>
  <c r="J262" i="7"/>
  <c r="H262" i="7"/>
  <c r="F261" i="7"/>
  <c r="D261" i="7"/>
  <c r="S261" i="7" l="1"/>
  <c r="B260" i="7"/>
  <c r="S262" i="7"/>
  <c r="R256" i="7"/>
  <c r="P256" i="7"/>
  <c r="N256" i="7"/>
  <c r="L256" i="7"/>
  <c r="J256" i="7"/>
  <c r="H256" i="7"/>
  <c r="F255" i="7"/>
  <c r="D255" i="7"/>
  <c r="S256" i="7" l="1"/>
  <c r="S255" i="7"/>
  <c r="B254" i="7"/>
  <c r="A234" i="4"/>
  <c r="B234" i="4"/>
  <c r="C234" i="4"/>
  <c r="H234" i="4" s="1"/>
  <c r="F234" i="4"/>
  <c r="I234" i="4" s="1"/>
  <c r="G234" i="4"/>
  <c r="P234" i="4"/>
  <c r="A235" i="4"/>
  <c r="B235" i="4"/>
  <c r="C235" i="4"/>
  <c r="F235" i="4"/>
  <c r="I235" i="4" s="1"/>
  <c r="G235" i="4"/>
  <c r="P235" i="4"/>
  <c r="A236" i="4"/>
  <c r="B236" i="4"/>
  <c r="C236" i="4"/>
  <c r="F236" i="4"/>
  <c r="I236" i="4" s="1"/>
  <c r="G236" i="4"/>
  <c r="P236" i="4"/>
  <c r="A237" i="4"/>
  <c r="B237" i="4"/>
  <c r="C237" i="4"/>
  <c r="F237" i="4"/>
  <c r="I237" i="4" s="1"/>
  <c r="G237" i="4"/>
  <c r="P237" i="4"/>
  <c r="A238" i="4"/>
  <c r="B238" i="4"/>
  <c r="C238" i="4"/>
  <c r="F238" i="4"/>
  <c r="I238" i="4" s="1"/>
  <c r="G238" i="4"/>
  <c r="P238" i="4"/>
  <c r="A239" i="4"/>
  <c r="B239" i="4"/>
  <c r="C239" i="4"/>
  <c r="F239" i="4"/>
  <c r="I239" i="4" s="1"/>
  <c r="G239" i="4"/>
  <c r="P239" i="4"/>
  <c r="A240" i="4"/>
  <c r="B240" i="4"/>
  <c r="C240" i="4"/>
  <c r="F240" i="4"/>
  <c r="I240" i="4" s="1"/>
  <c r="G240" i="4"/>
  <c r="P240" i="4"/>
  <c r="H236" i="4" l="1"/>
  <c r="H239" i="4"/>
  <c r="H235" i="4"/>
  <c r="H238" i="4"/>
  <c r="H240" i="4"/>
  <c r="H237" i="4"/>
  <c r="A90" i="3"/>
  <c r="Q90" i="3"/>
  <c r="A91" i="3"/>
  <c r="A92" i="3"/>
  <c r="Q92" i="3"/>
  <c r="A93" i="3"/>
  <c r="Q93" i="3"/>
  <c r="A94" i="3"/>
  <c r="Q94" i="3"/>
  <c r="A222" i="4" l="1"/>
  <c r="B222" i="4"/>
  <c r="C222" i="4"/>
  <c r="F222" i="4"/>
  <c r="I222" i="4" s="1"/>
  <c r="G222" i="4"/>
  <c r="P222" i="4"/>
  <c r="A223" i="4"/>
  <c r="B223" i="4"/>
  <c r="C223" i="4"/>
  <c r="F223" i="4"/>
  <c r="I223" i="4" s="1"/>
  <c r="G223" i="4"/>
  <c r="P223" i="4"/>
  <c r="A224" i="4"/>
  <c r="B224" i="4"/>
  <c r="C224" i="4"/>
  <c r="F224" i="4"/>
  <c r="I224" i="4" s="1"/>
  <c r="G224" i="4"/>
  <c r="P224" i="4"/>
  <c r="A225" i="4"/>
  <c r="B225" i="4"/>
  <c r="C225" i="4"/>
  <c r="F225" i="4"/>
  <c r="I225" i="4" s="1"/>
  <c r="G225" i="4"/>
  <c r="P225" i="4"/>
  <c r="A226" i="4"/>
  <c r="B226" i="4"/>
  <c r="C226" i="4"/>
  <c r="F226" i="4"/>
  <c r="I226" i="4" s="1"/>
  <c r="G226" i="4"/>
  <c r="P226" i="4"/>
  <c r="A227" i="4"/>
  <c r="B227" i="4"/>
  <c r="C227" i="4"/>
  <c r="F227" i="4"/>
  <c r="I227" i="4" s="1"/>
  <c r="G227" i="4"/>
  <c r="P227" i="4"/>
  <c r="A228" i="4"/>
  <c r="B228" i="4"/>
  <c r="C228" i="4"/>
  <c r="F228" i="4"/>
  <c r="I228" i="4" s="1"/>
  <c r="G228" i="4"/>
  <c r="P228" i="4"/>
  <c r="A229" i="4"/>
  <c r="B229" i="4"/>
  <c r="C229" i="4"/>
  <c r="F229" i="4"/>
  <c r="I229" i="4" s="1"/>
  <c r="G229" i="4"/>
  <c r="P229" i="4"/>
  <c r="A230" i="4"/>
  <c r="B230" i="4"/>
  <c r="C230" i="4"/>
  <c r="F230" i="4"/>
  <c r="I230" i="4" s="1"/>
  <c r="G230" i="4"/>
  <c r="P230" i="4"/>
  <c r="A231" i="4"/>
  <c r="B231" i="4"/>
  <c r="C231" i="4"/>
  <c r="F231" i="4"/>
  <c r="I231" i="4" s="1"/>
  <c r="G231" i="4"/>
  <c r="P231" i="4"/>
  <c r="A232" i="4"/>
  <c r="B232" i="4"/>
  <c r="C232" i="4"/>
  <c r="F232" i="4"/>
  <c r="I232" i="4" s="1"/>
  <c r="G232" i="4"/>
  <c r="P232" i="4"/>
  <c r="A233" i="4"/>
  <c r="B233" i="4"/>
  <c r="C233" i="4"/>
  <c r="F233" i="4"/>
  <c r="I233" i="4" s="1"/>
  <c r="G233" i="4"/>
  <c r="P233" i="4"/>
  <c r="A84" i="3"/>
  <c r="Q84" i="3"/>
  <c r="A85" i="3"/>
  <c r="Q85" i="3"/>
  <c r="A86" i="3"/>
  <c r="Q86" i="3"/>
  <c r="A87" i="3"/>
  <c r="Q87" i="3"/>
  <c r="A88" i="3"/>
  <c r="Q88" i="3"/>
  <c r="A89" i="3"/>
  <c r="Q89" i="3"/>
  <c r="H230" i="4" l="1"/>
  <c r="H227" i="4"/>
  <c r="H232" i="4"/>
  <c r="H222" i="4"/>
  <c r="H223" i="4"/>
  <c r="H229" i="4"/>
  <c r="H228" i="4"/>
  <c r="H225" i="4"/>
  <c r="H226" i="4"/>
  <c r="H233" i="4"/>
  <c r="H224" i="4"/>
  <c r="H231" i="4"/>
  <c r="R250" i="7"/>
  <c r="P250" i="7"/>
  <c r="N250" i="7"/>
  <c r="L250" i="7"/>
  <c r="J250" i="7"/>
  <c r="H250" i="7"/>
  <c r="F249" i="7"/>
  <c r="D249" i="7"/>
  <c r="S250" i="7" l="1"/>
  <c r="S249" i="7"/>
  <c r="B248" i="7"/>
  <c r="A216" i="4"/>
  <c r="B216" i="4"/>
  <c r="C216" i="4"/>
  <c r="F216" i="4"/>
  <c r="G216" i="4"/>
  <c r="I216" i="4"/>
  <c r="P216" i="4"/>
  <c r="A217" i="4"/>
  <c r="B217" i="4"/>
  <c r="C217" i="4"/>
  <c r="H217" i="4" s="1"/>
  <c r="F217" i="4"/>
  <c r="I217" i="4" s="1"/>
  <c r="G217" i="4"/>
  <c r="P217" i="4"/>
  <c r="A218" i="4"/>
  <c r="B218" i="4"/>
  <c r="C218" i="4"/>
  <c r="F218" i="4"/>
  <c r="I218" i="4" s="1"/>
  <c r="G218" i="4"/>
  <c r="P218" i="4"/>
  <c r="A219" i="4"/>
  <c r="B219" i="4"/>
  <c r="C219" i="4"/>
  <c r="F219" i="4"/>
  <c r="I219" i="4" s="1"/>
  <c r="G219" i="4"/>
  <c r="P219" i="4"/>
  <c r="A220" i="4"/>
  <c r="B220" i="4"/>
  <c r="C220" i="4"/>
  <c r="F220" i="4"/>
  <c r="I220" i="4" s="1"/>
  <c r="G220" i="4"/>
  <c r="P220" i="4"/>
  <c r="A221" i="4"/>
  <c r="B221" i="4"/>
  <c r="C221" i="4"/>
  <c r="F221" i="4"/>
  <c r="I221" i="4" s="1"/>
  <c r="G221" i="4"/>
  <c r="P221" i="4"/>
  <c r="Q75" i="3"/>
  <c r="A75" i="3"/>
  <c r="Q74" i="3"/>
  <c r="A74" i="3"/>
  <c r="H216" i="4" l="1"/>
  <c r="H221" i="4"/>
  <c r="H218" i="4"/>
  <c r="H220" i="4"/>
  <c r="H219" i="4"/>
  <c r="R244" i="7"/>
  <c r="P244" i="7"/>
  <c r="N244" i="7"/>
  <c r="L244" i="7"/>
  <c r="J244" i="7"/>
  <c r="H244" i="7"/>
  <c r="F243" i="7"/>
  <c r="D243" i="7"/>
  <c r="S243" i="7" l="1"/>
  <c r="S244" i="7"/>
  <c r="B242" i="7"/>
  <c r="A211" i="4"/>
  <c r="B211" i="4"/>
  <c r="C211" i="4"/>
  <c r="H211" i="4" s="1"/>
  <c r="F211" i="4"/>
  <c r="I211" i="4" s="1"/>
  <c r="G211" i="4"/>
  <c r="P211" i="4"/>
  <c r="A212" i="4"/>
  <c r="B212" i="4"/>
  <c r="C212" i="4"/>
  <c r="F212" i="4"/>
  <c r="I212" i="4" s="1"/>
  <c r="G212" i="4"/>
  <c r="A213" i="4"/>
  <c r="B213" i="4"/>
  <c r="C213" i="4"/>
  <c r="F213" i="4"/>
  <c r="I213" i="4" s="1"/>
  <c r="G213" i="4"/>
  <c r="P213" i="4"/>
  <c r="A214" i="4"/>
  <c r="B214" i="4"/>
  <c r="C214" i="4"/>
  <c r="F214" i="4"/>
  <c r="I214" i="4" s="1"/>
  <c r="G214" i="4"/>
  <c r="P214" i="4"/>
  <c r="A215" i="4"/>
  <c r="B215" i="4"/>
  <c r="C215" i="4"/>
  <c r="F215" i="4"/>
  <c r="I215" i="4" s="1"/>
  <c r="G215" i="4"/>
  <c r="P215" i="4"/>
  <c r="Q70" i="3"/>
  <c r="Q71" i="3"/>
  <c r="Q72" i="3"/>
  <c r="Q73" i="3"/>
  <c r="A70" i="3"/>
  <c r="A71" i="3"/>
  <c r="A72" i="3"/>
  <c r="H212" i="4" l="1"/>
  <c r="H213" i="4"/>
  <c r="H214" i="4"/>
  <c r="H215" i="4"/>
  <c r="A76" i="3"/>
  <c r="Q76" i="3"/>
  <c r="A77" i="3"/>
  <c r="Q77" i="3"/>
  <c r="A78" i="3"/>
  <c r="Q78" i="3"/>
  <c r="A79" i="3"/>
  <c r="Q79" i="3"/>
  <c r="A80" i="3"/>
  <c r="Q80" i="3"/>
  <c r="A81" i="3"/>
  <c r="Q81" i="3"/>
  <c r="A82" i="3"/>
  <c r="Q82" i="3"/>
  <c r="A83" i="3"/>
  <c r="Q83" i="3"/>
  <c r="R238" i="7" l="1"/>
  <c r="P238" i="7"/>
  <c r="N238" i="7"/>
  <c r="L238" i="7"/>
  <c r="J238" i="7"/>
  <c r="H238" i="7"/>
  <c r="F237" i="7"/>
  <c r="D237" i="7"/>
  <c r="S238" i="7" l="1"/>
  <c r="S237" i="7"/>
  <c r="B236" i="7"/>
  <c r="A204" i="4"/>
  <c r="B204" i="4"/>
  <c r="C204" i="4"/>
  <c r="F204" i="4"/>
  <c r="I204" i="4" s="1"/>
  <c r="G204" i="4"/>
  <c r="P204" i="4"/>
  <c r="A205" i="4"/>
  <c r="B205" i="4"/>
  <c r="C205" i="4"/>
  <c r="F205" i="4"/>
  <c r="I205" i="4" s="1"/>
  <c r="G205" i="4"/>
  <c r="P205" i="4"/>
  <c r="A206" i="4"/>
  <c r="B206" i="4"/>
  <c r="C206" i="4"/>
  <c r="F206" i="4"/>
  <c r="I206" i="4" s="1"/>
  <c r="G206" i="4"/>
  <c r="P206" i="4"/>
  <c r="A207" i="4"/>
  <c r="B207" i="4"/>
  <c r="C207" i="4"/>
  <c r="F207" i="4"/>
  <c r="I207" i="4" s="1"/>
  <c r="G207" i="4"/>
  <c r="P207" i="4"/>
  <c r="A208" i="4"/>
  <c r="B208" i="4"/>
  <c r="C208" i="4"/>
  <c r="F208" i="4"/>
  <c r="I208" i="4" s="1"/>
  <c r="G208" i="4"/>
  <c r="P208" i="4"/>
  <c r="A209" i="4"/>
  <c r="B209" i="4"/>
  <c r="C209" i="4"/>
  <c r="F209" i="4"/>
  <c r="G209" i="4"/>
  <c r="P209" i="4"/>
  <c r="A210" i="4"/>
  <c r="B210" i="4"/>
  <c r="C210" i="4"/>
  <c r="F210" i="4"/>
  <c r="I210" i="4" s="1"/>
  <c r="G210" i="4"/>
  <c r="P210" i="4"/>
  <c r="A67" i="3"/>
  <c r="Q67" i="3"/>
  <c r="A68" i="3"/>
  <c r="A69" i="3"/>
  <c r="Q69" i="3"/>
  <c r="A73" i="3"/>
  <c r="Q66" i="3"/>
  <c r="Q62" i="3"/>
  <c r="Q63" i="3"/>
  <c r="Q64" i="3"/>
  <c r="Q65" i="3"/>
  <c r="H206" i="4" l="1"/>
  <c r="H205" i="4"/>
  <c r="H204" i="4"/>
  <c r="H208" i="4"/>
  <c r="H207" i="4"/>
  <c r="H210" i="4"/>
  <c r="B72" i="5"/>
  <c r="C72" i="5"/>
  <c r="D72" i="5"/>
  <c r="E72" i="5"/>
  <c r="F72" i="5"/>
  <c r="G72" i="5"/>
  <c r="B73" i="5"/>
  <c r="C73" i="5"/>
  <c r="D73" i="5"/>
  <c r="E73" i="5"/>
  <c r="F73" i="5"/>
  <c r="G73" i="5"/>
  <c r="B74" i="5"/>
  <c r="C74" i="5"/>
  <c r="D74" i="5"/>
  <c r="E74" i="5"/>
  <c r="F74" i="5"/>
  <c r="G74" i="5"/>
  <c r="N72" i="5" l="1"/>
  <c r="M73" i="5"/>
  <c r="M74" i="5"/>
  <c r="M72" i="5"/>
  <c r="I74" i="5"/>
  <c r="J73" i="5"/>
  <c r="K73" i="5"/>
  <c r="J72" i="5"/>
  <c r="N74" i="5"/>
  <c r="K72" i="5"/>
  <c r="P72" i="5"/>
  <c r="K74" i="5"/>
  <c r="P73" i="5"/>
  <c r="I72" i="5"/>
  <c r="P74" i="5"/>
  <c r="J74" i="5"/>
  <c r="N73" i="5"/>
  <c r="I73" i="5"/>
  <c r="Q57" i="3"/>
  <c r="Q58" i="3"/>
  <c r="Q59" i="3"/>
  <c r="Q60" i="3"/>
  <c r="Q61" i="3"/>
  <c r="R232" i="7" l="1"/>
  <c r="P232" i="7"/>
  <c r="N232" i="7"/>
  <c r="L232" i="7"/>
  <c r="J232" i="7"/>
  <c r="H232" i="7"/>
  <c r="F231" i="7"/>
  <c r="D231" i="7"/>
  <c r="S231" i="7" s="1"/>
  <c r="S232" i="7" l="1"/>
  <c r="B230" i="7"/>
  <c r="A63" i="3"/>
  <c r="A64" i="3"/>
  <c r="A65" i="3"/>
  <c r="A66" i="3"/>
  <c r="Q56" i="3" l="1"/>
  <c r="A62" i="6" l="1"/>
  <c r="B62" i="6"/>
  <c r="C62" i="6"/>
  <c r="D62" i="6"/>
  <c r="E62" i="6"/>
  <c r="F62" i="6"/>
  <c r="A63" i="6"/>
  <c r="B63" i="6"/>
  <c r="C63" i="6"/>
  <c r="D63" i="6"/>
  <c r="E63" i="6"/>
  <c r="F63" i="6"/>
  <c r="A64" i="6"/>
  <c r="B64" i="6"/>
  <c r="C64" i="6"/>
  <c r="D64" i="6"/>
  <c r="E64" i="6"/>
  <c r="F64" i="6"/>
  <c r="A65" i="6"/>
  <c r="B65" i="6"/>
  <c r="C65" i="6"/>
  <c r="D65" i="6"/>
  <c r="E65" i="6"/>
  <c r="F65" i="6"/>
  <c r="A66" i="6"/>
  <c r="B66" i="6"/>
  <c r="C66" i="6"/>
  <c r="D66" i="6"/>
  <c r="E66" i="6"/>
  <c r="F66" i="6"/>
  <c r="A67" i="6"/>
  <c r="B67" i="6"/>
  <c r="C67" i="6"/>
  <c r="D67" i="6"/>
  <c r="E67" i="6"/>
  <c r="F67" i="6"/>
  <c r="A68" i="6"/>
  <c r="B68" i="6"/>
  <c r="C68" i="6"/>
  <c r="D68" i="6"/>
  <c r="E68" i="6"/>
  <c r="F68" i="6"/>
  <c r="A69" i="6"/>
  <c r="B69" i="6"/>
  <c r="C69" i="6"/>
  <c r="D69" i="6"/>
  <c r="E69" i="6"/>
  <c r="F69" i="6"/>
  <c r="A70" i="6"/>
  <c r="B70" i="6"/>
  <c r="C70" i="6"/>
  <c r="D70" i="6"/>
  <c r="E70" i="6"/>
  <c r="F70" i="6"/>
  <c r="A71" i="6"/>
  <c r="B71" i="6"/>
  <c r="C71" i="6"/>
  <c r="D71" i="6"/>
  <c r="E71" i="6"/>
  <c r="F71" i="6"/>
  <c r="A72" i="6"/>
  <c r="B72" i="6"/>
  <c r="C72" i="6"/>
  <c r="D72" i="6"/>
  <c r="R72" i="5" s="1"/>
  <c r="S72" i="5" s="1"/>
  <c r="E72" i="6"/>
  <c r="T72" i="5" s="1"/>
  <c r="F72" i="6"/>
  <c r="W72" i="5" s="1"/>
  <c r="X72" i="5" s="1"/>
  <c r="A73" i="6"/>
  <c r="B73" i="6"/>
  <c r="C73" i="6"/>
  <c r="D73" i="6"/>
  <c r="R73" i="5" s="1"/>
  <c r="S73" i="5" s="1"/>
  <c r="E73" i="6"/>
  <c r="T73" i="5" s="1"/>
  <c r="F73" i="6"/>
  <c r="W73" i="5" s="1"/>
  <c r="X73" i="5" s="1"/>
  <c r="A74" i="6"/>
  <c r="B74" i="6"/>
  <c r="C74" i="6"/>
  <c r="D74" i="6"/>
  <c r="R74" i="5" s="1"/>
  <c r="S74" i="5" s="1"/>
  <c r="E74" i="6"/>
  <c r="T74" i="5" s="1"/>
  <c r="F74" i="6"/>
  <c r="W74" i="5" s="1"/>
  <c r="X74" i="5" s="1"/>
  <c r="A75" i="6"/>
  <c r="B75" i="6"/>
  <c r="C75" i="6"/>
  <c r="D75" i="6"/>
  <c r="R75" i="5" s="1"/>
  <c r="S75" i="5" s="1"/>
  <c r="E75" i="6"/>
  <c r="T75" i="5" s="1"/>
  <c r="F75" i="6"/>
  <c r="W75" i="5" s="1"/>
  <c r="X75" i="5" s="1"/>
  <c r="U75" i="5" l="1"/>
  <c r="Q75" i="5"/>
  <c r="Q73" i="5"/>
  <c r="U73" i="5"/>
  <c r="U74" i="5"/>
  <c r="Q74" i="5"/>
  <c r="U72" i="5"/>
  <c r="Q72" i="5"/>
  <c r="K38" i="4" l="1"/>
  <c r="S38" i="4"/>
  <c r="R38" i="4"/>
  <c r="Q55" i="3" l="1"/>
  <c r="A55" i="3"/>
  <c r="Q50" i="3" l="1"/>
  <c r="Q51" i="3"/>
  <c r="Q52" i="3"/>
  <c r="Q53" i="3"/>
  <c r="Q54" i="3"/>
  <c r="Q45" i="3"/>
  <c r="B66" i="5" l="1"/>
  <c r="C66" i="5"/>
  <c r="D66" i="5"/>
  <c r="E66" i="5"/>
  <c r="F66" i="5"/>
  <c r="G66" i="5"/>
  <c r="R66" i="5"/>
  <c r="T66" i="5"/>
  <c r="W66" i="5"/>
  <c r="B67" i="5"/>
  <c r="C67" i="5"/>
  <c r="D67" i="5"/>
  <c r="E67" i="5"/>
  <c r="F67" i="5"/>
  <c r="G67" i="5"/>
  <c r="R67" i="5"/>
  <c r="T67" i="5"/>
  <c r="W67" i="5"/>
  <c r="B68" i="5"/>
  <c r="C68" i="5"/>
  <c r="D68" i="5"/>
  <c r="E68" i="5"/>
  <c r="F68" i="5"/>
  <c r="G68" i="5"/>
  <c r="R68" i="5"/>
  <c r="T68" i="5"/>
  <c r="W68" i="5"/>
  <c r="B69" i="5"/>
  <c r="C69" i="5"/>
  <c r="D69" i="5"/>
  <c r="E69" i="5"/>
  <c r="F69" i="5"/>
  <c r="G69" i="5"/>
  <c r="R69" i="5"/>
  <c r="T69" i="5"/>
  <c r="W69" i="5"/>
  <c r="B70" i="5"/>
  <c r="C70" i="5"/>
  <c r="D70" i="5"/>
  <c r="E70" i="5"/>
  <c r="F70" i="5"/>
  <c r="G70" i="5"/>
  <c r="R70" i="5"/>
  <c r="T70" i="5"/>
  <c r="W70" i="5"/>
  <c r="B71" i="5"/>
  <c r="C71" i="5"/>
  <c r="D71" i="5"/>
  <c r="E71" i="5"/>
  <c r="F71" i="5"/>
  <c r="G71" i="5"/>
  <c r="R71" i="5"/>
  <c r="T71" i="5"/>
  <c r="W71" i="5"/>
  <c r="DK31" i="6"/>
  <c r="DL31" i="6"/>
  <c r="DM31" i="6"/>
  <c r="DN31" i="6"/>
  <c r="DO31" i="6"/>
  <c r="DP31" i="6"/>
  <c r="DQ31" i="6"/>
  <c r="DR31" i="6"/>
  <c r="DS31" i="6"/>
  <c r="DK20" i="6"/>
  <c r="DL20" i="6"/>
  <c r="DM20" i="6"/>
  <c r="DN20" i="6"/>
  <c r="DO20" i="6"/>
  <c r="DP20" i="6"/>
  <c r="DQ20" i="6"/>
  <c r="DR20" i="6"/>
  <c r="DS20" i="6"/>
  <c r="Q68" i="5" l="1"/>
  <c r="Q71" i="5"/>
  <c r="Q67" i="5"/>
  <c r="Q70" i="5"/>
  <c r="Q66" i="5"/>
  <c r="Q69" i="5"/>
  <c r="X69" i="5"/>
  <c r="K67" i="5"/>
  <c r="U67" i="5"/>
  <c r="M68" i="5"/>
  <c r="M69" i="5"/>
  <c r="M71" i="5"/>
  <c r="I70" i="5"/>
  <c r="I68" i="5"/>
  <c r="X71" i="5"/>
  <c r="X70" i="5"/>
  <c r="P70" i="5"/>
  <c r="M66" i="5"/>
  <c r="J70" i="5"/>
  <c r="M70" i="5"/>
  <c r="N69" i="5"/>
  <c r="J67" i="5"/>
  <c r="N66" i="5"/>
  <c r="J71" i="5"/>
  <c r="N70" i="5"/>
  <c r="J69" i="5"/>
  <c r="X67" i="5"/>
  <c r="M67" i="5"/>
  <c r="J66" i="5"/>
  <c r="K66" i="5"/>
  <c r="I66" i="5"/>
  <c r="U71" i="5"/>
  <c r="K71" i="5"/>
  <c r="S71" i="5"/>
  <c r="K70" i="5"/>
  <c r="S67" i="5"/>
  <c r="X66" i="5"/>
  <c r="P66" i="5"/>
  <c r="S69" i="5"/>
  <c r="I69" i="5"/>
  <c r="N68" i="5"/>
  <c r="P71" i="5"/>
  <c r="S70" i="5"/>
  <c r="U68" i="5"/>
  <c r="K68" i="5"/>
  <c r="P67" i="5"/>
  <c r="S66" i="5"/>
  <c r="N71" i="5"/>
  <c r="I71" i="5"/>
  <c r="U69" i="5"/>
  <c r="K69" i="5"/>
  <c r="P68" i="5"/>
  <c r="J68" i="5"/>
  <c r="N67" i="5"/>
  <c r="I67" i="5"/>
  <c r="U70" i="5"/>
  <c r="P69" i="5"/>
  <c r="X68" i="5"/>
  <c r="S68" i="5"/>
  <c r="U66" i="5"/>
  <c r="R226" i="7"/>
  <c r="P226" i="7"/>
  <c r="N226" i="7"/>
  <c r="L226" i="7"/>
  <c r="J226" i="7"/>
  <c r="H226" i="7"/>
  <c r="F225" i="7"/>
  <c r="D225" i="7"/>
  <c r="S226" i="7" l="1"/>
  <c r="S225" i="7"/>
  <c r="B224" i="7"/>
  <c r="B63" i="5"/>
  <c r="C63" i="5"/>
  <c r="D63" i="5"/>
  <c r="E63" i="5"/>
  <c r="F63" i="5"/>
  <c r="G63" i="5"/>
  <c r="R63" i="5"/>
  <c r="T63" i="5"/>
  <c r="W63" i="5"/>
  <c r="B64" i="5"/>
  <c r="C64" i="5"/>
  <c r="D64" i="5"/>
  <c r="E64" i="5"/>
  <c r="F64" i="5"/>
  <c r="G64" i="5"/>
  <c r="R64" i="5"/>
  <c r="T64" i="5"/>
  <c r="W64" i="5"/>
  <c r="B65" i="5"/>
  <c r="C65" i="5"/>
  <c r="D65" i="5"/>
  <c r="E65" i="5"/>
  <c r="F65" i="5"/>
  <c r="G65" i="5"/>
  <c r="R65" i="5"/>
  <c r="T65" i="5"/>
  <c r="W65" i="5"/>
  <c r="Q65" i="5" l="1"/>
  <c r="Q64" i="5"/>
  <c r="Q63" i="5"/>
  <c r="X64" i="5"/>
  <c r="M63" i="5"/>
  <c r="U64" i="5"/>
  <c r="P64" i="5"/>
  <c r="I65" i="5"/>
  <c r="N63" i="5"/>
  <c r="N65" i="5"/>
  <c r="I64" i="5"/>
  <c r="K63" i="5"/>
  <c r="N64" i="5"/>
  <c r="M64" i="5"/>
  <c r="X63" i="5"/>
  <c r="S63" i="5"/>
  <c r="J63" i="5"/>
  <c r="M65" i="5"/>
  <c r="K64" i="5"/>
  <c r="U63" i="5"/>
  <c r="P63" i="5"/>
  <c r="I63" i="5"/>
  <c r="U65" i="5"/>
  <c r="K65" i="5"/>
  <c r="S64" i="5"/>
  <c r="J64" i="5"/>
  <c r="P65" i="5"/>
  <c r="J65" i="5"/>
  <c r="X65" i="5"/>
  <c r="S65" i="5"/>
  <c r="R220" i="7"/>
  <c r="P220" i="7"/>
  <c r="N220" i="7"/>
  <c r="L220" i="7"/>
  <c r="J220" i="7"/>
  <c r="H220" i="7"/>
  <c r="F219" i="7"/>
  <c r="D219" i="7"/>
  <c r="S219" i="7" l="1"/>
  <c r="B218" i="7"/>
  <c r="S220" i="7"/>
  <c r="A193" i="4"/>
  <c r="B193" i="4"/>
  <c r="C193" i="4"/>
  <c r="F193" i="4"/>
  <c r="G193" i="4"/>
  <c r="I193" i="4"/>
  <c r="P193" i="4"/>
  <c r="A194" i="4"/>
  <c r="B194" i="4"/>
  <c r="C194" i="4"/>
  <c r="F194" i="4"/>
  <c r="I194" i="4" s="1"/>
  <c r="G194" i="4"/>
  <c r="P194" i="4"/>
  <c r="A195" i="4"/>
  <c r="B195" i="4"/>
  <c r="C195" i="4"/>
  <c r="F195" i="4"/>
  <c r="I195" i="4" s="1"/>
  <c r="G195" i="4"/>
  <c r="P195" i="4"/>
  <c r="A196" i="4"/>
  <c r="B196" i="4"/>
  <c r="C196" i="4"/>
  <c r="F196" i="4"/>
  <c r="I196" i="4" s="1"/>
  <c r="G196" i="4"/>
  <c r="P196" i="4"/>
  <c r="A197" i="4"/>
  <c r="B197" i="4"/>
  <c r="C197" i="4"/>
  <c r="F197" i="4"/>
  <c r="I197" i="4" s="1"/>
  <c r="G197" i="4"/>
  <c r="P197" i="4"/>
  <c r="A198" i="4"/>
  <c r="B198" i="4"/>
  <c r="C198" i="4"/>
  <c r="F198" i="4"/>
  <c r="I198" i="4" s="1"/>
  <c r="G198" i="4"/>
  <c r="P198" i="4"/>
  <c r="A199" i="4"/>
  <c r="B199" i="4"/>
  <c r="C199" i="4"/>
  <c r="F199" i="4"/>
  <c r="I199" i="4" s="1"/>
  <c r="G199" i="4"/>
  <c r="P199" i="4"/>
  <c r="A200" i="4"/>
  <c r="B200" i="4"/>
  <c r="C200" i="4"/>
  <c r="F200" i="4"/>
  <c r="I200" i="4" s="1"/>
  <c r="G200" i="4"/>
  <c r="P200" i="4"/>
  <c r="A201" i="4"/>
  <c r="B201" i="4"/>
  <c r="C201" i="4"/>
  <c r="F201" i="4"/>
  <c r="I201" i="4" s="1"/>
  <c r="G201" i="4"/>
  <c r="P201" i="4"/>
  <c r="A202" i="4"/>
  <c r="B202" i="4"/>
  <c r="C202" i="4"/>
  <c r="F202" i="4"/>
  <c r="I202" i="4" s="1"/>
  <c r="G202" i="4"/>
  <c r="P202" i="4"/>
  <c r="A203" i="4"/>
  <c r="B203" i="4"/>
  <c r="C203" i="4"/>
  <c r="F203" i="4"/>
  <c r="I203" i="4" s="1"/>
  <c r="G203" i="4"/>
  <c r="P203" i="4"/>
  <c r="Q46" i="3"/>
  <c r="Q47" i="3"/>
  <c r="Q48" i="3"/>
  <c r="Q49" i="3"/>
  <c r="H193" i="4" l="1"/>
  <c r="H195" i="4"/>
  <c r="H203" i="4"/>
  <c r="H202" i="4"/>
  <c r="H200" i="4"/>
  <c r="H201" i="4"/>
  <c r="H199" i="4"/>
  <c r="H194" i="4"/>
  <c r="H197" i="4"/>
  <c r="H198" i="4"/>
  <c r="H196" i="4"/>
  <c r="H26" i="9"/>
  <c r="D26" i="9"/>
  <c r="E26" i="9"/>
  <c r="A56" i="3" l="1"/>
  <c r="A57" i="3"/>
  <c r="A58" i="3"/>
  <c r="A59" i="3"/>
  <c r="A60" i="3"/>
  <c r="A61" i="3"/>
  <c r="A62" i="3"/>
  <c r="B59" i="5"/>
  <c r="C59" i="5"/>
  <c r="D59" i="5"/>
  <c r="E59" i="5"/>
  <c r="F59" i="5"/>
  <c r="G59" i="5"/>
  <c r="B60" i="5"/>
  <c r="C60" i="5"/>
  <c r="D60" i="5"/>
  <c r="E60" i="5"/>
  <c r="F60" i="5"/>
  <c r="G60" i="5"/>
  <c r="B61" i="5"/>
  <c r="C61" i="5"/>
  <c r="D61" i="5"/>
  <c r="E61" i="5"/>
  <c r="F61" i="5"/>
  <c r="G61" i="5"/>
  <c r="B62" i="5"/>
  <c r="C62" i="5"/>
  <c r="D62" i="5"/>
  <c r="E62" i="5"/>
  <c r="F62" i="5"/>
  <c r="G62" i="5"/>
  <c r="R62" i="5"/>
  <c r="T62" i="5"/>
  <c r="W62" i="5"/>
  <c r="A61" i="6"/>
  <c r="B61" i="6"/>
  <c r="C61" i="6"/>
  <c r="D61" i="6"/>
  <c r="R61" i="5" s="1"/>
  <c r="E61" i="6"/>
  <c r="T61" i="5" s="1"/>
  <c r="F61" i="6"/>
  <c r="W61" i="5" s="1"/>
  <c r="A60" i="6"/>
  <c r="B60" i="6"/>
  <c r="C60" i="6"/>
  <c r="D60" i="6"/>
  <c r="R60" i="5" s="1"/>
  <c r="E60" i="6"/>
  <c r="T60" i="5" s="1"/>
  <c r="F60" i="6"/>
  <c r="W60" i="5" s="1"/>
  <c r="A58" i="6"/>
  <c r="B58" i="6"/>
  <c r="C58" i="6"/>
  <c r="D58" i="6"/>
  <c r="E58" i="6"/>
  <c r="F58" i="6"/>
  <c r="A59" i="6"/>
  <c r="B59" i="6"/>
  <c r="C59" i="6"/>
  <c r="D59" i="6"/>
  <c r="R59" i="5" s="1"/>
  <c r="E59" i="6"/>
  <c r="T59" i="5" s="1"/>
  <c r="F59" i="6"/>
  <c r="W59" i="5" s="1"/>
  <c r="Q44" i="3"/>
  <c r="Q62" i="5" l="1"/>
  <c r="Q60" i="5"/>
  <c r="Q61" i="5"/>
  <c r="P62" i="5"/>
  <c r="K59" i="5"/>
  <c r="X59" i="5"/>
  <c r="N61" i="5"/>
  <c r="N62" i="5"/>
  <c r="S61" i="5"/>
  <c r="X62" i="5"/>
  <c r="N60" i="5"/>
  <c r="J59" i="5"/>
  <c r="U59" i="5"/>
  <c r="X61" i="5"/>
  <c r="K62" i="5"/>
  <c r="I61" i="5"/>
  <c r="I60" i="5"/>
  <c r="M61" i="5"/>
  <c r="J62" i="5"/>
  <c r="M62" i="5"/>
  <c r="I62" i="5"/>
  <c r="J61" i="5"/>
  <c r="M60" i="5"/>
  <c r="M59" i="5"/>
  <c r="S59" i="5"/>
  <c r="Q59" i="5"/>
  <c r="S62" i="5"/>
  <c r="U60" i="5"/>
  <c r="K60" i="5"/>
  <c r="P59" i="5"/>
  <c r="U61" i="5"/>
  <c r="K61" i="5"/>
  <c r="P60" i="5"/>
  <c r="J60" i="5"/>
  <c r="N59" i="5"/>
  <c r="I59" i="5"/>
  <c r="U62" i="5"/>
  <c r="P61" i="5"/>
  <c r="X60" i="5"/>
  <c r="S60" i="5"/>
  <c r="Q43" i="3"/>
  <c r="R214" i="7" l="1"/>
  <c r="P214" i="7"/>
  <c r="N214" i="7"/>
  <c r="L214" i="7"/>
  <c r="J214" i="7"/>
  <c r="H214" i="7"/>
  <c r="F213" i="7"/>
  <c r="D213" i="7"/>
  <c r="S214" i="7" l="1"/>
  <c r="S213" i="7"/>
  <c r="B212" i="7"/>
  <c r="L227" i="16"/>
  <c r="B17" i="16" l="1"/>
  <c r="C17" i="16"/>
  <c r="D17" i="16"/>
  <c r="E17" i="16"/>
  <c r="F17" i="16"/>
  <c r="G17" i="16"/>
  <c r="H17" i="16"/>
  <c r="I17" i="16"/>
  <c r="J17" i="16"/>
  <c r="K17" i="16"/>
  <c r="L17" i="16"/>
  <c r="B32" i="16"/>
  <c r="C32" i="16"/>
  <c r="D32" i="16"/>
  <c r="E32" i="16"/>
  <c r="F32" i="16"/>
  <c r="G32" i="16"/>
  <c r="H32" i="16"/>
  <c r="I32" i="16"/>
  <c r="J32" i="16"/>
  <c r="K32" i="16"/>
  <c r="L32" i="16"/>
  <c r="B47" i="16"/>
  <c r="C47" i="16"/>
  <c r="D47" i="16"/>
  <c r="E47" i="16"/>
  <c r="F47" i="16"/>
  <c r="G47" i="16"/>
  <c r="H47" i="16"/>
  <c r="I47" i="16"/>
  <c r="J47" i="16"/>
  <c r="K47" i="16"/>
  <c r="L47" i="16"/>
  <c r="B62" i="16"/>
  <c r="C62" i="16"/>
  <c r="D62" i="16"/>
  <c r="E62" i="16"/>
  <c r="F62" i="16"/>
  <c r="G62" i="16"/>
  <c r="H62" i="16"/>
  <c r="I62" i="16"/>
  <c r="J62" i="16"/>
  <c r="K62" i="16"/>
  <c r="L62" i="16"/>
  <c r="B77" i="16"/>
  <c r="C77" i="16"/>
  <c r="D77" i="16"/>
  <c r="E77" i="16"/>
  <c r="F77" i="16"/>
  <c r="G77" i="16"/>
  <c r="H77" i="16"/>
  <c r="I77" i="16"/>
  <c r="J77" i="16"/>
  <c r="K77" i="16"/>
  <c r="L77" i="16"/>
  <c r="B92" i="16"/>
  <c r="C92" i="16"/>
  <c r="D92" i="16"/>
  <c r="E92" i="16"/>
  <c r="F92" i="16"/>
  <c r="G92" i="16"/>
  <c r="H92" i="16"/>
  <c r="I92" i="16"/>
  <c r="J92" i="16"/>
  <c r="K92" i="16"/>
  <c r="L92" i="16"/>
  <c r="B107" i="16"/>
  <c r="C107" i="16"/>
  <c r="D107" i="16"/>
  <c r="E107" i="16"/>
  <c r="F107" i="16"/>
  <c r="G107" i="16"/>
  <c r="H107" i="16"/>
  <c r="I107" i="16"/>
  <c r="J107" i="16"/>
  <c r="K107" i="16"/>
  <c r="L107" i="16"/>
  <c r="B122" i="16"/>
  <c r="C122" i="16"/>
  <c r="D122" i="16"/>
  <c r="E122" i="16"/>
  <c r="F122" i="16"/>
  <c r="G122" i="16"/>
  <c r="H122" i="16"/>
  <c r="I122" i="16"/>
  <c r="J122" i="16"/>
  <c r="K122" i="16"/>
  <c r="L122" i="16"/>
  <c r="B137" i="16"/>
  <c r="C137" i="16"/>
  <c r="D137" i="16"/>
  <c r="E137" i="16"/>
  <c r="F137" i="16"/>
  <c r="G137" i="16"/>
  <c r="H137" i="16"/>
  <c r="I137" i="16"/>
  <c r="J137" i="16"/>
  <c r="K137" i="16"/>
  <c r="L137" i="16"/>
  <c r="B152" i="16"/>
  <c r="C152" i="16"/>
  <c r="D152" i="16"/>
  <c r="E152" i="16"/>
  <c r="F152" i="16"/>
  <c r="G152" i="16"/>
  <c r="H152" i="16"/>
  <c r="I152" i="16"/>
  <c r="J152" i="16"/>
  <c r="K152" i="16"/>
  <c r="L152" i="16"/>
  <c r="B167" i="16"/>
  <c r="C167" i="16"/>
  <c r="D167" i="16"/>
  <c r="E167" i="16"/>
  <c r="F167" i="16"/>
  <c r="G167" i="16"/>
  <c r="H167" i="16"/>
  <c r="I167" i="16"/>
  <c r="J167" i="16"/>
  <c r="K167" i="16"/>
  <c r="L167" i="16"/>
  <c r="B182" i="16"/>
  <c r="C182" i="16"/>
  <c r="D182" i="16"/>
  <c r="E182" i="16"/>
  <c r="F182" i="16"/>
  <c r="G182" i="16"/>
  <c r="H182" i="16"/>
  <c r="I182" i="16"/>
  <c r="J182" i="16"/>
  <c r="K182" i="16"/>
  <c r="L182" i="16"/>
  <c r="B197" i="16"/>
  <c r="C197" i="16"/>
  <c r="D197" i="16"/>
  <c r="E197" i="16"/>
  <c r="F197" i="16"/>
  <c r="G197" i="16"/>
  <c r="H197" i="16"/>
  <c r="I197" i="16"/>
  <c r="J197" i="16"/>
  <c r="K197" i="16"/>
  <c r="L197" i="16"/>
  <c r="B212" i="16"/>
  <c r="C212" i="16"/>
  <c r="D212" i="16"/>
  <c r="E212" i="16"/>
  <c r="F212" i="16"/>
  <c r="G212" i="16"/>
  <c r="H212" i="16"/>
  <c r="I212" i="16"/>
  <c r="J212" i="16"/>
  <c r="K212" i="16"/>
  <c r="L212" i="16"/>
  <c r="B227" i="16"/>
  <c r="C227" i="16"/>
  <c r="D227" i="16"/>
  <c r="E227" i="16"/>
  <c r="F227" i="16"/>
  <c r="G227" i="16"/>
  <c r="H227" i="16"/>
  <c r="I227" i="16"/>
  <c r="J227" i="16"/>
  <c r="K227" i="16"/>
  <c r="B242" i="16"/>
  <c r="C242" i="16"/>
  <c r="D242" i="16"/>
  <c r="E242" i="16"/>
  <c r="F242" i="16"/>
  <c r="G242" i="16"/>
  <c r="H242" i="16"/>
  <c r="I242" i="16"/>
  <c r="J242" i="16"/>
  <c r="K242" i="16"/>
  <c r="L242" i="16"/>
  <c r="B257" i="16"/>
  <c r="C257" i="16"/>
  <c r="D257" i="16"/>
  <c r="E257" i="16"/>
  <c r="F257" i="16"/>
  <c r="G257" i="16"/>
  <c r="H257" i="16"/>
  <c r="I257" i="16"/>
  <c r="J257" i="16"/>
  <c r="K257" i="16"/>
  <c r="L257" i="16"/>
  <c r="B272" i="16"/>
  <c r="C272" i="16"/>
  <c r="D272" i="16"/>
  <c r="E272" i="16"/>
  <c r="F272" i="16"/>
  <c r="G272" i="16"/>
  <c r="H272" i="16"/>
  <c r="I272" i="16"/>
  <c r="J272" i="16"/>
  <c r="K272" i="16"/>
  <c r="L272" i="16"/>
  <c r="B287" i="16"/>
  <c r="C287" i="16"/>
  <c r="D287" i="16"/>
  <c r="E287" i="16"/>
  <c r="F287" i="16"/>
  <c r="G287" i="16"/>
  <c r="H287" i="16"/>
  <c r="I287" i="16"/>
  <c r="J287" i="16"/>
  <c r="K287" i="16"/>
  <c r="L287" i="16"/>
  <c r="B302" i="16"/>
  <c r="C302" i="16"/>
  <c r="D302" i="16"/>
  <c r="E302" i="16"/>
  <c r="F302" i="16"/>
  <c r="G302" i="16"/>
  <c r="H302" i="16"/>
  <c r="I302" i="16"/>
  <c r="J302" i="16"/>
  <c r="K302" i="16"/>
  <c r="L302" i="16"/>
  <c r="B317" i="16"/>
  <c r="C317" i="16"/>
  <c r="D317" i="16"/>
  <c r="E317" i="16"/>
  <c r="F317" i="16"/>
  <c r="G317" i="16"/>
  <c r="H317" i="16"/>
  <c r="I317" i="16"/>
  <c r="J317" i="16"/>
  <c r="K317" i="16"/>
  <c r="L317" i="16"/>
  <c r="B332" i="16"/>
  <c r="C332" i="16"/>
  <c r="D332" i="16"/>
  <c r="E332" i="16"/>
  <c r="F332" i="16"/>
  <c r="G332" i="16"/>
  <c r="H332" i="16"/>
  <c r="I332" i="16"/>
  <c r="J332" i="16"/>
  <c r="K332" i="16"/>
  <c r="L332" i="16"/>
  <c r="B347" i="16"/>
  <c r="C347" i="16"/>
  <c r="D347" i="16"/>
  <c r="E347" i="16"/>
  <c r="F347" i="16"/>
  <c r="G347" i="16"/>
  <c r="H347" i="16"/>
  <c r="I347" i="16"/>
  <c r="J347" i="16"/>
  <c r="K347" i="16"/>
  <c r="L347" i="16"/>
  <c r="B362" i="16"/>
  <c r="C362" i="16"/>
  <c r="D362" i="16"/>
  <c r="E362" i="16"/>
  <c r="F362" i="16"/>
  <c r="G362" i="16"/>
  <c r="H362" i="16"/>
  <c r="I362" i="16"/>
  <c r="J362" i="16"/>
  <c r="K362" i="16"/>
  <c r="L362" i="16"/>
  <c r="B377" i="16"/>
  <c r="C377" i="16"/>
  <c r="D377" i="16"/>
  <c r="E377" i="16"/>
  <c r="F377" i="16"/>
  <c r="G377" i="16"/>
  <c r="H377" i="16"/>
  <c r="I377" i="16"/>
  <c r="J377" i="16"/>
  <c r="K377" i="16"/>
  <c r="L377" i="16"/>
  <c r="B392" i="16"/>
  <c r="C392" i="16"/>
  <c r="D392" i="16"/>
  <c r="E392" i="16"/>
  <c r="F392" i="16"/>
  <c r="G392" i="16"/>
  <c r="H392" i="16"/>
  <c r="I392" i="16"/>
  <c r="J392" i="16"/>
  <c r="K392" i="16"/>
  <c r="L392" i="16"/>
  <c r="B407" i="16"/>
  <c r="C407" i="16"/>
  <c r="D407" i="16"/>
  <c r="E407" i="16"/>
  <c r="F407" i="16"/>
  <c r="G407" i="16"/>
  <c r="H407" i="16"/>
  <c r="I407" i="16"/>
  <c r="J407" i="16"/>
  <c r="K407" i="16"/>
  <c r="L407" i="16"/>
  <c r="B422" i="16"/>
  <c r="C422" i="16"/>
  <c r="D422" i="16"/>
  <c r="E422" i="16"/>
  <c r="F422" i="16"/>
  <c r="G422" i="16"/>
  <c r="H422" i="16"/>
  <c r="I422" i="16"/>
  <c r="J422" i="16"/>
  <c r="K422" i="16"/>
  <c r="L422" i="16"/>
  <c r="B437" i="16"/>
  <c r="C437" i="16"/>
  <c r="D437" i="16"/>
  <c r="E437" i="16"/>
  <c r="F437" i="16"/>
  <c r="G437" i="16"/>
  <c r="H437" i="16"/>
  <c r="I437" i="16"/>
  <c r="J437" i="16"/>
  <c r="K437" i="16"/>
  <c r="L437" i="16"/>
  <c r="B452" i="16"/>
  <c r="C452" i="16"/>
  <c r="D452" i="16"/>
  <c r="E452" i="16"/>
  <c r="F452" i="16"/>
  <c r="G452" i="16"/>
  <c r="H452" i="16"/>
  <c r="I452" i="16"/>
  <c r="J452" i="16"/>
  <c r="K452" i="16"/>
  <c r="L452" i="16"/>
  <c r="B467" i="16"/>
  <c r="C467" i="16"/>
  <c r="D467" i="16"/>
  <c r="E467" i="16"/>
  <c r="F467" i="16"/>
  <c r="G467" i="16"/>
  <c r="H467" i="16"/>
  <c r="I467" i="16"/>
  <c r="J467" i="16"/>
  <c r="K467" i="16"/>
  <c r="L467" i="16"/>
  <c r="B482" i="16"/>
  <c r="C482" i="16"/>
  <c r="D482" i="16"/>
  <c r="E482" i="16"/>
  <c r="F482" i="16"/>
  <c r="G482" i="16"/>
  <c r="H482" i="16"/>
  <c r="I482" i="16"/>
  <c r="J482" i="16"/>
  <c r="K482" i="16"/>
  <c r="L482" i="16"/>
  <c r="B497" i="16"/>
  <c r="C497" i="16"/>
  <c r="D497" i="16"/>
  <c r="E497" i="16"/>
  <c r="F497" i="16"/>
  <c r="G497" i="16"/>
  <c r="H497" i="16"/>
  <c r="I497" i="16"/>
  <c r="J497" i="16"/>
  <c r="K497" i="16"/>
  <c r="L497" i="16"/>
  <c r="B512" i="16"/>
  <c r="C512" i="16"/>
  <c r="D512" i="16"/>
  <c r="E512" i="16"/>
  <c r="F512" i="16"/>
  <c r="G512" i="16"/>
  <c r="H512" i="16"/>
  <c r="I512" i="16"/>
  <c r="J512" i="16"/>
  <c r="K512" i="16"/>
  <c r="L512" i="16"/>
  <c r="B527" i="16"/>
  <c r="C527" i="16"/>
  <c r="D527" i="16"/>
  <c r="E527" i="16"/>
  <c r="F527" i="16"/>
  <c r="G527" i="16"/>
  <c r="H527" i="16"/>
  <c r="I527" i="16"/>
  <c r="J527" i="16"/>
  <c r="K527" i="16"/>
  <c r="L527" i="16"/>
  <c r="B542" i="16"/>
  <c r="C542" i="16"/>
  <c r="D542" i="16"/>
  <c r="E542" i="16"/>
  <c r="F542" i="16"/>
  <c r="G542" i="16"/>
  <c r="H542" i="16"/>
  <c r="I542" i="16"/>
  <c r="J542" i="16"/>
  <c r="K542" i="16"/>
  <c r="L542" i="16"/>
  <c r="B557" i="16"/>
  <c r="C557" i="16"/>
  <c r="D557" i="16"/>
  <c r="E557" i="16"/>
  <c r="F557" i="16"/>
  <c r="G557" i="16"/>
  <c r="H557" i="16"/>
  <c r="I557" i="16"/>
  <c r="J557" i="16"/>
  <c r="K557" i="16"/>
  <c r="L557" i="16"/>
  <c r="B572" i="16"/>
  <c r="C572" i="16"/>
  <c r="D572" i="16"/>
  <c r="E572" i="16"/>
  <c r="F572" i="16"/>
  <c r="G572" i="16"/>
  <c r="H572" i="16"/>
  <c r="I572" i="16"/>
  <c r="J572" i="16"/>
  <c r="K572" i="16"/>
  <c r="L572" i="16"/>
  <c r="B587" i="16"/>
  <c r="C587" i="16"/>
  <c r="D587" i="16"/>
  <c r="E587" i="16"/>
  <c r="F587" i="16"/>
  <c r="G587" i="16"/>
  <c r="H587" i="16"/>
  <c r="I587" i="16"/>
  <c r="J587" i="16"/>
  <c r="K587" i="16"/>
  <c r="L587" i="16"/>
  <c r="B602" i="16"/>
  <c r="C602" i="16"/>
  <c r="D602" i="16"/>
  <c r="E602" i="16"/>
  <c r="F602" i="16"/>
  <c r="G602" i="16"/>
  <c r="H602" i="16"/>
  <c r="I602" i="16"/>
  <c r="J602" i="16"/>
  <c r="K602" i="16"/>
  <c r="L602" i="16"/>
  <c r="B617" i="16"/>
  <c r="C617" i="16"/>
  <c r="D617" i="16"/>
  <c r="E617" i="16"/>
  <c r="F617" i="16"/>
  <c r="G617" i="16"/>
  <c r="H617" i="16"/>
  <c r="I617" i="16"/>
  <c r="J617" i="16"/>
  <c r="K617" i="16"/>
  <c r="L617" i="16"/>
  <c r="B632" i="16"/>
  <c r="C632" i="16"/>
  <c r="D632" i="16"/>
  <c r="E632" i="16"/>
  <c r="F632" i="16"/>
  <c r="G632" i="16"/>
  <c r="H632" i="16"/>
  <c r="I632" i="16"/>
  <c r="J632" i="16"/>
  <c r="K632" i="16"/>
  <c r="L632" i="16"/>
  <c r="B647" i="16"/>
  <c r="C647" i="16"/>
  <c r="D647" i="16"/>
  <c r="E647" i="16"/>
  <c r="F647" i="16"/>
  <c r="G647" i="16"/>
  <c r="H647" i="16"/>
  <c r="I647" i="16"/>
  <c r="J647" i="16"/>
  <c r="K647" i="16"/>
  <c r="L647" i="16"/>
  <c r="B662" i="16"/>
  <c r="C662" i="16"/>
  <c r="D662" i="16"/>
  <c r="E662" i="16"/>
  <c r="F662" i="16"/>
  <c r="G662" i="16"/>
  <c r="H662" i="16"/>
  <c r="I662" i="16"/>
  <c r="J662" i="16"/>
  <c r="K662" i="16"/>
  <c r="L662" i="16"/>
  <c r="B677" i="16"/>
  <c r="C677" i="16"/>
  <c r="D677" i="16"/>
  <c r="E677" i="16"/>
  <c r="F677" i="16"/>
  <c r="G677" i="16"/>
  <c r="H677" i="16"/>
  <c r="I677" i="16"/>
  <c r="J677" i="16"/>
  <c r="K677" i="16"/>
  <c r="L677" i="16"/>
  <c r="B692" i="16"/>
  <c r="C692" i="16"/>
  <c r="D692" i="16"/>
  <c r="E692" i="16"/>
  <c r="F692" i="16"/>
  <c r="G692" i="16"/>
  <c r="H692" i="16"/>
  <c r="I692" i="16"/>
  <c r="J692" i="16"/>
  <c r="K692" i="16"/>
  <c r="L692" i="16"/>
  <c r="B707" i="16"/>
  <c r="C707" i="16"/>
  <c r="D707" i="16"/>
  <c r="E707" i="16"/>
  <c r="F707" i="16"/>
  <c r="G707" i="16"/>
  <c r="H707" i="16"/>
  <c r="I707" i="16"/>
  <c r="J707" i="16"/>
  <c r="K707" i="16"/>
  <c r="L707" i="16"/>
  <c r="B722" i="16"/>
  <c r="C722" i="16"/>
  <c r="D722" i="16"/>
  <c r="E722" i="16"/>
  <c r="F722" i="16"/>
  <c r="G722" i="16"/>
  <c r="H722" i="16"/>
  <c r="I722" i="16"/>
  <c r="J722" i="16"/>
  <c r="K722" i="16"/>
  <c r="L722" i="16"/>
  <c r="B737" i="16"/>
  <c r="C737" i="16"/>
  <c r="D737" i="16"/>
  <c r="E737" i="16"/>
  <c r="F737" i="16"/>
  <c r="G737" i="16"/>
  <c r="H737" i="16"/>
  <c r="I737" i="16"/>
  <c r="J737" i="16"/>
  <c r="K737" i="16"/>
  <c r="L737" i="16"/>
  <c r="B752" i="16"/>
  <c r="C752" i="16"/>
  <c r="D752" i="16"/>
  <c r="E752" i="16"/>
  <c r="F752" i="16"/>
  <c r="G752" i="16"/>
  <c r="H752" i="16"/>
  <c r="I752" i="16"/>
  <c r="J752" i="16"/>
  <c r="K752" i="16"/>
  <c r="L752" i="16"/>
  <c r="B767" i="16"/>
  <c r="C767" i="16"/>
  <c r="D767" i="16"/>
  <c r="E767" i="16"/>
  <c r="F767" i="16"/>
  <c r="G767" i="16"/>
  <c r="H767" i="16"/>
  <c r="I767" i="16"/>
  <c r="J767" i="16"/>
  <c r="K767" i="16"/>
  <c r="L767" i="16"/>
  <c r="B782" i="16"/>
  <c r="C782" i="16"/>
  <c r="D782" i="16"/>
  <c r="E782" i="16"/>
  <c r="F782" i="16"/>
  <c r="G782" i="16"/>
  <c r="H782" i="16"/>
  <c r="I782" i="16"/>
  <c r="J782" i="16"/>
  <c r="K782" i="16"/>
  <c r="L782" i="16"/>
  <c r="B783" i="16"/>
  <c r="C783" i="16"/>
  <c r="D783" i="16"/>
  <c r="E783" i="16"/>
  <c r="F783" i="16"/>
  <c r="G783" i="16"/>
  <c r="H783" i="16"/>
  <c r="I783" i="16"/>
  <c r="J783" i="16"/>
  <c r="K783" i="16"/>
  <c r="L783" i="16"/>
  <c r="B784" i="16"/>
  <c r="C784" i="16"/>
  <c r="D784" i="16"/>
  <c r="E784" i="16"/>
  <c r="F784" i="16"/>
  <c r="G784" i="16"/>
  <c r="H784" i="16"/>
  <c r="I784" i="16"/>
  <c r="J784" i="16"/>
  <c r="K784" i="16"/>
  <c r="L784" i="16"/>
  <c r="B1" i="16"/>
  <c r="C1" i="16"/>
  <c r="D1" i="16"/>
  <c r="E1" i="16"/>
  <c r="F1" i="16"/>
  <c r="G1" i="16"/>
  <c r="H1" i="16"/>
  <c r="I1" i="16"/>
  <c r="J1" i="16"/>
  <c r="K1" i="16"/>
  <c r="L1" i="16"/>
  <c r="B2" i="16"/>
  <c r="C2" i="16"/>
  <c r="D2" i="16"/>
  <c r="E2" i="16"/>
  <c r="F2" i="16"/>
  <c r="G2" i="16"/>
  <c r="H2" i="16"/>
  <c r="I2" i="16"/>
  <c r="J2" i="16"/>
  <c r="K2" i="16"/>
  <c r="L2" i="16"/>
  <c r="R208" i="7" l="1"/>
  <c r="P208" i="7"/>
  <c r="N208" i="7"/>
  <c r="L208" i="7"/>
  <c r="J208" i="7"/>
  <c r="H208" i="7"/>
  <c r="F207" i="7"/>
  <c r="D207" i="7"/>
  <c r="S207" i="7" l="1"/>
  <c r="B206" i="7"/>
  <c r="S208" i="7"/>
  <c r="J21" i="9"/>
  <c r="J23" i="9"/>
  <c r="Q40" i="3" l="1"/>
  <c r="Q41" i="3"/>
  <c r="Q42" i="3"/>
  <c r="C24" i="9" l="1"/>
  <c r="F24" i="9" s="1"/>
  <c r="Q39" i="3" l="1"/>
  <c r="I24" i="9" l="1"/>
  <c r="K24" i="9" s="1"/>
  <c r="A49" i="3"/>
  <c r="A50" i="3"/>
  <c r="A51" i="3"/>
  <c r="A52" i="3"/>
  <c r="A53" i="3"/>
  <c r="A54" i="3"/>
  <c r="O132" i="4" l="1"/>
  <c r="N132" i="4"/>
  <c r="O131" i="4"/>
  <c r="N131" i="4"/>
  <c r="P131" i="4" l="1"/>
  <c r="P132" i="4"/>
  <c r="C51" i="5"/>
  <c r="C52" i="5"/>
  <c r="C53" i="5"/>
  <c r="C54" i="5"/>
  <c r="C55" i="5"/>
  <c r="C56" i="5"/>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D51" i="6"/>
  <c r="R51" i="5" s="1"/>
  <c r="E51" i="6"/>
  <c r="T51" i="5" s="1"/>
  <c r="F51" i="6"/>
  <c r="W51" i="5" s="1"/>
  <c r="C52" i="6"/>
  <c r="D52" i="6"/>
  <c r="R52" i="5" s="1"/>
  <c r="E52" i="6"/>
  <c r="T52" i="5" s="1"/>
  <c r="F52" i="6"/>
  <c r="W52" i="5" s="1"/>
  <c r="C53" i="6"/>
  <c r="D53" i="6"/>
  <c r="R53" i="5" s="1"/>
  <c r="E53" i="6"/>
  <c r="T53" i="5" s="1"/>
  <c r="F53" i="6"/>
  <c r="W53" i="5" s="1"/>
  <c r="C54" i="6"/>
  <c r="D54" i="6"/>
  <c r="R54" i="5" s="1"/>
  <c r="E54" i="6"/>
  <c r="T54" i="5" s="1"/>
  <c r="F54" i="6"/>
  <c r="W54" i="5" s="1"/>
  <c r="C55" i="6"/>
  <c r="D55" i="6"/>
  <c r="R55" i="5" s="1"/>
  <c r="E55" i="6"/>
  <c r="T55" i="5" s="1"/>
  <c r="F55" i="6"/>
  <c r="W55" i="5" s="1"/>
  <c r="C56" i="6"/>
  <c r="D56" i="6"/>
  <c r="R56" i="5" s="1"/>
  <c r="E56" i="6"/>
  <c r="T56" i="5" s="1"/>
  <c r="F56" i="6"/>
  <c r="W56" i="5" s="1"/>
  <c r="C57" i="6"/>
  <c r="D57" i="6"/>
  <c r="R57" i="5" s="1"/>
  <c r="E57" i="6"/>
  <c r="T57" i="5" s="1"/>
  <c r="F57" i="6"/>
  <c r="W57" i="5" s="1"/>
  <c r="O46" i="4"/>
  <c r="N46" i="4"/>
  <c r="X52" i="5" l="1"/>
  <c r="X56" i="5"/>
  <c r="X53" i="5"/>
  <c r="X57" i="5"/>
  <c r="P46" i="4"/>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C50" i="5"/>
  <c r="B50" i="5"/>
  <c r="B50" i="6" s="1"/>
  <c r="A707" i="16" s="1"/>
  <c r="Q50" i="5" l="1"/>
  <c r="U50" i="5"/>
  <c r="O45" i="4"/>
  <c r="N45" i="4"/>
  <c r="P45" i="4" l="1"/>
  <c r="C49" i="6"/>
  <c r="D49" i="6"/>
  <c r="R49" i="5" s="1"/>
  <c r="E49" i="6"/>
  <c r="T49" i="5" s="1"/>
  <c r="F49" i="6"/>
  <c r="W49" i="5" s="1"/>
  <c r="B49" i="5"/>
  <c r="B49" i="6" s="1"/>
  <c r="A692" i="16" s="1"/>
  <c r="C49" i="5"/>
  <c r="D49" i="5"/>
  <c r="E49" i="5"/>
  <c r="F49" i="5"/>
  <c r="G49" i="5"/>
  <c r="P49" i="5" l="1"/>
  <c r="X49" i="5"/>
  <c r="S49" i="5"/>
  <c r="N49" i="5"/>
  <c r="M49" i="5"/>
  <c r="J49" i="5"/>
  <c r="K49" i="5"/>
  <c r="I49" i="5"/>
  <c r="U49" i="5"/>
  <c r="Q49" i="5"/>
  <c r="A56" i="6"/>
  <c r="B56" i="6"/>
  <c r="A783" i="16" s="1"/>
  <c r="A57" i="6"/>
  <c r="B57" i="6"/>
  <c r="A784" i="16" s="1"/>
  <c r="A186" i="4"/>
  <c r="B186" i="4"/>
  <c r="C186" i="4"/>
  <c r="F186" i="4"/>
  <c r="I186" i="4" s="1"/>
  <c r="G186" i="4"/>
  <c r="P186" i="4"/>
  <c r="A187" i="4"/>
  <c r="B187" i="4"/>
  <c r="C187" i="4"/>
  <c r="F187" i="4"/>
  <c r="I187" i="4" s="1"/>
  <c r="G187" i="4"/>
  <c r="P187" i="4"/>
  <c r="A188" i="4"/>
  <c r="B188" i="4"/>
  <c r="C188" i="4"/>
  <c r="F188" i="4"/>
  <c r="I188" i="4" s="1"/>
  <c r="G188" i="4"/>
  <c r="P188" i="4"/>
  <c r="A189" i="4"/>
  <c r="B189" i="4"/>
  <c r="C189" i="4"/>
  <c r="F189" i="4"/>
  <c r="I189" i="4" s="1"/>
  <c r="G189" i="4"/>
  <c r="P189" i="4"/>
  <c r="A190" i="4"/>
  <c r="B190" i="4"/>
  <c r="C190" i="4"/>
  <c r="F190" i="4"/>
  <c r="I190" i="4" s="1"/>
  <c r="G190" i="4"/>
  <c r="P190" i="4"/>
  <c r="A191" i="4"/>
  <c r="B191" i="4"/>
  <c r="C191" i="4"/>
  <c r="F191" i="4"/>
  <c r="I191" i="4" s="1"/>
  <c r="G191" i="4"/>
  <c r="P191" i="4"/>
  <c r="A192" i="4"/>
  <c r="B192" i="4"/>
  <c r="C192" i="4"/>
  <c r="F192" i="4"/>
  <c r="I192" i="4" s="1"/>
  <c r="G192" i="4"/>
  <c r="P192" i="4"/>
  <c r="V10" i="3"/>
  <c r="B55" i="5"/>
  <c r="B56" i="5"/>
  <c r="B57" i="5"/>
  <c r="B58" i="5"/>
  <c r="H192" i="4" l="1"/>
  <c r="H191" i="4"/>
  <c r="H190" i="4"/>
  <c r="H188" i="4"/>
  <c r="H189" i="4"/>
  <c r="H187" i="4"/>
  <c r="H186" i="4"/>
  <c r="O43" i="4"/>
  <c r="N43" i="4"/>
  <c r="P43" i="4" l="1"/>
  <c r="F46" i="6"/>
  <c r="F47" i="6"/>
  <c r="F48" i="6"/>
  <c r="E46" i="6"/>
  <c r="E47" i="6"/>
  <c r="E48" i="6"/>
  <c r="D47" i="6"/>
  <c r="D48" i="6"/>
  <c r="C48" i="6"/>
  <c r="D46" i="6"/>
  <c r="C46" i="6"/>
  <c r="C47" i="6"/>
  <c r="Q36" i="3"/>
  <c r="Q37" i="3"/>
  <c r="Q38" i="3"/>
  <c r="R202" i="7" l="1"/>
  <c r="P202" i="7"/>
  <c r="N202" i="7"/>
  <c r="L202" i="7"/>
  <c r="J202" i="7"/>
  <c r="H202" i="7"/>
  <c r="F201" i="7"/>
  <c r="D201" i="7"/>
  <c r="S201" i="7" l="1"/>
  <c r="S202" i="7"/>
  <c r="B200" i="7"/>
  <c r="O27" i="4"/>
  <c r="N27" i="4"/>
  <c r="U44" i="4"/>
  <c r="T44" i="4"/>
  <c r="M44" i="4"/>
  <c r="P27" i="4" l="1"/>
  <c r="O44" i="4"/>
  <c r="N44" i="4"/>
  <c r="P44"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C47" i="5"/>
  <c r="C48" i="5"/>
  <c r="B45" i="5"/>
  <c r="B45" i="6" s="1"/>
  <c r="A632" i="16" s="1"/>
  <c r="B44" i="5"/>
  <c r="B44" i="6" s="1"/>
  <c r="A617" i="16" s="1"/>
  <c r="A54" i="6"/>
  <c r="B54" i="6"/>
  <c r="A767" i="16" s="1"/>
  <c r="A55" i="6"/>
  <c r="B55" i="6"/>
  <c r="A782" i="16" s="1"/>
  <c r="U47" i="5" l="1"/>
  <c r="S48" i="5"/>
  <c r="S46" i="5"/>
  <c r="G45" i="5"/>
  <c r="K45" i="5" s="1"/>
  <c r="U48" i="5"/>
  <c r="X47" i="5"/>
  <c r="S47" i="5"/>
  <c r="U46" i="5"/>
  <c r="I46" i="5"/>
  <c r="Q47" i="5"/>
  <c r="J47" i="5"/>
  <c r="J46" i="5"/>
  <c r="Q46" i="5"/>
  <c r="X48" i="5"/>
  <c r="X46" i="5"/>
  <c r="K48" i="5"/>
  <c r="K44" i="5"/>
  <c r="I48" i="5"/>
  <c r="I47" i="5"/>
  <c r="K46" i="5"/>
  <c r="I44" i="5"/>
  <c r="K47" i="5"/>
  <c r="Q48" i="5"/>
  <c r="J48" i="5"/>
  <c r="O42" i="4"/>
  <c r="N42" i="4"/>
  <c r="P42" i="4" l="1"/>
  <c r="B53" i="5"/>
  <c r="B54" i="5"/>
  <c r="C43" i="5"/>
  <c r="D43" i="6"/>
  <c r="E43" i="6"/>
  <c r="F43" i="6"/>
  <c r="C43" i="6"/>
  <c r="Q35" i="3"/>
  <c r="O37" i="4" l="1"/>
  <c r="N37" i="4"/>
  <c r="P37" i="4" l="1"/>
  <c r="C21" i="9" s="1"/>
  <c r="F21" i="9" s="1"/>
  <c r="Q33" i="3"/>
  <c r="Q34" i="3"/>
  <c r="B51" i="5"/>
  <c r="B52" i="5"/>
  <c r="C42" i="5"/>
  <c r="C42" i="6"/>
  <c r="K21" i="9" l="1"/>
  <c r="I21" i="9"/>
  <c r="S36" i="4"/>
  <c r="O36" i="4" s="1"/>
  <c r="R36" i="4"/>
  <c r="N36" i="4" s="1"/>
  <c r="K36" i="4"/>
  <c r="P36" i="4" l="1"/>
  <c r="C41" i="5"/>
  <c r="D41" i="6"/>
  <c r="C41" i="6"/>
  <c r="O35" i="4"/>
  <c r="N35" i="4"/>
  <c r="P35" i="4" l="1"/>
  <c r="Q32" i="3"/>
  <c r="O26" i="4" l="1"/>
  <c r="N26" i="4"/>
  <c r="P26" i="4" l="1"/>
  <c r="O173" i="4"/>
  <c r="N173" i="4"/>
  <c r="O74" i="4"/>
  <c r="N74" i="4"/>
  <c r="P74" i="4" l="1"/>
  <c r="P173" i="4"/>
  <c r="O130" i="4"/>
  <c r="N130" i="4"/>
  <c r="P130" i="4" l="1"/>
  <c r="A51" i="6"/>
  <c r="B51" i="6"/>
  <c r="A722" i="16" s="1"/>
  <c r="A52" i="6"/>
  <c r="B52" i="6"/>
  <c r="A737" i="16" s="1"/>
  <c r="A53" i="6"/>
  <c r="B53" i="6"/>
  <c r="A752" i="16" s="1"/>
  <c r="C40" i="6"/>
  <c r="C40" i="5"/>
  <c r="O129" i="4" l="1"/>
  <c r="N129" i="4"/>
  <c r="P129" i="4" l="1"/>
  <c r="R196" i="7" l="1"/>
  <c r="P196" i="7"/>
  <c r="N196" i="7"/>
  <c r="L196" i="7"/>
  <c r="J196" i="7"/>
  <c r="H196" i="7"/>
  <c r="F195" i="7"/>
  <c r="D195" i="7"/>
  <c r="S195" i="7" s="1"/>
  <c r="O34" i="4"/>
  <c r="N34" i="4"/>
  <c r="O41" i="4"/>
  <c r="N41" i="4"/>
  <c r="P41" i="4" l="1"/>
  <c r="B194" i="7"/>
  <c r="P34" i="4"/>
  <c r="S196" i="7"/>
  <c r="O25" i="4"/>
  <c r="N25" i="4"/>
  <c r="P25" i="4" l="1"/>
  <c r="O21" i="4"/>
  <c r="N21" i="4"/>
  <c r="P21" i="4" l="1"/>
  <c r="O20" i="4"/>
  <c r="N20" i="4"/>
  <c r="O40" i="4"/>
  <c r="N40" i="4"/>
  <c r="P40" i="4" l="1"/>
  <c r="P20" i="4"/>
  <c r="A182" i="4"/>
  <c r="B182" i="4"/>
  <c r="C182" i="4"/>
  <c r="F182" i="4"/>
  <c r="I182" i="4" s="1"/>
  <c r="G182" i="4"/>
  <c r="P182" i="4"/>
  <c r="A183" i="4"/>
  <c r="B183" i="4"/>
  <c r="C183" i="4"/>
  <c r="F183" i="4"/>
  <c r="I183" i="4" s="1"/>
  <c r="G183" i="4"/>
  <c r="P183" i="4"/>
  <c r="A184" i="4"/>
  <c r="B184" i="4"/>
  <c r="C184" i="4"/>
  <c r="F184" i="4"/>
  <c r="I184" i="4" s="1"/>
  <c r="G184" i="4"/>
  <c r="P184" i="4"/>
  <c r="A185" i="4"/>
  <c r="B185" i="4"/>
  <c r="C185" i="4"/>
  <c r="F185" i="4"/>
  <c r="I185" i="4" s="1"/>
  <c r="G185" i="4"/>
  <c r="P185" i="4"/>
  <c r="H183" i="4" l="1"/>
  <c r="H182" i="4"/>
  <c r="H184" i="4"/>
  <c r="H185" i="4"/>
  <c r="B39" i="5"/>
  <c r="B39" i="6" s="1"/>
  <c r="A542" i="16" s="1"/>
  <c r="G39" i="5"/>
  <c r="F39" i="5"/>
  <c r="E39" i="5"/>
  <c r="D39" i="5"/>
  <c r="C39" i="5"/>
  <c r="F39" i="6"/>
  <c r="W39" i="5" s="1"/>
  <c r="E39" i="6"/>
  <c r="T39" i="5" s="1"/>
  <c r="D39" i="6"/>
  <c r="R39" i="5" s="1"/>
  <c r="C39" i="6"/>
  <c r="X39" i="5" l="1"/>
  <c r="U39" i="5"/>
  <c r="K39" i="5"/>
  <c r="J39" i="5"/>
  <c r="P39" i="5"/>
  <c r="N39" i="5"/>
  <c r="Q39" i="5"/>
  <c r="M39" i="5"/>
  <c r="I39" i="5"/>
  <c r="S39" i="5"/>
  <c r="O33" i="4"/>
  <c r="N33" i="4"/>
  <c r="P33" i="4" l="1"/>
  <c r="O32" i="4"/>
  <c r="N32" i="4"/>
  <c r="P32" i="4" l="1"/>
  <c r="S128" i="4"/>
  <c r="O128" i="4" s="1"/>
  <c r="R128" i="4"/>
  <c r="N128" i="4" s="1"/>
  <c r="K128" i="4"/>
  <c r="O160" i="4"/>
  <c r="N160" i="4"/>
  <c r="P128" i="4" l="1"/>
  <c r="P160" i="4"/>
  <c r="P190" i="7"/>
  <c r="R190" i="7"/>
  <c r="N190" i="7"/>
  <c r="L190" i="7"/>
  <c r="J190" i="7"/>
  <c r="H190" i="7"/>
  <c r="F189" i="7"/>
  <c r="D189" i="7"/>
  <c r="O96" i="4"/>
  <c r="N96" i="4"/>
  <c r="S190" i="7" l="1"/>
  <c r="B188" i="7"/>
  <c r="P96" i="4"/>
  <c r="S189" i="7"/>
  <c r="O24" i="4"/>
  <c r="N24" i="4"/>
  <c r="P24" i="4" l="1"/>
  <c r="O29" i="4"/>
  <c r="N29" i="4"/>
  <c r="P29" i="4" l="1"/>
  <c r="O31" i="4"/>
  <c r="N31" i="4"/>
  <c r="P31" i="4" l="1"/>
  <c r="A48" i="6"/>
  <c r="B48" i="6"/>
  <c r="A677" i="16" s="1"/>
  <c r="R184" i="7" l="1"/>
  <c r="N184" i="7"/>
  <c r="L184" i="7"/>
  <c r="J184" i="7"/>
  <c r="H184" i="7"/>
  <c r="F183" i="7"/>
  <c r="D183" i="7"/>
  <c r="E38" i="5"/>
  <c r="D38" i="5"/>
  <c r="F38" i="5"/>
  <c r="G38" i="5"/>
  <c r="O30" i="4"/>
  <c r="N30" i="4"/>
  <c r="F38" i="6"/>
  <c r="W38" i="5" s="1"/>
  <c r="E38" i="6"/>
  <c r="T38" i="5" s="1"/>
  <c r="D38" i="6"/>
  <c r="R38" i="5" s="1"/>
  <c r="C38" i="6"/>
  <c r="C38" i="5"/>
  <c r="B38" i="5"/>
  <c r="B38" i="6" s="1"/>
  <c r="A527" i="16" s="1"/>
  <c r="O95" i="4"/>
  <c r="N95" i="4"/>
  <c r="O19" i="4"/>
  <c r="N19" i="4"/>
  <c r="S184" i="7" l="1"/>
  <c r="P95" i="4"/>
  <c r="P30" i="4"/>
  <c r="P19" i="4"/>
  <c r="S183" i="7"/>
  <c r="B182" i="7"/>
  <c r="M38" i="5"/>
  <c r="N38" i="5"/>
  <c r="I38" i="5"/>
  <c r="J38" i="5"/>
  <c r="P38" i="5"/>
  <c r="K38" i="5"/>
  <c r="O28" i="4"/>
  <c r="N28" i="4"/>
  <c r="B37" i="5"/>
  <c r="B37" i="6" s="1"/>
  <c r="A512" i="16" s="1"/>
  <c r="G37" i="5"/>
  <c r="F37" i="5"/>
  <c r="E37" i="5"/>
  <c r="D37" i="5"/>
  <c r="C37" i="5"/>
  <c r="F37" i="6"/>
  <c r="W37" i="5" s="1"/>
  <c r="E37" i="6"/>
  <c r="T37" i="5" s="1"/>
  <c r="D37" i="6"/>
  <c r="R37" i="5" s="1"/>
  <c r="C37" i="6"/>
  <c r="P28" i="4" l="1"/>
  <c r="U37" i="5"/>
  <c r="N37" i="5"/>
  <c r="X37" i="5"/>
  <c r="K37" i="5"/>
  <c r="J37" i="5"/>
  <c r="P37" i="5"/>
  <c r="Q37" i="5"/>
  <c r="M37" i="5"/>
  <c r="I37" i="5"/>
  <c r="S37" i="5"/>
  <c r="O23" i="4"/>
  <c r="N23" i="4"/>
  <c r="P23" i="4" l="1"/>
  <c r="S127" i="4"/>
  <c r="O127" i="4" s="1"/>
  <c r="R127" i="4"/>
  <c r="N127" i="4" s="1"/>
  <c r="K127" i="4"/>
  <c r="P127" i="4" l="1"/>
  <c r="O87" i="4"/>
  <c r="N87" i="4"/>
  <c r="P87" i="4" l="1"/>
  <c r="B46" i="5"/>
  <c r="B47" i="5"/>
  <c r="B48" i="5"/>
  <c r="O94" i="4"/>
  <c r="N94" i="4"/>
  <c r="O93" i="4"/>
  <c r="N93" i="4"/>
  <c r="O18" i="4"/>
  <c r="N18" i="4"/>
  <c r="P18" i="4" l="1"/>
  <c r="P94" i="4"/>
  <c r="P93" i="4"/>
  <c r="M48" i="5"/>
  <c r="M46" i="5"/>
  <c r="N48" i="5"/>
  <c r="M47" i="5"/>
  <c r="N47" i="5"/>
  <c r="P46" i="5"/>
  <c r="P47" i="5"/>
  <c r="N46" i="5"/>
  <c r="P48" i="5"/>
  <c r="B43" i="5"/>
  <c r="D43" i="5"/>
  <c r="E43" i="5"/>
  <c r="F43" i="5"/>
  <c r="G43" i="5"/>
  <c r="R43" i="5"/>
  <c r="T43" i="5"/>
  <c r="W43" i="5"/>
  <c r="A178" i="4"/>
  <c r="B178" i="4"/>
  <c r="C178" i="4"/>
  <c r="F178" i="4"/>
  <c r="I178" i="4" s="1"/>
  <c r="G178" i="4"/>
  <c r="P178" i="4"/>
  <c r="A179" i="4"/>
  <c r="B179" i="4"/>
  <c r="C179" i="4"/>
  <c r="F179" i="4"/>
  <c r="I179" i="4" s="1"/>
  <c r="G179" i="4"/>
  <c r="P179" i="4"/>
  <c r="A180" i="4"/>
  <c r="B180" i="4"/>
  <c r="C180" i="4"/>
  <c r="F180" i="4"/>
  <c r="I180" i="4" s="1"/>
  <c r="G180" i="4"/>
  <c r="P180" i="4"/>
  <c r="A181" i="4"/>
  <c r="B181" i="4"/>
  <c r="C181" i="4"/>
  <c r="F181" i="4"/>
  <c r="I181" i="4" s="1"/>
  <c r="G181" i="4"/>
  <c r="P181" i="4"/>
  <c r="X43" i="5" l="1"/>
  <c r="S43" i="5"/>
  <c r="H179" i="4"/>
  <c r="H180" i="4"/>
  <c r="H181" i="4"/>
  <c r="H178" i="4"/>
  <c r="I43" i="5"/>
  <c r="P43" i="5"/>
  <c r="M43" i="5"/>
  <c r="N43" i="5"/>
  <c r="J43" i="5"/>
  <c r="K43" i="5"/>
  <c r="U43" i="5"/>
  <c r="Q43" i="5"/>
  <c r="R178" i="7"/>
  <c r="N178" i="7"/>
  <c r="L178" i="7"/>
  <c r="J178" i="7"/>
  <c r="H178" i="7"/>
  <c r="F177" i="7"/>
  <c r="D177" i="7"/>
  <c r="B176" i="7" l="1"/>
  <c r="S178" i="7"/>
  <c r="S177" i="7"/>
  <c r="O92" i="4"/>
  <c r="N92" i="4"/>
  <c r="O17" i="4"/>
  <c r="N17" i="4"/>
  <c r="O77" i="4"/>
  <c r="N77" i="4"/>
  <c r="P17" i="4" l="1"/>
  <c r="P77" i="4"/>
  <c r="P92"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E3" i="6"/>
  <c r="D3" i="6"/>
  <c r="F4" i="6"/>
  <c r="E4" i="6"/>
  <c r="T4" i="5" s="1"/>
  <c r="D4" i="6"/>
  <c r="R4" i="5" s="1"/>
  <c r="O86" i="4"/>
  <c r="N86" i="4"/>
  <c r="W3" i="5" l="1"/>
  <c r="R3" i="5"/>
  <c r="T3" i="5"/>
  <c r="F40" i="5"/>
  <c r="X38" i="5"/>
  <c r="T40" i="5"/>
  <c r="R40" i="5"/>
  <c r="S38" i="5"/>
  <c r="S30" i="5"/>
  <c r="S31" i="5"/>
  <c r="S15" i="5"/>
  <c r="T35" i="5"/>
  <c r="R35" i="5"/>
  <c r="F35" i="5"/>
  <c r="S14" i="5"/>
  <c r="P86"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O73" i="4"/>
  <c r="N73" i="4"/>
  <c r="O52" i="4"/>
  <c r="N52" i="4"/>
  <c r="Q3" i="5" l="1"/>
  <c r="S3" i="5"/>
  <c r="P52" i="4"/>
  <c r="Q40" i="5"/>
  <c r="S40" i="5"/>
  <c r="Q38" i="5"/>
  <c r="U38" i="5"/>
  <c r="Q35" i="5"/>
  <c r="S35" i="5"/>
  <c r="P73" i="4"/>
  <c r="B36" i="5"/>
  <c r="B36" i="6" s="1"/>
  <c r="A497" i="16" s="1"/>
  <c r="C36" i="5"/>
  <c r="C36" i="6"/>
  <c r="J36" i="5" l="1"/>
  <c r="N36" i="5"/>
  <c r="W36" i="5"/>
  <c r="O91" i="4"/>
  <c r="N91" i="4"/>
  <c r="P91" i="4" l="1"/>
  <c r="X36" i="5"/>
  <c r="U36" i="5"/>
  <c r="K36" i="5"/>
  <c r="P36" i="5"/>
  <c r="M36" i="5"/>
  <c r="I36" i="5"/>
  <c r="O16" i="4"/>
  <c r="N16" i="4"/>
  <c r="O22" i="4"/>
  <c r="N22" i="4"/>
  <c r="P16" i="4" l="1"/>
  <c r="P22" i="4"/>
  <c r="O125" i="4"/>
  <c r="N125" i="4"/>
  <c r="P125" i="4" l="1"/>
  <c r="U85" i="4"/>
  <c r="O85" i="4" s="1"/>
  <c r="T85" i="4"/>
  <c r="N85" i="4" s="1"/>
  <c r="M85" i="4"/>
  <c r="K85" i="4" l="1"/>
  <c r="P85" i="4" s="1"/>
  <c r="O13" i="4" l="1"/>
  <c r="N13" i="4"/>
  <c r="P13" i="4" l="1"/>
  <c r="O15" i="4"/>
  <c r="N15" i="4"/>
  <c r="P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A2" i="16" s="1"/>
  <c r="C3" i="6"/>
  <c r="C33" i="6"/>
  <c r="C34" i="6"/>
  <c r="C35" i="6"/>
  <c r="C32" i="6"/>
  <c r="C35" i="5"/>
  <c r="C34" i="5"/>
  <c r="C33" i="5"/>
  <c r="C32" i="5"/>
  <c r="B35" i="5"/>
  <c r="B35" i="6" s="1"/>
  <c r="A482" i="16" s="1"/>
  <c r="B34" i="5"/>
  <c r="B34" i="6" s="1"/>
  <c r="A467" i="16" s="1"/>
  <c r="B33" i="5"/>
  <c r="B33" i="6" s="1"/>
  <c r="A452" i="16" s="1"/>
  <c r="B32" i="5"/>
  <c r="B32" i="6" s="1"/>
  <c r="A437" i="1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R166" i="7"/>
  <c r="N166" i="7"/>
  <c r="L166" i="7"/>
  <c r="J166" i="7"/>
  <c r="H166" i="7"/>
  <c r="F165" i="7"/>
  <c r="D165" i="7"/>
  <c r="R160" i="7"/>
  <c r="N160" i="7"/>
  <c r="L160" i="7"/>
  <c r="J160" i="7"/>
  <c r="H160" i="7"/>
  <c r="F159" i="7"/>
  <c r="D159" i="7"/>
  <c r="R154" i="7"/>
  <c r="N154" i="7"/>
  <c r="L154" i="7"/>
  <c r="J154" i="7"/>
  <c r="H154" i="7"/>
  <c r="F153" i="7"/>
  <c r="D153" i="7"/>
  <c r="R148" i="7"/>
  <c r="N148" i="7"/>
  <c r="L148" i="7"/>
  <c r="J148" i="7"/>
  <c r="H148" i="7"/>
  <c r="F147" i="7"/>
  <c r="D147" i="7"/>
  <c r="R142" i="7"/>
  <c r="N142" i="7"/>
  <c r="L142" i="7"/>
  <c r="J142" i="7"/>
  <c r="H142" i="7"/>
  <c r="F141" i="7"/>
  <c r="D141" i="7"/>
  <c r="R136" i="7"/>
  <c r="N136" i="7"/>
  <c r="L136" i="7"/>
  <c r="J136" i="7"/>
  <c r="H136" i="7"/>
  <c r="F135" i="7"/>
  <c r="D135" i="7"/>
  <c r="R130" i="7"/>
  <c r="N130" i="7"/>
  <c r="L130" i="7"/>
  <c r="J130" i="7"/>
  <c r="H130" i="7"/>
  <c r="F129" i="7"/>
  <c r="D129" i="7"/>
  <c r="R124" i="7"/>
  <c r="N124" i="7"/>
  <c r="L124" i="7"/>
  <c r="J124" i="7"/>
  <c r="H124" i="7"/>
  <c r="F123" i="7"/>
  <c r="D123" i="7"/>
  <c r="R118" i="7"/>
  <c r="N118" i="7"/>
  <c r="L118" i="7"/>
  <c r="J118" i="7"/>
  <c r="H118" i="7"/>
  <c r="F117" i="7"/>
  <c r="D117" i="7"/>
  <c r="S117" i="7" s="1"/>
  <c r="R112" i="7"/>
  <c r="N112" i="7"/>
  <c r="L112" i="7"/>
  <c r="J112" i="7"/>
  <c r="H112" i="7"/>
  <c r="F111" i="7"/>
  <c r="D111" i="7"/>
  <c r="N106" i="7"/>
  <c r="L106" i="7"/>
  <c r="J106" i="7"/>
  <c r="H106" i="7"/>
  <c r="F105" i="7"/>
  <c r="D105" i="7"/>
  <c r="N100" i="7"/>
  <c r="L100" i="7"/>
  <c r="J100" i="7"/>
  <c r="H100" i="7"/>
  <c r="F99" i="7"/>
  <c r="D99" i="7"/>
  <c r="N94" i="7"/>
  <c r="L94" i="7"/>
  <c r="J94" i="7"/>
  <c r="H94" i="7"/>
  <c r="F93" i="7"/>
  <c r="S93" i="7" s="1"/>
  <c r="D93" i="7"/>
  <c r="N88" i="7"/>
  <c r="L88" i="7"/>
  <c r="J88" i="7"/>
  <c r="H88" i="7"/>
  <c r="F87" i="7"/>
  <c r="D87" i="7"/>
  <c r="N82" i="7"/>
  <c r="L82" i="7"/>
  <c r="J82" i="7"/>
  <c r="H82" i="7"/>
  <c r="F81" i="7"/>
  <c r="D81" i="7"/>
  <c r="N76" i="7"/>
  <c r="L76" i="7"/>
  <c r="J76" i="7"/>
  <c r="H76" i="7"/>
  <c r="F75" i="7"/>
  <c r="D75" i="7"/>
  <c r="N70" i="7"/>
  <c r="L70" i="7"/>
  <c r="J70" i="7"/>
  <c r="H70" i="7"/>
  <c r="F69" i="7"/>
  <c r="D69" i="7"/>
  <c r="N64" i="7"/>
  <c r="L64" i="7"/>
  <c r="J64" i="7"/>
  <c r="H64" i="7"/>
  <c r="F63" i="7"/>
  <c r="D63" i="7"/>
  <c r="N58" i="7"/>
  <c r="L58" i="7"/>
  <c r="J58" i="7"/>
  <c r="H58" i="7"/>
  <c r="F57" i="7"/>
  <c r="D57" i="7"/>
  <c r="N52" i="7"/>
  <c r="L52" i="7"/>
  <c r="J52" i="7"/>
  <c r="H52" i="7"/>
  <c r="F51" i="7"/>
  <c r="D51" i="7"/>
  <c r="B47" i="6"/>
  <c r="A662" i="16" s="1"/>
  <c r="A47" i="6"/>
  <c r="B46" i="6"/>
  <c r="A647" i="16" s="1"/>
  <c r="A46" i="6"/>
  <c r="B43" i="6"/>
  <c r="A602" i="16" s="1"/>
  <c r="A43" i="6"/>
  <c r="B42" i="6"/>
  <c r="A587" i="16" s="1"/>
  <c r="A42" i="6"/>
  <c r="B41" i="6"/>
  <c r="A572" i="16" s="1"/>
  <c r="A41" i="6"/>
  <c r="B40" i="6"/>
  <c r="A557" i="16" s="1"/>
  <c r="A40" i="6"/>
  <c r="B31" i="6"/>
  <c r="A422" i="16" s="1"/>
  <c r="A31" i="6"/>
  <c r="B30" i="6"/>
  <c r="A407" i="16" s="1"/>
  <c r="A30" i="6"/>
  <c r="B29" i="6"/>
  <c r="A392" i="16" s="1"/>
  <c r="A29" i="6"/>
  <c r="B28" i="6"/>
  <c r="A377" i="16" s="1"/>
  <c r="A28" i="6"/>
  <c r="B27" i="6"/>
  <c r="A362" i="16" s="1"/>
  <c r="A27" i="6"/>
  <c r="B26" i="6"/>
  <c r="A347" i="16" s="1"/>
  <c r="A26" i="6"/>
  <c r="B25" i="6"/>
  <c r="A332" i="16" s="1"/>
  <c r="A25" i="6"/>
  <c r="B24" i="6"/>
  <c r="A317" i="16" s="1"/>
  <c r="A24" i="6"/>
  <c r="B23" i="6"/>
  <c r="A302" i="16" s="1"/>
  <c r="A23" i="6"/>
  <c r="B22" i="6"/>
  <c r="A287" i="16" s="1"/>
  <c r="A22" i="6"/>
  <c r="B21" i="6"/>
  <c r="A272" i="16" s="1"/>
  <c r="A21" i="6"/>
  <c r="B20" i="6"/>
  <c r="A257" i="16" s="1"/>
  <c r="A20" i="6"/>
  <c r="B19" i="6"/>
  <c r="A242" i="16" s="1"/>
  <c r="A19" i="6"/>
  <c r="B18" i="6"/>
  <c r="A227" i="16" s="1"/>
  <c r="A18" i="6"/>
  <c r="B17" i="6"/>
  <c r="A212" i="16" s="1"/>
  <c r="A17" i="6"/>
  <c r="B16" i="6"/>
  <c r="A197" i="16" s="1"/>
  <c r="A16" i="6"/>
  <c r="B15" i="6"/>
  <c r="A182" i="16" s="1"/>
  <c r="A15" i="6"/>
  <c r="B14" i="6"/>
  <c r="A167" i="16" s="1"/>
  <c r="A14" i="6"/>
  <c r="B13" i="6"/>
  <c r="A152" i="16" s="1"/>
  <c r="A13" i="6"/>
  <c r="B12" i="6"/>
  <c r="A137" i="16" s="1"/>
  <c r="A12" i="6"/>
  <c r="B11" i="6"/>
  <c r="A122" i="16" s="1"/>
  <c r="A11" i="6"/>
  <c r="B10" i="6"/>
  <c r="A107" i="16" s="1"/>
  <c r="A10" i="6"/>
  <c r="B9" i="6"/>
  <c r="A92" i="16" s="1"/>
  <c r="A9" i="6"/>
  <c r="B8" i="6"/>
  <c r="A77" i="16" s="1"/>
  <c r="A8" i="6"/>
  <c r="B7" i="6"/>
  <c r="A62" i="16" s="1"/>
  <c r="A7" i="6"/>
  <c r="B6" i="6"/>
  <c r="A47" i="16" s="1"/>
  <c r="A6" i="6"/>
  <c r="B5" i="6"/>
  <c r="A32" i="16" s="1"/>
  <c r="A5" i="6"/>
  <c r="B4" i="6"/>
  <c r="A17" i="16" s="1"/>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P177" i="4"/>
  <c r="G177" i="4"/>
  <c r="F177" i="4"/>
  <c r="I177" i="4" s="1"/>
  <c r="C177" i="4"/>
  <c r="B177" i="4"/>
  <c r="A177" i="4"/>
  <c r="P176" i="4"/>
  <c r="G176" i="4"/>
  <c r="F176" i="4"/>
  <c r="I176" i="4" s="1"/>
  <c r="C176" i="4"/>
  <c r="B176" i="4"/>
  <c r="A176" i="4"/>
  <c r="P175" i="4"/>
  <c r="G175" i="4"/>
  <c r="F175" i="4"/>
  <c r="I175" i="4" s="1"/>
  <c r="C175" i="4"/>
  <c r="B175" i="4"/>
  <c r="A175" i="4"/>
  <c r="P174" i="4"/>
  <c r="G174" i="4"/>
  <c r="F174" i="4"/>
  <c r="I174" i="4" s="1"/>
  <c r="C174" i="4"/>
  <c r="B174" i="4"/>
  <c r="A174" i="4"/>
  <c r="G173" i="4"/>
  <c r="F173" i="4"/>
  <c r="I173" i="4" s="1"/>
  <c r="C173" i="4"/>
  <c r="B173" i="4"/>
  <c r="A173" i="4"/>
  <c r="O172" i="4"/>
  <c r="N172" i="4"/>
  <c r="O171" i="4"/>
  <c r="N171" i="4"/>
  <c r="O170" i="4"/>
  <c r="N170" i="4"/>
  <c r="O169" i="4"/>
  <c r="N169" i="4"/>
  <c r="O168" i="4"/>
  <c r="N168" i="4"/>
  <c r="S167" i="4"/>
  <c r="O167" i="4" s="1"/>
  <c r="R167" i="4"/>
  <c r="N167" i="4" s="1"/>
  <c r="K167" i="4"/>
  <c r="G167" i="4"/>
  <c r="F167" i="4"/>
  <c r="I167" i="4" s="1"/>
  <c r="C167" i="4"/>
  <c r="B167" i="4"/>
  <c r="A167" i="4"/>
  <c r="O166" i="4"/>
  <c r="N166" i="4"/>
  <c r="O165" i="4"/>
  <c r="N165" i="4"/>
  <c r="O164" i="4"/>
  <c r="N164" i="4"/>
  <c r="O163" i="4"/>
  <c r="N163" i="4"/>
  <c r="O162" i="4"/>
  <c r="N162" i="4"/>
  <c r="G162" i="4"/>
  <c r="F162" i="4"/>
  <c r="I162" i="4" s="1"/>
  <c r="C162" i="4"/>
  <c r="B162" i="4"/>
  <c r="A162" i="4"/>
  <c r="O161" i="4"/>
  <c r="N161" i="4"/>
  <c r="G161" i="4"/>
  <c r="F161" i="4"/>
  <c r="I161" i="4" s="1"/>
  <c r="C161" i="4"/>
  <c r="B161" i="4"/>
  <c r="A161" i="4"/>
  <c r="O159" i="4"/>
  <c r="N159" i="4"/>
  <c r="G159" i="4"/>
  <c r="F159" i="4"/>
  <c r="I159" i="4" s="1"/>
  <c r="C159" i="4"/>
  <c r="B159" i="4"/>
  <c r="A159" i="4"/>
  <c r="O158" i="4"/>
  <c r="N158" i="4"/>
  <c r="O157" i="4"/>
  <c r="N157" i="4"/>
  <c r="O156" i="4"/>
  <c r="N156" i="4"/>
  <c r="O155" i="4"/>
  <c r="N155" i="4"/>
  <c r="O154" i="4"/>
  <c r="N154" i="4"/>
  <c r="O153" i="4"/>
  <c r="N153" i="4"/>
  <c r="O152" i="4"/>
  <c r="N152" i="4"/>
  <c r="O151" i="4"/>
  <c r="N151" i="4"/>
  <c r="O150" i="4"/>
  <c r="N150" i="4"/>
  <c r="O149" i="4"/>
  <c r="N149" i="4"/>
  <c r="G149" i="4"/>
  <c r="F149" i="4"/>
  <c r="I149" i="4" s="1"/>
  <c r="C149" i="4"/>
  <c r="B149" i="4"/>
  <c r="A149" i="4"/>
  <c r="O148" i="4"/>
  <c r="N148" i="4"/>
  <c r="O147" i="4"/>
  <c r="N147" i="4"/>
  <c r="O146" i="4"/>
  <c r="N146" i="4"/>
  <c r="G146" i="4"/>
  <c r="F146" i="4"/>
  <c r="I146" i="4" s="1"/>
  <c r="C146" i="4"/>
  <c r="B146" i="4"/>
  <c r="A146" i="4"/>
  <c r="O145" i="4"/>
  <c r="N145" i="4"/>
  <c r="G145" i="4"/>
  <c r="F145" i="4"/>
  <c r="I145" i="4" s="1"/>
  <c r="C145" i="4"/>
  <c r="B145" i="4"/>
  <c r="A145" i="4"/>
  <c r="O144" i="4"/>
  <c r="N144" i="4"/>
  <c r="G144" i="4"/>
  <c r="F144" i="4"/>
  <c r="I144" i="4" s="1"/>
  <c r="C144" i="4"/>
  <c r="B144" i="4"/>
  <c r="A144" i="4"/>
  <c r="P143" i="4"/>
  <c r="G143" i="4"/>
  <c r="F143" i="4"/>
  <c r="I143" i="4" s="1"/>
  <c r="C143" i="4"/>
  <c r="B143" i="4"/>
  <c r="A143" i="4"/>
  <c r="O142" i="4"/>
  <c r="N142" i="4"/>
  <c r="O141" i="4"/>
  <c r="N141" i="4"/>
  <c r="O140" i="4"/>
  <c r="N140" i="4"/>
  <c r="G140" i="4"/>
  <c r="F140" i="4"/>
  <c r="I140" i="4" s="1"/>
  <c r="C140" i="4"/>
  <c r="B140" i="4"/>
  <c r="A140" i="4"/>
  <c r="O139" i="4"/>
  <c r="N139" i="4"/>
  <c r="G139" i="4"/>
  <c r="F139" i="4"/>
  <c r="I139" i="4" s="1"/>
  <c r="C139" i="4"/>
  <c r="B139" i="4"/>
  <c r="A139" i="4"/>
  <c r="O138" i="4"/>
  <c r="N138" i="4"/>
  <c r="O137" i="4"/>
  <c r="N137" i="4"/>
  <c r="O136" i="4"/>
  <c r="N136" i="4"/>
  <c r="O135" i="4"/>
  <c r="N135" i="4"/>
  <c r="O134" i="4"/>
  <c r="N134" i="4"/>
  <c r="O133" i="4"/>
  <c r="N133" i="4"/>
  <c r="G133" i="4"/>
  <c r="F133" i="4"/>
  <c r="I133" i="4" s="1"/>
  <c r="C133" i="4"/>
  <c r="B133" i="4"/>
  <c r="A133" i="4"/>
  <c r="O124" i="4"/>
  <c r="N124" i="4"/>
  <c r="O123" i="4"/>
  <c r="N123" i="4"/>
  <c r="O122" i="4"/>
  <c r="N122" i="4"/>
  <c r="O121" i="4"/>
  <c r="N121" i="4"/>
  <c r="O120" i="4"/>
  <c r="N120" i="4"/>
  <c r="O119" i="4"/>
  <c r="N119" i="4"/>
  <c r="O118" i="4"/>
  <c r="N118" i="4"/>
  <c r="O117" i="4"/>
  <c r="N117" i="4"/>
  <c r="O116" i="4"/>
  <c r="N116" i="4"/>
  <c r="O115" i="4"/>
  <c r="N115" i="4"/>
  <c r="O114" i="4"/>
  <c r="N114" i="4"/>
  <c r="O113" i="4"/>
  <c r="N113" i="4"/>
  <c r="O112" i="4"/>
  <c r="N112" i="4"/>
  <c r="O111" i="4"/>
  <c r="N111" i="4"/>
  <c r="O110" i="4"/>
  <c r="N110" i="4"/>
  <c r="O109" i="4"/>
  <c r="N109" i="4"/>
  <c r="O108" i="4"/>
  <c r="N108" i="4"/>
  <c r="O107" i="4"/>
  <c r="N107" i="4"/>
  <c r="O106" i="4"/>
  <c r="N106" i="4"/>
  <c r="G106" i="4"/>
  <c r="F106" i="4"/>
  <c r="I106" i="4" s="1"/>
  <c r="C106" i="4"/>
  <c r="B106" i="4"/>
  <c r="A106" i="4"/>
  <c r="O105" i="4"/>
  <c r="N105" i="4"/>
  <c r="O104" i="4"/>
  <c r="N104" i="4"/>
  <c r="G104" i="4"/>
  <c r="F104" i="4"/>
  <c r="I104" i="4" s="1"/>
  <c r="C104" i="4"/>
  <c r="B104" i="4"/>
  <c r="A104" i="4"/>
  <c r="O103" i="4"/>
  <c r="N103" i="4"/>
  <c r="G103" i="4"/>
  <c r="F103" i="4"/>
  <c r="I103" i="4" s="1"/>
  <c r="C103" i="4"/>
  <c r="B103" i="4"/>
  <c r="A103" i="4"/>
  <c r="O102" i="4"/>
  <c r="N102" i="4"/>
  <c r="G102" i="4"/>
  <c r="F102" i="4"/>
  <c r="I102" i="4" s="1"/>
  <c r="C102" i="4"/>
  <c r="B102" i="4"/>
  <c r="A102" i="4"/>
  <c r="O101" i="4"/>
  <c r="N101" i="4"/>
  <c r="G101" i="4"/>
  <c r="F101" i="4"/>
  <c r="I101" i="4" s="1"/>
  <c r="C101" i="4"/>
  <c r="B101" i="4"/>
  <c r="A101" i="4"/>
  <c r="O100" i="4"/>
  <c r="N100" i="4"/>
  <c r="G100" i="4"/>
  <c r="F100" i="4"/>
  <c r="I100" i="4" s="1"/>
  <c r="C100" i="4"/>
  <c r="B100" i="4"/>
  <c r="A100" i="4"/>
  <c r="O99" i="4"/>
  <c r="N99" i="4"/>
  <c r="M99" i="4"/>
  <c r="O98" i="4"/>
  <c r="N98" i="4"/>
  <c r="O97" i="4"/>
  <c r="N97" i="4"/>
  <c r="G97" i="4"/>
  <c r="F97" i="4"/>
  <c r="I97" i="4" s="1"/>
  <c r="C97" i="4"/>
  <c r="B97" i="4"/>
  <c r="A97" i="4"/>
  <c r="O90" i="4"/>
  <c r="N90" i="4"/>
  <c r="O89" i="4"/>
  <c r="N89" i="4"/>
  <c r="O88" i="4"/>
  <c r="N88" i="4"/>
  <c r="G88" i="4"/>
  <c r="F88" i="4"/>
  <c r="I88" i="4" s="1"/>
  <c r="C88" i="4"/>
  <c r="B88" i="4"/>
  <c r="A88" i="4"/>
  <c r="O84" i="4"/>
  <c r="N84" i="4"/>
  <c r="O83" i="4"/>
  <c r="N83" i="4"/>
  <c r="O82" i="4"/>
  <c r="N82" i="4"/>
  <c r="O81" i="4"/>
  <c r="N81" i="4"/>
  <c r="O80" i="4"/>
  <c r="N80" i="4"/>
  <c r="O79" i="4"/>
  <c r="N79" i="4"/>
  <c r="G79" i="4"/>
  <c r="F79" i="4"/>
  <c r="I79" i="4" s="1"/>
  <c r="C79" i="4"/>
  <c r="B79" i="4"/>
  <c r="A79" i="4"/>
  <c r="O78" i="4"/>
  <c r="N78" i="4"/>
  <c r="G78" i="4"/>
  <c r="F78" i="4"/>
  <c r="I78" i="4" s="1"/>
  <c r="C78" i="4"/>
  <c r="B78" i="4"/>
  <c r="A78" i="4"/>
  <c r="O76" i="4"/>
  <c r="N76" i="4"/>
  <c r="O75" i="4"/>
  <c r="N75" i="4"/>
  <c r="G75" i="4"/>
  <c r="F75" i="4"/>
  <c r="I75" i="4" s="1"/>
  <c r="C75" i="4"/>
  <c r="B75" i="4"/>
  <c r="A75" i="4"/>
  <c r="O72" i="4"/>
  <c r="N72" i="4"/>
  <c r="O71" i="4"/>
  <c r="N71" i="4"/>
  <c r="O70" i="4"/>
  <c r="N70" i="4"/>
  <c r="O69" i="4"/>
  <c r="N69" i="4"/>
  <c r="O68" i="4"/>
  <c r="N68" i="4"/>
  <c r="O67" i="4"/>
  <c r="N67" i="4"/>
  <c r="O66" i="4"/>
  <c r="N66" i="4"/>
  <c r="O65" i="4"/>
  <c r="N65" i="4"/>
  <c r="O64" i="4"/>
  <c r="N64" i="4"/>
  <c r="O63" i="4"/>
  <c r="N63" i="4"/>
  <c r="O62" i="4"/>
  <c r="N62" i="4"/>
  <c r="O61" i="4"/>
  <c r="N61" i="4"/>
  <c r="O60" i="4"/>
  <c r="N60" i="4"/>
  <c r="O59" i="4"/>
  <c r="N59" i="4"/>
  <c r="O58" i="4"/>
  <c r="N58" i="4"/>
  <c r="G58" i="4"/>
  <c r="F58" i="4"/>
  <c r="I58" i="4" s="1"/>
  <c r="C58" i="4"/>
  <c r="B58" i="4"/>
  <c r="A58" i="4"/>
  <c r="O57" i="4"/>
  <c r="N57" i="4"/>
  <c r="O56" i="4"/>
  <c r="N56" i="4"/>
  <c r="O55" i="4"/>
  <c r="N55" i="4"/>
  <c r="G55" i="4"/>
  <c r="F55" i="4"/>
  <c r="I55" i="4" s="1"/>
  <c r="C55" i="4"/>
  <c r="B55" i="4"/>
  <c r="A55" i="4"/>
  <c r="P54" i="4"/>
  <c r="G54" i="4"/>
  <c r="F54" i="4"/>
  <c r="I54" i="4" s="1"/>
  <c r="C54" i="4"/>
  <c r="B54" i="4"/>
  <c r="A54" i="4"/>
  <c r="P53" i="4"/>
  <c r="G53" i="4"/>
  <c r="F53" i="4"/>
  <c r="I53" i="4" s="1"/>
  <c r="C53" i="4"/>
  <c r="B53" i="4"/>
  <c r="A53" i="4"/>
  <c r="O51" i="4"/>
  <c r="N51" i="4"/>
  <c r="O50" i="4"/>
  <c r="N50" i="4"/>
  <c r="O49" i="4"/>
  <c r="N49" i="4"/>
  <c r="G49" i="4"/>
  <c r="F49" i="4"/>
  <c r="I49" i="4" s="1"/>
  <c r="C49" i="4"/>
  <c r="B49" i="4"/>
  <c r="A49" i="4"/>
  <c r="P48" i="4"/>
  <c r="G48" i="4"/>
  <c r="F48" i="4"/>
  <c r="I48" i="4" s="1"/>
  <c r="C48" i="4"/>
  <c r="B48" i="4"/>
  <c r="O14" i="4"/>
  <c r="N14" i="4"/>
  <c r="O12" i="4"/>
  <c r="N12" i="4"/>
  <c r="O11" i="4"/>
  <c r="N11" i="4"/>
  <c r="O10" i="4"/>
  <c r="N10" i="4"/>
  <c r="O9" i="4"/>
  <c r="N9" i="4"/>
  <c r="O8" i="4"/>
  <c r="N8" i="4"/>
  <c r="O7" i="4"/>
  <c r="N7" i="4"/>
  <c r="O5" i="4"/>
  <c r="N5" i="4"/>
  <c r="O4" i="4"/>
  <c r="N4" i="4"/>
  <c r="O3" i="4"/>
  <c r="N3" i="4"/>
  <c r="A48" i="3"/>
  <c r="A47" i="3"/>
  <c r="A46" i="3"/>
  <c r="A45" i="3"/>
  <c r="A44" i="3"/>
  <c r="A43" i="3"/>
  <c r="A42" i="3"/>
  <c r="A41" i="3"/>
  <c r="A40" i="3"/>
  <c r="A39" i="3"/>
  <c r="A38" i="3"/>
  <c r="A37" i="3"/>
  <c r="A36" i="3"/>
  <c r="A35" i="3"/>
  <c r="A34" i="3"/>
  <c r="A33" i="3"/>
  <c r="A32" i="3"/>
  <c r="Q31" i="3"/>
  <c r="A31" i="3"/>
  <c r="Q30" i="3"/>
  <c r="A30" i="3"/>
  <c r="Q29" i="3"/>
  <c r="A29" i="3"/>
  <c r="Q28" i="3"/>
  <c r="A28" i="3"/>
  <c r="Q27" i="3"/>
  <c r="A27" i="3"/>
  <c r="Q26" i="3"/>
  <c r="A26" i="3"/>
  <c r="Q25" i="3"/>
  <c r="A25" i="3"/>
  <c r="Q24" i="3"/>
  <c r="A24" i="3"/>
  <c r="Q23" i="3"/>
  <c r="A23" i="3"/>
  <c r="Q22" i="3"/>
  <c r="A22" i="3"/>
  <c r="Q21" i="3"/>
  <c r="A21" i="3"/>
  <c r="Q20" i="3"/>
  <c r="A20" i="3"/>
  <c r="Q19" i="3"/>
  <c r="A19" i="3"/>
  <c r="Q18" i="3"/>
  <c r="A18" i="3"/>
  <c r="Q17" i="3"/>
  <c r="A17" i="3"/>
  <c r="Q16" i="3"/>
  <c r="A16" i="3"/>
  <c r="Q15" i="3"/>
  <c r="A15" i="3"/>
  <c r="Q14" i="3"/>
  <c r="A14" i="3"/>
  <c r="Q13" i="3"/>
  <c r="A13" i="3"/>
  <c r="Q12" i="3"/>
  <c r="A12" i="3"/>
  <c r="Q11" i="3"/>
  <c r="A11" i="3"/>
  <c r="V11" i="3"/>
  <c r="Q10" i="3"/>
  <c r="A10" i="3"/>
  <c r="V9" i="3"/>
  <c r="Q9" i="3"/>
  <c r="A9" i="3"/>
  <c r="V8" i="3"/>
  <c r="Q8" i="3"/>
  <c r="A8" i="3"/>
  <c r="V7" i="3"/>
  <c r="Q7" i="3"/>
  <c r="A7" i="3"/>
  <c r="V6" i="3"/>
  <c r="Q6" i="3"/>
  <c r="A6" i="3"/>
  <c r="V5" i="3"/>
  <c r="Q5" i="3"/>
  <c r="A5" i="3"/>
  <c r="V4" i="3"/>
  <c r="Q4" i="3"/>
  <c r="A4" i="3"/>
  <c r="V3" i="3"/>
  <c r="Q3" i="3"/>
  <c r="A3" i="3"/>
  <c r="S63" i="7" l="1"/>
  <c r="S135" i="7"/>
  <c r="S159" i="7"/>
  <c r="S57" i="7"/>
  <c r="S147" i="7"/>
  <c r="S171" i="7"/>
  <c r="P71" i="4"/>
  <c r="P7" i="4"/>
  <c r="P76" i="4"/>
  <c r="P139" i="4"/>
  <c r="P60" i="4"/>
  <c r="P152" i="4"/>
  <c r="P154" i="4"/>
  <c r="P111" i="4"/>
  <c r="S87" i="7"/>
  <c r="S99" i="7"/>
  <c r="B104" i="7"/>
  <c r="S111" i="7"/>
  <c r="S165" i="7"/>
  <c r="B62" i="7"/>
  <c r="S81" i="7"/>
  <c r="S123" i="7"/>
  <c r="B134" i="7"/>
  <c r="S142" i="7"/>
  <c r="S153" i="7"/>
  <c r="S51" i="7"/>
  <c r="S58" i="7"/>
  <c r="S69" i="7"/>
  <c r="S100" i="7"/>
  <c r="S105" i="7"/>
  <c r="B110" i="7"/>
  <c r="S118" i="7"/>
  <c r="S124" i="7"/>
  <c r="S141" i="7"/>
  <c r="B158" i="7"/>
  <c r="S166" i="7"/>
  <c r="S172" i="7"/>
  <c r="G26" i="15"/>
  <c r="S70" i="7"/>
  <c r="S75" i="7"/>
  <c r="B80" i="7"/>
  <c r="S112" i="7"/>
  <c r="S129" i="7"/>
  <c r="B146" i="7"/>
  <c r="S154" i="7"/>
  <c r="S160" i="7"/>
  <c r="M21" i="15"/>
  <c r="M22" i="15" s="1"/>
  <c r="S148" i="7"/>
  <c r="G25" i="15"/>
  <c r="P64" i="4"/>
  <c r="S76" i="7"/>
  <c r="B86" i="7"/>
  <c r="B98" i="7"/>
  <c r="B122" i="7"/>
  <c r="S130" i="7"/>
  <c r="S136" i="7"/>
  <c r="B170" i="7"/>
  <c r="P167" i="4"/>
  <c r="P120" i="4"/>
  <c r="P10" i="4"/>
  <c r="P50" i="4"/>
  <c r="P56" i="4"/>
  <c r="P68" i="4"/>
  <c r="P81" i="4"/>
  <c r="P104" i="4"/>
  <c r="P137" i="4"/>
  <c r="P90" i="4"/>
  <c r="P122" i="4"/>
  <c r="P51" i="4"/>
  <c r="P58" i="4"/>
  <c r="P62" i="4"/>
  <c r="P98" i="4"/>
  <c r="P100" i="4"/>
  <c r="P107" i="4"/>
  <c r="P133" i="4"/>
  <c r="P140" i="4"/>
  <c r="P146" i="4"/>
  <c r="P148" i="4"/>
  <c r="P171" i="4"/>
  <c r="P72" i="4"/>
  <c r="P99" i="4"/>
  <c r="P105" i="4"/>
  <c r="P113" i="4"/>
  <c r="P115" i="4"/>
  <c r="P119" i="4"/>
  <c r="P123" i="4"/>
  <c r="P151" i="4"/>
  <c r="P155" i="4"/>
  <c r="P3" i="4"/>
  <c r="P8" i="4"/>
  <c r="P12" i="4"/>
  <c r="P59" i="4"/>
  <c r="P63" i="4"/>
  <c r="P65" i="4"/>
  <c r="P67" i="4"/>
  <c r="P97" i="4"/>
  <c r="P103" i="4"/>
  <c r="P106" i="4"/>
  <c r="P162" i="4"/>
  <c r="P166" i="4"/>
  <c r="P11" i="4"/>
  <c r="P80" i="4"/>
  <c r="P89" i="4"/>
  <c r="P108" i="4"/>
  <c r="P124" i="4"/>
  <c r="P134" i="4"/>
  <c r="P158" i="4"/>
  <c r="P5" i="4"/>
  <c r="P14" i="4"/>
  <c r="P49" i="4"/>
  <c r="P101" i="4"/>
  <c r="P110" i="4"/>
  <c r="P136" i="4"/>
  <c r="P149" i="4"/>
  <c r="P156" i="4"/>
  <c r="P66" i="4"/>
  <c r="P75" i="4"/>
  <c r="P78" i="4"/>
  <c r="P82" i="4"/>
  <c r="P84" i="4"/>
  <c r="P102" i="4"/>
  <c r="C22" i="9" s="1"/>
  <c r="F22" i="9" s="1"/>
  <c r="P112" i="4"/>
  <c r="P114" i="4"/>
  <c r="P121" i="4"/>
  <c r="P138" i="4"/>
  <c r="P142" i="4"/>
  <c r="P168" i="4"/>
  <c r="P170" i="4"/>
  <c r="P4" i="4"/>
  <c r="P57" i="4"/>
  <c r="P79" i="4"/>
  <c r="P88" i="4"/>
  <c r="P116" i="4"/>
  <c r="P118" i="4"/>
  <c r="P141" i="4"/>
  <c r="P144" i="4"/>
  <c r="P150" i="4"/>
  <c r="P157" i="4"/>
  <c r="P161" i="4"/>
  <c r="P163" i="4"/>
  <c r="P165" i="4"/>
  <c r="P172" i="4"/>
  <c r="M32" i="5"/>
  <c r="J32" i="5"/>
  <c r="J33" i="5"/>
  <c r="M33" i="5"/>
  <c r="J34" i="5"/>
  <c r="M34" i="5"/>
  <c r="M35" i="5"/>
  <c r="J35" i="5"/>
  <c r="H106" i="4"/>
  <c r="H133" i="4"/>
  <c r="H78" i="4"/>
  <c r="H55" i="4"/>
  <c r="H75" i="4"/>
  <c r="H104" i="4"/>
  <c r="H144" i="4"/>
  <c r="H167" i="4"/>
  <c r="H140" i="4"/>
  <c r="H159" i="4"/>
  <c r="H162" i="4"/>
  <c r="H97" i="4"/>
  <c r="H145" i="4"/>
  <c r="H146" i="4"/>
  <c r="H174" i="4"/>
  <c r="H176" i="4"/>
  <c r="H100" i="4"/>
  <c r="H161" i="4"/>
  <c r="H48" i="4"/>
  <c r="H79" i="4"/>
  <c r="H88" i="4"/>
  <c r="H101" i="4"/>
  <c r="H102" i="4"/>
  <c r="H103" i="4"/>
  <c r="H139" i="4"/>
  <c r="H143" i="4"/>
  <c r="H149" i="4"/>
  <c r="S106" i="7"/>
  <c r="H53" i="4"/>
  <c r="H54" i="4"/>
  <c r="P55" i="4"/>
  <c r="P69" i="4"/>
  <c r="P83" i="4"/>
  <c r="P117" i="4"/>
  <c r="P135" i="4"/>
  <c r="P145" i="4"/>
  <c r="P147" i="4"/>
  <c r="P153" i="4"/>
  <c r="P159" i="4"/>
  <c r="S52" i="7"/>
  <c r="B56" i="7"/>
  <c r="B68" i="7"/>
  <c r="S94" i="7"/>
  <c r="G29" i="15"/>
  <c r="G31" i="15" s="1"/>
  <c r="G36" i="15" s="1"/>
  <c r="L29" i="15"/>
  <c r="L31" i="15" s="1"/>
  <c r="P9" i="4"/>
  <c r="H49" i="4"/>
  <c r="H58" i="4"/>
  <c r="P61" i="4"/>
  <c r="P70" i="4"/>
  <c r="P109" i="4"/>
  <c r="P164" i="4"/>
  <c r="P169" i="4"/>
  <c r="H173" i="4"/>
  <c r="H177" i="4"/>
  <c r="B74" i="7"/>
  <c r="S82" i="7"/>
  <c r="S88" i="7"/>
  <c r="H175" i="4"/>
  <c r="B50" i="7"/>
  <c r="S64" i="7"/>
  <c r="B92" i="7"/>
  <c r="B116" i="7"/>
  <c r="B128" i="7"/>
  <c r="B140" i="7"/>
  <c r="B152" i="7"/>
  <c r="B164" i="7"/>
  <c r="J34" i="15"/>
  <c r="J37" i="15" s="1"/>
  <c r="I22" i="9" l="1"/>
  <c r="K22" i="9" s="1"/>
  <c r="N12" i="9"/>
  <c r="M12" i="9"/>
  <c r="N11" i="9"/>
  <c r="N14" i="9" s="1"/>
  <c r="M11" i="9"/>
  <c r="C20" i="9"/>
  <c r="C23" i="9"/>
  <c r="F23" i="9" s="1"/>
  <c r="I23" i="9" s="1"/>
  <c r="K23" i="9" s="1"/>
  <c r="F12" i="9"/>
  <c r="H11" i="9"/>
  <c r="H14" i="9" s="1"/>
  <c r="L11" i="9"/>
  <c r="L14" i="9" s="1"/>
  <c r="O5" i="9"/>
  <c r="H5" i="9"/>
  <c r="P5" i="9"/>
  <c r="I12" i="9"/>
  <c r="D12" i="9"/>
  <c r="P4" i="9"/>
  <c r="P7" i="9" s="1"/>
  <c r="C4" i="9"/>
  <c r="I5" i="9"/>
  <c r="G4" i="9"/>
  <c r="J12" i="9"/>
  <c r="J11" i="9"/>
  <c r="J14" i="9" s="1"/>
  <c r="E11" i="9"/>
  <c r="F4" i="9"/>
  <c r="L12" i="9"/>
  <c r="I11" i="9"/>
  <c r="M4" i="9"/>
  <c r="K12" i="9"/>
  <c r="K11" i="9"/>
  <c r="C5" i="9"/>
  <c r="M5" i="9"/>
  <c r="F5" i="9"/>
  <c r="L4" i="9"/>
  <c r="L7" i="9" s="1"/>
  <c r="H4" i="9"/>
  <c r="K4" i="9"/>
  <c r="E4" i="9"/>
  <c r="G11" i="9"/>
  <c r="O4" i="9"/>
  <c r="K5" i="9"/>
  <c r="I4" i="9"/>
  <c r="E5" i="9"/>
  <c r="G12" i="9"/>
  <c r="D11" i="9"/>
  <c r="D14" i="9" s="1"/>
  <c r="N5" i="9"/>
  <c r="D4" i="9"/>
  <c r="D5" i="9"/>
  <c r="E12" i="9"/>
  <c r="J4" i="9"/>
  <c r="L5" i="9"/>
  <c r="C11" i="9"/>
  <c r="H12" i="9"/>
  <c r="G5" i="9"/>
  <c r="C12" i="9"/>
  <c r="N4" i="9"/>
  <c r="N7" i="9" s="1"/>
  <c r="J5" i="9"/>
  <c r="F11" i="9"/>
  <c r="F14" i="9" s="1"/>
  <c r="H7" i="9" l="1"/>
  <c r="D7" i="9"/>
  <c r="J7" i="9"/>
  <c r="F7" i="9"/>
  <c r="M14" i="9"/>
  <c r="M13" i="9"/>
  <c r="F20" i="9"/>
  <c r="I20" i="9" s="1"/>
  <c r="J20" i="9" s="1"/>
  <c r="C26" i="9"/>
  <c r="C13" i="9"/>
  <c r="I14" i="9"/>
  <c r="I7" i="9"/>
  <c r="I13" i="9"/>
  <c r="K14" i="9"/>
  <c r="O6" i="9"/>
  <c r="K13" i="9"/>
  <c r="E13" i="9"/>
  <c r="G6" i="9"/>
  <c r="G7" i="9"/>
  <c r="E7" i="9"/>
  <c r="E6" i="9"/>
  <c r="K7" i="9"/>
  <c r="K6" i="9"/>
  <c r="M6" i="9"/>
  <c r="I6" i="9"/>
  <c r="G14" i="9"/>
  <c r="G13" i="9"/>
  <c r="C7" i="9"/>
  <c r="C6" i="9"/>
  <c r="C16" i="9" s="1"/>
  <c r="I26" i="9" l="1"/>
  <c r="R44" i="5"/>
  <c r="E44" i="5"/>
  <c r="J44" i="5" s="1"/>
  <c r="E45" i="5"/>
  <c r="J45" i="5" s="1"/>
  <c r="R45" i="5"/>
  <c r="F45" i="5"/>
  <c r="I45" i="5" s="1"/>
  <c r="S44" i="5" l="1"/>
  <c r="S45" i="5"/>
  <c r="F45" i="6"/>
  <c r="E45" i="6" s="1"/>
  <c r="T45" i="5" s="1"/>
  <c r="Q45" i="5" l="1"/>
  <c r="U45" i="5"/>
  <c r="W45" i="5"/>
  <c r="X45" i="5" s="1"/>
  <c r="F44" i="6"/>
  <c r="E44" i="6" s="1"/>
  <c r="T44" i="5" s="1"/>
  <c r="U44" i="5" l="1"/>
  <c r="Q44" i="5"/>
  <c r="AB2" i="5" s="1"/>
  <c r="W44" i="5"/>
  <c r="X44" i="5" s="1"/>
  <c r="Z2" i="5" l="1"/>
  <c r="AA2" i="5" s="1"/>
  <c r="J26" i="9" l="1"/>
</calcChain>
</file>

<file path=xl/sharedStrings.xml><?xml version="1.0" encoding="utf-8"?>
<sst xmlns="http://schemas.openxmlformats.org/spreadsheetml/2006/main" count="2664" uniqueCount="743">
  <si>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</si>
  <si>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</si>
  <si>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</si>
  <si>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</si>
  <si>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</si>
  <si>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</si>
  <si>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</si>
  <si>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</si>
  <si>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</si>
  <si>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</si>
  <si>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</si>
  <si>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</si>
  <si>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</si>
  <si>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</si>
  <si>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</si>
  <si>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</si>
  <si>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</si>
  <si>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</si>
  <si>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</si>
  <si>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</si>
  <si>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</si>
  <si>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</si>
  <si>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</si>
  <si>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</si>
  <si>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</si>
  <si>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</si>
  <si>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</si>
  <si>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</si>
  <si>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</si>
  <si>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</si>
  <si>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</si>
  <si>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</si>
  <si>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</si>
  <si>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</si>
  <si>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</si>
  <si>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</si>
  <si>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</si>
  <si>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</si>
  <si>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</si>
  <si>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</si>
  <si>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</si>
  <si>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</si>
  <si>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</si>
  <si>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</si>
  <si>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</si>
  <si>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</si>
  <si>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</si>
  <si>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</si>
  <si>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</si>
  <si>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</si>
  <si>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</si>
  <si>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</si>
  <si>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</si>
  <si>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</si>
  <si>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</si>
  <si>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</si>
  <si>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</si>
  <si>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</si>
  <si>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</si>
  <si>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</si>
  <si>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</si>
  <si>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</si>
  <si>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</si>
  <si>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</si>
  <si>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</si>
  <si>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</si>
  <si>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</si>
  <si>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</si>
  <si>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</si>
  <si>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</si>
  <si>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</si>
  <si>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</si>
  <si>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</si>
  <si>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</si>
  <si>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</si>
  <si>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</si>
  <si>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</si>
  <si>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</si>
  <si>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</si>
  <si>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</si>
  <si>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</si>
  <si>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</si>
  <si>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</si>
  <si>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</si>
  <si>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</si>
  <si>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</si>
  <si>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</si>
  <si>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三菱UFJ・MS証券</t>
  </si>
  <si>
    <t>公募割れ</t>
    <rPh sb="0" eb="3">
      <t>コウボワ</t>
    </rPh>
    <phoneticPr fontId="8"/>
  </si>
  <si>
    <t>グリーンズ</t>
    <phoneticPr fontId="8"/>
  </si>
  <si>
    <t>-</t>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</si>
  <si>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</si>
  <si>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</si>
  <si>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</si>
  <si>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</si>
  <si>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</si>
  <si>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</si>
  <si>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</si>
  <si>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</si>
  <si>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</si>
  <si>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</si>
  <si>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</si>
  <si>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</si>
  <si>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</si>
  <si>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</si>
  <si>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</si>
  <si>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</si>
  <si>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</si>
  <si>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</si>
  <si>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ディーエムソリューションズ</t>
  </si>
  <si>
    <t>エコモット</t>
    <phoneticPr fontId="8"/>
  </si>
  <si>
    <t>IPO secondary investment</t>
    <phoneticPr fontId="8"/>
  </si>
  <si>
    <t>VC依存</t>
    <rPh sb="2" eb="4">
      <t>イゾン</t>
    </rPh>
    <phoneticPr fontId="8"/>
  </si>
  <si>
    <t>&lt; 税抜金額 100株単位 &gt;</t>
    <rPh sb="2" eb="3">
      <t>ゼイ</t>
    </rPh>
    <rPh sb="3" eb="4">
      <t>バツ</t>
    </rPh>
    <rPh sb="4" eb="6">
      <t>キンガク</t>
    </rPh>
    <rPh sb="10" eb="11">
      <t>カブ</t>
    </rPh>
    <rPh sb="11" eb="13">
      <t>タンイ</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</si>
  <si>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</si>
  <si>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公募株数</t>
    <rPh sb="0" eb="2">
      <t>コウボ</t>
    </rPh>
    <rPh sb="2" eb="4">
      <t>カブスウ</t>
    </rPh>
    <phoneticPr fontId="8"/>
  </si>
  <si>
    <t>売出株数</t>
    <rPh sb="0" eb="1">
      <t>ウ</t>
    </rPh>
    <rPh sb="1" eb="2">
      <t>ダ</t>
    </rPh>
    <rPh sb="2" eb="4">
      <t>カブスウ</t>
    </rPh>
    <phoneticPr fontId="8"/>
  </si>
  <si>
    <t>出来高</t>
    <rPh sb="0" eb="3">
      <t>デキダカ</t>
    </rPh>
    <phoneticPr fontId="8"/>
  </si>
  <si>
    <t>初値売却損益</t>
    <rPh sb="0" eb="2">
      <t>ハツネ</t>
    </rPh>
    <rPh sb="2" eb="4">
      <t>バイキャク</t>
    </rPh>
    <rPh sb="4" eb="6">
      <t>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</si>
  <si>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</si>
  <si>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</si>
  <si>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</si>
  <si>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</si>
  <si>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</si>
  <si>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</si>
  <si>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</si>
  <si>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</si>
  <si>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</si>
  <si>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</si>
  <si>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</si>
  <si>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</si>
  <si>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</si>
  <si>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</si>
  <si>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</si>
  <si>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</si>
  <si>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</si>
  <si>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</si>
  <si>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</si>
  <si>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</si>
  <si>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</si>
  <si>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</si>
  <si>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</si>
  <si>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</si>
  <si>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</si>
  <si>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</si>
  <si>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</si>
  <si>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</si>
  <si>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</si>
  <si>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</si>
  <si>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</si>
  <si>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</si>
  <si>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</si>
  <si>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</si>
  <si>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</si>
  <si>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</si>
  <si>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</si>
  <si>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</si>
  <si>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</si>
  <si>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</si>
  <si>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</si>
  <si>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</si>
  <si>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</si>
  <si>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</si>
  <si>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</si>
  <si>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</si>
  <si>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</si>
  <si>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</si>
  <si>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</si>
  <si>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</si>
  <si>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</si>
  <si>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</si>
  <si>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</si>
  <si>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</si>
  <si>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</si>
  <si>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</si>
  <si>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</si>
  <si>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</si>
  <si>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</si>
  <si>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</si>
  <si>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</si>
  <si>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</si>
  <si>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</si>
  <si>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</si>
  <si>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</si>
  <si>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</si>
  <si>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</si>
  <si>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</si>
  <si>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</si>
  <si>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</si>
  <si>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</si>
  <si>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</si>
  <si>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</si>
  <si>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</si>
  <si>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</si>
  <si>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</si>
  <si>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</si>
  <si>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</si>
  <si>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</si>
  <si>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</si>
  <si>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</si>
  <si>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</si>
  <si>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</si>
  <si>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</si>
  <si>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</si>
  <si>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</si>
  <si>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</si>
  <si>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</si>
  <si>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</si>
  <si>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</si>
  <si>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</si>
  <si>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</si>
  <si>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</si>
  <si>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</si>
  <si>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</si>
  <si>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</si>
  <si>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</si>
  <si>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</si>
  <si>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</si>
  <si>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</si>
  <si>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</si>
  <si>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</si>
  <si>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</si>
  <si>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</si>
  <si>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</si>
  <si>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</si>
  <si>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</si>
  <si>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</si>
  <si>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</si>
  <si>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</si>
  <si>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</si>
  <si>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</si>
  <si>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</si>
  <si>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</si>
  <si>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</si>
  <si>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</si>
  <si>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</si>
  <si>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</si>
  <si>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</si>
  <si>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</si>
  <si>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</si>
  <si>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</si>
  <si>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</si>
  <si>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</si>
  <si>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</si>
  <si>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</si>
  <si>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</si>
  <si>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</si>
  <si>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</si>
  <si>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</si>
  <si>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</si>
  <si>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</si>
  <si>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</si>
  <si>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</si>
  <si>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</si>
  <si>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</si>
  <si>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</si>
  <si>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</si>
  <si>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</si>
  <si>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</si>
  <si>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</si>
  <si>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</si>
  <si>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</si>
  <si>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</si>
  <si>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</si>
  <si>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</si>
  <si>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</si>
  <si>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</si>
  <si>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</si>
  <si>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</si>
  <si>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</si>
  <si>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</si>
  <si>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</si>
  <si>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</si>
  <si>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</si>
  <si>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</si>
  <si>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</si>
  <si>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</si>
  <si>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</si>
  <si>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</si>
  <si>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</si>
  <si>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</si>
  <si>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</si>
  <si>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</si>
  <si>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</si>
  <si>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</si>
  <si>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</si>
  <si>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</si>
  <si>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</si>
  <si>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</si>
  <si>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</si>
  <si>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</si>
  <si>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</si>
  <si>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</si>
  <si>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</si>
  <si>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</si>
  <si>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</si>
  <si>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</si>
  <si>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</si>
  <si>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</si>
  <si>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</si>
  <si>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</si>
  <si>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</si>
  <si>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</si>
  <si>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</si>
  <si>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</si>
  <si>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</si>
  <si>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</si>
  <si>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</si>
  <si>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</si>
  <si>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</si>
  <si>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</si>
  <si>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</si>
  <si>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</si>
  <si>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</si>
  <si>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</si>
  <si>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</si>
  <si>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</si>
  <si>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</si>
  <si>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</si>
  <si>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</si>
  <si>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</si>
  <si>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</si>
  <si>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</si>
  <si>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</si>
  <si>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</si>
  <si>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</si>
  <si>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</si>
  <si>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</si>
  <si>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</si>
  <si>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</si>
  <si>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</si>
  <si>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</si>
  <si>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</si>
  <si>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</si>
  <si>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</si>
  <si>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</si>
  <si>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</si>
  <si>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</si>
  <si>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</si>
  <si>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</si>
  <si>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</si>
  <si>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</si>
  <si>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</si>
  <si>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</si>
  <si>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</si>
  <si>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</si>
  <si>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</si>
  <si>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</si>
  <si>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</si>
  <si>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</si>
  <si>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</si>
  <si>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</si>
  <si>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</si>
  <si>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</si>
  <si>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</si>
  <si>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</si>
  <si>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</si>
  <si>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</si>
  <si>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</si>
  <si>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</si>
  <si>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</si>
  <si>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</si>
  <si>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</si>
  <si>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</si>
  <si>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</si>
  <si>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</si>
  <si>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</si>
  <si>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</si>
  <si>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</si>
  <si>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</si>
  <si>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</si>
  <si>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</si>
  <si>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</si>
  <si>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</si>
  <si>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</si>
  <si>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</si>
  <si>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</si>
  <si>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</si>
  <si>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</si>
  <si>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</si>
  <si>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</si>
  <si>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</si>
  <si>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</si>
  <si>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</si>
  <si>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</si>
  <si>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</si>
  <si>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</si>
  <si>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</si>
  <si>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</si>
  <si>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</si>
  <si>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</si>
  <si>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</si>
  <si>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</si>
  <si>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</si>
  <si>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</si>
  <si>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</si>
  <si>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</si>
  <si>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</si>
  <si>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</si>
  <si>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</si>
  <si>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</si>
  <si>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</si>
  <si>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</si>
  <si>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</si>
  <si>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</si>
  <si>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</si>
  <si>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</si>
  <si>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</si>
  <si>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</si>
  <si>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</si>
  <si>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</si>
  <si>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</si>
  <si>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</si>
  <si>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</si>
  <si>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</si>
  <si>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</si>
  <si>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</si>
  <si>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</si>
  <si>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</si>
  <si>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</si>
  <si>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</si>
  <si>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</si>
  <si>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</si>
  <si>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</si>
  <si>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</si>
  <si>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</si>
  <si>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</si>
  <si>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</si>
  <si>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</si>
  <si>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</si>
  <si>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</si>
  <si>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</si>
  <si>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</si>
  <si>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</si>
  <si>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</si>
  <si>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</si>
  <si>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</si>
  <si>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</si>
  <si>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</si>
  <si>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</si>
  <si>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</si>
  <si>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</si>
  <si>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</si>
  <si>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</si>
  <si>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</si>
  <si>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</si>
  <si>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</si>
  <si>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</si>
  <si>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</si>
  <si>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</si>
  <si>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</si>
  <si>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</si>
  <si>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</si>
  <si>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</si>
  <si>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</si>
  <si>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</si>
  <si>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</si>
  <si>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</si>
  <si>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</si>
  <si>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</si>
  <si>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</si>
  <si>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</si>
  <si>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</si>
  <si>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</si>
  <si>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</si>
  <si>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</si>
  <si>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</si>
  <si>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</si>
  <si>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</si>
  <si>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</si>
  <si>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</si>
  <si>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</si>
  <si>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</si>
  <si>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</si>
  <si>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</si>
  <si>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</si>
  <si>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</si>
  <si>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</si>
  <si>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</si>
  <si>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</si>
  <si>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</si>
  <si>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</si>
  <si>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</si>
  <si>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</si>
  <si>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</si>
  <si>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</si>
  <si>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</si>
  <si>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</si>
  <si>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</si>
  <si>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t>
    <phoneticPr fontId="8"/>
  </si>
  <si>
    <t>アンジェス</t>
    <phoneticPr fontId="2"/>
  </si>
  <si>
    <t>シェアリングテクノロジー</t>
  </si>
  <si>
    <t>トランザス</t>
  </si>
  <si>
    <t>いちよし証券</t>
    <rPh sb="4" eb="6">
      <t>ショウケン</t>
    </rPh>
    <phoneticPr fontId="2"/>
  </si>
  <si>
    <t>トレイダーズHD</t>
    <phoneticPr fontId="2"/>
  </si>
  <si>
    <t>SBI証券</t>
    <rPh sb="3" eb="5">
      <t>ショウケン</t>
    </rPh>
    <phoneticPr fontId="2"/>
  </si>
  <si>
    <t>SMBC日興証券</t>
    <rPh sb="4" eb="6">
      <t>ニッコウ</t>
    </rPh>
    <rPh sb="6" eb="8">
      <t>ショウケン</t>
    </rPh>
    <phoneticPr fontId="2"/>
  </si>
  <si>
    <t>大和証券</t>
    <rPh sb="0" eb="2">
      <t>ダイワ</t>
    </rPh>
    <rPh sb="2" eb="4">
      <t>ショウケン</t>
    </rPh>
    <phoneticPr fontId="2"/>
  </si>
  <si>
    <t>マネックス証券</t>
    <rPh sb="5" eb="7">
      <t>ショウケン</t>
    </rPh>
    <phoneticPr fontId="2"/>
  </si>
  <si>
    <t>岡三オンライン証券</t>
    <rPh sb="0" eb="2">
      <t>オカサン</t>
    </rPh>
    <rPh sb="7" eb="9">
      <t>ショウケン</t>
    </rPh>
    <phoneticPr fontId="2"/>
  </si>
  <si>
    <t>総損益</t>
    <rPh sb="0" eb="1">
      <t>ソウ</t>
    </rPh>
    <rPh sb="1" eb="3">
      <t>ソンエキ</t>
    </rPh>
    <phoneticPr fontId="2"/>
  </si>
  <si>
    <t>譲渡益税</t>
    <rPh sb="0" eb="4">
      <t>ジョウトエキゼイ</t>
    </rPh>
    <phoneticPr fontId="2"/>
  </si>
  <si>
    <t>総計</t>
    <rPh sb="0" eb="2">
      <t>ソウケイ</t>
    </rPh>
    <phoneticPr fontId="2"/>
  </si>
  <si>
    <t>実損益</t>
    <rPh sb="0" eb="1">
      <t>ジツ</t>
    </rPh>
    <rPh sb="1" eb="2">
      <t>ソン</t>
    </rPh>
    <rPh sb="2" eb="3">
      <t>エキ</t>
    </rPh>
    <phoneticPr fontId="2"/>
  </si>
  <si>
    <t>証券口座別サマリ</t>
    <rPh sb="0" eb="2">
      <t>ショウケン</t>
    </rPh>
    <rPh sb="2" eb="4">
      <t>コウザ</t>
    </rPh>
    <rPh sb="4" eb="5">
      <t>ベツ</t>
    </rPh>
    <phoneticPr fontId="2"/>
  </si>
  <si>
    <t>年月別サマリ</t>
    <rPh sb="0" eb="2">
      <t>ネンゲツ</t>
    </rPh>
    <rPh sb="2" eb="3">
      <t>ベツ</t>
    </rPh>
    <phoneticPr fontId="2"/>
  </si>
  <si>
    <t>元本</t>
    <rPh sb="0" eb="2">
      <t>ガンポン</t>
    </rPh>
    <phoneticPr fontId="2"/>
  </si>
  <si>
    <t>残高</t>
    <rPh sb="0" eb="2">
      <t>ザンダカ</t>
    </rPh>
    <phoneticPr fontId="2"/>
  </si>
  <si>
    <t>誤差調整</t>
    <rPh sb="0" eb="2">
      <t>ゴサ</t>
    </rPh>
    <rPh sb="2" eb="4">
      <t>チョウセイ</t>
    </rPh>
    <phoneticPr fontId="2"/>
  </si>
  <si>
    <t>資金拘束</t>
    <rPh sb="0" eb="2">
      <t>シキン</t>
    </rPh>
    <rPh sb="2" eb="4">
      <t>コウソク</t>
    </rPh>
    <phoneticPr fontId="2"/>
  </si>
  <si>
    <t>※拘束分含まず</t>
    <rPh sb="1" eb="3">
      <t>コウソク</t>
    </rPh>
    <rPh sb="3" eb="4">
      <t>ブン</t>
    </rPh>
    <rPh sb="4" eb="5">
      <t>フク</t>
    </rPh>
    <phoneticPr fontId="2"/>
  </si>
  <si>
    <t>※下記引用</t>
    <rPh sb="1" eb="3">
      <t>カキ</t>
    </rPh>
    <rPh sb="3" eb="5">
      <t>インヨウ</t>
    </rPh>
    <phoneticPr fontId="2"/>
  </si>
  <si>
    <t>※手動メンテ</t>
    <rPh sb="1" eb="3">
      <t>シュドウ</t>
    </rPh>
    <phoneticPr fontId="2"/>
  </si>
  <si>
    <t>買付可能額</t>
    <rPh sb="0" eb="2">
      <t>カイツケ</t>
    </rPh>
    <rPh sb="2" eb="5">
      <t>カノウガク</t>
    </rPh>
    <phoneticPr fontId="2"/>
  </si>
  <si>
    <t>最近の備考</t>
    <rPh sb="0" eb="2">
      <t>サイキン</t>
    </rPh>
    <rPh sb="3" eb="5">
      <t>ビコウ</t>
    </rPh>
    <phoneticPr fontId="2"/>
  </si>
  <si>
    <t>紹介PGで3000,口座開設で1000get</t>
    <rPh sb="0" eb="2">
      <t>ショウカイ</t>
    </rPh>
    <rPh sb="10" eb="12">
      <t>コウザ</t>
    </rPh>
    <rPh sb="12" eb="14">
      <t>カイセツ</t>
    </rPh>
    <phoneticPr fontId="2"/>
  </si>
  <si>
    <t>平均取得単価*株数</t>
    <rPh sb="0" eb="2">
      <t>ヘイキン</t>
    </rPh>
    <rPh sb="2" eb="4">
      <t>シュトク</t>
    </rPh>
    <rPh sb="4" eb="6">
      <t>タンカ</t>
    </rPh>
    <rPh sb="7" eb="9">
      <t>カブスウ</t>
    </rPh>
    <phoneticPr fontId="2"/>
  </si>
  <si>
    <t>現行出資額</t>
    <rPh sb="0" eb="2">
      <t>ゲンコウ</t>
    </rPh>
    <rPh sb="2" eb="4">
      <t>シュッシ</t>
    </rPh>
    <rPh sb="4" eb="5">
      <t>ガク</t>
    </rPh>
    <phoneticPr fontId="2"/>
  </si>
  <si>
    <t>56万</t>
    <rPh sb="2" eb="3">
      <t>マン</t>
    </rPh>
    <phoneticPr fontId="8"/>
  </si>
  <si>
    <t>187万</t>
    <rPh sb="3" eb="4">
      <t>マン</t>
    </rPh>
    <phoneticPr fontId="8"/>
  </si>
  <si>
    <t>塩漬けの為、確定前の負債計上はせず残高ベースで報告</t>
    <rPh sb="0" eb="1">
      <t>シオ</t>
    </rPh>
    <rPh sb="1" eb="2">
      <t>ヅ</t>
    </rPh>
    <rPh sb="4" eb="5">
      <t>タメ</t>
    </rPh>
    <rPh sb="6" eb="8">
      <t>カクテイ</t>
    </rPh>
    <rPh sb="8" eb="9">
      <t>マエ</t>
    </rPh>
    <rPh sb="10" eb="12">
      <t>フサイ</t>
    </rPh>
    <rPh sb="12" eb="14">
      <t>ケイジョウ</t>
    </rPh>
    <rPh sb="17" eb="19">
      <t>ザンダカ</t>
    </rPh>
    <rPh sb="23" eb="25">
      <t>ホウコク</t>
    </rPh>
    <phoneticPr fontId="2"/>
  </si>
  <si>
    <t>落選</t>
    <rPh sb="0" eb="2">
      <t>ラクセン</t>
    </rPh>
    <phoneticPr fontId="2"/>
  </si>
  <si>
    <r>
      <t>給料日。塩漬け変わらず(負債はおよそ</t>
    </r>
    <r>
      <rPr>
        <sz val="11"/>
        <color rgb="FFFF0000"/>
        <rFont val="Meiryo UI"/>
        <family val="3"/>
        <charset val="128"/>
      </rPr>
      <t>70万</t>
    </r>
    <r>
      <rPr>
        <sz val="11"/>
        <color theme="1"/>
        <rFont val="Meiryo UI"/>
        <family val="3"/>
        <charset val="128"/>
      </rPr>
      <t>)</t>
    </r>
    <rPh sb="0" eb="3">
      <t>キュウリョウビ</t>
    </rPh>
    <rPh sb="4" eb="5">
      <t>シオ</t>
    </rPh>
    <rPh sb="5" eb="6">
      <t>ヅ</t>
    </rPh>
    <rPh sb="7" eb="8">
      <t>カ</t>
    </rPh>
    <rPh sb="12" eb="14">
      <t>フサイ</t>
    </rPh>
    <rPh sb="20" eb="21">
      <t>マン</t>
    </rPh>
    <phoneticPr fontId="2"/>
  </si>
  <si>
    <t>ＵＵＵＭ</t>
  </si>
  <si>
    <t>エスユーエス</t>
  </si>
  <si>
    <t>ウォンテッドリー</t>
  </si>
  <si>
    <t>ニーズウェル</t>
  </si>
  <si>
    <t>-</t>
    <phoneticPr fontId="2"/>
  </si>
  <si>
    <t>配当所得税</t>
    <phoneticPr fontId="2"/>
  </si>
  <si>
    <t>譲渡益税・配当所得税</t>
    <phoneticPr fontId="2"/>
  </si>
  <si>
    <t>口座開設で5000get 　8/21全額引出</t>
    <rPh sb="0" eb="2">
      <t>コウザ</t>
    </rPh>
    <rPh sb="2" eb="4">
      <t>カイセツ</t>
    </rPh>
    <rPh sb="18" eb="20">
      <t>ゼンガク</t>
    </rPh>
    <rPh sb="20" eb="21">
      <t>ヒ</t>
    </rPh>
    <rPh sb="21" eb="22">
      <t>ダ</t>
    </rPh>
    <phoneticPr fontId="2"/>
  </si>
  <si>
    <t>PKSHA Technology</t>
  </si>
  <si>
    <t>200万</t>
    <rPh sb="3" eb="4">
      <t>マン</t>
    </rPh>
    <phoneticPr fontId="8"/>
  </si>
  <si>
    <t>48万</t>
    <rPh sb="2" eb="3">
      <t>マン</t>
    </rPh>
    <phoneticPr fontId="8"/>
  </si>
  <si>
    <t>0万</t>
    <rPh sb="1" eb="2">
      <t>マン</t>
    </rPh>
    <phoneticPr fontId="8"/>
  </si>
  <si>
    <t>27万</t>
    <rPh sb="2" eb="3">
      <t>マン</t>
    </rPh>
    <phoneticPr fontId="8"/>
  </si>
  <si>
    <r>
      <t>塩漬負債</t>
    </r>
    <r>
      <rPr>
        <sz val="11"/>
        <color rgb="FFFF0000"/>
        <rFont val="Meiryo UI"/>
        <family val="3"/>
        <charset val="128"/>
      </rPr>
      <t>45</t>
    </r>
    <r>
      <rPr>
        <sz val="11"/>
        <color theme="1"/>
        <rFont val="Meiryo UI"/>
        <family val="3"/>
        <charset val="128"/>
      </rPr>
      <t>万</t>
    </r>
    <rPh sb="0" eb="1">
      <t>シオ</t>
    </rPh>
    <rPh sb="1" eb="2">
      <t>ヅケ</t>
    </rPh>
    <rPh sb="2" eb="4">
      <t>フサイ</t>
    </rPh>
    <rPh sb="6" eb="7">
      <t>マン</t>
    </rPh>
    <phoneticPr fontId="2"/>
  </si>
  <si>
    <t>-</t>
    <phoneticPr fontId="2"/>
  </si>
  <si>
    <t>ロードスターキャピタル</t>
  </si>
  <si>
    <t>西本WismettacHD</t>
    <phoneticPr fontId="2"/>
  </si>
  <si>
    <t>マネーフォワード</t>
  </si>
  <si>
    <t>http://diamond.jp/category/z-ipo-schedule</t>
    <phoneticPr fontId="8"/>
  </si>
  <si>
    <t>-</t>
    <phoneticPr fontId="2"/>
  </si>
  <si>
    <t>-</t>
    <phoneticPr fontId="2"/>
  </si>
  <si>
    <t>205万</t>
    <rPh sb="3" eb="4">
      <t>マン</t>
    </rPh>
    <phoneticPr fontId="8"/>
  </si>
  <si>
    <r>
      <t>給料日(交通費抜)塩漬負債</t>
    </r>
    <r>
      <rPr>
        <sz val="11"/>
        <color rgb="FFFF0000"/>
        <rFont val="Meiryo UI"/>
        <family val="3"/>
        <charset val="128"/>
      </rPr>
      <t>45</t>
    </r>
    <r>
      <rPr>
        <sz val="11"/>
        <color theme="1"/>
        <rFont val="Meiryo UI"/>
        <family val="3"/>
        <charset val="128"/>
      </rPr>
      <t>万 IPOの為、SBI資金追加</t>
    </r>
    <rPh sb="0" eb="3">
      <t>キュウリョウビ</t>
    </rPh>
    <rPh sb="4" eb="7">
      <t>コウツウヒ</t>
    </rPh>
    <rPh sb="7" eb="8">
      <t>ヌキ</t>
    </rPh>
    <rPh sb="9" eb="10">
      <t>シオ</t>
    </rPh>
    <rPh sb="10" eb="11">
      <t>ヅケ</t>
    </rPh>
    <rPh sb="11" eb="13">
      <t>フサイ</t>
    </rPh>
    <rPh sb="15" eb="16">
      <t>マン</t>
    </rPh>
    <rPh sb="21" eb="22">
      <t>タメ</t>
    </rPh>
    <rPh sb="26" eb="28">
      <t>シキン</t>
    </rPh>
    <rPh sb="28" eb="30">
      <t>ツイカ</t>
    </rPh>
    <phoneticPr fontId="2"/>
  </si>
  <si>
    <t>MS&amp;Consulting</t>
    <phoneticPr fontId="2"/>
  </si>
  <si>
    <t>テックポイント・インク</t>
  </si>
  <si>
    <t>-</t>
    <phoneticPr fontId="2"/>
  </si>
  <si>
    <t>大阪油化工業</t>
  </si>
  <si>
    <t>ウェルビー</t>
  </si>
  <si>
    <t>状態割合</t>
    <rPh sb="0" eb="2">
      <t>ジョウタイ</t>
    </rPh>
    <rPh sb="2" eb="4">
      <t>ワリアイ</t>
    </rPh>
    <phoneticPr fontId="2"/>
  </si>
  <si>
    <t>状態</t>
    <rPh sb="0" eb="2">
      <t>ジョウタイ</t>
    </rPh>
    <phoneticPr fontId="2"/>
  </si>
  <si>
    <t>割高</t>
    <rPh sb="0" eb="2">
      <t>ワリダカ</t>
    </rPh>
    <phoneticPr fontId="2"/>
  </si>
  <si>
    <t>普通</t>
    <rPh sb="0" eb="2">
      <t>フツウ</t>
    </rPh>
    <phoneticPr fontId="2"/>
  </si>
  <si>
    <t>割安</t>
    <rPh sb="0" eb="2">
      <t>ワリヤス</t>
    </rPh>
    <phoneticPr fontId="2"/>
  </si>
  <si>
    <t>シルバーライフ</t>
  </si>
  <si>
    <t>テンポイノベーション</t>
  </si>
  <si>
    <t>-</t>
    <phoneticPr fontId="2"/>
  </si>
  <si>
    <t>SKIYAKI</t>
    <phoneticPr fontId="2"/>
  </si>
  <si>
    <t>不参加</t>
    <rPh sb="0" eb="3">
      <t>フサンカ</t>
    </rPh>
    <phoneticPr fontId="2"/>
  </si>
  <si>
    <t>Casa</t>
  </si>
  <si>
    <t>201710/16</t>
    <phoneticPr fontId="2"/>
  </si>
  <si>
    <t>201710/20</t>
    <phoneticPr fontId="2"/>
  </si>
  <si>
    <t>201710/23</t>
    <phoneticPr fontId="2"/>
  </si>
  <si>
    <t>不参加</t>
    <rPh sb="0" eb="3">
      <t>フサンカ</t>
    </rPh>
    <phoneticPr fontId="2"/>
  </si>
  <si>
    <t>壽屋</t>
    <phoneticPr fontId="2"/>
  </si>
  <si>
    <t>塩漬負債100万…</t>
    <rPh sb="0" eb="1">
      <t>シオ</t>
    </rPh>
    <rPh sb="1" eb="2">
      <t>ヅケ</t>
    </rPh>
    <rPh sb="2" eb="4">
      <t>フサイ</t>
    </rPh>
    <rPh sb="7" eb="8">
      <t>マン</t>
    </rPh>
    <phoneticPr fontId="2"/>
  </si>
  <si>
    <t>マザーズ</t>
    <phoneticPr fontId="3"/>
  </si>
  <si>
    <t>東証1部</t>
    <phoneticPr fontId="3"/>
  </si>
  <si>
    <t>東証JQS</t>
    <phoneticPr fontId="3"/>
  </si>
  <si>
    <t>(株)日宣</t>
    <phoneticPr fontId="3"/>
  </si>
  <si>
    <t>なし</t>
    <phoneticPr fontId="3"/>
  </si>
  <si>
    <t>(株)ピーバンドットコム</t>
    <phoneticPr fontId="3"/>
  </si>
  <si>
    <t>(株)ファイズ</t>
    <phoneticPr fontId="3"/>
  </si>
  <si>
    <t>(株)旅工房</t>
    <phoneticPr fontId="3"/>
  </si>
  <si>
    <t>アセンテック(株)</t>
    <phoneticPr fontId="3"/>
  </si>
  <si>
    <t>東証JQS</t>
    <phoneticPr fontId="2"/>
  </si>
  <si>
    <t>(株)アカツキ</t>
    <phoneticPr fontId="2"/>
  </si>
  <si>
    <t>東証1部</t>
    <phoneticPr fontId="2"/>
  </si>
  <si>
    <t>クルーズ(株)</t>
    <phoneticPr fontId="2"/>
  </si>
  <si>
    <t>サイバーステップ(株)</t>
    <phoneticPr fontId="2"/>
  </si>
  <si>
    <t>東証2部</t>
    <phoneticPr fontId="2"/>
  </si>
  <si>
    <t>(株)アズジェント</t>
    <phoneticPr fontId="2"/>
  </si>
  <si>
    <t>(株)リミックスポイント</t>
    <phoneticPr fontId="2"/>
  </si>
  <si>
    <t>(株)エムアップ</t>
    <phoneticPr fontId="2"/>
  </si>
  <si>
    <t>マザーズ</t>
    <phoneticPr fontId="2"/>
  </si>
  <si>
    <t>エコモット(株)</t>
    <phoneticPr fontId="2"/>
  </si>
  <si>
    <t>札幌ア</t>
    <phoneticPr fontId="2"/>
  </si>
  <si>
    <t>Ｆｒｉｎｇｅ８１(株)</t>
    <phoneticPr fontId="2"/>
  </si>
  <si>
    <t>インフォテリア(株)</t>
    <phoneticPr fontId="2"/>
  </si>
  <si>
    <t>(株)ジーエヌアイグループ</t>
    <phoneticPr fontId="2"/>
  </si>
  <si>
    <t>(株)ＳＹＳホールディングス</t>
    <phoneticPr fontId="2"/>
  </si>
  <si>
    <t>(株)ＧａｍｅＷｉｔｈ</t>
    <phoneticPr fontId="2"/>
  </si>
  <si>
    <t>アンジェス(株)</t>
    <phoneticPr fontId="2"/>
  </si>
  <si>
    <t>トレイダーズホールディングス(株)</t>
    <phoneticPr fontId="2"/>
  </si>
  <si>
    <t>(株)ジェイ・エス・ビー</t>
    <phoneticPr fontId="2"/>
  </si>
  <si>
    <t>(株)クロスフォー</t>
    <phoneticPr fontId="2"/>
  </si>
  <si>
    <t>シェアリングテクノロジー(株)</t>
    <phoneticPr fontId="2"/>
  </si>
  <si>
    <t>(株)トランザス</t>
    <phoneticPr fontId="2"/>
  </si>
  <si>
    <t>ＵＵＵＭ(株)</t>
    <phoneticPr fontId="2"/>
  </si>
  <si>
    <t>ウォンテッドリー(株)</t>
    <phoneticPr fontId="2"/>
  </si>
  <si>
    <t>(株)ＰＫＳＨＡ　Ｔｅｃｈｎｏｌｏｇｙ</t>
    <phoneticPr fontId="2"/>
  </si>
  <si>
    <t>(株)壽屋</t>
    <phoneticPr fontId="2"/>
  </si>
  <si>
    <t>ロードスターキャピタル(株)</t>
    <phoneticPr fontId="2"/>
  </si>
  <si>
    <t>西本Ｗｉｓｍｅｔｔａｃホールディングス(株)</t>
    <phoneticPr fontId="2"/>
  </si>
  <si>
    <t>(株)マネーフォワード</t>
    <phoneticPr fontId="2"/>
  </si>
  <si>
    <t>テックポイント</t>
    <phoneticPr fontId="2"/>
  </si>
  <si>
    <t>ウェルビー(株)</t>
    <phoneticPr fontId="2"/>
  </si>
  <si>
    <t>ユナイテッド＆コレクティブ(株)</t>
    <phoneticPr fontId="3"/>
  </si>
  <si>
    <t>(株)ロコンド</t>
    <phoneticPr fontId="3"/>
  </si>
  <si>
    <t>(株)うるる</t>
    <phoneticPr fontId="3"/>
  </si>
  <si>
    <t>[1:4]（17/09/27）</t>
    <phoneticPr fontId="3"/>
  </si>
  <si>
    <t>(株)マクロミル</t>
    <phoneticPr fontId="3"/>
  </si>
  <si>
    <t>ソレイジア・ファーマ(株)</t>
    <phoneticPr fontId="3"/>
  </si>
  <si>
    <t>(株)ネットマーケティング</t>
    <phoneticPr fontId="3"/>
  </si>
  <si>
    <t>ソウルドアウト(株)</t>
    <phoneticPr fontId="2"/>
  </si>
  <si>
    <t>ユニフォームネクスト(株)</t>
    <phoneticPr fontId="2"/>
  </si>
  <si>
    <t>大阪油化工業(株)</t>
    <phoneticPr fontId="2"/>
  </si>
  <si>
    <t>東証JQS</t>
    <phoneticPr fontId="3"/>
  </si>
  <si>
    <t>なし</t>
    <phoneticPr fontId="3"/>
  </si>
  <si>
    <t>(株)レノバ</t>
    <phoneticPr fontId="3"/>
  </si>
  <si>
    <t>なし</t>
    <phoneticPr fontId="3"/>
  </si>
  <si>
    <t>なし</t>
    <phoneticPr fontId="3"/>
  </si>
  <si>
    <t>[1:2]（17/09/27）</t>
    <phoneticPr fontId="3"/>
  </si>
  <si>
    <t>(株)ほぼ日</t>
    <phoneticPr fontId="3"/>
  </si>
  <si>
    <t>ジャパンエレベーターサービスホールディングス(株)</t>
    <phoneticPr fontId="3"/>
  </si>
  <si>
    <t>(株)ビーグリー</t>
    <phoneticPr fontId="3"/>
  </si>
  <si>
    <t>(株)力の源ホールディングス</t>
    <phoneticPr fontId="3"/>
  </si>
  <si>
    <t>(株)インターネットインフィニティー</t>
    <phoneticPr fontId="3"/>
  </si>
  <si>
    <t>フルテック(株)</t>
    <phoneticPr fontId="3"/>
  </si>
  <si>
    <t>東証2部</t>
    <phoneticPr fontId="3"/>
  </si>
  <si>
    <t>(株)グリーンズ</t>
    <phoneticPr fontId="3"/>
  </si>
  <si>
    <t>(株)オロ</t>
    <phoneticPr fontId="3"/>
  </si>
  <si>
    <t>[1:2]（17/07/27）</t>
    <phoneticPr fontId="3"/>
  </si>
  <si>
    <t>(株)ティーケーピー</t>
    <phoneticPr fontId="3"/>
  </si>
  <si>
    <t>[1:7]（17/08/29）</t>
    <phoneticPr fontId="3"/>
  </si>
  <si>
    <t>(株)ズーム</t>
    <phoneticPr fontId="3"/>
  </si>
  <si>
    <t>(株)Ｎｏ．１</t>
    <phoneticPr fontId="3"/>
  </si>
  <si>
    <t>(株)オークネット</t>
    <phoneticPr fontId="3"/>
  </si>
  <si>
    <t>(株)スシローグローバルホールディングス</t>
    <phoneticPr fontId="3"/>
  </si>
  <si>
    <t>(株)ユーザーローカル</t>
    <phoneticPr fontId="3"/>
  </si>
  <si>
    <t>テモナ(株)</t>
    <phoneticPr fontId="3"/>
  </si>
  <si>
    <t>ウェーブロックホールディングス(株)</t>
    <phoneticPr fontId="3"/>
  </si>
  <si>
    <t>[1:1.1]（91/03/26）</t>
    <phoneticPr fontId="3"/>
  </si>
  <si>
    <t>(株)ＬＩＸＩＬビバ</t>
    <phoneticPr fontId="3"/>
  </si>
  <si>
    <t>[1:2]（17/08/29）</t>
    <phoneticPr fontId="3"/>
  </si>
  <si>
    <t>(株)アエリア</t>
    <phoneticPr fontId="2"/>
  </si>
  <si>
    <t>[1:2]（17/06/28）</t>
    <phoneticPr fontId="2"/>
  </si>
  <si>
    <t>なし</t>
    <phoneticPr fontId="2"/>
  </si>
  <si>
    <t>(株)メイコー</t>
    <phoneticPr fontId="2"/>
  </si>
  <si>
    <t>[1:2]（04/03/26）</t>
    <phoneticPr fontId="2"/>
  </si>
  <si>
    <t>[1:100]（13/09/26）</t>
    <phoneticPr fontId="2"/>
  </si>
  <si>
    <t>[1:0.979]（15/05/20）</t>
    <phoneticPr fontId="2"/>
  </si>
  <si>
    <t>[1:100]（14/03/27）</t>
    <phoneticPr fontId="2"/>
  </si>
  <si>
    <t>[1:5]（15/07/29）</t>
    <phoneticPr fontId="2"/>
  </si>
  <si>
    <t>[1:2]（12/12/26）</t>
    <phoneticPr fontId="2"/>
  </si>
  <si>
    <t>(株)ビーブレイクシステムズ</t>
    <phoneticPr fontId="2"/>
  </si>
  <si>
    <t>なし</t>
    <phoneticPr fontId="2"/>
  </si>
  <si>
    <t>ディーエムソリューションズ(株)</t>
    <phoneticPr fontId="2"/>
  </si>
  <si>
    <t>[1:2]（17/09/27）</t>
    <phoneticPr fontId="2"/>
  </si>
  <si>
    <t>なし</t>
    <phoneticPr fontId="2"/>
  </si>
  <si>
    <t>[1:0.895]（14/05/20）</t>
    <phoneticPr fontId="2"/>
  </si>
  <si>
    <t>(株)ツナグ・ソリューションズ</t>
    <phoneticPr fontId="2"/>
  </si>
  <si>
    <t>[1:2]（18/01/29）</t>
    <phoneticPr fontId="2"/>
  </si>
  <si>
    <t>[1:0.964]（14/10/20）</t>
    <phoneticPr fontId="2"/>
  </si>
  <si>
    <t>[1:100]（13/09/26）</t>
    <phoneticPr fontId="2"/>
  </si>
  <si>
    <t>なし</t>
    <phoneticPr fontId="2"/>
  </si>
  <si>
    <t>(株)エスユーエス</t>
    <phoneticPr fontId="2"/>
  </si>
  <si>
    <t>(株)ニーズウェル</t>
    <phoneticPr fontId="2"/>
  </si>
  <si>
    <t>(株)ＭＳ＆Ｃｏｎｓｕｌｔｉｎｇ</t>
    <phoneticPr fontId="2"/>
  </si>
  <si>
    <t>シー・エス・ランバー</t>
  </si>
  <si>
    <t>サインポスト</t>
  </si>
  <si>
    <t>不参加</t>
    <rPh sb="0" eb="3">
      <t>フサンカ</t>
    </rPh>
    <phoneticPr fontId="2"/>
  </si>
  <si>
    <t>ポエック</t>
  </si>
  <si>
    <t>幸和製作所</t>
  </si>
  <si>
    <t>塩漬負債120万…</t>
    <rPh sb="0" eb="1">
      <t>シオ</t>
    </rPh>
    <rPh sb="1" eb="2">
      <t>ヅケ</t>
    </rPh>
    <rPh sb="2" eb="4">
      <t>フサイ</t>
    </rPh>
    <rPh sb="7" eb="8">
      <t>マン</t>
    </rPh>
    <phoneticPr fontId="2"/>
  </si>
  <si>
    <t>トレードワークス</t>
  </si>
  <si>
    <t>クックビズ</t>
    <phoneticPr fontId="2"/>
  </si>
  <si>
    <t>不参加</t>
    <rPh sb="0" eb="3">
      <t>フサンカ</t>
    </rPh>
    <phoneticPr fontId="2"/>
  </si>
  <si>
    <t>アトリエはるか</t>
  </si>
  <si>
    <t>名古屋セントレックス</t>
    <rPh sb="0" eb="3">
      <t>ナゴヤ</t>
    </rPh>
    <phoneticPr fontId="8"/>
  </si>
  <si>
    <t>一家ダイニングプロジェクト</t>
  </si>
  <si>
    <t>ＳＧホールディングス</t>
  </si>
  <si>
    <t>アルヒ</t>
  </si>
  <si>
    <t>不参加</t>
    <rPh sb="0" eb="3">
      <t>フサンカ</t>
    </rPh>
    <phoneticPr fontId="2"/>
  </si>
  <si>
    <t>-</t>
    <phoneticPr fontId="2"/>
  </si>
  <si>
    <t>カチタス</t>
  </si>
  <si>
    <t>グローバル・リンク・マネジメント</t>
  </si>
  <si>
    <t>24万</t>
    <rPh sb="2" eb="3">
      <t>マン</t>
    </rPh>
    <phoneticPr fontId="8"/>
  </si>
  <si>
    <t>塩漬負債125万…</t>
    <rPh sb="0" eb="1">
      <t>シオ</t>
    </rPh>
    <rPh sb="1" eb="2">
      <t>ヅケ</t>
    </rPh>
    <rPh sb="2" eb="4">
      <t>フサイ</t>
    </rPh>
    <rPh sb="7" eb="8">
      <t>マン</t>
    </rPh>
    <phoneticPr fontId="2"/>
  </si>
  <si>
    <t>マツオカコーポレーション</t>
  </si>
  <si>
    <t>ヴィスコ・テクノロジーズ</t>
  </si>
  <si>
    <t>エル・ティー・エス</t>
  </si>
  <si>
    <t>-</t>
    <phoneticPr fontId="2"/>
  </si>
  <si>
    <t>コメント：</t>
    <phoneticPr fontId="8"/>
  </si>
  <si>
    <t>資金移動(IPO)</t>
    <rPh sb="0" eb="2">
      <t>シキン</t>
    </rPh>
    <rPh sb="2" eb="4">
      <t>イドウ</t>
    </rPh>
    <phoneticPr fontId="2"/>
  </si>
  <si>
    <t>イオレ</t>
  </si>
  <si>
    <t>HANATOUR JAPAN</t>
  </si>
  <si>
    <t>ナレッジスイート</t>
  </si>
  <si>
    <t>すららネット</t>
  </si>
  <si>
    <t>ジーニー</t>
  </si>
  <si>
    <t>歯愛メディカル</t>
  </si>
  <si>
    <t>みらいワークス</t>
  </si>
  <si>
    <t>不参加</t>
    <rPh sb="0" eb="3">
      <t>フサンカ</t>
    </rPh>
    <phoneticPr fontId="2"/>
  </si>
  <si>
    <t>-</t>
    <phoneticPr fontId="2"/>
  </si>
  <si>
    <t>オプトラン</t>
  </si>
  <si>
    <t>不参加</t>
    <rPh sb="0" eb="3">
      <t>フサンカ</t>
    </rPh>
    <phoneticPr fontId="2"/>
  </si>
  <si>
    <t>プレミアグループ</t>
  </si>
  <si>
    <t>森六ホールディングス</t>
    <phoneticPr fontId="2"/>
  </si>
  <si>
    <t>ミダック</t>
  </si>
  <si>
    <t>-</t>
    <phoneticPr fontId="2"/>
  </si>
  <si>
    <t>名証二部</t>
    <rPh sb="0" eb="2">
      <t>メイショウ</t>
    </rPh>
    <rPh sb="2" eb="4">
      <t>ニブ</t>
    </rPh>
    <phoneticPr fontId="8"/>
  </si>
  <si>
    <t>要興業</t>
  </si>
  <si>
    <t>ＡＢホテル</t>
  </si>
  <si>
    <t>-</t>
    <phoneticPr fontId="2"/>
  </si>
  <si>
    <t>不参加</t>
    <rPh sb="0" eb="3">
      <t>フサンカ</t>
    </rPh>
    <phoneticPr fontId="2"/>
  </si>
  <si>
    <t>オプティマスグループ</t>
  </si>
  <si>
    <r>
      <t>給料日</t>
    </r>
    <r>
      <rPr>
        <sz val="11"/>
        <color rgb="FF00B0F0"/>
        <rFont val="Meiryo UI"/>
        <family val="3"/>
        <charset val="128"/>
      </rPr>
      <t>、塩漬負債130万…</t>
    </r>
    <rPh sb="0" eb="3">
      <t>キュウリョウビ</t>
    </rPh>
    <rPh sb="4" eb="5">
      <t>シオ</t>
    </rPh>
    <rPh sb="5" eb="6">
      <t>ヅケ</t>
    </rPh>
    <rPh sb="6" eb="8">
      <t>フサイ</t>
    </rPh>
    <rPh sb="11" eb="12">
      <t>マン</t>
    </rPh>
    <phoneticPr fontId="2"/>
  </si>
  <si>
    <t>当選</t>
    <rPh sb="0" eb="2">
      <t>トウセン</t>
    </rPh>
    <phoneticPr fontId="8"/>
  </si>
  <si>
    <t>繰上当選</t>
    <rPh sb="0" eb="1">
      <t>ク</t>
    </rPh>
    <rPh sb="1" eb="2">
      <t>ウエ</t>
    </rPh>
    <rPh sb="2" eb="4">
      <t>トウセン</t>
    </rPh>
    <phoneticPr fontId="8"/>
  </si>
  <si>
    <t>36万</t>
    <rPh sb="2" eb="3">
      <t>マン</t>
    </rPh>
    <phoneticPr fontId="8"/>
  </si>
  <si>
    <r>
      <t>大和証券に金額プラス</t>
    </r>
    <r>
      <rPr>
        <sz val="11"/>
        <color rgb="FF00B0F0"/>
        <rFont val="Meiryo UI"/>
        <family val="3"/>
        <charset val="128"/>
      </rPr>
      <t>、塩漬負債140万…</t>
    </r>
    <rPh sb="0" eb="2">
      <t>ダイワ</t>
    </rPh>
    <rPh sb="2" eb="4">
      <t>ショウケン</t>
    </rPh>
    <rPh sb="5" eb="7">
      <t>キンガク</t>
    </rPh>
    <rPh sb="11" eb="12">
      <t>シオ</t>
    </rPh>
    <rPh sb="12" eb="13">
      <t>ヅケ</t>
    </rPh>
    <rPh sb="13" eb="15">
      <t>フサイ</t>
    </rPh>
    <rPh sb="18" eb="19">
      <t>マン</t>
    </rPh>
    <phoneticPr fontId="2"/>
  </si>
  <si>
    <t>上場延期</t>
    <rPh sb="0" eb="2">
      <t>ジョウジョウ</t>
    </rPh>
    <rPh sb="2" eb="4">
      <t>エンキ</t>
    </rPh>
    <phoneticPr fontId="2"/>
  </si>
  <si>
    <t>72万</t>
    <rPh sb="2" eb="3">
      <t>マン</t>
    </rPh>
    <phoneticPr fontId="8"/>
  </si>
  <si>
    <r>
      <t>ボーナス追加、</t>
    </r>
    <r>
      <rPr>
        <sz val="11"/>
        <color rgb="FF00B0F0"/>
        <rFont val="Meiryo UI"/>
        <family val="3"/>
        <charset val="128"/>
      </rPr>
      <t>塩漬は130万…</t>
    </r>
    <rPh sb="4" eb="6">
      <t>ツイカ</t>
    </rPh>
    <rPh sb="7" eb="8">
      <t>シオ</t>
    </rPh>
    <rPh sb="8" eb="9">
      <t>ヅ</t>
    </rPh>
    <rPh sb="13" eb="14">
      <t>マン</t>
    </rPh>
    <phoneticPr fontId="2"/>
  </si>
  <si>
    <t>Yuri-MONEX初当選</t>
    <rPh sb="10" eb="13">
      <t>ハツトウセン</t>
    </rPh>
    <phoneticPr fontId="2"/>
  </si>
  <si>
    <t>公募割れ(Yuri-補欠当選(落選)</t>
    <rPh sb="0" eb="3">
      <t>コウボワ</t>
    </rPh>
    <rPh sb="10" eb="12">
      <t>ホケツ</t>
    </rPh>
    <rPh sb="12" eb="14">
      <t>トウセン</t>
    </rPh>
    <rPh sb="15" eb="17">
      <t>ラクセン</t>
    </rPh>
    <phoneticPr fontId="2"/>
  </si>
  <si>
    <t>補欠当選(資金不足-非応募)</t>
    <rPh sb="0" eb="2">
      <t>ホケツ</t>
    </rPh>
    <rPh sb="2" eb="4">
      <t>トウセン</t>
    </rPh>
    <rPh sb="5" eb="7">
      <t>シキン</t>
    </rPh>
    <rPh sb="7" eb="9">
      <t>フソク</t>
    </rPh>
    <rPh sb="10" eb="11">
      <t>ヒ</t>
    </rPh>
    <rPh sb="11" eb="13">
      <t>オウボ</t>
    </rPh>
    <phoneticPr fontId="2"/>
  </si>
  <si>
    <t>Yuri-SBI補欠当選(落選)</t>
    <rPh sb="13" eb="15">
      <t>ラクセン</t>
    </rPh>
    <phoneticPr fontId="2"/>
  </si>
  <si>
    <t>公募割れ</t>
    <rPh sb="0" eb="3">
      <t>コウボワ</t>
    </rPh>
    <phoneticPr fontId="2"/>
  </si>
  <si>
    <t>-</t>
    <phoneticPr fontId="2"/>
  </si>
  <si>
    <t>公募割れ</t>
    <rPh sb="0" eb="3">
      <t>コウボワ</t>
    </rPh>
    <phoneticPr fontId="2"/>
  </si>
  <si>
    <t>BP</t>
    <phoneticPr fontId="8"/>
  </si>
  <si>
    <t>ZAIF</t>
    <phoneticPr fontId="8"/>
  </si>
  <si>
    <t>6万</t>
    <rPh sb="1" eb="2">
      <t>マン</t>
    </rPh>
    <phoneticPr fontId="8"/>
  </si>
  <si>
    <t>39万</t>
    <rPh sb="2" eb="3">
      <t>マン</t>
    </rPh>
    <phoneticPr fontId="8"/>
  </si>
  <si>
    <t>201万</t>
    <rPh sb="3" eb="4">
      <t>マン</t>
    </rPh>
    <phoneticPr fontId="8"/>
  </si>
  <si>
    <r>
      <t>仮想通貨口座追加、佐川IPO追加(大和)、</t>
    </r>
    <r>
      <rPr>
        <sz val="11"/>
        <color rgb="FF00B0F0"/>
        <rFont val="Meiryo UI"/>
        <family val="3"/>
        <charset val="128"/>
      </rPr>
      <t>塩漬口座出資額ベースに見直し(150万負債)</t>
    </r>
    <rPh sb="0" eb="2">
      <t>カソウ</t>
    </rPh>
    <rPh sb="2" eb="4">
      <t>ツウカ</t>
    </rPh>
    <rPh sb="4" eb="6">
      <t>コウザ</t>
    </rPh>
    <rPh sb="6" eb="8">
      <t>ツイカ</t>
    </rPh>
    <rPh sb="9" eb="11">
      <t>サガワ</t>
    </rPh>
    <rPh sb="14" eb="16">
      <t>ツイカ</t>
    </rPh>
    <rPh sb="17" eb="19">
      <t>ダイワ</t>
    </rPh>
    <rPh sb="21" eb="22">
      <t>シオ</t>
    </rPh>
    <rPh sb="22" eb="23">
      <t>ヅ</t>
    </rPh>
    <rPh sb="23" eb="25">
      <t>コウザ</t>
    </rPh>
    <rPh sb="25" eb="27">
      <t>シュッシ</t>
    </rPh>
    <rPh sb="27" eb="28">
      <t>ガク</t>
    </rPh>
    <rPh sb="32" eb="34">
      <t>ミナオ</t>
    </rPh>
    <rPh sb="39" eb="40">
      <t>マン</t>
    </rPh>
    <rPh sb="40" eb="42">
      <t>フサイ</t>
    </rPh>
    <phoneticPr fontId="2"/>
  </si>
  <si>
    <t>66万</t>
    <rPh sb="2" eb="3">
      <t>マン</t>
    </rPh>
    <phoneticPr fontId="8"/>
  </si>
  <si>
    <t>7万</t>
    <rPh sb="1" eb="2">
      <t>マン</t>
    </rPh>
    <phoneticPr fontId="8"/>
  </si>
  <si>
    <t>家賃更新料支払有</t>
    <rPh sb="0" eb="2">
      <t>ヤチン</t>
    </rPh>
    <rPh sb="2" eb="4">
      <t>コウシン</t>
    </rPh>
    <rPh sb="4" eb="5">
      <t>リョウ</t>
    </rPh>
    <rPh sb="5" eb="7">
      <t>シハライ</t>
    </rPh>
    <rPh sb="7" eb="8">
      <t>ア</t>
    </rPh>
    <phoneticPr fontId="2"/>
  </si>
  <si>
    <t>力の源HDから配当1800(配当所得税徴収額365円) ⇒ 1/1 365円還付,紹介PGで5000get</t>
    <rPh sb="0" eb="1">
      <t>チカラ</t>
    </rPh>
    <rPh sb="2" eb="3">
      <t>ミナモト</t>
    </rPh>
    <rPh sb="7" eb="9">
      <t>ハイトウ</t>
    </rPh>
    <rPh sb="25" eb="26">
      <t>エン</t>
    </rPh>
    <rPh sb="37" eb="38">
      <t>エン</t>
    </rPh>
    <rPh sb="38" eb="40">
      <t>カンプ</t>
    </rPh>
    <rPh sb="41" eb="43">
      <t>ショウカイ</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</si>
</sst>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Red]\-#,##0;0"/>
    <numFmt numFmtId="177" formatCode="\+0.00;[Red]\-0.00;0.00"/>
    <numFmt numFmtId="178" formatCode="m/d"/>
    <numFmt numFmtId="179" formatCode="#,##0_);[Red]\(#,##0\)"/>
    <numFmt numFmtId="180" formatCode="0.000_ "/>
    <numFmt numFmtId="181" formatCode="0_ ;[Red]\-0\ "/>
    <numFmt numFmtId="182" formatCode="#,##0.0;[Red]\-#,##0.0"/>
    <numFmt numFmtId="183" formatCode="yyyy&quot;年&quot;m&quot;月&quot;;@"/>
  </numFmts>
  <fonts count="26" x14ac:knownFonts="1">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
      <b/>
      <sz val="11"/>
      <color rgb="FF002060"/>
      <name val="Meiryo UI"/>
      <family val="3"/>
      <charset val="128"/>
    </font>
    <font>
      <sz val="11"/>
      <color rgb="FF00B0F0"/>
      <name val="Meiryo UI"/>
      <family val="3"/>
      <charset val="128"/>
    </font>
  </fonts>
  <fills count="23">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theme="4" tint="0.59999389629810485"/>
        <bgColor indexed="64"/>
      </patternFill>
    </fill>
    <fill>
      <patternFill patternType="solid">
        <fgColor rgb="FFE0FCFB"/>
        <bgColor indexed="64"/>
      </patternFill>
    </fill>
    <fill>
      <patternFill patternType="solid">
        <fgColor rgb="FF00B0F0"/>
        <bgColor indexed="64"/>
      </patternFill>
    </fill>
  </fills>
  <borders count="66">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
      <left style="thin">
        <color auto="1"/>
      </left>
      <right/>
      <top style="hair">
        <color auto="1"/>
      </top>
      <bottom style="thin">
        <color auto="1"/>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hair">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medium">
        <color indexed="64"/>
      </top>
      <bottom style="thin">
        <color indexed="64"/>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70">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3" xfId="3" applyFont="1" applyFill="1" applyBorder="1" applyAlignment="1">
      <alignment horizontal="center" vertical="center"/>
    </xf>
    <xf numFmtId="38" fontId="9" fillId="4" borderId="3" xfId="4" applyFont="1" applyFill="1" applyBorder="1" applyAlignment="1">
      <alignment horizontal="center" vertical="center"/>
    </xf>
    <xf numFmtId="0" fontId="10" fillId="5" borderId="4" xfId="5" applyFill="1" applyBorder="1" applyAlignment="1" applyProtection="1">
      <alignment horizontal="center" vertical="center"/>
    </xf>
    <xf numFmtId="179" fontId="9" fillId="4" borderId="3" xfId="3" applyNumberFormat="1" applyFont="1" applyFill="1" applyBorder="1" applyAlignment="1">
      <alignment horizontal="center" vertical="center"/>
    </xf>
    <xf numFmtId="0" fontId="7" fillId="3" borderId="3" xfId="3" applyFont="1" applyFill="1" applyBorder="1" applyAlignment="1">
      <alignment horizontal="center" vertical="center"/>
    </xf>
    <xf numFmtId="0" fontId="7" fillId="0" borderId="6" xfId="3" applyFont="1" applyBorder="1" applyAlignment="1">
      <alignment horizontal="center" vertical="center"/>
    </xf>
    <xf numFmtId="0" fontId="7" fillId="0" borderId="5"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8" xfId="3" applyFont="1" applyBorder="1" applyAlignment="1">
      <alignment horizontal="center" vertical="center"/>
    </xf>
    <xf numFmtId="0" fontId="7" fillId="0" borderId="10" xfId="3" applyFont="1" applyBorder="1" applyAlignment="1">
      <alignment horizontal="center" vertical="center"/>
    </xf>
    <xf numFmtId="0" fontId="10" fillId="0" borderId="0" xfId="5" applyAlignment="1" applyProtection="1">
      <alignment horizontal="left" vertical="center"/>
    </xf>
    <xf numFmtId="0" fontId="7" fillId="7" borderId="8" xfId="3" applyFont="1" applyFill="1" applyBorder="1" applyAlignment="1">
      <alignment horizontal="center" vertical="center"/>
    </xf>
    <xf numFmtId="14" fontId="7" fillId="7" borderId="8" xfId="3" applyNumberFormat="1" applyFont="1" applyFill="1" applyBorder="1" applyAlignment="1">
      <alignment horizontal="center" vertical="center"/>
    </xf>
    <xf numFmtId="38" fontId="12" fillId="7" borderId="8" xfId="4" applyFont="1" applyFill="1" applyBorder="1" applyAlignment="1">
      <alignment horizontal="center" vertical="center"/>
    </xf>
    <xf numFmtId="0" fontId="11" fillId="7" borderId="8" xfId="3" applyFont="1" applyFill="1" applyBorder="1" applyAlignment="1">
      <alignment horizontal="center" vertical="center"/>
    </xf>
    <xf numFmtId="179" fontId="7" fillId="7" borderId="8" xfId="3" applyNumberFormat="1" applyFont="1" applyFill="1" applyBorder="1" applyAlignment="1">
      <alignment horizontal="center" vertical="center"/>
    </xf>
    <xf numFmtId="38" fontId="7" fillId="7" borderId="8" xfId="4" applyFont="1" applyFill="1" applyBorder="1" applyAlignment="1">
      <alignment horizontal="center" vertical="center"/>
    </xf>
    <xf numFmtId="0" fontId="7" fillId="7" borderId="11" xfId="3" applyFont="1" applyFill="1" applyBorder="1" applyAlignment="1">
      <alignment horizontal="center" vertical="center"/>
    </xf>
    <xf numFmtId="14" fontId="7" fillId="7" borderId="11" xfId="3" applyNumberFormat="1" applyFont="1" applyFill="1" applyBorder="1" applyAlignment="1">
      <alignment horizontal="center" vertical="center"/>
    </xf>
    <xf numFmtId="38" fontId="12" fillId="7" borderId="11" xfId="4" applyFont="1" applyFill="1" applyBorder="1" applyAlignment="1">
      <alignment horizontal="center" vertical="center"/>
    </xf>
    <xf numFmtId="179" fontId="7" fillId="7" borderId="11" xfId="3" applyNumberFormat="1" applyFont="1" applyFill="1" applyBorder="1" applyAlignment="1">
      <alignment horizontal="center" vertical="center"/>
    </xf>
    <xf numFmtId="0" fontId="7" fillId="0" borderId="11" xfId="3" applyFont="1" applyBorder="1" applyAlignment="1">
      <alignment horizontal="center" vertical="center"/>
    </xf>
    <xf numFmtId="14" fontId="7" fillId="0" borderId="11" xfId="3" applyNumberFormat="1" applyFont="1" applyBorder="1" applyAlignment="1">
      <alignment horizontal="center" vertical="center"/>
    </xf>
    <xf numFmtId="38" fontId="7" fillId="0" borderId="11" xfId="4" applyFont="1" applyBorder="1" applyAlignment="1">
      <alignment horizontal="center" vertical="center"/>
    </xf>
    <xf numFmtId="0" fontId="7" fillId="8" borderId="8" xfId="3" applyFont="1" applyFill="1" applyBorder="1" applyAlignment="1">
      <alignment horizontal="center" vertical="center"/>
    </xf>
    <xf numFmtId="179" fontId="7" fillId="0" borderId="11" xfId="3" applyNumberFormat="1" applyFont="1" applyBorder="1" applyAlignment="1">
      <alignment horizontal="center" vertical="center"/>
    </xf>
    <xf numFmtId="38" fontId="7" fillId="0" borderId="8" xfId="4" applyFont="1" applyBorder="1" applyAlignment="1">
      <alignment horizontal="center" vertical="center"/>
    </xf>
    <xf numFmtId="38" fontId="13" fillId="0" borderId="0" xfId="4" applyFont="1" applyAlignment="1">
      <alignment horizontal="center" vertical="center"/>
    </xf>
    <xf numFmtId="181" fontId="7" fillId="0" borderId="0" xfId="3" applyNumberFormat="1" applyFont="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0" xfId="3" applyFont="1" applyFill="1" applyAlignment="1">
      <alignment horizontal="center" vertical="center"/>
    </xf>
    <xf numFmtId="0" fontId="9" fillId="0" borderId="14" xfId="3" applyFont="1" applyFill="1" applyBorder="1" applyAlignment="1">
      <alignment horizontal="center" vertical="center"/>
    </xf>
    <xf numFmtId="181" fontId="7" fillId="10" borderId="5" xfId="3" applyNumberFormat="1" applyFont="1" applyFill="1" applyBorder="1" applyAlignment="1">
      <alignment horizontal="center" vertical="center"/>
    </xf>
    <xf numFmtId="0" fontId="14" fillId="11" borderId="5" xfId="3" applyFont="1" applyFill="1" applyBorder="1" applyAlignment="1">
      <alignment horizontal="center" vertical="center"/>
    </xf>
    <xf numFmtId="38" fontId="14" fillId="11" borderId="5" xfId="3" applyNumberFormat="1" applyFont="1" applyFill="1" applyBorder="1" applyAlignment="1">
      <alignment horizontal="center" vertical="center"/>
    </xf>
    <xf numFmtId="3" fontId="14" fillId="11" borderId="5"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1" fontId="7" fillId="10" borderId="8" xfId="3" applyNumberFormat="1" applyFont="1" applyFill="1" applyBorder="1" applyAlignment="1">
      <alignment horizontal="center" vertical="center"/>
    </xf>
    <xf numFmtId="0" fontId="14" fillId="11" borderId="8" xfId="3" applyFont="1" applyFill="1" applyBorder="1" applyAlignment="1">
      <alignment horizontal="center" vertical="center"/>
    </xf>
    <xf numFmtId="38" fontId="14" fillId="11" borderId="8" xfId="3" applyNumberFormat="1" applyFont="1" applyFill="1" applyBorder="1" applyAlignment="1">
      <alignment horizontal="center" vertical="center"/>
    </xf>
    <xf numFmtId="3" fontId="14" fillId="11" borderId="8" xfId="4" applyNumberFormat="1" applyFont="1" applyFill="1" applyBorder="1" applyAlignment="1">
      <alignment horizontal="center" vertical="center"/>
    </xf>
    <xf numFmtId="181" fontId="7" fillId="3" borderId="8" xfId="3" applyNumberFormat="1" applyFont="1" applyFill="1" applyBorder="1" applyAlignment="1">
      <alignment horizontal="center" vertical="center"/>
    </xf>
    <xf numFmtId="0" fontId="14" fillId="12" borderId="8" xfId="3" applyFont="1" applyFill="1" applyBorder="1" applyAlignment="1">
      <alignment horizontal="center" vertical="center"/>
    </xf>
    <xf numFmtId="38" fontId="14" fillId="12" borderId="8" xfId="3" applyNumberFormat="1" applyFont="1" applyFill="1" applyBorder="1" applyAlignment="1">
      <alignment horizontal="center" vertical="center"/>
    </xf>
    <xf numFmtId="3" fontId="14" fillId="12" borderId="8" xfId="4" applyNumberFormat="1" applyFont="1" applyFill="1" applyBorder="1" applyAlignment="1">
      <alignment horizontal="center" vertical="center"/>
    </xf>
    <xf numFmtId="0" fontId="14" fillId="12" borderId="11" xfId="3" applyFont="1" applyFill="1" applyBorder="1" applyAlignment="1">
      <alignment horizontal="center" vertical="center"/>
    </xf>
    <xf numFmtId="38" fontId="14" fillId="12" borderId="11" xfId="3" applyNumberFormat="1" applyFont="1" applyFill="1" applyBorder="1" applyAlignment="1">
      <alignment horizontal="center" vertical="center"/>
    </xf>
    <xf numFmtId="3" fontId="14" fillId="12" borderId="11" xfId="4" applyNumberFormat="1" applyFont="1" applyFill="1" applyBorder="1" applyAlignment="1">
      <alignment horizontal="center" vertical="center"/>
    </xf>
    <xf numFmtId="14" fontId="9" fillId="0" borderId="15" xfId="3" applyNumberFormat="1" applyFont="1" applyFill="1" applyBorder="1" applyAlignment="1">
      <alignment horizontal="center" vertical="center"/>
    </xf>
    <xf numFmtId="38" fontId="7" fillId="0" borderId="15" xfId="4" applyFont="1" applyBorder="1" applyAlignment="1">
      <alignment horizontal="center" vertical="center"/>
    </xf>
    <xf numFmtId="14" fontId="9" fillId="0" borderId="16" xfId="3" applyNumberFormat="1" applyFont="1" applyFill="1" applyBorder="1" applyAlignment="1">
      <alignment horizontal="center" vertical="center"/>
    </xf>
    <xf numFmtId="38" fontId="7" fillId="0" borderId="16" xfId="4" applyFont="1" applyBorder="1" applyAlignment="1">
      <alignment horizontal="center" vertical="center"/>
    </xf>
    <xf numFmtId="180" fontId="7" fillId="0" borderId="7" xfId="3" applyNumberFormat="1" applyFont="1" applyFill="1" applyBorder="1" applyAlignment="1">
      <alignment horizontal="center" vertical="center"/>
    </xf>
    <xf numFmtId="0" fontId="7" fillId="0" borderId="7" xfId="3" applyFont="1" applyFill="1" applyBorder="1" applyAlignment="1">
      <alignment horizontal="center" vertical="center"/>
    </xf>
    <xf numFmtId="179" fontId="7" fillId="0" borderId="7" xfId="3" applyNumberFormat="1" applyFont="1" applyFill="1" applyBorder="1" applyAlignment="1">
      <alignment horizontal="center" vertical="center"/>
    </xf>
    <xf numFmtId="38" fontId="7" fillId="0" borderId="7" xfId="4" applyFont="1" applyFill="1" applyBorder="1" applyAlignment="1">
      <alignment horizontal="center" vertical="center"/>
    </xf>
    <xf numFmtId="14" fontId="7" fillId="0" borderId="7" xfId="3" applyNumberFormat="1" applyFont="1" applyFill="1" applyBorder="1" applyAlignment="1">
      <alignment horizontal="center" vertical="center"/>
    </xf>
    <xf numFmtId="38" fontId="7" fillId="0" borderId="7" xfId="3" applyNumberFormat="1" applyFont="1" applyFill="1" applyBorder="1" applyAlignment="1">
      <alignment horizontal="center" vertical="center"/>
    </xf>
    <xf numFmtId="181" fontId="7" fillId="0" borderId="7" xfId="3" applyNumberFormat="1" applyFont="1" applyFill="1" applyBorder="1" applyAlignment="1">
      <alignment horizontal="center" vertical="center"/>
    </xf>
    <xf numFmtId="3" fontId="7" fillId="0" borderId="7" xfId="4" applyNumberFormat="1" applyFont="1" applyBorder="1" applyAlignment="1">
      <alignment horizontal="center" vertical="center"/>
    </xf>
    <xf numFmtId="0" fontId="7" fillId="0" borderId="8" xfId="3" applyFont="1" applyFill="1" applyBorder="1" applyAlignment="1">
      <alignment horizontal="center" vertical="center"/>
    </xf>
    <xf numFmtId="179" fontId="7" fillId="0" borderId="8" xfId="3" applyNumberFormat="1" applyFont="1" applyFill="1" applyBorder="1" applyAlignment="1">
      <alignment horizontal="center" vertical="center"/>
    </xf>
    <xf numFmtId="38" fontId="7" fillId="0" borderId="8" xfId="4" applyFont="1" applyFill="1" applyBorder="1" applyAlignment="1">
      <alignment horizontal="center" vertical="center"/>
    </xf>
    <xf numFmtId="14" fontId="7" fillId="0" borderId="8" xfId="3" applyNumberFormat="1" applyFont="1" applyFill="1" applyBorder="1" applyAlignment="1">
      <alignment horizontal="center" vertical="center"/>
    </xf>
    <xf numFmtId="38" fontId="7" fillId="0" borderId="8" xfId="3" applyNumberFormat="1" applyFont="1" applyFill="1" applyBorder="1" applyAlignment="1">
      <alignment horizontal="center" vertical="center"/>
    </xf>
    <xf numFmtId="181" fontId="7" fillId="0" borderId="8" xfId="3" applyNumberFormat="1" applyFont="1" applyFill="1" applyBorder="1" applyAlignment="1">
      <alignment horizontal="center" vertical="center"/>
    </xf>
    <xf numFmtId="38" fontId="7" fillId="0" borderId="8" xfId="3" applyNumberFormat="1" applyFont="1" applyBorder="1" applyAlignment="1">
      <alignment horizontal="center" vertical="center"/>
    </xf>
    <xf numFmtId="3" fontId="7" fillId="0" borderId="8" xfId="4" applyNumberFormat="1" applyFont="1" applyBorder="1" applyAlignment="1">
      <alignment horizontal="center" vertical="center"/>
    </xf>
    <xf numFmtId="0" fontId="7" fillId="13" borderId="8" xfId="3" applyFont="1" applyFill="1" applyBorder="1" applyAlignment="1">
      <alignment horizontal="center" vertical="center"/>
    </xf>
    <xf numFmtId="179" fontId="7" fillId="13" borderId="8" xfId="3" applyNumberFormat="1" applyFont="1" applyFill="1" applyBorder="1" applyAlignment="1">
      <alignment horizontal="center" vertical="center"/>
    </xf>
    <xf numFmtId="38" fontId="7" fillId="13" borderId="8" xfId="4" applyFont="1" applyFill="1" applyBorder="1" applyAlignment="1">
      <alignment horizontal="center" vertical="center"/>
    </xf>
    <xf numFmtId="14" fontId="7" fillId="13" borderId="8" xfId="3" applyNumberFormat="1" applyFont="1" applyFill="1" applyBorder="1" applyAlignment="1">
      <alignment horizontal="center" vertical="center"/>
    </xf>
    <xf numFmtId="181" fontId="7" fillId="13" borderId="8" xfId="3" applyNumberFormat="1" applyFont="1" applyFill="1" applyBorder="1" applyAlignment="1">
      <alignment horizontal="center" vertical="center"/>
    </xf>
    <xf numFmtId="38" fontId="14" fillId="11" borderId="8" xfId="4" applyFont="1" applyFill="1" applyBorder="1" applyAlignment="1">
      <alignment horizontal="center" vertical="center"/>
    </xf>
    <xf numFmtId="0" fontId="11" fillId="0" borderId="0" xfId="3" applyFont="1">
      <alignment vertical="center"/>
    </xf>
    <xf numFmtId="38" fontId="7" fillId="13" borderId="8" xfId="3" applyNumberFormat="1" applyFont="1" applyFill="1" applyBorder="1" applyAlignment="1">
      <alignment horizontal="center" vertical="center"/>
    </xf>
    <xf numFmtId="38" fontId="14" fillId="12" borderId="8" xfId="4" applyFont="1" applyFill="1" applyBorder="1" applyAlignment="1">
      <alignment horizontal="center" vertical="center"/>
    </xf>
    <xf numFmtId="182" fontId="14" fillId="12" borderId="8" xfId="4" applyNumberFormat="1" applyFont="1" applyFill="1" applyBorder="1" applyAlignment="1">
      <alignment horizontal="center" vertical="center"/>
    </xf>
    <xf numFmtId="3" fontId="7" fillId="0" borderId="0" xfId="3" applyNumberFormat="1" applyFont="1">
      <alignment vertical="center"/>
    </xf>
    <xf numFmtId="40" fontId="14" fillId="12" borderId="8" xfId="4" applyNumberFormat="1" applyFont="1" applyFill="1" applyBorder="1" applyAlignment="1">
      <alignment horizontal="center" vertical="center"/>
    </xf>
    <xf numFmtId="38" fontId="13" fillId="0" borderId="8" xfId="4" applyFont="1" applyFill="1" applyBorder="1" applyAlignment="1">
      <alignment horizontal="center" vertical="center"/>
    </xf>
    <xf numFmtId="181" fontId="7" fillId="7" borderId="8" xfId="3" applyNumberFormat="1" applyFont="1" applyFill="1" applyBorder="1" applyAlignment="1">
      <alignment horizontal="center" vertical="center"/>
    </xf>
    <xf numFmtId="0" fontId="14" fillId="0" borderId="8" xfId="3" applyFont="1" applyFill="1" applyBorder="1" applyAlignment="1">
      <alignment horizontal="center" vertical="center"/>
    </xf>
    <xf numFmtId="0" fontId="7" fillId="14" borderId="8" xfId="3" applyFont="1" applyFill="1" applyBorder="1" applyAlignment="1">
      <alignment horizontal="center" vertical="center"/>
    </xf>
    <xf numFmtId="179" fontId="7" fillId="14" borderId="8" xfId="3" applyNumberFormat="1" applyFont="1" applyFill="1" applyBorder="1" applyAlignment="1">
      <alignment horizontal="center" vertical="center"/>
    </xf>
    <xf numFmtId="38" fontId="7" fillId="14" borderId="8" xfId="4" applyFont="1" applyFill="1" applyBorder="1" applyAlignment="1">
      <alignment horizontal="center" vertical="center"/>
    </xf>
    <xf numFmtId="14" fontId="7" fillId="14" borderId="8" xfId="3" applyNumberFormat="1" applyFont="1" applyFill="1" applyBorder="1" applyAlignment="1">
      <alignment horizontal="center" vertical="center"/>
    </xf>
    <xf numFmtId="38" fontId="7" fillId="14" borderId="8" xfId="3" applyNumberFormat="1" applyFont="1" applyFill="1" applyBorder="1" applyAlignment="1">
      <alignment horizontal="center" vertical="center"/>
    </xf>
    <xf numFmtId="181" fontId="7" fillId="14" borderId="8" xfId="3" applyNumberFormat="1" applyFont="1" applyFill="1" applyBorder="1" applyAlignment="1">
      <alignment horizontal="center" vertical="center"/>
    </xf>
    <xf numFmtId="0" fontId="14" fillId="14" borderId="8"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9" xfId="4" applyFont="1" applyFill="1" applyBorder="1" applyAlignment="1">
      <alignment horizontal="center" vertical="center"/>
    </xf>
    <xf numFmtId="38" fontId="7" fillId="0" borderId="17" xfId="4" applyFont="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5" xfId="3" applyFont="1" applyFill="1" applyBorder="1" applyAlignment="1">
      <alignment horizontal="center" vertical="center"/>
    </xf>
    <xf numFmtId="38" fontId="7" fillId="0" borderId="15" xfId="4" applyFont="1" applyBorder="1">
      <alignment vertical="center"/>
    </xf>
    <xf numFmtId="38" fontId="7" fillId="0" borderId="17" xfId="4" applyFont="1" applyBorder="1">
      <alignment vertical="center"/>
    </xf>
    <xf numFmtId="0" fontId="7" fillId="0" borderId="15" xfId="3" applyFont="1" applyBorder="1">
      <alignment vertical="center"/>
    </xf>
    <xf numFmtId="0" fontId="7" fillId="0" borderId="17" xfId="3" applyFont="1" applyBorder="1">
      <alignment vertical="center"/>
    </xf>
    <xf numFmtId="38" fontId="7" fillId="0" borderId="17" xfId="4" applyFont="1" applyFill="1" applyBorder="1">
      <alignment vertical="center"/>
    </xf>
    <xf numFmtId="38" fontId="7" fillId="3" borderId="17" xfId="4" applyFont="1" applyFill="1" applyBorder="1">
      <alignment vertical="center"/>
    </xf>
    <xf numFmtId="0" fontId="7" fillId="0" borderId="17" xfId="3" applyFont="1" applyFill="1" applyBorder="1">
      <alignment vertical="center"/>
    </xf>
    <xf numFmtId="0" fontId="7" fillId="3" borderId="17"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18" xfId="3" applyFont="1" applyBorder="1">
      <alignment vertical="center"/>
    </xf>
    <xf numFmtId="0" fontId="15" fillId="12" borderId="19" xfId="3" applyFont="1" applyFill="1" applyBorder="1" applyAlignment="1">
      <alignment horizontal="center" vertical="center"/>
    </xf>
    <xf numFmtId="0" fontId="15" fillId="12" borderId="20" xfId="3" applyFont="1" applyFill="1" applyBorder="1" applyAlignment="1">
      <alignment horizontal="center" vertical="center"/>
    </xf>
    <xf numFmtId="0" fontId="15" fillId="12" borderId="21" xfId="3" applyFont="1" applyFill="1" applyBorder="1" applyAlignment="1">
      <alignment horizontal="center" vertical="center"/>
    </xf>
    <xf numFmtId="0" fontId="15" fillId="12" borderId="22"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3" xfId="3" applyFont="1" applyBorder="1">
      <alignment vertical="center"/>
    </xf>
    <xf numFmtId="0" fontId="7" fillId="0" borderId="24" xfId="3" applyFont="1" applyBorder="1" applyAlignment="1">
      <alignment horizontal="center" vertical="center"/>
    </xf>
    <xf numFmtId="0" fontId="7" fillId="0" borderId="25" xfId="3" applyFont="1" applyBorder="1">
      <alignment vertical="center"/>
    </xf>
    <xf numFmtId="0" fontId="7" fillId="0" borderId="26" xfId="3" applyFont="1" applyBorder="1" applyAlignment="1">
      <alignment horizontal="center" vertical="center"/>
    </xf>
    <xf numFmtId="0" fontId="7" fillId="0" borderId="27" xfId="3" applyFont="1" applyBorder="1" applyAlignment="1">
      <alignment horizontal="center" vertical="center"/>
    </xf>
    <xf numFmtId="0" fontId="7" fillId="0" borderId="28" xfId="3" applyFont="1" applyBorder="1">
      <alignment vertical="center"/>
    </xf>
    <xf numFmtId="0" fontId="7" fillId="0" borderId="29" xfId="3" applyFont="1" applyBorder="1" applyAlignment="1">
      <alignment horizontal="center" vertical="center"/>
    </xf>
    <xf numFmtId="14" fontId="7" fillId="0" borderId="30"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0" xfId="3" applyFont="1" applyFill="1" applyBorder="1" applyAlignment="1">
      <alignment horizontal="center" vertical="center"/>
    </xf>
    <xf numFmtId="0" fontId="7" fillId="3" borderId="24" xfId="3" applyFont="1" applyFill="1" applyBorder="1" applyAlignment="1">
      <alignment horizontal="center" vertical="center"/>
    </xf>
    <xf numFmtId="0" fontId="7" fillId="0" borderId="10"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0" xfId="3" applyFont="1" applyFill="1" applyBorder="1" applyAlignment="1">
      <alignment horizontal="center" vertical="center"/>
    </xf>
    <xf numFmtId="0" fontId="7" fillId="3" borderId="8" xfId="3" applyFont="1" applyFill="1" applyBorder="1" applyAlignment="1">
      <alignment horizontal="center" vertical="center"/>
    </xf>
    <xf numFmtId="0" fontId="7" fillId="0" borderId="24" xfId="3" applyFont="1" applyFill="1" applyBorder="1" applyAlignment="1">
      <alignment horizontal="center" vertical="center"/>
    </xf>
    <xf numFmtId="0" fontId="7" fillId="0" borderId="26"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2" xfId="3" applyFont="1" applyFill="1" applyBorder="1" applyAlignment="1">
      <alignment horizontal="center" vertical="center"/>
    </xf>
    <xf numFmtId="0" fontId="7" fillId="0" borderId="31" xfId="3" applyFont="1" applyBorder="1" applyAlignment="1">
      <alignment horizontal="center" vertical="center"/>
    </xf>
    <xf numFmtId="0" fontId="7" fillId="0" borderId="32" xfId="3" applyFont="1" applyBorder="1" applyAlignment="1">
      <alignment horizontal="center" vertical="center"/>
    </xf>
    <xf numFmtId="38" fontId="7" fillId="0" borderId="33" xfId="4" applyFont="1" applyBorder="1" applyAlignment="1">
      <alignment horizontal="center" vertical="center"/>
    </xf>
    <xf numFmtId="38" fontId="7" fillId="0" borderId="34"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5" xfId="4" applyFont="1" applyBorder="1">
      <alignment vertical="center"/>
    </xf>
    <xf numFmtId="38" fontId="7" fillId="0" borderId="36" xfId="4" applyFont="1" applyBorder="1">
      <alignment vertical="center"/>
    </xf>
    <xf numFmtId="38" fontId="7" fillId="0" borderId="37" xfId="4" applyFont="1" applyBorder="1">
      <alignment vertical="center"/>
    </xf>
    <xf numFmtId="38" fontId="18" fillId="0" borderId="0" xfId="4" applyFont="1">
      <alignment vertical="center"/>
    </xf>
    <xf numFmtId="38" fontId="19" fillId="0" borderId="35" xfId="4" applyFont="1" applyBorder="1">
      <alignment vertical="center"/>
    </xf>
    <xf numFmtId="38" fontId="18" fillId="0" borderId="36" xfId="4" applyFont="1" applyBorder="1">
      <alignment vertical="center"/>
    </xf>
    <xf numFmtId="38" fontId="19" fillId="0" borderId="36" xfId="4" applyFont="1" applyBorder="1">
      <alignment vertical="center"/>
    </xf>
    <xf numFmtId="38" fontId="9" fillId="0" borderId="38" xfId="4" applyFont="1" applyBorder="1">
      <alignment vertical="center"/>
    </xf>
    <xf numFmtId="38" fontId="7" fillId="0" borderId="0" xfId="4" applyFont="1" applyBorder="1">
      <alignment vertical="center"/>
    </xf>
    <xf numFmtId="38" fontId="7" fillId="0" borderId="39" xfId="4" applyFont="1" applyBorder="1">
      <alignment vertical="center"/>
    </xf>
    <xf numFmtId="38" fontId="18" fillId="0" borderId="38"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0" xfId="4" applyFont="1" applyBorder="1">
      <alignment vertical="center"/>
    </xf>
    <xf numFmtId="38" fontId="7" fillId="0" borderId="41" xfId="4" applyFont="1" applyBorder="1">
      <alignment vertical="center"/>
    </xf>
    <xf numFmtId="38" fontId="7" fillId="0" borderId="42" xfId="4" applyFont="1" applyBorder="1">
      <alignment vertical="center"/>
    </xf>
    <xf numFmtId="38" fontId="7" fillId="0" borderId="0" xfId="4" quotePrefix="1" applyFont="1">
      <alignment vertical="center"/>
    </xf>
    <xf numFmtId="38" fontId="7" fillId="0" borderId="38" xfId="4" applyFont="1" applyBorder="1">
      <alignment vertical="center"/>
    </xf>
    <xf numFmtId="38" fontId="12" fillId="0" borderId="41"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47" xfId="3" applyNumberFormat="1" applyFont="1" applyFill="1" applyBorder="1">
      <alignment vertical="center"/>
    </xf>
    <xf numFmtId="14" fontId="7" fillId="16" borderId="48" xfId="3" applyNumberFormat="1" applyFont="1" applyFill="1" applyBorder="1">
      <alignment vertical="center"/>
    </xf>
    <xf numFmtId="14" fontId="7" fillId="0" borderId="49" xfId="3" applyNumberFormat="1" applyFont="1" applyBorder="1" applyAlignment="1">
      <alignment horizontal="center" vertical="center"/>
    </xf>
    <xf numFmtId="14" fontId="7" fillId="0" borderId="50" xfId="3" applyNumberFormat="1" applyFont="1" applyFill="1" applyBorder="1" applyAlignment="1">
      <alignment horizontal="center" vertical="center"/>
    </xf>
    <xf numFmtId="14" fontId="7" fillId="0" borderId="49" xfId="3" applyNumberFormat="1" applyFont="1" applyFill="1" applyBorder="1" applyAlignment="1">
      <alignment horizontal="center" vertical="center"/>
    </xf>
    <xf numFmtId="38" fontId="7" fillId="13" borderId="5" xfId="4" applyFont="1" applyFill="1" applyBorder="1" applyAlignment="1">
      <alignment horizontal="center" vertical="center"/>
    </xf>
    <xf numFmtId="179" fontId="7" fillId="13" borderId="5" xfId="3" applyNumberFormat="1" applyFont="1" applyFill="1" applyBorder="1" applyAlignment="1">
      <alignment horizontal="center" vertical="center"/>
    </xf>
    <xf numFmtId="180" fontId="7" fillId="13" borderId="5" xfId="3" applyNumberFormat="1" applyFont="1" applyFill="1" applyBorder="1" applyAlignment="1">
      <alignment horizontal="center" vertical="center"/>
    </xf>
    <xf numFmtId="0" fontId="7" fillId="0" borderId="7" xfId="3" applyFont="1" applyBorder="1">
      <alignment vertical="center"/>
    </xf>
    <xf numFmtId="38" fontId="7" fillId="0" borderId="7" xfId="4" applyFont="1" applyBorder="1">
      <alignment vertical="center"/>
    </xf>
    <xf numFmtId="38" fontId="7" fillId="16" borderId="14" xfId="4" applyFont="1" applyFill="1" applyBorder="1">
      <alignment vertical="center"/>
    </xf>
    <xf numFmtId="38" fontId="7" fillId="16" borderId="51" xfId="4" applyFont="1" applyFill="1" applyBorder="1">
      <alignment vertical="center"/>
    </xf>
    <xf numFmtId="10" fontId="7" fillId="0" borderId="52"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2" xfId="6" applyNumberFormat="1" applyFont="1" applyBorder="1">
      <alignment vertical="center"/>
    </xf>
    <xf numFmtId="180" fontId="7" fillId="13" borderId="8" xfId="3" applyNumberFormat="1" applyFont="1" applyFill="1" applyBorder="1" applyAlignment="1">
      <alignment horizontal="center" vertical="center"/>
    </xf>
    <xf numFmtId="0" fontId="7" fillId="0" borderId="8" xfId="3" applyFont="1" applyBorder="1">
      <alignment vertical="center"/>
    </xf>
    <xf numFmtId="38" fontId="7" fillId="0" borderId="8" xfId="4" applyFont="1" applyBorder="1">
      <alignment vertical="center"/>
    </xf>
    <xf numFmtId="38" fontId="7" fillId="16" borderId="53" xfId="4" applyFont="1" applyFill="1" applyBorder="1">
      <alignment vertical="center"/>
    </xf>
    <xf numFmtId="38" fontId="7" fillId="16" borderId="54" xfId="4" applyFont="1" applyFill="1" applyBorder="1">
      <alignment vertical="center"/>
    </xf>
    <xf numFmtId="10" fontId="7" fillId="7" borderId="55" xfId="6" applyNumberFormat="1" applyFont="1" applyFill="1" applyBorder="1" applyAlignment="1">
      <alignment horizontal="center" vertical="center"/>
    </xf>
    <xf numFmtId="10" fontId="7" fillId="7" borderId="12" xfId="6" applyNumberFormat="1" applyFont="1" applyFill="1" applyBorder="1" applyAlignment="1">
      <alignment horizontal="center" vertical="center"/>
    </xf>
    <xf numFmtId="10" fontId="14" fillId="17" borderId="55"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2" xfId="6" applyNumberFormat="1" applyFont="1" applyBorder="1">
      <alignment vertical="center"/>
    </xf>
    <xf numFmtId="10" fontId="7" fillId="0" borderId="12" xfId="6" applyNumberFormat="1" applyFont="1" applyBorder="1">
      <alignment vertical="center"/>
    </xf>
    <xf numFmtId="0" fontId="7" fillId="0" borderId="55" xfId="3" applyFont="1" applyBorder="1">
      <alignment vertical="center"/>
    </xf>
    <xf numFmtId="9" fontId="9" fillId="4" borderId="3" xfId="6" applyFont="1" applyFill="1" applyBorder="1" applyAlignment="1">
      <alignment horizontal="center" vertical="center"/>
    </xf>
    <xf numFmtId="9" fontId="15" fillId="17" borderId="3" xfId="6" applyFont="1" applyFill="1" applyBorder="1" applyAlignment="1">
      <alignment horizontal="center" vertical="center"/>
    </xf>
    <xf numFmtId="9" fontId="15" fillId="17" borderId="3" xfId="3" applyNumberFormat="1" applyFont="1" applyFill="1" applyBorder="1" applyAlignment="1">
      <alignment horizontal="center" vertical="center"/>
    </xf>
    <xf numFmtId="9" fontId="9" fillId="4" borderId="3" xfId="3" applyNumberFormat="1" applyFont="1" applyFill="1" applyBorder="1" applyAlignment="1">
      <alignment horizontal="center" vertical="center"/>
    </xf>
    <xf numFmtId="0" fontId="15" fillId="17" borderId="13" xfId="3" applyFont="1" applyFill="1" applyBorder="1" applyAlignment="1">
      <alignment horizontal="right" vertical="center"/>
    </xf>
    <xf numFmtId="38" fontId="9" fillId="0" borderId="13" xfId="4" applyFont="1" applyBorder="1" applyAlignment="1">
      <alignment horizontal="right" vertical="center"/>
    </xf>
    <xf numFmtId="38" fontId="7" fillId="0" borderId="53"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3" xfId="3" applyFont="1" applyBorder="1">
      <alignment vertical="center"/>
    </xf>
    <xf numFmtId="0" fontId="7" fillId="14" borderId="49" xfId="3" applyFont="1" applyFill="1" applyBorder="1">
      <alignment vertical="center"/>
    </xf>
    <xf numFmtId="0" fontId="7" fillId="14" borderId="55" xfId="3" applyFont="1" applyFill="1" applyBorder="1">
      <alignment vertical="center"/>
    </xf>
    <xf numFmtId="0" fontId="7" fillId="0" borderId="49" xfId="3" applyFont="1" applyBorder="1">
      <alignment vertical="center"/>
    </xf>
    <xf numFmtId="0" fontId="7" fillId="14" borderId="13" xfId="3" applyFont="1" applyFill="1" applyBorder="1">
      <alignment vertical="center"/>
    </xf>
    <xf numFmtId="0" fontId="7" fillId="0" borderId="47" xfId="3" applyFont="1" applyBorder="1">
      <alignment vertical="center"/>
    </xf>
    <xf numFmtId="0" fontId="7" fillId="0" borderId="14" xfId="3" applyFont="1" applyBorder="1">
      <alignment vertical="center"/>
    </xf>
    <xf numFmtId="0" fontId="7" fillId="0" borderId="53" xfId="3" applyFont="1" applyBorder="1">
      <alignment vertical="center"/>
    </xf>
    <xf numFmtId="0" fontId="7" fillId="14" borderId="47" xfId="3" applyFont="1" applyFill="1" applyBorder="1">
      <alignment vertical="center"/>
    </xf>
    <xf numFmtId="0" fontId="7" fillId="14" borderId="14" xfId="3" applyFont="1" applyFill="1" applyBorder="1">
      <alignment vertical="center"/>
    </xf>
    <xf numFmtId="0" fontId="7" fillId="14" borderId="53"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5" xfId="3" applyFont="1" applyFill="1" applyBorder="1" applyAlignment="1">
      <alignment horizontal="center" vertical="center"/>
    </xf>
    <xf numFmtId="14" fontId="7" fillId="18" borderId="5" xfId="3" applyNumberFormat="1" applyFont="1" applyFill="1" applyBorder="1" applyAlignment="1">
      <alignment horizontal="center" vertical="center"/>
    </xf>
    <xf numFmtId="38" fontId="7" fillId="18" borderId="5" xfId="4" applyFont="1" applyFill="1" applyBorder="1" applyAlignment="1">
      <alignment horizontal="center" vertical="center"/>
    </xf>
    <xf numFmtId="180" fontId="7" fillId="18" borderId="5" xfId="3" applyNumberFormat="1" applyFont="1" applyFill="1" applyBorder="1" applyAlignment="1">
      <alignment horizontal="center" vertical="center"/>
    </xf>
    <xf numFmtId="0" fontId="11" fillId="18" borderId="5" xfId="3" applyFont="1" applyFill="1" applyBorder="1" applyAlignment="1">
      <alignment horizontal="center" vertical="center"/>
    </xf>
    <xf numFmtId="179" fontId="7" fillId="18" borderId="5" xfId="3" applyNumberFormat="1" applyFont="1" applyFill="1" applyBorder="1" applyAlignment="1">
      <alignment horizontal="center" vertical="center"/>
    </xf>
    <xf numFmtId="0" fontId="7" fillId="18" borderId="8" xfId="3" applyFont="1" applyFill="1" applyBorder="1" applyAlignment="1">
      <alignment horizontal="center" vertical="center"/>
    </xf>
    <xf numFmtId="14" fontId="7" fillId="18" borderId="8" xfId="3" applyNumberFormat="1" applyFont="1" applyFill="1" applyBorder="1" applyAlignment="1">
      <alignment horizontal="center" vertical="center"/>
    </xf>
    <xf numFmtId="38" fontId="7" fillId="18" borderId="8" xfId="4" applyFont="1" applyFill="1" applyBorder="1" applyAlignment="1">
      <alignment horizontal="center" vertical="center"/>
    </xf>
    <xf numFmtId="0" fontId="11" fillId="18" borderId="8" xfId="3" applyFont="1" applyFill="1" applyBorder="1" applyAlignment="1">
      <alignment horizontal="center" vertical="center"/>
    </xf>
    <xf numFmtId="179" fontId="7" fillId="18" borderId="8" xfId="3" applyNumberFormat="1" applyFont="1" applyFill="1" applyBorder="1" applyAlignment="1">
      <alignment horizontal="center" vertical="center"/>
    </xf>
    <xf numFmtId="0" fontId="7" fillId="18" borderId="11" xfId="3" applyFont="1" applyFill="1" applyBorder="1" applyAlignment="1">
      <alignment horizontal="center" vertical="center"/>
    </xf>
    <xf numFmtId="14" fontId="7" fillId="18" borderId="11" xfId="3" applyNumberFormat="1" applyFont="1" applyFill="1" applyBorder="1" applyAlignment="1">
      <alignment horizontal="center" vertical="center"/>
    </xf>
    <xf numFmtId="38" fontId="7" fillId="18" borderId="11" xfId="4" applyFont="1" applyFill="1" applyBorder="1" applyAlignment="1">
      <alignment horizontal="center" vertical="center"/>
    </xf>
    <xf numFmtId="179" fontId="7" fillId="18" borderId="11" xfId="3" applyNumberFormat="1" applyFont="1" applyFill="1" applyBorder="1" applyAlignment="1">
      <alignment horizontal="center" vertical="center"/>
    </xf>
    <xf numFmtId="0" fontId="11" fillId="18" borderId="11" xfId="3" applyFont="1" applyFill="1" applyBorder="1" applyAlignment="1">
      <alignment horizontal="center" vertical="center"/>
    </xf>
    <xf numFmtId="38" fontId="12" fillId="18" borderId="8" xfId="4" applyFont="1" applyFill="1" applyBorder="1" applyAlignment="1">
      <alignment horizontal="center" vertical="center"/>
    </xf>
    <xf numFmtId="0" fontId="9" fillId="18" borderId="5" xfId="3" applyFont="1" applyFill="1" applyBorder="1" applyAlignment="1">
      <alignment horizontal="center" vertical="center"/>
    </xf>
    <xf numFmtId="179" fontId="9" fillId="18" borderId="5" xfId="3" applyNumberFormat="1" applyFont="1" applyFill="1" applyBorder="1" applyAlignment="1">
      <alignment horizontal="center" vertical="center"/>
    </xf>
    <xf numFmtId="38" fontId="9" fillId="18" borderId="5" xfId="4" applyFont="1" applyFill="1" applyBorder="1" applyAlignment="1">
      <alignment horizontal="center" vertical="center"/>
    </xf>
    <xf numFmtId="14" fontId="9" fillId="18" borderId="5" xfId="3" applyNumberFormat="1" applyFont="1" applyFill="1" applyBorder="1" applyAlignment="1">
      <alignment horizontal="center" vertical="center"/>
    </xf>
    <xf numFmtId="38" fontId="9" fillId="18" borderId="5" xfId="3" applyNumberFormat="1" applyFont="1" applyFill="1" applyBorder="1" applyAlignment="1">
      <alignment horizontal="center" vertical="center"/>
    </xf>
    <xf numFmtId="181" fontId="9" fillId="18" borderId="5" xfId="3" applyNumberFormat="1" applyFont="1" applyFill="1" applyBorder="1" applyAlignment="1">
      <alignment horizontal="center" vertical="center"/>
    </xf>
    <xf numFmtId="0" fontId="9" fillId="18" borderId="8" xfId="3" applyFont="1" applyFill="1" applyBorder="1" applyAlignment="1">
      <alignment horizontal="center" vertical="center"/>
    </xf>
    <xf numFmtId="179" fontId="9" fillId="18" borderId="8" xfId="3" applyNumberFormat="1" applyFont="1" applyFill="1" applyBorder="1" applyAlignment="1">
      <alignment horizontal="center" vertical="center"/>
    </xf>
    <xf numFmtId="38" fontId="9" fillId="18" borderId="8" xfId="4" applyFont="1" applyFill="1" applyBorder="1" applyAlignment="1">
      <alignment horizontal="center" vertical="center"/>
    </xf>
    <xf numFmtId="14" fontId="9" fillId="18" borderId="8" xfId="3" applyNumberFormat="1" applyFont="1" applyFill="1" applyBorder="1" applyAlignment="1">
      <alignment horizontal="center" vertical="center"/>
    </xf>
    <xf numFmtId="38" fontId="9" fillId="18" borderId="8" xfId="3" applyNumberFormat="1" applyFont="1" applyFill="1" applyBorder="1" applyAlignment="1">
      <alignment horizontal="center" vertical="center"/>
    </xf>
    <xf numFmtId="181" fontId="9" fillId="18" borderId="8" xfId="3" applyNumberFormat="1" applyFont="1" applyFill="1" applyBorder="1" applyAlignment="1">
      <alignment horizontal="center" vertical="center"/>
    </xf>
    <xf numFmtId="0" fontId="9" fillId="18" borderId="11" xfId="3" applyFont="1" applyFill="1" applyBorder="1" applyAlignment="1">
      <alignment horizontal="center" vertical="center"/>
    </xf>
    <xf numFmtId="179" fontId="9" fillId="18" borderId="11" xfId="3" applyNumberFormat="1" applyFont="1" applyFill="1" applyBorder="1" applyAlignment="1">
      <alignment horizontal="center" vertical="center"/>
    </xf>
    <xf numFmtId="38" fontId="9" fillId="18" borderId="11" xfId="4" applyFont="1" applyFill="1" applyBorder="1" applyAlignment="1">
      <alignment horizontal="center" vertical="center"/>
    </xf>
    <xf numFmtId="14" fontId="9" fillId="18" borderId="11" xfId="3" applyNumberFormat="1" applyFont="1" applyFill="1" applyBorder="1" applyAlignment="1">
      <alignment horizontal="center" vertical="center"/>
    </xf>
    <xf numFmtId="38" fontId="9" fillId="18" borderId="11" xfId="3" applyNumberFormat="1" applyFont="1" applyFill="1" applyBorder="1" applyAlignment="1">
      <alignment horizontal="center" vertical="center"/>
    </xf>
    <xf numFmtId="181" fontId="9" fillId="18" borderId="11" xfId="3" applyNumberFormat="1" applyFont="1" applyFill="1" applyBorder="1" applyAlignment="1">
      <alignment horizontal="center" vertical="center"/>
    </xf>
    <xf numFmtId="0" fontId="7" fillId="4" borderId="5" xfId="3" applyFont="1" applyFill="1" applyBorder="1" applyAlignment="1">
      <alignment horizontal="center" vertical="center"/>
    </xf>
    <xf numFmtId="38" fontId="7" fillId="4" borderId="6" xfId="4" applyFont="1" applyFill="1" applyBorder="1" applyAlignment="1">
      <alignment horizontal="center" vertical="center"/>
    </xf>
    <xf numFmtId="38" fontId="7" fillId="4" borderId="15" xfId="4" applyFont="1" applyFill="1" applyBorder="1" applyAlignment="1">
      <alignment horizontal="center" vertical="center"/>
    </xf>
    <xf numFmtId="0" fontId="7" fillId="4" borderId="8" xfId="3" applyFont="1" applyFill="1" applyBorder="1" applyAlignment="1">
      <alignment horizontal="center" vertical="center"/>
    </xf>
    <xf numFmtId="38" fontId="7" fillId="4" borderId="9" xfId="4" applyFont="1" applyFill="1" applyBorder="1" applyAlignment="1">
      <alignment horizontal="center" vertical="center"/>
    </xf>
    <xf numFmtId="38" fontId="7" fillId="4" borderId="17" xfId="4" applyFont="1" applyFill="1" applyBorder="1" applyAlignment="1">
      <alignment horizontal="center" vertical="center"/>
    </xf>
    <xf numFmtId="0" fontId="7" fillId="10" borderId="8" xfId="3" applyFont="1" applyFill="1" applyBorder="1" applyAlignment="1">
      <alignment horizontal="center" vertical="center"/>
    </xf>
    <xf numFmtId="38" fontId="7" fillId="10" borderId="9" xfId="4" applyFont="1" applyFill="1" applyBorder="1" applyAlignment="1">
      <alignment horizontal="center" vertical="center"/>
    </xf>
    <xf numFmtId="38" fontId="7" fillId="10" borderId="17" xfId="4" applyFont="1" applyFill="1" applyBorder="1" applyAlignment="1">
      <alignment horizontal="center" vertical="center"/>
    </xf>
    <xf numFmtId="179" fontId="7" fillId="10" borderId="8" xfId="3" applyNumberFormat="1" applyFont="1" applyFill="1" applyBorder="1" applyAlignment="1">
      <alignment horizontal="center" vertical="center"/>
    </xf>
    <xf numFmtId="38" fontId="7" fillId="10" borderId="8" xfId="4" applyFont="1" applyFill="1" applyBorder="1" applyAlignment="1">
      <alignment horizontal="center" vertical="center"/>
    </xf>
    <xf numFmtId="14" fontId="7" fillId="10" borderId="8" xfId="3" applyNumberFormat="1" applyFont="1" applyFill="1" applyBorder="1" applyAlignment="1">
      <alignment horizontal="center" vertical="center"/>
    </xf>
    <xf numFmtId="38" fontId="7" fillId="10" borderId="8" xfId="3" applyNumberFormat="1" applyFont="1" applyFill="1" applyBorder="1" applyAlignment="1">
      <alignment horizontal="center" vertical="center"/>
    </xf>
    <xf numFmtId="38" fontId="13" fillId="10" borderId="8" xfId="4" applyFont="1" applyFill="1" applyBorder="1" applyAlignment="1">
      <alignment horizontal="center" vertical="center"/>
    </xf>
    <xf numFmtId="38" fontId="11" fillId="10" borderId="8" xfId="4" applyFont="1" applyFill="1" applyBorder="1" applyAlignment="1">
      <alignment horizontal="center" vertical="center"/>
    </xf>
    <xf numFmtId="0" fontId="9" fillId="9" borderId="3" xfId="3" applyFont="1" applyFill="1" applyBorder="1" applyAlignment="1">
      <alignment horizontal="center" vertical="center"/>
    </xf>
    <xf numFmtId="179" fontId="9" fillId="9" borderId="3" xfId="3" applyNumberFormat="1" applyFont="1" applyFill="1" applyBorder="1" applyAlignment="1">
      <alignment horizontal="center" vertical="center"/>
    </xf>
    <xf numFmtId="38" fontId="9" fillId="9" borderId="3" xfId="4" applyFont="1" applyFill="1" applyBorder="1" applyAlignment="1">
      <alignment horizontal="center" vertical="center"/>
    </xf>
    <xf numFmtId="14" fontId="9" fillId="9" borderId="3" xfId="3" applyNumberFormat="1" applyFont="1" applyFill="1" applyBorder="1" applyAlignment="1">
      <alignment horizontal="center" vertical="center"/>
    </xf>
    <xf numFmtId="38" fontId="9" fillId="9" borderId="3" xfId="3" applyNumberFormat="1" applyFont="1" applyFill="1" applyBorder="1" applyAlignment="1">
      <alignment horizontal="center" vertical="center"/>
    </xf>
    <xf numFmtId="181" fontId="9" fillId="9" borderId="3" xfId="3" applyNumberFormat="1" applyFont="1" applyFill="1" applyBorder="1" applyAlignment="1">
      <alignment horizontal="center" vertical="center"/>
    </xf>
    <xf numFmtId="3" fontId="9" fillId="9" borderId="3" xfId="4" applyNumberFormat="1" applyFont="1" applyFill="1" applyBorder="1" applyAlignment="1">
      <alignment horizontal="center" vertical="center"/>
    </xf>
    <xf numFmtId="0" fontId="9" fillId="9" borderId="4"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5"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8"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1" fontId="7" fillId="10" borderId="11" xfId="3" applyNumberFormat="1" applyFont="1" applyFill="1" applyBorder="1" applyAlignment="1">
      <alignment horizontal="center" vertical="center"/>
    </xf>
    <xf numFmtId="0" fontId="14" fillId="11" borderId="11" xfId="3" applyFont="1" applyFill="1" applyBorder="1" applyAlignment="1">
      <alignment horizontal="center" vertical="center"/>
    </xf>
    <xf numFmtId="3" fontId="9" fillId="16" borderId="5" xfId="3" applyNumberFormat="1" applyFont="1" applyFill="1" applyBorder="1" applyAlignment="1">
      <alignment horizontal="center" vertical="center"/>
    </xf>
    <xf numFmtId="3" fontId="9" fillId="16" borderId="56" xfId="3" applyNumberFormat="1" applyFont="1" applyFill="1" applyBorder="1" applyAlignment="1">
      <alignment horizontal="center" vertical="center"/>
    </xf>
    <xf numFmtId="3" fontId="9" fillId="16" borderId="8" xfId="3" applyNumberFormat="1" applyFont="1" applyFill="1" applyBorder="1" applyAlignment="1">
      <alignment horizontal="center" vertical="center"/>
    </xf>
    <xf numFmtId="3" fontId="9" fillId="16" borderId="9" xfId="3" applyNumberFormat="1" applyFont="1" applyFill="1" applyBorder="1" applyAlignment="1">
      <alignment horizontal="center" vertical="center"/>
    </xf>
    <xf numFmtId="179" fontId="9" fillId="0" borderId="26" xfId="3" applyNumberFormat="1" applyFont="1" applyFill="1" applyBorder="1" applyAlignment="1">
      <alignment horizontal="center" vertical="center"/>
    </xf>
    <xf numFmtId="3" fontId="9" fillId="0" borderId="8" xfId="3" applyNumberFormat="1" applyFont="1" applyFill="1" applyBorder="1" applyAlignment="1">
      <alignment horizontal="center" vertical="center"/>
    </xf>
    <xf numFmtId="3" fontId="9" fillId="0" borderId="9" xfId="3" applyNumberFormat="1" applyFont="1" applyFill="1" applyBorder="1" applyAlignment="1">
      <alignment horizontal="center" vertical="center"/>
    </xf>
    <xf numFmtId="0" fontId="9" fillId="0" borderId="26" xfId="3" applyFont="1" applyBorder="1" applyAlignment="1">
      <alignment horizontal="center" vertical="center"/>
    </xf>
    <xf numFmtId="0" fontId="9" fillId="0" borderId="8" xfId="3" applyFont="1" applyBorder="1" applyAlignment="1">
      <alignment horizontal="center" vertical="center"/>
    </xf>
    <xf numFmtId="0" fontId="9" fillId="0" borderId="9" xfId="3" applyFont="1" applyBorder="1" applyAlignment="1">
      <alignment horizontal="center" vertical="center"/>
    </xf>
    <xf numFmtId="0" fontId="9" fillId="14" borderId="26" xfId="3" applyFont="1" applyFill="1" applyBorder="1" applyAlignment="1">
      <alignment horizontal="center" vertical="center"/>
    </xf>
    <xf numFmtId="0" fontId="9" fillId="14" borderId="8" xfId="3" applyFont="1" applyFill="1" applyBorder="1" applyAlignment="1">
      <alignment horizontal="center" vertical="center"/>
    </xf>
    <xf numFmtId="0" fontId="9" fillId="14" borderId="9" xfId="3" applyFont="1" applyFill="1" applyBorder="1" applyAlignment="1">
      <alignment horizontal="center" vertical="center"/>
    </xf>
    <xf numFmtId="0" fontId="7" fillId="0" borderId="29"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9" xfId="4" applyFont="1" applyFill="1" applyBorder="1" applyAlignment="1">
      <alignment horizontal="center" vertical="center"/>
    </xf>
    <xf numFmtId="38" fontId="7" fillId="8" borderId="17" xfId="4" applyFont="1" applyFill="1" applyBorder="1" applyAlignment="1">
      <alignment horizontal="center" vertical="center"/>
    </xf>
    <xf numFmtId="0" fontId="4" fillId="5" borderId="4" xfId="2" applyFill="1" applyBorder="1" applyAlignment="1" applyProtection="1">
      <alignment horizontal="center" vertical="center"/>
    </xf>
    <xf numFmtId="38" fontId="14" fillId="11" borderId="11" xfId="3" applyNumberFormat="1" applyFont="1" applyFill="1" applyBorder="1" applyAlignment="1">
      <alignment horizontal="center" vertical="center"/>
    </xf>
    <xf numFmtId="3" fontId="14" fillId="11" borderId="11" xfId="4" applyNumberFormat="1" applyFont="1" applyFill="1" applyBorder="1" applyAlignment="1">
      <alignment horizontal="center" vertical="center"/>
    </xf>
    <xf numFmtId="38" fontId="11" fillId="0" borderId="8" xfId="4" applyFont="1" applyFill="1" applyBorder="1" applyAlignment="1">
      <alignment horizontal="center" vertical="center"/>
    </xf>
    <xf numFmtId="0" fontId="9" fillId="0" borderId="52" xfId="3" applyFont="1" applyBorder="1">
      <alignment vertical="center"/>
    </xf>
    <xf numFmtId="0" fontId="9" fillId="0" borderId="14" xfId="3" applyFont="1" applyBorder="1">
      <alignment vertical="center"/>
    </xf>
    <xf numFmtId="0" fontId="9" fillId="0" borderId="51" xfId="3" applyFont="1" applyBorder="1">
      <alignment vertical="center"/>
    </xf>
    <xf numFmtId="179" fontId="9" fillId="16" borderId="8" xfId="3" applyNumberFormat="1" applyFont="1" applyFill="1" applyBorder="1" applyAlignment="1">
      <alignment horizontal="center" vertical="center"/>
    </xf>
    <xf numFmtId="0" fontId="9" fillId="9" borderId="57" xfId="3" applyFont="1" applyFill="1" applyBorder="1" applyAlignment="1">
      <alignment horizontal="center" vertical="center"/>
    </xf>
    <xf numFmtId="180" fontId="7" fillId="0" borderId="6" xfId="3" applyNumberFormat="1" applyFont="1" applyFill="1" applyBorder="1" applyAlignment="1">
      <alignment horizontal="center" vertical="center"/>
    </xf>
    <xf numFmtId="0" fontId="7" fillId="0" borderId="9" xfId="3" applyFont="1" applyFill="1" applyBorder="1" applyAlignment="1">
      <alignment horizontal="center" vertical="center"/>
    </xf>
    <xf numFmtId="0" fontId="9" fillId="9" borderId="58" xfId="3" applyFont="1" applyFill="1" applyBorder="1" applyAlignment="1">
      <alignment horizontal="center" vertical="center"/>
    </xf>
    <xf numFmtId="3" fontId="9" fillId="0" borderId="24" xfId="3" applyNumberFormat="1" applyFont="1" applyFill="1" applyBorder="1" applyAlignment="1">
      <alignment horizontal="center" vertical="center"/>
    </xf>
    <xf numFmtId="38" fontId="23" fillId="0" borderId="0" xfId="4" applyFont="1" applyAlignment="1">
      <alignment horizontal="left" vertical="center"/>
    </xf>
    <xf numFmtId="38" fontId="7" fillId="0" borderId="17" xfId="7" applyFont="1" applyBorder="1">
      <alignment vertical="center"/>
    </xf>
    <xf numFmtId="0" fontId="7" fillId="0" borderId="17" xfId="3" applyFont="1" applyFill="1" applyBorder="1" applyAlignment="1">
      <alignment horizontal="center" vertical="center"/>
    </xf>
    <xf numFmtId="181" fontId="7" fillId="17" borderId="8"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9" fillId="0" borderId="0" xfId="3" applyFont="1" applyAlignment="1">
      <alignment horizontal="left" vertical="center"/>
    </xf>
    <xf numFmtId="0" fontId="9" fillId="17" borderId="0" xfId="3" applyFont="1" applyFill="1" applyAlignment="1">
      <alignment horizontal="right" vertical="center"/>
    </xf>
    <xf numFmtId="0" fontId="9" fillId="7" borderId="0" xfId="3" applyFont="1" applyFill="1" applyAlignment="1">
      <alignment horizontal="right" vertical="center"/>
    </xf>
    <xf numFmtId="0" fontId="9" fillId="3" borderId="0" xfId="3" applyFont="1" applyFill="1" applyAlignment="1">
      <alignment horizontal="right" vertical="center"/>
    </xf>
    <xf numFmtId="0" fontId="9" fillId="19" borderId="0" xfId="3" applyFont="1" applyFill="1" applyAlignment="1">
      <alignment horizontal="right" vertical="center"/>
    </xf>
    <xf numFmtId="38" fontId="7" fillId="0" borderId="8" xfId="3" applyNumberFormat="1" applyFont="1" applyBorder="1">
      <alignment vertical="center"/>
    </xf>
    <xf numFmtId="3" fontId="7" fillId="0" borderId="8" xfId="3" applyNumberFormat="1" applyFont="1" applyBorder="1">
      <alignment vertical="center"/>
    </xf>
    <xf numFmtId="38" fontId="7" fillId="0" borderId="10" xfId="3" applyNumberFormat="1" applyFont="1" applyBorder="1">
      <alignment vertical="center"/>
    </xf>
    <xf numFmtId="3" fontId="7" fillId="0" borderId="10" xfId="3" applyNumberFormat="1" applyFont="1" applyBorder="1">
      <alignment vertical="center"/>
    </xf>
    <xf numFmtId="38" fontId="7" fillId="0" borderId="7" xfId="3" applyNumberFormat="1" applyFont="1" applyBorder="1">
      <alignment vertical="center"/>
    </xf>
    <xf numFmtId="0" fontId="9" fillId="10" borderId="0" xfId="3" applyFont="1" applyFill="1" applyAlignment="1">
      <alignment horizontal="right" vertical="center"/>
    </xf>
    <xf numFmtId="0" fontId="9" fillId="0" borderId="0" xfId="3" applyFont="1" applyAlignment="1">
      <alignment horizontal="center" vertical="center"/>
    </xf>
    <xf numFmtId="0" fontId="9" fillId="9" borderId="60" xfId="3" applyFont="1" applyFill="1" applyBorder="1" applyAlignment="1">
      <alignment horizontal="center" vertical="center"/>
    </xf>
    <xf numFmtId="3" fontId="7" fillId="0" borderId="25" xfId="3" applyNumberFormat="1" applyFont="1" applyBorder="1">
      <alignment vertical="center"/>
    </xf>
    <xf numFmtId="3" fontId="7" fillId="0" borderId="28" xfId="3" applyNumberFormat="1" applyFont="1" applyBorder="1">
      <alignment vertical="center"/>
    </xf>
    <xf numFmtId="0" fontId="7" fillId="20" borderId="8" xfId="3" applyFont="1" applyFill="1" applyBorder="1" applyAlignment="1">
      <alignment horizontal="center" vertical="center"/>
    </xf>
    <xf numFmtId="179" fontId="7" fillId="20" borderId="8" xfId="3" applyNumberFormat="1" applyFont="1" applyFill="1" applyBorder="1" applyAlignment="1">
      <alignment horizontal="center" vertical="center"/>
    </xf>
    <xf numFmtId="38" fontId="7" fillId="20" borderId="8" xfId="4" applyFont="1" applyFill="1" applyBorder="1" applyAlignment="1">
      <alignment horizontal="center" vertical="center"/>
    </xf>
    <xf numFmtId="14" fontId="7" fillId="20" borderId="8" xfId="3" applyNumberFormat="1" applyFont="1" applyFill="1" applyBorder="1" applyAlignment="1">
      <alignment horizontal="center" vertical="center"/>
    </xf>
    <xf numFmtId="38" fontId="7" fillId="20" borderId="8" xfId="3" applyNumberFormat="1" applyFont="1" applyFill="1" applyBorder="1" applyAlignment="1">
      <alignment horizontal="center" vertical="center"/>
    </xf>
    <xf numFmtId="181" fontId="7" fillId="20" borderId="8" xfId="3" applyNumberFormat="1" applyFont="1" applyFill="1" applyBorder="1" applyAlignment="1">
      <alignment horizontal="center" vertical="center"/>
    </xf>
    <xf numFmtId="38" fontId="7" fillId="20" borderId="0" xfId="4" applyFont="1" applyFill="1" applyBorder="1" applyAlignment="1">
      <alignment horizontal="center" vertical="center"/>
    </xf>
    <xf numFmtId="38" fontId="7" fillId="20" borderId="0" xfId="4" applyFont="1" applyFill="1" applyAlignment="1">
      <alignment horizontal="center" vertical="center"/>
    </xf>
    <xf numFmtId="0" fontId="0" fillId="7" borderId="0" xfId="0" applyFill="1">
      <alignment vertical="center"/>
    </xf>
    <xf numFmtId="38" fontId="0" fillId="7" borderId="0" xfId="7" applyFont="1" applyFill="1">
      <alignment vertical="center"/>
    </xf>
    <xf numFmtId="38" fontId="0" fillId="0" borderId="0" xfId="7" applyFont="1">
      <alignment vertical="center"/>
    </xf>
    <xf numFmtId="0" fontId="9" fillId="0" borderId="0" xfId="0" applyFont="1" applyAlignment="1">
      <alignment horizontal="center" vertical="center"/>
    </xf>
    <xf numFmtId="0" fontId="9" fillId="7" borderId="0" xfId="0" applyFont="1" applyFill="1" applyAlignment="1">
      <alignment horizontal="center" vertical="center"/>
    </xf>
    <xf numFmtId="14" fontId="9" fillId="0" borderId="0" xfId="0" applyNumberFormat="1" applyFont="1">
      <alignment vertical="center"/>
    </xf>
    <xf numFmtId="0" fontId="9" fillId="0" borderId="0" xfId="0" applyFont="1">
      <alignment vertical="center"/>
    </xf>
    <xf numFmtId="38" fontId="9" fillId="0" borderId="20" xfId="4" applyFont="1" applyFill="1" applyBorder="1" applyAlignment="1">
      <alignment horizontal="center" vertical="center"/>
    </xf>
    <xf numFmtId="38" fontId="7" fillId="21" borderId="7" xfId="3" applyNumberFormat="1" applyFont="1" applyFill="1" applyBorder="1">
      <alignment vertical="center"/>
    </xf>
    <xf numFmtId="38" fontId="7" fillId="21" borderId="8" xfId="3" applyNumberFormat="1" applyFont="1" applyFill="1" applyBorder="1">
      <alignment vertical="center"/>
    </xf>
    <xf numFmtId="38" fontId="7" fillId="21" borderId="10" xfId="3" applyNumberFormat="1" applyFont="1" applyFill="1" applyBorder="1">
      <alignment vertical="center"/>
    </xf>
    <xf numFmtId="38" fontId="7" fillId="21" borderId="7" xfId="7" applyFont="1" applyFill="1" applyBorder="1">
      <alignment vertical="center"/>
    </xf>
    <xf numFmtId="38" fontId="7" fillId="21" borderId="8" xfId="7" applyFont="1" applyFill="1" applyBorder="1">
      <alignment vertical="center"/>
    </xf>
    <xf numFmtId="38" fontId="7" fillId="21" borderId="10" xfId="7" applyFont="1" applyFill="1" applyBorder="1">
      <alignment vertical="center"/>
    </xf>
    <xf numFmtId="3" fontId="7" fillId="21" borderId="7" xfId="3" applyNumberFormat="1" applyFont="1" applyFill="1" applyBorder="1">
      <alignment vertical="center"/>
    </xf>
    <xf numFmtId="3" fontId="7" fillId="21" borderId="8" xfId="3" applyNumberFormat="1" applyFont="1" applyFill="1" applyBorder="1">
      <alignment vertical="center"/>
    </xf>
    <xf numFmtId="3" fontId="7" fillId="21" borderId="10" xfId="3" applyNumberFormat="1" applyFont="1" applyFill="1" applyBorder="1">
      <alignment vertical="center"/>
    </xf>
    <xf numFmtId="38" fontId="7" fillId="21" borderId="9" xfId="7" applyFont="1" applyFill="1" applyBorder="1">
      <alignment vertical="center"/>
    </xf>
    <xf numFmtId="38" fontId="7" fillId="21" borderId="59" xfId="7" applyFont="1" applyFill="1" applyBorder="1">
      <alignment vertical="center"/>
    </xf>
    <xf numFmtId="0" fontId="9" fillId="21" borderId="0" xfId="3" applyFont="1" applyFill="1">
      <alignment vertical="center"/>
    </xf>
    <xf numFmtId="38" fontId="11" fillId="0" borderId="0" xfId="4" applyFont="1" applyAlignment="1">
      <alignment horizontal="center" vertical="center"/>
    </xf>
    <xf numFmtId="38" fontId="7" fillId="0" borderId="6" xfId="7" applyFont="1" applyFill="1" applyBorder="1">
      <alignment vertical="center"/>
    </xf>
    <xf numFmtId="3" fontId="7" fillId="21" borderId="61" xfId="3" applyNumberFormat="1" applyFont="1" applyFill="1" applyBorder="1">
      <alignment vertical="center"/>
    </xf>
    <xf numFmtId="0" fontId="24" fillId="9" borderId="19" xfId="3" applyFont="1" applyFill="1" applyBorder="1" applyAlignment="1">
      <alignment horizontal="center" vertical="center"/>
    </xf>
    <xf numFmtId="0" fontId="24" fillId="9" borderId="20" xfId="3" applyFont="1" applyFill="1" applyBorder="1" applyAlignment="1">
      <alignment horizontal="center" vertical="center"/>
    </xf>
    <xf numFmtId="0" fontId="24" fillId="9" borderId="22" xfId="3" applyFont="1" applyFill="1" applyBorder="1" applyAlignment="1">
      <alignment horizontal="center" vertical="center"/>
    </xf>
    <xf numFmtId="10" fontId="7" fillId="0" borderId="62" xfId="8" applyNumberFormat="1" applyFont="1" applyBorder="1" applyAlignment="1">
      <alignment horizontal="center" vertical="center"/>
    </xf>
    <xf numFmtId="10" fontId="7" fillId="0" borderId="63" xfId="8" applyNumberFormat="1" applyFont="1" applyBorder="1" applyAlignment="1">
      <alignment horizontal="center" vertical="center"/>
    </xf>
    <xf numFmtId="10" fontId="7" fillId="0" borderId="64" xfId="8" applyNumberFormat="1" applyFont="1" applyBorder="1" applyAlignment="1">
      <alignment horizontal="center" vertical="center"/>
    </xf>
    <xf numFmtId="0" fontId="7" fillId="3" borderId="11" xfId="3" applyFont="1" applyFill="1" applyBorder="1" applyAlignment="1">
      <alignment horizontal="center" vertical="center"/>
    </xf>
    <xf numFmtId="14" fontId="7" fillId="3" borderId="11" xfId="3" applyNumberFormat="1" applyFont="1" applyFill="1" applyBorder="1" applyAlignment="1">
      <alignment horizontal="center" vertical="center"/>
    </xf>
    <xf numFmtId="38" fontId="7" fillId="3" borderId="11" xfId="4" applyFont="1" applyFill="1" applyBorder="1" applyAlignment="1">
      <alignment horizontal="center" vertical="center"/>
    </xf>
    <xf numFmtId="0" fontId="11" fillId="3" borderId="11" xfId="3" applyFont="1" applyFill="1" applyBorder="1" applyAlignment="1">
      <alignment horizontal="center" vertical="center"/>
    </xf>
    <xf numFmtId="179" fontId="7" fillId="3" borderId="11" xfId="3" applyNumberFormat="1" applyFont="1" applyFill="1" applyBorder="1" applyAlignment="1">
      <alignment horizontal="center" vertical="center"/>
    </xf>
    <xf numFmtId="0" fontId="9" fillId="3" borderId="11" xfId="3" applyFont="1" applyFill="1" applyBorder="1" applyAlignment="1">
      <alignment horizontal="center" vertical="center"/>
    </xf>
    <xf numFmtId="38" fontId="11" fillId="18" borderId="11" xfId="4" applyFont="1" applyFill="1" applyBorder="1" applyAlignment="1">
      <alignment horizontal="center" vertical="center"/>
    </xf>
    <xf numFmtId="0" fontId="7" fillId="0" borderId="11" xfId="3" applyFont="1" applyFill="1" applyBorder="1" applyAlignment="1">
      <alignment horizontal="center" vertical="center"/>
    </xf>
    <xf numFmtId="38" fontId="7" fillId="8" borderId="16" xfId="4" applyFont="1" applyFill="1" applyBorder="1" applyAlignment="1">
      <alignment horizontal="center" vertical="center"/>
    </xf>
    <xf numFmtId="38" fontId="11" fillId="14" borderId="8" xfId="4" applyFont="1" applyFill="1" applyBorder="1" applyAlignment="1">
      <alignment horizontal="center" vertical="center"/>
    </xf>
    <xf numFmtId="0" fontId="7" fillId="22" borderId="10" xfId="3" applyFont="1" applyFill="1" applyBorder="1" applyAlignment="1">
      <alignment horizontal="center" vertical="center"/>
    </xf>
    <xf numFmtId="38" fontId="7" fillId="7" borderId="11" xfId="4" applyFont="1" applyFill="1" applyBorder="1" applyAlignment="1">
      <alignment horizontal="center" vertical="center"/>
    </xf>
    <xf numFmtId="0" fontId="11" fillId="7" borderId="11" xfId="3" applyFont="1" applyFill="1" applyBorder="1" applyAlignment="1">
      <alignment horizontal="center" vertical="center"/>
    </xf>
    <xf numFmtId="0" fontId="7" fillId="8" borderId="11" xfId="3" applyFont="1" applyFill="1" applyBorder="1" applyAlignment="1">
      <alignment horizontal="center" vertical="center"/>
    </xf>
    <xf numFmtId="14" fontId="7" fillId="8" borderId="11" xfId="3" applyNumberFormat="1" applyFont="1" applyFill="1" applyBorder="1" applyAlignment="1">
      <alignment horizontal="center" vertical="center"/>
    </xf>
    <xf numFmtId="38" fontId="7" fillId="8" borderId="11" xfId="4" applyFont="1" applyFill="1" applyBorder="1" applyAlignment="1">
      <alignment horizontal="center" vertical="center"/>
    </xf>
    <xf numFmtId="179" fontId="7" fillId="8" borderId="11" xfId="3" applyNumberFormat="1" applyFont="1" applyFill="1" applyBorder="1" applyAlignment="1">
      <alignment horizontal="center" vertical="center"/>
    </xf>
    <xf numFmtId="179" fontId="7" fillId="8" borderId="8" xfId="3" applyNumberFormat="1" applyFont="1" applyFill="1" applyBorder="1" applyAlignment="1">
      <alignment horizontal="center" vertical="center"/>
    </xf>
    <xf numFmtId="38" fontId="7" fillId="8" borderId="8" xfId="4" applyFont="1" applyFill="1" applyBorder="1" applyAlignment="1">
      <alignment horizontal="center" vertical="center"/>
    </xf>
    <xf numFmtId="14" fontId="7" fillId="8" borderId="8" xfId="3" applyNumberFormat="1" applyFont="1" applyFill="1" applyBorder="1" applyAlignment="1">
      <alignment horizontal="center" vertical="center"/>
    </xf>
    <xf numFmtId="38" fontId="7" fillId="8" borderId="8" xfId="3" applyNumberFormat="1" applyFont="1" applyFill="1" applyBorder="1" applyAlignment="1">
      <alignment horizontal="center" vertical="center"/>
    </xf>
    <xf numFmtId="181" fontId="7" fillId="8" borderId="8" xfId="3" applyNumberFormat="1" applyFont="1" applyFill="1" applyBorder="1" applyAlignment="1">
      <alignment horizontal="center" vertical="center"/>
    </xf>
    <xf numFmtId="0" fontId="14" fillId="8" borderId="8" xfId="3" applyFont="1" applyFill="1" applyBorder="1" applyAlignment="1">
      <alignment horizontal="center" vertical="center"/>
    </xf>
    <xf numFmtId="3" fontId="7" fillId="8" borderId="8" xfId="4" applyNumberFormat="1" applyFont="1" applyFill="1" applyBorder="1" applyAlignment="1">
      <alignment horizontal="center" vertical="center"/>
    </xf>
    <xf numFmtId="0" fontId="7" fillId="8" borderId="0" xfId="3" applyFont="1" applyFill="1">
      <alignment vertical="center"/>
    </xf>
    <xf numFmtId="10" fontId="7" fillId="8" borderId="0" xfId="6" applyNumberFormat="1" applyFont="1" applyFill="1" applyAlignment="1">
      <alignment horizontal="center" vertical="center"/>
    </xf>
    <xf numFmtId="0" fontId="7" fillId="8" borderId="0" xfId="3" applyFont="1" applyFill="1" applyAlignment="1">
      <alignment horizontal="center" vertical="center"/>
    </xf>
    <xf numFmtId="38" fontId="7" fillId="8" borderId="0" xfId="3" applyNumberFormat="1" applyFont="1" applyFill="1" applyAlignment="1">
      <alignment horizontal="center" vertical="center"/>
    </xf>
    <xf numFmtId="3" fontId="7" fillId="8" borderId="0" xfId="3" applyNumberFormat="1" applyFont="1" applyFill="1" applyAlignment="1">
      <alignment horizontal="center" vertical="center"/>
    </xf>
    <xf numFmtId="10" fontId="7" fillId="8" borderId="0" xfId="8" applyNumberFormat="1" applyFont="1" applyFill="1" applyAlignment="1">
      <alignment horizontal="center" vertical="center"/>
    </xf>
    <xf numFmtId="14" fontId="7" fillId="0" borderId="0" xfId="3" applyNumberFormat="1" applyFont="1">
      <alignment vertical="center"/>
    </xf>
    <xf numFmtId="179" fontId="9" fillId="3" borderId="12" xfId="3" applyNumberFormat="1" applyFont="1" applyFill="1" applyBorder="1" applyAlignment="1">
      <alignment vertical="center"/>
    </xf>
    <xf numFmtId="0" fontId="7" fillId="0" borderId="65" xfId="3" applyFont="1" applyBorder="1" applyAlignment="1">
      <alignment horizontal="center" vertical="center"/>
    </xf>
    <xf numFmtId="14" fontId="7" fillId="0" borderId="42" xfId="3" applyNumberFormat="1" applyFont="1" applyBorder="1">
      <alignment vertical="center"/>
    </xf>
    <xf numFmtId="0" fontId="6" fillId="2" borderId="0" xfId="3" applyFont="1" applyFill="1" applyAlignment="1">
      <alignment horizontal="center" vertical="center"/>
    </xf>
    <xf numFmtId="0" fontId="6" fillId="2" borderId="12" xfId="3"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183" fontId="9" fillId="3" borderId="1" xfId="3" applyNumberFormat="1" applyFont="1" applyFill="1" applyBorder="1" applyAlignment="1">
      <alignment horizontal="center" vertical="center"/>
    </xf>
    <xf numFmtId="183" fontId="9" fillId="3" borderId="2" xfId="3" applyNumberFormat="1" applyFont="1" applyFill="1" applyBorder="1" applyAlignment="1">
      <alignment horizontal="center" vertical="center"/>
    </xf>
    <xf numFmtId="38" fontId="9" fillId="0" borderId="19" xfId="3" applyNumberFormat="1" applyFont="1" applyBorder="1" applyAlignment="1">
      <alignment horizontal="center" vertical="center"/>
    </xf>
    <xf numFmtId="0" fontId="9" fillId="0" borderId="22" xfId="3" applyFont="1" applyBorder="1" applyAlignment="1">
      <alignment horizontal="center" vertical="center"/>
    </xf>
    <xf numFmtId="38" fontId="9" fillId="6" borderId="43" xfId="4" applyFont="1" applyFill="1" applyBorder="1" applyAlignment="1">
      <alignment horizontal="center" vertical="center"/>
    </xf>
    <xf numFmtId="38" fontId="9" fillId="6" borderId="44" xfId="4" applyFont="1" applyFill="1" applyBorder="1" applyAlignment="1">
      <alignment horizontal="center" vertical="center"/>
    </xf>
    <xf numFmtId="38" fontId="9" fillId="6" borderId="45" xfId="4" applyFont="1" applyFill="1" applyBorder="1" applyAlignment="1">
      <alignment horizontal="center" vertical="center"/>
    </xf>
    <xf numFmtId="38" fontId="9" fillId="6" borderId="46" xfId="4" applyFont="1" applyFill="1" applyBorder="1" applyAlignment="1">
      <alignment horizontal="center" vertical="center"/>
    </xf>
    <xf numFmtId="0" fontId="7" fillId="14" borderId="47" xfId="3" applyFont="1" applyFill="1" applyBorder="1" applyAlignment="1">
      <alignment horizontal="left" vertical="center"/>
    </xf>
    <xf numFmtId="0" fontId="7" fillId="14" borderId="53" xfId="3" applyFont="1" applyFill="1" applyBorder="1" applyAlignment="1">
      <alignment horizontal="left" vertical="center"/>
    </xf>
    <xf numFmtId="0" fontId="7" fillId="0" borderId="47" xfId="3" applyFont="1" applyBorder="1" applyAlignment="1">
      <alignment horizontal="left" vertical="center"/>
    </xf>
    <xf numFmtId="0" fontId="7" fillId="0" borderId="53" xfId="3" applyFont="1" applyBorder="1" applyAlignment="1">
      <alignment horizontal="left" vertical="center"/>
    </xf>
    <xf numFmtId="0" fontId="7" fillId="0" borderId="13" xfId="3" applyFont="1" applyBorder="1" applyAlignment="1">
      <alignment horizontal="left" vertical="center"/>
    </xf>
    <xf numFmtId="0" fontId="7" fillId="14" borderId="14" xfId="3" applyFont="1" applyFill="1" applyBorder="1" applyAlignment="1">
      <alignment horizontal="left"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17">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colors>
    <mruColors>
      <color rgb="FFE0FC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グラフライン!$B$2:$L$2</c:f>
              <c:numCache>
                <c:formatCode>#,##0_);[Red]\(#,##0\)</c:formatCode>
                <c:ptCount val="11"/>
                <c:pt idx="0">
                  <c:v>2300</c:v>
                </c:pt>
                <c:pt idx="1">
                  <c:v>2266</c:v>
                </c:pt>
                <c:pt idx="2">
                  <c:v>2290</c:v>
                </c:pt>
                <c:pt idx="3">
                  <c:v>2270</c:v>
                </c:pt>
                <c:pt idx="4">
                  <c:v>2298</c:v>
                </c:pt>
                <c:pt idx="5">
                  <c:v>2308</c:v>
                </c:pt>
                <c:pt idx="6">
                  <c:v>2300</c:v>
                </c:pt>
                <c:pt idx="7">
                  <c:v>2286</c:v>
                </c:pt>
                <c:pt idx="8">
                  <c:v>2289</c:v>
                </c:pt>
                <c:pt idx="9">
                  <c:v>2291</c:v>
                </c:pt>
                <c:pt idx="10">
                  <c:v>2295</c:v>
                </c:pt>
              </c:numCache>
            </c:numRef>
          </c:val>
          <c:smooth val="0"/>
          <c:extLst xmlns:c16r2="http://schemas.microsoft.com/office/drawing/2015/06/chart">
            <c:ext xmlns:c16="http://schemas.microsoft.com/office/drawing/2014/chart" uri="{C3380CC4-5D6E-409C-BE32-E72D297353CC}">
              <c16:uniqueId val="{00000000-CACD-4031-BABC-F205DC82471E}"/>
            </c:ext>
          </c:extLst>
        </c:ser>
        <c:dLbls>
          <c:showLegendKey val="0"/>
          <c:showVal val="0"/>
          <c:showCatName val="0"/>
          <c:showSerName val="0"/>
          <c:showPercent val="0"/>
          <c:showBubbleSize val="0"/>
        </c:dLbls>
        <c:smooth val="0"/>
        <c:axId val="202856016"/>
        <c:axId val="202856408"/>
      </c:lineChart>
      <c:catAx>
        <c:axId val="2028560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2856408"/>
        <c:crosses val="autoZero"/>
        <c:auto val="0"/>
        <c:lblAlgn val="ctr"/>
        <c:lblOffset val="100"/>
        <c:noMultiLvlLbl val="0"/>
      </c:catAx>
      <c:valAx>
        <c:axId val="2028564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2856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グラフライン!$B$17:$L$17</c:f>
              <c:numCache>
                <c:formatCode>#,##0_);[Red]\(#,##0\)</c:formatCode>
                <c:ptCount val="11"/>
                <c:pt idx="0">
                  <c:v>1181</c:v>
                </c:pt>
                <c:pt idx="1">
                  <c:v>1159</c:v>
                </c:pt>
                <c:pt idx="2">
                  <c:v>1201</c:v>
                </c:pt>
                <c:pt idx="3">
                  <c:v>1277</c:v>
                </c:pt>
                <c:pt idx="4">
                  <c:v>1241</c:v>
                </c:pt>
                <c:pt idx="5">
                  <c:v>1269</c:v>
                </c:pt>
                <c:pt idx="6">
                  <c:v>1257</c:v>
                </c:pt>
                <c:pt idx="7">
                  <c:v>1215</c:v>
                </c:pt>
                <c:pt idx="8">
                  <c:v>1229</c:v>
                </c:pt>
                <c:pt idx="9">
                  <c:v>1284</c:v>
                </c:pt>
                <c:pt idx="10">
                  <c:v>1297</c:v>
                </c:pt>
              </c:numCache>
            </c:numRef>
          </c:val>
          <c:smooth val="0"/>
          <c:extLst xmlns:c16r2="http://schemas.microsoft.com/office/drawing/2015/06/chart">
            <c:ext xmlns:c16="http://schemas.microsoft.com/office/drawing/2014/chart" uri="{C3380CC4-5D6E-409C-BE32-E72D297353CC}">
              <c16:uniqueId val="{00000000-E843-4328-9D79-43932F1C7C4B}"/>
            </c:ext>
          </c:extLst>
        </c:ser>
        <c:dLbls>
          <c:showLegendKey val="0"/>
          <c:showVal val="0"/>
          <c:showCatName val="0"/>
          <c:showSerName val="0"/>
          <c:showPercent val="0"/>
          <c:showBubbleSize val="0"/>
        </c:dLbls>
        <c:smooth val="0"/>
        <c:axId val="199615752"/>
        <c:axId val="199616144"/>
      </c:lineChart>
      <c:catAx>
        <c:axId val="19961575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9616144"/>
        <c:crosses val="autoZero"/>
        <c:auto val="0"/>
        <c:lblAlgn val="ctr"/>
        <c:lblOffset val="100"/>
        <c:noMultiLvlLbl val="0"/>
      </c:catAx>
      <c:valAx>
        <c:axId val="19961614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9615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グラフライン!$B$32:$L$32</c:f>
              <c:numCache>
                <c:formatCode>#,##0_);[Red]\(#,##0\)</c:formatCode>
                <c:ptCount val="11"/>
                <c:pt idx="0">
                  <c:v>4325</c:v>
                </c:pt>
                <c:pt idx="1">
                  <c:v>4475</c:v>
                </c:pt>
                <c:pt idx="2">
                  <c:v>4455</c:v>
                </c:pt>
                <c:pt idx="3">
                  <c:v>4605</c:v>
                </c:pt>
                <c:pt idx="4">
                  <c:v>4600</c:v>
                </c:pt>
                <c:pt idx="5">
                  <c:v>4660</c:v>
                </c:pt>
                <c:pt idx="6">
                  <c:v>4755</c:v>
                </c:pt>
                <c:pt idx="7">
                  <c:v>4685</c:v>
                </c:pt>
                <c:pt idx="8">
                  <c:v>4760</c:v>
                </c:pt>
                <c:pt idx="9">
                  <c:v>5100</c:v>
                </c:pt>
                <c:pt idx="10">
                  <c:v>5150</c:v>
                </c:pt>
              </c:numCache>
            </c:numRef>
          </c:val>
          <c:smooth val="0"/>
          <c:extLst xmlns:c16r2="http://schemas.microsoft.com/office/drawing/2015/06/chart">
            <c:ext xmlns:c16="http://schemas.microsoft.com/office/drawing/2014/chart" uri="{C3380CC4-5D6E-409C-BE32-E72D297353CC}">
              <c16:uniqueId val="{00000000-1932-4000-B5BA-65E3E3E8C22C}"/>
            </c:ext>
          </c:extLst>
        </c:ser>
        <c:dLbls>
          <c:showLegendKey val="0"/>
          <c:showVal val="0"/>
          <c:showCatName val="0"/>
          <c:showSerName val="0"/>
          <c:showPercent val="0"/>
          <c:showBubbleSize val="0"/>
        </c:dLbls>
        <c:smooth val="0"/>
        <c:axId val="198407280"/>
        <c:axId val="198407672"/>
      </c:lineChart>
      <c:catAx>
        <c:axId val="1984072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8407672"/>
        <c:crosses val="autoZero"/>
        <c:auto val="0"/>
        <c:lblAlgn val="ctr"/>
        <c:lblOffset val="100"/>
        <c:noMultiLvlLbl val="0"/>
      </c:catAx>
      <c:valAx>
        <c:axId val="1984076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840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グラフライン!$B$47:$L$47</c:f>
              <c:numCache>
                <c:formatCode>#,##0_);[Red]\(#,##0\)</c:formatCode>
                <c:ptCount val="11"/>
                <c:pt idx="0">
                  <c:v>1905</c:v>
                </c:pt>
                <c:pt idx="1">
                  <c:v>1937</c:v>
                </c:pt>
                <c:pt idx="2">
                  <c:v>1931</c:v>
                </c:pt>
                <c:pt idx="3">
                  <c:v>1962</c:v>
                </c:pt>
                <c:pt idx="4">
                  <c:v>2070</c:v>
                </c:pt>
                <c:pt idx="5">
                  <c:v>2001</c:v>
                </c:pt>
                <c:pt idx="6">
                  <c:v>1985</c:v>
                </c:pt>
                <c:pt idx="7">
                  <c:v>1890</c:v>
                </c:pt>
                <c:pt idx="8">
                  <c:v>1883</c:v>
                </c:pt>
                <c:pt idx="9">
                  <c:v>1898</c:v>
                </c:pt>
                <c:pt idx="10">
                  <c:v>1912</c:v>
                </c:pt>
              </c:numCache>
            </c:numRef>
          </c:val>
          <c:smooth val="0"/>
          <c:extLst xmlns:c16r2="http://schemas.microsoft.com/office/drawing/2015/06/chart">
            <c:ext xmlns:c16="http://schemas.microsoft.com/office/drawing/2014/chart" uri="{C3380CC4-5D6E-409C-BE32-E72D297353CC}">
              <c16:uniqueId val="{00000000-FC97-4BA2-B464-AE210F5C12EC}"/>
            </c:ext>
          </c:extLst>
        </c:ser>
        <c:dLbls>
          <c:showLegendKey val="0"/>
          <c:showVal val="0"/>
          <c:showCatName val="0"/>
          <c:showSerName val="0"/>
          <c:showPercent val="0"/>
          <c:showBubbleSize val="0"/>
        </c:dLbls>
        <c:smooth val="0"/>
        <c:axId val="198408456"/>
        <c:axId val="198408848"/>
      </c:lineChart>
      <c:catAx>
        <c:axId val="1984084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8408848"/>
        <c:crosses val="autoZero"/>
        <c:auto val="0"/>
        <c:lblAlgn val="ctr"/>
        <c:lblOffset val="100"/>
        <c:noMultiLvlLbl val="0"/>
      </c:catAx>
      <c:valAx>
        <c:axId val="1984088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8408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グラフライン!$B$62:$L$62</c:f>
              <c:numCache>
                <c:formatCode>#,##0_);[Red]\(#,##0\)</c:formatCode>
                <c:ptCount val="11"/>
                <c:pt idx="0">
                  <c:v>1786</c:v>
                </c:pt>
                <c:pt idx="1">
                  <c:v>1891</c:v>
                </c:pt>
                <c:pt idx="2">
                  <c:v>1873</c:v>
                </c:pt>
                <c:pt idx="3">
                  <c:v>1849</c:v>
                </c:pt>
                <c:pt idx="4">
                  <c:v>1875</c:v>
                </c:pt>
                <c:pt idx="5">
                  <c:v>1904</c:v>
                </c:pt>
                <c:pt idx="6">
                  <c:v>1850</c:v>
                </c:pt>
                <c:pt idx="7">
                  <c:v>1810</c:v>
                </c:pt>
                <c:pt idx="8">
                  <c:v>1810</c:v>
                </c:pt>
                <c:pt idx="9">
                  <c:v>1811</c:v>
                </c:pt>
                <c:pt idx="10">
                  <c:v>1792</c:v>
                </c:pt>
              </c:numCache>
            </c:numRef>
          </c:val>
          <c:smooth val="0"/>
          <c:extLst xmlns:c16r2="http://schemas.microsoft.com/office/drawing/2015/06/chart">
            <c:ext xmlns:c16="http://schemas.microsoft.com/office/drawing/2014/chart" uri="{C3380CC4-5D6E-409C-BE32-E72D297353CC}">
              <c16:uniqueId val="{00000000-025F-44C4-9FDC-8C3FA5628CBB}"/>
            </c:ext>
          </c:extLst>
        </c:ser>
        <c:dLbls>
          <c:showLegendKey val="0"/>
          <c:showVal val="0"/>
          <c:showCatName val="0"/>
          <c:showSerName val="0"/>
          <c:showPercent val="0"/>
          <c:showBubbleSize val="0"/>
        </c:dLbls>
        <c:smooth val="0"/>
        <c:axId val="299375448"/>
        <c:axId val="299375840"/>
      </c:lineChart>
      <c:catAx>
        <c:axId val="2993754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375840"/>
        <c:crosses val="autoZero"/>
        <c:auto val="0"/>
        <c:lblAlgn val="ctr"/>
        <c:lblOffset val="100"/>
        <c:noMultiLvlLbl val="0"/>
      </c:catAx>
      <c:valAx>
        <c:axId val="2993758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375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グラフライン!$B$77:$L$77</c:f>
              <c:numCache>
                <c:formatCode>#,##0_);[Red]\(#,##0\)</c:formatCode>
                <c:ptCount val="11"/>
                <c:pt idx="0">
                  <c:v>5720</c:v>
                </c:pt>
                <c:pt idx="1">
                  <c:v>2808</c:v>
                </c:pt>
                <c:pt idx="2">
                  <c:v>2885</c:v>
                </c:pt>
                <c:pt idx="3">
                  <c:v>2820</c:v>
                </c:pt>
                <c:pt idx="4">
                  <c:v>2844</c:v>
                </c:pt>
                <c:pt idx="5">
                  <c:v>2825</c:v>
                </c:pt>
                <c:pt idx="6">
                  <c:v>2769</c:v>
                </c:pt>
                <c:pt idx="7">
                  <c:v>2602</c:v>
                </c:pt>
                <c:pt idx="8">
                  <c:v>2607</c:v>
                </c:pt>
                <c:pt idx="9">
                  <c:v>2650</c:v>
                </c:pt>
                <c:pt idx="10">
                  <c:v>2620</c:v>
                </c:pt>
              </c:numCache>
            </c:numRef>
          </c:val>
          <c:smooth val="0"/>
          <c:extLst xmlns:c16r2="http://schemas.microsoft.com/office/drawing/2015/06/chart">
            <c:ext xmlns:c16="http://schemas.microsoft.com/office/drawing/2014/chart" uri="{C3380CC4-5D6E-409C-BE32-E72D297353CC}">
              <c16:uniqueId val="{00000000-AE52-447A-A82D-2DE343459EA2}"/>
            </c:ext>
          </c:extLst>
        </c:ser>
        <c:dLbls>
          <c:showLegendKey val="0"/>
          <c:showVal val="0"/>
          <c:showCatName val="0"/>
          <c:showSerName val="0"/>
          <c:showPercent val="0"/>
          <c:showBubbleSize val="0"/>
        </c:dLbls>
        <c:smooth val="0"/>
        <c:axId val="299376624"/>
        <c:axId val="299377016"/>
      </c:lineChart>
      <c:catAx>
        <c:axId val="2993766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377016"/>
        <c:crosses val="autoZero"/>
        <c:auto val="0"/>
        <c:lblAlgn val="ctr"/>
        <c:lblOffset val="100"/>
        <c:noMultiLvlLbl val="0"/>
      </c:catAx>
      <c:valAx>
        <c:axId val="2993770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376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グラフライン!$B$92:$L$92</c:f>
              <c:numCache>
                <c:formatCode>#,##0_);[Red]\(#,##0\)</c:formatCode>
                <c:ptCount val="11"/>
                <c:pt idx="0">
                  <c:v>3610</c:v>
                </c:pt>
                <c:pt idx="1">
                  <c:v>3660</c:v>
                </c:pt>
                <c:pt idx="2">
                  <c:v>3640</c:v>
                </c:pt>
                <c:pt idx="3">
                  <c:v>3700</c:v>
                </c:pt>
                <c:pt idx="4">
                  <c:v>3840</c:v>
                </c:pt>
                <c:pt idx="5">
                  <c:v>3860</c:v>
                </c:pt>
                <c:pt idx="6">
                  <c:v>3855</c:v>
                </c:pt>
                <c:pt idx="7">
                  <c:v>3705</c:v>
                </c:pt>
                <c:pt idx="8">
                  <c:v>3675</c:v>
                </c:pt>
                <c:pt idx="9">
                  <c:v>3630</c:v>
                </c:pt>
                <c:pt idx="10">
                  <c:v>3725</c:v>
                </c:pt>
              </c:numCache>
            </c:numRef>
          </c:val>
          <c:smooth val="0"/>
          <c:extLst xmlns:c16r2="http://schemas.microsoft.com/office/drawing/2015/06/chart">
            <c:ext xmlns:c16="http://schemas.microsoft.com/office/drawing/2014/chart" uri="{C3380CC4-5D6E-409C-BE32-E72D297353CC}">
              <c16:uniqueId val="{00000000-DD1E-4F88-B182-45B6A97B38D8}"/>
            </c:ext>
          </c:extLst>
        </c:ser>
        <c:dLbls>
          <c:showLegendKey val="0"/>
          <c:showVal val="0"/>
          <c:showCatName val="0"/>
          <c:showSerName val="0"/>
          <c:showPercent val="0"/>
          <c:showBubbleSize val="0"/>
        </c:dLbls>
        <c:smooth val="0"/>
        <c:axId val="198406888"/>
        <c:axId val="198406496"/>
      </c:lineChart>
      <c:catAx>
        <c:axId val="1984068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8406496"/>
        <c:crosses val="autoZero"/>
        <c:auto val="0"/>
        <c:lblAlgn val="ctr"/>
        <c:lblOffset val="100"/>
        <c:noMultiLvlLbl val="0"/>
      </c:catAx>
      <c:valAx>
        <c:axId val="1984064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8406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グラフライン!$B$107:$L$107</c:f>
              <c:numCache>
                <c:formatCode>#,##0_);[Red]\(#,##0\)</c:formatCode>
                <c:ptCount val="11"/>
                <c:pt idx="0">
                  <c:v>5210</c:v>
                </c:pt>
                <c:pt idx="1">
                  <c:v>5300</c:v>
                </c:pt>
                <c:pt idx="2">
                  <c:v>5300</c:v>
                </c:pt>
                <c:pt idx="3">
                  <c:v>5350</c:v>
                </c:pt>
                <c:pt idx="4">
                  <c:v>5400</c:v>
                </c:pt>
                <c:pt idx="5">
                  <c:v>5360</c:v>
                </c:pt>
                <c:pt idx="6">
                  <c:v>5300</c:v>
                </c:pt>
                <c:pt idx="7">
                  <c:v>5310</c:v>
                </c:pt>
                <c:pt idx="8">
                  <c:v>5280</c:v>
                </c:pt>
                <c:pt idx="9">
                  <c:v>5310</c:v>
                </c:pt>
                <c:pt idx="10">
                  <c:v>5300</c:v>
                </c:pt>
              </c:numCache>
            </c:numRef>
          </c:val>
          <c:smooth val="0"/>
          <c:extLst xmlns:c16r2="http://schemas.microsoft.com/office/drawing/2015/06/chart">
            <c:ext xmlns:c16="http://schemas.microsoft.com/office/drawing/2014/chart" uri="{C3380CC4-5D6E-409C-BE32-E72D297353CC}">
              <c16:uniqueId val="{00000000-1B86-4881-A95E-48791488B9E4}"/>
            </c:ext>
          </c:extLst>
        </c:ser>
        <c:dLbls>
          <c:showLegendKey val="0"/>
          <c:showVal val="0"/>
          <c:showCatName val="0"/>
          <c:showSerName val="0"/>
          <c:showPercent val="0"/>
          <c:showBubbleSize val="0"/>
        </c:dLbls>
        <c:smooth val="0"/>
        <c:axId val="198409632"/>
        <c:axId val="299377800"/>
      </c:lineChart>
      <c:catAx>
        <c:axId val="1984096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377800"/>
        <c:crosses val="autoZero"/>
        <c:auto val="0"/>
        <c:lblAlgn val="ctr"/>
        <c:lblOffset val="100"/>
        <c:noMultiLvlLbl val="0"/>
      </c:catAx>
      <c:valAx>
        <c:axId val="2993778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8409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グラフライン!$B$122:$L$122</c:f>
              <c:numCache>
                <c:formatCode>#,##0_);[Red]\(#,##0\)</c:formatCode>
                <c:ptCount val="11"/>
                <c:pt idx="0">
                  <c:v>2079</c:v>
                </c:pt>
                <c:pt idx="1">
                  <c:v>1089</c:v>
                </c:pt>
                <c:pt idx="2">
                  <c:v>1067</c:v>
                </c:pt>
                <c:pt idx="3">
                  <c:v>1111</c:v>
                </c:pt>
                <c:pt idx="4">
                  <c:v>1160</c:v>
                </c:pt>
                <c:pt idx="5">
                  <c:v>1145</c:v>
                </c:pt>
                <c:pt idx="6">
                  <c:v>1132</c:v>
                </c:pt>
                <c:pt idx="7">
                  <c:v>1098</c:v>
                </c:pt>
                <c:pt idx="8">
                  <c:v>1145</c:v>
                </c:pt>
                <c:pt idx="9">
                  <c:v>1180</c:v>
                </c:pt>
                <c:pt idx="10">
                  <c:v>1175</c:v>
                </c:pt>
              </c:numCache>
            </c:numRef>
          </c:val>
          <c:smooth val="0"/>
          <c:extLst xmlns:c16r2="http://schemas.microsoft.com/office/drawing/2015/06/chart">
            <c:ext xmlns:c16="http://schemas.microsoft.com/office/drawing/2014/chart" uri="{C3380CC4-5D6E-409C-BE32-E72D297353CC}">
              <c16:uniqueId val="{00000000-92FB-456A-8AF4-22431AB5F74F}"/>
            </c:ext>
          </c:extLst>
        </c:ser>
        <c:dLbls>
          <c:showLegendKey val="0"/>
          <c:showVal val="0"/>
          <c:showCatName val="0"/>
          <c:showSerName val="0"/>
          <c:showPercent val="0"/>
          <c:showBubbleSize val="0"/>
        </c:dLbls>
        <c:smooth val="0"/>
        <c:axId val="299378584"/>
        <c:axId val="299378976"/>
      </c:lineChart>
      <c:catAx>
        <c:axId val="2993785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378976"/>
        <c:crosses val="autoZero"/>
        <c:auto val="0"/>
        <c:lblAlgn val="ctr"/>
        <c:lblOffset val="100"/>
        <c:noMultiLvlLbl val="0"/>
      </c:catAx>
      <c:valAx>
        <c:axId val="2993789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378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グラフライン!$B$137:$L$137</c:f>
              <c:numCache>
                <c:formatCode>#,##0_);[Red]\(#,##0\)</c:formatCode>
                <c:ptCount val="11"/>
                <c:pt idx="0">
                  <c:v>1696</c:v>
                </c:pt>
                <c:pt idx="1">
                  <c:v>1730</c:v>
                </c:pt>
                <c:pt idx="2">
                  <c:v>1757</c:v>
                </c:pt>
                <c:pt idx="3">
                  <c:v>1718</c:v>
                </c:pt>
                <c:pt idx="4">
                  <c:v>1765</c:v>
                </c:pt>
                <c:pt idx="5">
                  <c:v>1780</c:v>
                </c:pt>
                <c:pt idx="6">
                  <c:v>1727</c:v>
                </c:pt>
                <c:pt idx="7">
                  <c:v>1704</c:v>
                </c:pt>
                <c:pt idx="8">
                  <c:v>1710</c:v>
                </c:pt>
                <c:pt idx="9">
                  <c:v>1694</c:v>
                </c:pt>
                <c:pt idx="10">
                  <c:v>1694</c:v>
                </c:pt>
              </c:numCache>
            </c:numRef>
          </c:val>
          <c:smooth val="0"/>
          <c:extLst xmlns:c16r2="http://schemas.microsoft.com/office/drawing/2015/06/chart">
            <c:ext xmlns:c16="http://schemas.microsoft.com/office/drawing/2014/chart" uri="{C3380CC4-5D6E-409C-BE32-E72D297353CC}">
              <c16:uniqueId val="{00000000-DE1A-46E2-9EB9-9C98169C5964}"/>
            </c:ext>
          </c:extLst>
        </c:ser>
        <c:dLbls>
          <c:showLegendKey val="0"/>
          <c:showVal val="0"/>
          <c:showCatName val="0"/>
          <c:showSerName val="0"/>
          <c:showPercent val="0"/>
          <c:showBubbleSize val="0"/>
        </c:dLbls>
        <c:smooth val="0"/>
        <c:axId val="303017816"/>
        <c:axId val="303018208"/>
      </c:lineChart>
      <c:catAx>
        <c:axId val="3030178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3018208"/>
        <c:crosses val="autoZero"/>
        <c:auto val="0"/>
        <c:lblAlgn val="ctr"/>
        <c:lblOffset val="100"/>
        <c:noMultiLvlLbl val="0"/>
      </c:catAx>
      <c:valAx>
        <c:axId val="3030182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3017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グラフライン!$B$152:$L$152</c:f>
              <c:numCache>
                <c:formatCode>#,##0_);[Red]\(#,##0\)</c:formatCode>
                <c:ptCount val="11"/>
                <c:pt idx="0">
                  <c:v>2168</c:v>
                </c:pt>
                <c:pt idx="1">
                  <c:v>1126</c:v>
                </c:pt>
                <c:pt idx="2">
                  <c:v>1200</c:v>
                </c:pt>
                <c:pt idx="3">
                  <c:v>1186</c:v>
                </c:pt>
                <c:pt idx="4">
                  <c:v>1153</c:v>
                </c:pt>
                <c:pt idx="5">
                  <c:v>1165</c:v>
                </c:pt>
                <c:pt idx="6">
                  <c:v>1137</c:v>
                </c:pt>
                <c:pt idx="7">
                  <c:v>1140</c:v>
                </c:pt>
                <c:pt idx="8">
                  <c:v>1111</c:v>
                </c:pt>
                <c:pt idx="9">
                  <c:v>1128</c:v>
                </c:pt>
                <c:pt idx="10">
                  <c:v>1128</c:v>
                </c:pt>
              </c:numCache>
            </c:numRef>
          </c:val>
          <c:smooth val="0"/>
          <c:extLst xmlns:c16r2="http://schemas.microsoft.com/office/drawing/2015/06/chart">
            <c:ext xmlns:c16="http://schemas.microsoft.com/office/drawing/2014/chart" uri="{C3380CC4-5D6E-409C-BE32-E72D297353CC}">
              <c16:uniqueId val="{00000000-2A56-491D-82FF-0D917782F32D}"/>
            </c:ext>
          </c:extLst>
        </c:ser>
        <c:dLbls>
          <c:showLegendKey val="0"/>
          <c:showVal val="0"/>
          <c:showCatName val="0"/>
          <c:showSerName val="0"/>
          <c:showPercent val="0"/>
          <c:showBubbleSize val="0"/>
        </c:dLbls>
        <c:smooth val="0"/>
        <c:axId val="303018992"/>
        <c:axId val="303019384"/>
      </c:lineChart>
      <c:catAx>
        <c:axId val="3030189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3019384"/>
        <c:crosses val="autoZero"/>
        <c:auto val="0"/>
        <c:lblAlgn val="ctr"/>
        <c:lblOffset val="100"/>
        <c:noMultiLvlLbl val="0"/>
      </c:catAx>
      <c:valAx>
        <c:axId val="3030193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3018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グラフライン!$B$167:$L$167</c:f>
              <c:numCache>
                <c:formatCode>#,##0_);[Red]\(#,##0\)</c:formatCode>
                <c:ptCount val="11"/>
                <c:pt idx="0">
                  <c:v>8440</c:v>
                </c:pt>
                <c:pt idx="1">
                  <c:v>2111</c:v>
                </c:pt>
                <c:pt idx="2">
                  <c:v>2034</c:v>
                </c:pt>
                <c:pt idx="3">
                  <c:v>1977</c:v>
                </c:pt>
                <c:pt idx="4">
                  <c:v>1950</c:v>
                </c:pt>
                <c:pt idx="5">
                  <c:v>2060</c:v>
                </c:pt>
                <c:pt idx="6">
                  <c:v>1948</c:v>
                </c:pt>
                <c:pt idx="7">
                  <c:v>1880</c:v>
                </c:pt>
                <c:pt idx="8">
                  <c:v>1839</c:v>
                </c:pt>
                <c:pt idx="9">
                  <c:v>1870</c:v>
                </c:pt>
                <c:pt idx="10">
                  <c:v>1808</c:v>
                </c:pt>
              </c:numCache>
            </c:numRef>
          </c:val>
          <c:smooth val="0"/>
          <c:extLst xmlns:c16r2="http://schemas.microsoft.com/office/drawing/2015/06/chart">
            <c:ext xmlns:c16="http://schemas.microsoft.com/office/drawing/2014/chart" uri="{C3380CC4-5D6E-409C-BE32-E72D297353CC}">
              <c16:uniqueId val="{00000000-2252-4873-8ABE-F6BA010A764E}"/>
            </c:ext>
          </c:extLst>
        </c:ser>
        <c:dLbls>
          <c:showLegendKey val="0"/>
          <c:showVal val="0"/>
          <c:showCatName val="0"/>
          <c:showSerName val="0"/>
          <c:showPercent val="0"/>
          <c:showBubbleSize val="0"/>
        </c:dLbls>
        <c:smooth val="0"/>
        <c:axId val="303020168"/>
        <c:axId val="303020560"/>
      </c:lineChart>
      <c:catAx>
        <c:axId val="3030201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3020560"/>
        <c:crosses val="autoZero"/>
        <c:auto val="0"/>
        <c:lblAlgn val="ctr"/>
        <c:lblOffset val="100"/>
        <c:noMultiLvlLbl val="0"/>
      </c:catAx>
      <c:valAx>
        <c:axId val="3030205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3020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グラフライン!$B$182:$L$182</c:f>
              <c:numCache>
                <c:formatCode>#,##0_);[Red]\(#,##0\)</c:formatCode>
                <c:ptCount val="11"/>
                <c:pt idx="0">
                  <c:v>1105</c:v>
                </c:pt>
                <c:pt idx="1">
                  <c:v>1073</c:v>
                </c:pt>
                <c:pt idx="2">
                  <c:v>1079</c:v>
                </c:pt>
                <c:pt idx="3">
                  <c:v>1063</c:v>
                </c:pt>
                <c:pt idx="4">
                  <c:v>1080</c:v>
                </c:pt>
                <c:pt idx="5">
                  <c:v>1074</c:v>
                </c:pt>
                <c:pt idx="6">
                  <c:v>1056</c:v>
                </c:pt>
                <c:pt idx="7">
                  <c:v>1055</c:v>
                </c:pt>
                <c:pt idx="8">
                  <c:v>1050</c:v>
                </c:pt>
                <c:pt idx="9">
                  <c:v>1050</c:v>
                </c:pt>
                <c:pt idx="10">
                  <c:v>1041</c:v>
                </c:pt>
              </c:numCache>
            </c:numRef>
          </c:val>
          <c:smooth val="0"/>
          <c:extLst xmlns:c16r2="http://schemas.microsoft.com/office/drawing/2015/06/chart">
            <c:ext xmlns:c16="http://schemas.microsoft.com/office/drawing/2014/chart" uri="{C3380CC4-5D6E-409C-BE32-E72D297353CC}">
              <c16:uniqueId val="{00000000-49D0-4FBE-917B-4004FA416F12}"/>
            </c:ext>
          </c:extLst>
        </c:ser>
        <c:dLbls>
          <c:showLegendKey val="0"/>
          <c:showVal val="0"/>
          <c:showCatName val="0"/>
          <c:showSerName val="0"/>
          <c:showPercent val="0"/>
          <c:showBubbleSize val="0"/>
        </c:dLbls>
        <c:smooth val="0"/>
        <c:axId val="303021344"/>
        <c:axId val="535915656"/>
      </c:lineChart>
      <c:catAx>
        <c:axId val="3030213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5915656"/>
        <c:crosses val="autoZero"/>
        <c:auto val="0"/>
        <c:lblAlgn val="ctr"/>
        <c:lblOffset val="100"/>
        <c:noMultiLvlLbl val="0"/>
      </c:catAx>
      <c:valAx>
        <c:axId val="5359156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3021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グラフライン!$B$197:$L$197</c:f>
              <c:numCache>
                <c:formatCode>#,##0_);[Red]\(#,##0\)</c:formatCode>
                <c:ptCount val="11"/>
                <c:pt idx="0">
                  <c:v>2519</c:v>
                </c:pt>
                <c:pt idx="1">
                  <c:v>2495</c:v>
                </c:pt>
                <c:pt idx="2">
                  <c:v>2563</c:v>
                </c:pt>
                <c:pt idx="3">
                  <c:v>2551</c:v>
                </c:pt>
                <c:pt idx="4">
                  <c:v>2552</c:v>
                </c:pt>
                <c:pt idx="5">
                  <c:v>2725</c:v>
                </c:pt>
                <c:pt idx="6">
                  <c:v>2766</c:v>
                </c:pt>
                <c:pt idx="7">
                  <c:v>2691</c:v>
                </c:pt>
                <c:pt idx="8">
                  <c:v>2702</c:v>
                </c:pt>
                <c:pt idx="9">
                  <c:v>2805</c:v>
                </c:pt>
                <c:pt idx="10">
                  <c:v>2895</c:v>
                </c:pt>
              </c:numCache>
            </c:numRef>
          </c:val>
          <c:smooth val="0"/>
          <c:extLst xmlns:c16r2="http://schemas.microsoft.com/office/drawing/2015/06/chart">
            <c:ext xmlns:c16="http://schemas.microsoft.com/office/drawing/2014/chart" uri="{C3380CC4-5D6E-409C-BE32-E72D297353CC}">
              <c16:uniqueId val="{00000000-3F21-41FE-B0F6-2560687F5468}"/>
            </c:ext>
          </c:extLst>
        </c:ser>
        <c:dLbls>
          <c:showLegendKey val="0"/>
          <c:showVal val="0"/>
          <c:showCatName val="0"/>
          <c:showSerName val="0"/>
          <c:showPercent val="0"/>
          <c:showBubbleSize val="0"/>
        </c:dLbls>
        <c:smooth val="0"/>
        <c:axId val="535916440"/>
        <c:axId val="535916832"/>
      </c:lineChart>
      <c:catAx>
        <c:axId val="5359164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5916832"/>
        <c:crosses val="autoZero"/>
        <c:auto val="0"/>
        <c:lblAlgn val="ctr"/>
        <c:lblOffset val="100"/>
        <c:noMultiLvlLbl val="0"/>
      </c:catAx>
      <c:valAx>
        <c:axId val="5359168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5916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グラフライン!$B$212:$L$212</c:f>
              <c:numCache>
                <c:formatCode>#,##0_);[Red]\(#,##0\)</c:formatCode>
                <c:ptCount val="11"/>
                <c:pt idx="0">
                  <c:v>1372</c:v>
                </c:pt>
                <c:pt idx="1">
                  <c:v>1410</c:v>
                </c:pt>
                <c:pt idx="2">
                  <c:v>1380</c:v>
                </c:pt>
                <c:pt idx="3">
                  <c:v>1394</c:v>
                </c:pt>
                <c:pt idx="4">
                  <c:v>1424</c:v>
                </c:pt>
                <c:pt idx="5">
                  <c:v>1415</c:v>
                </c:pt>
                <c:pt idx="6">
                  <c:v>1408</c:v>
                </c:pt>
                <c:pt idx="7">
                  <c:v>1400</c:v>
                </c:pt>
                <c:pt idx="8">
                  <c:v>1408</c:v>
                </c:pt>
                <c:pt idx="9">
                  <c:v>1409</c:v>
                </c:pt>
                <c:pt idx="10">
                  <c:v>1406</c:v>
                </c:pt>
              </c:numCache>
            </c:numRef>
          </c:val>
          <c:smooth val="0"/>
          <c:extLst xmlns:c16r2="http://schemas.microsoft.com/office/drawing/2015/06/chart">
            <c:ext xmlns:c16="http://schemas.microsoft.com/office/drawing/2014/chart" uri="{C3380CC4-5D6E-409C-BE32-E72D297353CC}">
              <c16:uniqueId val="{00000000-F67F-4A34-A234-40824A7A07E4}"/>
            </c:ext>
          </c:extLst>
        </c:ser>
        <c:dLbls>
          <c:showLegendKey val="0"/>
          <c:showVal val="0"/>
          <c:showCatName val="0"/>
          <c:showSerName val="0"/>
          <c:showPercent val="0"/>
          <c:showBubbleSize val="0"/>
        </c:dLbls>
        <c:smooth val="0"/>
        <c:axId val="535917616"/>
        <c:axId val="535918008"/>
      </c:lineChart>
      <c:catAx>
        <c:axId val="5359176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5918008"/>
        <c:crosses val="autoZero"/>
        <c:auto val="0"/>
        <c:lblAlgn val="ctr"/>
        <c:lblOffset val="100"/>
        <c:noMultiLvlLbl val="0"/>
      </c:catAx>
      <c:valAx>
        <c:axId val="5359180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5917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グラフライン!$B$227:$L$227</c:f>
              <c:numCache>
                <c:formatCode>#,##0_);[Red]\(#,##0\)</c:formatCode>
                <c:ptCount val="11"/>
                <c:pt idx="0">
                  <c:v>1642</c:v>
                </c:pt>
                <c:pt idx="1">
                  <c:v>1660</c:v>
                </c:pt>
                <c:pt idx="2">
                  <c:v>1669</c:v>
                </c:pt>
                <c:pt idx="3">
                  <c:v>1684</c:v>
                </c:pt>
                <c:pt idx="4">
                  <c:v>1670</c:v>
                </c:pt>
                <c:pt idx="5">
                  <c:v>1643</c:v>
                </c:pt>
                <c:pt idx="6">
                  <c:v>1657</c:v>
                </c:pt>
                <c:pt idx="7">
                  <c:v>1764</c:v>
                </c:pt>
                <c:pt idx="8">
                  <c:v>1777</c:v>
                </c:pt>
                <c:pt idx="9">
                  <c:v>1799</c:v>
                </c:pt>
                <c:pt idx="10">
                  <c:v>1791</c:v>
                </c:pt>
              </c:numCache>
            </c:numRef>
          </c:val>
          <c:smooth val="0"/>
          <c:extLst xmlns:c16r2="http://schemas.microsoft.com/office/drawing/2015/06/chart">
            <c:ext xmlns:c16="http://schemas.microsoft.com/office/drawing/2014/chart" uri="{C3380CC4-5D6E-409C-BE32-E72D297353CC}">
              <c16:uniqueId val="{00000000-2782-49A1-AB1F-CDA0828E6CC5}"/>
            </c:ext>
          </c:extLst>
        </c:ser>
        <c:dLbls>
          <c:showLegendKey val="0"/>
          <c:showVal val="0"/>
          <c:showCatName val="0"/>
          <c:showSerName val="0"/>
          <c:showPercent val="0"/>
          <c:showBubbleSize val="0"/>
        </c:dLbls>
        <c:smooth val="0"/>
        <c:axId val="535918792"/>
        <c:axId val="535919184"/>
      </c:lineChart>
      <c:catAx>
        <c:axId val="5359187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5919184"/>
        <c:crosses val="autoZero"/>
        <c:auto val="0"/>
        <c:lblAlgn val="ctr"/>
        <c:lblOffset val="100"/>
        <c:noMultiLvlLbl val="0"/>
      </c:catAx>
      <c:valAx>
        <c:axId val="5359191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5918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グラフライン!$B$242:$L$242</c:f>
              <c:numCache>
                <c:formatCode>#,##0_);[Red]\(#,##0\)</c:formatCode>
                <c:ptCount val="11"/>
                <c:pt idx="0">
                  <c:v>321</c:v>
                </c:pt>
                <c:pt idx="1">
                  <c:v>324</c:v>
                </c:pt>
                <c:pt idx="2">
                  <c:v>324</c:v>
                </c:pt>
                <c:pt idx="3">
                  <c:v>329</c:v>
                </c:pt>
                <c:pt idx="4">
                  <c:v>343</c:v>
                </c:pt>
                <c:pt idx="5">
                  <c:v>332</c:v>
                </c:pt>
                <c:pt idx="6">
                  <c:v>327</c:v>
                </c:pt>
                <c:pt idx="7">
                  <c:v>334</c:v>
                </c:pt>
                <c:pt idx="8">
                  <c:v>332</c:v>
                </c:pt>
                <c:pt idx="9">
                  <c:v>334</c:v>
                </c:pt>
                <c:pt idx="10">
                  <c:v>331</c:v>
                </c:pt>
              </c:numCache>
            </c:numRef>
          </c:val>
          <c:smooth val="0"/>
          <c:extLst xmlns:c16r2="http://schemas.microsoft.com/office/drawing/2015/06/chart">
            <c:ext xmlns:c16="http://schemas.microsoft.com/office/drawing/2014/chart" uri="{C3380CC4-5D6E-409C-BE32-E72D297353CC}">
              <c16:uniqueId val="{00000000-C088-49A9-9CFB-DCCC32C05CC4}"/>
            </c:ext>
          </c:extLst>
        </c:ser>
        <c:dLbls>
          <c:showLegendKey val="0"/>
          <c:showVal val="0"/>
          <c:showCatName val="0"/>
          <c:showSerName val="0"/>
          <c:showPercent val="0"/>
          <c:showBubbleSize val="0"/>
        </c:dLbls>
        <c:smooth val="0"/>
        <c:axId val="302267672"/>
        <c:axId val="302268064"/>
      </c:lineChart>
      <c:catAx>
        <c:axId val="3022676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2268064"/>
        <c:crosses val="autoZero"/>
        <c:auto val="0"/>
        <c:lblAlgn val="ctr"/>
        <c:lblOffset val="100"/>
        <c:noMultiLvlLbl val="0"/>
      </c:catAx>
      <c:valAx>
        <c:axId val="3022680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2267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グラフライン!$B$257:$L$257</c:f>
              <c:numCache>
                <c:formatCode>#,##0_);[Red]\(#,##0\)</c:formatCode>
                <c:ptCount val="11"/>
                <c:pt idx="0">
                  <c:v>2332</c:v>
                </c:pt>
                <c:pt idx="1">
                  <c:v>2436</c:v>
                </c:pt>
                <c:pt idx="2">
                  <c:v>2407</c:v>
                </c:pt>
                <c:pt idx="3">
                  <c:v>2392</c:v>
                </c:pt>
                <c:pt idx="4">
                  <c:v>2451</c:v>
                </c:pt>
                <c:pt idx="5">
                  <c:v>2507</c:v>
                </c:pt>
                <c:pt idx="6">
                  <c:v>2480</c:v>
                </c:pt>
                <c:pt idx="7">
                  <c:v>2381</c:v>
                </c:pt>
                <c:pt idx="8">
                  <c:v>2459</c:v>
                </c:pt>
                <c:pt idx="9">
                  <c:v>2478</c:v>
                </c:pt>
                <c:pt idx="10">
                  <c:v>2451</c:v>
                </c:pt>
              </c:numCache>
            </c:numRef>
          </c:val>
          <c:smooth val="0"/>
          <c:extLst xmlns:c16r2="http://schemas.microsoft.com/office/drawing/2015/06/chart">
            <c:ext xmlns:c16="http://schemas.microsoft.com/office/drawing/2014/chart" uri="{C3380CC4-5D6E-409C-BE32-E72D297353CC}">
              <c16:uniqueId val="{00000000-15FD-470E-AD06-222AE93BFA13}"/>
            </c:ext>
          </c:extLst>
        </c:ser>
        <c:dLbls>
          <c:showLegendKey val="0"/>
          <c:showVal val="0"/>
          <c:showCatName val="0"/>
          <c:showSerName val="0"/>
          <c:showPercent val="0"/>
          <c:showBubbleSize val="0"/>
        </c:dLbls>
        <c:smooth val="0"/>
        <c:axId val="302268848"/>
        <c:axId val="302269240"/>
      </c:lineChart>
      <c:catAx>
        <c:axId val="3022688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2269240"/>
        <c:crosses val="autoZero"/>
        <c:auto val="0"/>
        <c:lblAlgn val="ctr"/>
        <c:lblOffset val="100"/>
        <c:noMultiLvlLbl val="0"/>
      </c:catAx>
      <c:valAx>
        <c:axId val="3022692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2268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グラフライン!$B$272:$L$272</c:f>
              <c:numCache>
                <c:formatCode>#,##0_);[Red]\(#,##0\)</c:formatCode>
                <c:ptCount val="11"/>
                <c:pt idx="0">
                  <c:v>1865</c:v>
                </c:pt>
                <c:pt idx="1">
                  <c:v>1910</c:v>
                </c:pt>
                <c:pt idx="2">
                  <c:v>1934</c:v>
                </c:pt>
                <c:pt idx="3">
                  <c:v>1922</c:v>
                </c:pt>
                <c:pt idx="4">
                  <c:v>1980</c:v>
                </c:pt>
                <c:pt idx="5">
                  <c:v>2030</c:v>
                </c:pt>
                <c:pt idx="6">
                  <c:v>1971</c:v>
                </c:pt>
                <c:pt idx="7">
                  <c:v>1913</c:v>
                </c:pt>
                <c:pt idx="8">
                  <c:v>1949</c:v>
                </c:pt>
                <c:pt idx="9">
                  <c:v>2006</c:v>
                </c:pt>
                <c:pt idx="10">
                  <c:v>2024</c:v>
                </c:pt>
              </c:numCache>
            </c:numRef>
          </c:val>
          <c:smooth val="0"/>
          <c:extLst xmlns:c16r2="http://schemas.microsoft.com/office/drawing/2015/06/chart">
            <c:ext xmlns:c16="http://schemas.microsoft.com/office/drawing/2014/chart" uri="{C3380CC4-5D6E-409C-BE32-E72D297353CC}">
              <c16:uniqueId val="{00000000-15C7-4AE0-B04A-032E720798B1}"/>
            </c:ext>
          </c:extLst>
        </c:ser>
        <c:dLbls>
          <c:showLegendKey val="0"/>
          <c:showVal val="0"/>
          <c:showCatName val="0"/>
          <c:showSerName val="0"/>
          <c:showPercent val="0"/>
          <c:showBubbleSize val="0"/>
        </c:dLbls>
        <c:smooth val="0"/>
        <c:axId val="302270024"/>
        <c:axId val="302270416"/>
      </c:lineChart>
      <c:catAx>
        <c:axId val="3022700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2270416"/>
        <c:crosses val="autoZero"/>
        <c:auto val="0"/>
        <c:lblAlgn val="ctr"/>
        <c:lblOffset val="100"/>
        <c:noMultiLvlLbl val="0"/>
      </c:catAx>
      <c:valAx>
        <c:axId val="3022704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2270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グラフライン!$B$287:$L$287</c:f>
              <c:numCache>
                <c:formatCode>#,##0_);[Red]\(#,##0\)</c:formatCode>
                <c:ptCount val="11"/>
                <c:pt idx="0">
                  <c:v>2012</c:v>
                </c:pt>
                <c:pt idx="1">
                  <c:v>1998</c:v>
                </c:pt>
                <c:pt idx="2">
                  <c:v>1990</c:v>
                </c:pt>
                <c:pt idx="3">
                  <c:v>1996</c:v>
                </c:pt>
                <c:pt idx="4">
                  <c:v>1988</c:v>
                </c:pt>
                <c:pt idx="5">
                  <c:v>2016</c:v>
                </c:pt>
                <c:pt idx="6">
                  <c:v>2270</c:v>
                </c:pt>
                <c:pt idx="7">
                  <c:v>2101</c:v>
                </c:pt>
                <c:pt idx="8">
                  <c:v>2195</c:v>
                </c:pt>
                <c:pt idx="9">
                  <c:v>2245</c:v>
                </c:pt>
                <c:pt idx="10">
                  <c:v>2217</c:v>
                </c:pt>
              </c:numCache>
            </c:numRef>
          </c:val>
          <c:smooth val="0"/>
          <c:extLst xmlns:c16r2="http://schemas.microsoft.com/office/drawing/2015/06/chart">
            <c:ext xmlns:c16="http://schemas.microsoft.com/office/drawing/2014/chart" uri="{C3380CC4-5D6E-409C-BE32-E72D297353CC}">
              <c16:uniqueId val="{00000000-477D-4F72-B559-3591B3A039E8}"/>
            </c:ext>
          </c:extLst>
        </c:ser>
        <c:dLbls>
          <c:showLegendKey val="0"/>
          <c:showVal val="0"/>
          <c:showCatName val="0"/>
          <c:showSerName val="0"/>
          <c:showPercent val="0"/>
          <c:showBubbleSize val="0"/>
        </c:dLbls>
        <c:smooth val="0"/>
        <c:axId val="532979976"/>
        <c:axId val="532980368"/>
      </c:lineChart>
      <c:catAx>
        <c:axId val="5329799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2980368"/>
        <c:crosses val="autoZero"/>
        <c:auto val="0"/>
        <c:lblAlgn val="ctr"/>
        <c:lblOffset val="100"/>
        <c:noMultiLvlLbl val="0"/>
      </c:catAx>
      <c:valAx>
        <c:axId val="53298036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2979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グラフライン!$B$302:$L$302</c:f>
              <c:numCache>
                <c:formatCode>#,##0_);[Red]\(#,##0\)</c:formatCode>
                <c:ptCount val="11"/>
                <c:pt idx="0">
                  <c:v>1429</c:v>
                </c:pt>
                <c:pt idx="1">
                  <c:v>1433</c:v>
                </c:pt>
                <c:pt idx="2">
                  <c:v>1438</c:v>
                </c:pt>
                <c:pt idx="3">
                  <c:v>1426</c:v>
                </c:pt>
                <c:pt idx="4">
                  <c:v>1431</c:v>
                </c:pt>
                <c:pt idx="5">
                  <c:v>1450</c:v>
                </c:pt>
                <c:pt idx="6">
                  <c:v>1446</c:v>
                </c:pt>
                <c:pt idx="7">
                  <c:v>1431</c:v>
                </c:pt>
                <c:pt idx="8">
                  <c:v>1432</c:v>
                </c:pt>
                <c:pt idx="9">
                  <c:v>1451</c:v>
                </c:pt>
                <c:pt idx="10">
                  <c:v>1426</c:v>
                </c:pt>
              </c:numCache>
            </c:numRef>
          </c:val>
          <c:smooth val="0"/>
          <c:extLst xmlns:c16r2="http://schemas.microsoft.com/office/drawing/2015/06/chart">
            <c:ext xmlns:c16="http://schemas.microsoft.com/office/drawing/2014/chart" uri="{C3380CC4-5D6E-409C-BE32-E72D297353CC}">
              <c16:uniqueId val="{00000000-42D6-41BE-86D8-65266B13C461}"/>
            </c:ext>
          </c:extLst>
        </c:ser>
        <c:dLbls>
          <c:showLegendKey val="0"/>
          <c:showVal val="0"/>
          <c:showCatName val="0"/>
          <c:showSerName val="0"/>
          <c:showPercent val="0"/>
          <c:showBubbleSize val="0"/>
        </c:dLbls>
        <c:smooth val="0"/>
        <c:axId val="532980760"/>
        <c:axId val="532981152"/>
      </c:lineChart>
      <c:catAx>
        <c:axId val="5329807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2981152"/>
        <c:crosses val="autoZero"/>
        <c:auto val="0"/>
        <c:lblAlgn val="ctr"/>
        <c:lblOffset val="100"/>
        <c:noMultiLvlLbl val="0"/>
      </c:catAx>
      <c:valAx>
        <c:axId val="5329811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2980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グラフライン!$B$317:$L$317</c:f>
              <c:numCache>
                <c:formatCode>#,##0_);[Red]\(#,##0\)</c:formatCode>
                <c:ptCount val="11"/>
                <c:pt idx="0">
                  <c:v>3430</c:v>
                </c:pt>
                <c:pt idx="1">
                  <c:v>3425</c:v>
                </c:pt>
                <c:pt idx="2">
                  <c:v>3470</c:v>
                </c:pt>
                <c:pt idx="3">
                  <c:v>3610</c:v>
                </c:pt>
                <c:pt idx="4">
                  <c:v>3630</c:v>
                </c:pt>
                <c:pt idx="5">
                  <c:v>3640</c:v>
                </c:pt>
                <c:pt idx="6">
                  <c:v>3640</c:v>
                </c:pt>
                <c:pt idx="7">
                  <c:v>3630</c:v>
                </c:pt>
                <c:pt idx="8">
                  <c:v>3570</c:v>
                </c:pt>
                <c:pt idx="9">
                  <c:v>3605</c:v>
                </c:pt>
                <c:pt idx="10">
                  <c:v>3625</c:v>
                </c:pt>
              </c:numCache>
            </c:numRef>
          </c:val>
          <c:smooth val="0"/>
          <c:extLst xmlns:c16r2="http://schemas.microsoft.com/office/drawing/2015/06/chart">
            <c:ext xmlns:c16="http://schemas.microsoft.com/office/drawing/2014/chart" uri="{C3380CC4-5D6E-409C-BE32-E72D297353CC}">
              <c16:uniqueId val="{00000000-D282-4086-8BC6-524316A2C343}"/>
            </c:ext>
          </c:extLst>
        </c:ser>
        <c:dLbls>
          <c:showLegendKey val="0"/>
          <c:showVal val="0"/>
          <c:showCatName val="0"/>
          <c:showSerName val="0"/>
          <c:showPercent val="0"/>
          <c:showBubbleSize val="0"/>
        </c:dLbls>
        <c:smooth val="0"/>
        <c:axId val="532981936"/>
        <c:axId val="532982328"/>
      </c:lineChart>
      <c:catAx>
        <c:axId val="532981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2982328"/>
        <c:crosses val="autoZero"/>
        <c:auto val="0"/>
        <c:lblAlgn val="ctr"/>
        <c:lblOffset val="100"/>
        <c:noMultiLvlLbl val="0"/>
      </c:catAx>
      <c:valAx>
        <c:axId val="5329823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2981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グラフライン!$B$332:$L$332</c:f>
              <c:numCache>
                <c:formatCode>#,##0_);[Red]\(#,##0\)</c:formatCode>
                <c:ptCount val="11"/>
                <c:pt idx="0">
                  <c:v>6940</c:v>
                </c:pt>
                <c:pt idx="1">
                  <c:v>6870</c:v>
                </c:pt>
                <c:pt idx="2">
                  <c:v>6690</c:v>
                </c:pt>
                <c:pt idx="3">
                  <c:v>6390</c:v>
                </c:pt>
                <c:pt idx="4">
                  <c:v>6520</c:v>
                </c:pt>
                <c:pt idx="5">
                  <c:v>6470</c:v>
                </c:pt>
                <c:pt idx="6">
                  <c:v>6270</c:v>
                </c:pt>
                <c:pt idx="7">
                  <c:v>6380</c:v>
                </c:pt>
                <c:pt idx="8">
                  <c:v>6160</c:v>
                </c:pt>
                <c:pt idx="9">
                  <c:v>6270</c:v>
                </c:pt>
                <c:pt idx="10">
                  <c:v>6280</c:v>
                </c:pt>
              </c:numCache>
            </c:numRef>
          </c:val>
          <c:smooth val="0"/>
          <c:extLst xmlns:c16r2="http://schemas.microsoft.com/office/drawing/2015/06/chart">
            <c:ext xmlns:c16="http://schemas.microsoft.com/office/drawing/2014/chart" uri="{C3380CC4-5D6E-409C-BE32-E72D297353CC}">
              <c16:uniqueId val="{00000000-1FB2-4EBD-A3FA-5C74A51A4DFF}"/>
            </c:ext>
          </c:extLst>
        </c:ser>
        <c:dLbls>
          <c:showLegendKey val="0"/>
          <c:showVal val="0"/>
          <c:showCatName val="0"/>
          <c:showSerName val="0"/>
          <c:showPercent val="0"/>
          <c:showBubbleSize val="0"/>
        </c:dLbls>
        <c:smooth val="0"/>
        <c:axId val="532983112"/>
        <c:axId val="536012976"/>
      </c:lineChart>
      <c:catAx>
        <c:axId val="532983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012976"/>
        <c:crosses val="autoZero"/>
        <c:auto val="0"/>
        <c:lblAlgn val="ctr"/>
        <c:lblOffset val="100"/>
        <c:noMultiLvlLbl val="0"/>
      </c:catAx>
      <c:valAx>
        <c:axId val="5360129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2983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グラフライン!$B$347:$L$347</c:f>
              <c:numCache>
                <c:formatCode>#,##0_);[Red]\(#,##0\)</c:formatCode>
                <c:ptCount val="11"/>
                <c:pt idx="0">
                  <c:v>1356</c:v>
                </c:pt>
                <c:pt idx="1">
                  <c:v>1371</c:v>
                </c:pt>
                <c:pt idx="2">
                  <c:v>1399</c:v>
                </c:pt>
                <c:pt idx="3">
                  <c:v>1431</c:v>
                </c:pt>
                <c:pt idx="4">
                  <c:v>1458</c:v>
                </c:pt>
                <c:pt idx="5">
                  <c:v>1449</c:v>
                </c:pt>
                <c:pt idx="6">
                  <c:v>1420</c:v>
                </c:pt>
                <c:pt idx="7">
                  <c:v>1379</c:v>
                </c:pt>
                <c:pt idx="8">
                  <c:v>1381</c:v>
                </c:pt>
                <c:pt idx="9">
                  <c:v>1406</c:v>
                </c:pt>
                <c:pt idx="10">
                  <c:v>1405</c:v>
                </c:pt>
              </c:numCache>
            </c:numRef>
          </c:val>
          <c:smooth val="0"/>
          <c:extLst xmlns:c16r2="http://schemas.microsoft.com/office/drawing/2015/06/chart">
            <c:ext xmlns:c16="http://schemas.microsoft.com/office/drawing/2014/chart" uri="{C3380CC4-5D6E-409C-BE32-E72D297353CC}">
              <c16:uniqueId val="{00000000-B619-41B6-9458-ADF0D71E4365}"/>
            </c:ext>
          </c:extLst>
        </c:ser>
        <c:dLbls>
          <c:showLegendKey val="0"/>
          <c:showVal val="0"/>
          <c:showCatName val="0"/>
          <c:showSerName val="0"/>
          <c:showPercent val="0"/>
          <c:showBubbleSize val="0"/>
        </c:dLbls>
        <c:smooth val="0"/>
        <c:axId val="536013760"/>
        <c:axId val="536014152"/>
      </c:lineChart>
      <c:catAx>
        <c:axId val="5360137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014152"/>
        <c:crosses val="autoZero"/>
        <c:auto val="0"/>
        <c:lblAlgn val="ctr"/>
        <c:lblOffset val="100"/>
        <c:noMultiLvlLbl val="0"/>
      </c:catAx>
      <c:valAx>
        <c:axId val="5360141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013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グラフライン!$B$362:$L$362</c:f>
              <c:numCache>
                <c:formatCode>#,##0_);[Red]\(#,##0\)</c:formatCode>
                <c:ptCount val="11"/>
                <c:pt idx="0">
                  <c:v>5650</c:v>
                </c:pt>
                <c:pt idx="1">
                  <c:v>5760</c:v>
                </c:pt>
                <c:pt idx="2">
                  <c:v>5780</c:v>
                </c:pt>
                <c:pt idx="3">
                  <c:v>5900</c:v>
                </c:pt>
                <c:pt idx="4">
                  <c:v>5840</c:v>
                </c:pt>
                <c:pt idx="5">
                  <c:v>5900</c:v>
                </c:pt>
                <c:pt idx="6">
                  <c:v>5850</c:v>
                </c:pt>
                <c:pt idx="7">
                  <c:v>5850</c:v>
                </c:pt>
                <c:pt idx="8">
                  <c:v>5690</c:v>
                </c:pt>
                <c:pt idx="9">
                  <c:v>5570</c:v>
                </c:pt>
                <c:pt idx="10">
                  <c:v>5530</c:v>
                </c:pt>
              </c:numCache>
            </c:numRef>
          </c:val>
          <c:smooth val="0"/>
          <c:extLst xmlns:c16r2="http://schemas.microsoft.com/office/drawing/2015/06/chart">
            <c:ext xmlns:c16="http://schemas.microsoft.com/office/drawing/2014/chart" uri="{C3380CC4-5D6E-409C-BE32-E72D297353CC}">
              <c16:uniqueId val="{00000000-1F19-40E9-A43B-B632BAF4391C}"/>
            </c:ext>
          </c:extLst>
        </c:ser>
        <c:dLbls>
          <c:showLegendKey val="0"/>
          <c:showVal val="0"/>
          <c:showCatName val="0"/>
          <c:showSerName val="0"/>
          <c:showPercent val="0"/>
          <c:showBubbleSize val="0"/>
        </c:dLbls>
        <c:smooth val="0"/>
        <c:axId val="536014936"/>
        <c:axId val="536015328"/>
      </c:lineChart>
      <c:catAx>
        <c:axId val="536014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015328"/>
        <c:crosses val="autoZero"/>
        <c:auto val="0"/>
        <c:lblAlgn val="ctr"/>
        <c:lblOffset val="100"/>
        <c:noMultiLvlLbl val="0"/>
      </c:catAx>
      <c:valAx>
        <c:axId val="5360153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014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グラフライン!$B$377:$L$377</c:f>
              <c:numCache>
                <c:formatCode>#,##0_);[Red]\(#,##0\)</c:formatCode>
                <c:ptCount val="11"/>
                <c:pt idx="0">
                  <c:v>1386</c:v>
                </c:pt>
                <c:pt idx="1">
                  <c:v>1406</c:v>
                </c:pt>
                <c:pt idx="2">
                  <c:v>1407</c:v>
                </c:pt>
                <c:pt idx="3">
                  <c:v>1391</c:v>
                </c:pt>
                <c:pt idx="4">
                  <c:v>1398</c:v>
                </c:pt>
                <c:pt idx="5">
                  <c:v>1397</c:v>
                </c:pt>
                <c:pt idx="6">
                  <c:v>1379</c:v>
                </c:pt>
                <c:pt idx="7">
                  <c:v>1339</c:v>
                </c:pt>
                <c:pt idx="8">
                  <c:v>1360</c:v>
                </c:pt>
                <c:pt idx="9">
                  <c:v>1369</c:v>
                </c:pt>
                <c:pt idx="10">
                  <c:v>1355</c:v>
                </c:pt>
              </c:numCache>
            </c:numRef>
          </c:val>
          <c:smooth val="0"/>
          <c:extLst xmlns:c16r2="http://schemas.microsoft.com/office/drawing/2015/06/chart">
            <c:ext xmlns:c16="http://schemas.microsoft.com/office/drawing/2014/chart" uri="{C3380CC4-5D6E-409C-BE32-E72D297353CC}">
              <c16:uniqueId val="{00000000-7EDA-4B96-BBFC-36D129B10594}"/>
            </c:ext>
          </c:extLst>
        </c:ser>
        <c:dLbls>
          <c:showLegendKey val="0"/>
          <c:showVal val="0"/>
          <c:showCatName val="0"/>
          <c:showSerName val="0"/>
          <c:showPercent val="0"/>
          <c:showBubbleSize val="0"/>
        </c:dLbls>
        <c:smooth val="0"/>
        <c:axId val="536016112"/>
        <c:axId val="536016504"/>
      </c:lineChart>
      <c:catAx>
        <c:axId val="536016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016504"/>
        <c:crosses val="autoZero"/>
        <c:auto val="0"/>
        <c:lblAlgn val="ctr"/>
        <c:lblOffset val="100"/>
        <c:noMultiLvlLbl val="0"/>
      </c:catAx>
      <c:valAx>
        <c:axId val="5360165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016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グラフライン!$B$392:$L$392</c:f>
              <c:numCache>
                <c:formatCode>#,##0_);[Red]\(#,##0\)</c:formatCode>
                <c:ptCount val="11"/>
                <c:pt idx="0">
                  <c:v>1876</c:v>
                </c:pt>
                <c:pt idx="1">
                  <c:v>1871</c:v>
                </c:pt>
                <c:pt idx="2">
                  <c:v>1874</c:v>
                </c:pt>
                <c:pt idx="3">
                  <c:v>1874</c:v>
                </c:pt>
                <c:pt idx="4">
                  <c:v>1915</c:v>
                </c:pt>
                <c:pt idx="5">
                  <c:v>1895</c:v>
                </c:pt>
                <c:pt idx="6">
                  <c:v>1867</c:v>
                </c:pt>
                <c:pt idx="7">
                  <c:v>1850</c:v>
                </c:pt>
                <c:pt idx="8">
                  <c:v>1850</c:v>
                </c:pt>
                <c:pt idx="9">
                  <c:v>1832</c:v>
                </c:pt>
                <c:pt idx="10">
                  <c:v>1831</c:v>
                </c:pt>
              </c:numCache>
            </c:numRef>
          </c:val>
          <c:smooth val="0"/>
          <c:extLst xmlns:c16r2="http://schemas.microsoft.com/office/drawing/2015/06/chart">
            <c:ext xmlns:c16="http://schemas.microsoft.com/office/drawing/2014/chart" uri="{C3380CC4-5D6E-409C-BE32-E72D297353CC}">
              <c16:uniqueId val="{00000000-0505-4280-940D-8D6D4BBCB62D}"/>
            </c:ext>
          </c:extLst>
        </c:ser>
        <c:dLbls>
          <c:showLegendKey val="0"/>
          <c:showVal val="0"/>
          <c:showCatName val="0"/>
          <c:showSerName val="0"/>
          <c:showPercent val="0"/>
          <c:showBubbleSize val="0"/>
        </c:dLbls>
        <c:smooth val="0"/>
        <c:axId val="537452944"/>
        <c:axId val="537453336"/>
      </c:lineChart>
      <c:catAx>
        <c:axId val="5374529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7453336"/>
        <c:crosses val="autoZero"/>
        <c:auto val="0"/>
        <c:lblAlgn val="ctr"/>
        <c:lblOffset val="100"/>
        <c:noMultiLvlLbl val="0"/>
      </c:catAx>
      <c:valAx>
        <c:axId val="5374533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7452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グラフライン!$B$407:$L$407</c:f>
              <c:numCache>
                <c:formatCode>#,##0_);[Red]\(#,##0\)</c:formatCode>
                <c:ptCount val="11"/>
                <c:pt idx="0">
                  <c:v>2444</c:v>
                </c:pt>
                <c:pt idx="1">
                  <c:v>1270</c:v>
                </c:pt>
                <c:pt idx="2">
                  <c:v>1275</c:v>
                </c:pt>
                <c:pt idx="3">
                  <c:v>1295</c:v>
                </c:pt>
                <c:pt idx="4">
                  <c:v>1346</c:v>
                </c:pt>
                <c:pt idx="5">
                  <c:v>1380</c:v>
                </c:pt>
                <c:pt idx="6">
                  <c:v>1477</c:v>
                </c:pt>
                <c:pt idx="7">
                  <c:v>1422</c:v>
                </c:pt>
                <c:pt idx="8">
                  <c:v>1363</c:v>
                </c:pt>
                <c:pt idx="9">
                  <c:v>1329</c:v>
                </c:pt>
                <c:pt idx="10">
                  <c:v>1295</c:v>
                </c:pt>
              </c:numCache>
            </c:numRef>
          </c:val>
          <c:smooth val="0"/>
          <c:extLst xmlns:c16r2="http://schemas.microsoft.com/office/drawing/2015/06/chart">
            <c:ext xmlns:c16="http://schemas.microsoft.com/office/drawing/2014/chart" uri="{C3380CC4-5D6E-409C-BE32-E72D297353CC}">
              <c16:uniqueId val="{00000000-1148-4D60-9FF4-DA65C878030B}"/>
            </c:ext>
          </c:extLst>
        </c:ser>
        <c:dLbls>
          <c:showLegendKey val="0"/>
          <c:showVal val="0"/>
          <c:showCatName val="0"/>
          <c:showSerName val="0"/>
          <c:showPercent val="0"/>
          <c:showBubbleSize val="0"/>
        </c:dLbls>
        <c:smooth val="0"/>
        <c:axId val="537454120"/>
        <c:axId val="537454512"/>
      </c:lineChart>
      <c:catAx>
        <c:axId val="5374541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7454512"/>
        <c:crosses val="autoZero"/>
        <c:auto val="0"/>
        <c:lblAlgn val="ctr"/>
        <c:lblOffset val="100"/>
        <c:noMultiLvlLbl val="0"/>
      </c:catAx>
      <c:valAx>
        <c:axId val="5374545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7454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グラフライン!$B$422:$L$422</c:f>
              <c:numCache>
                <c:formatCode>#,##0_);[Red]\(#,##0\)</c:formatCode>
                <c:ptCount val="11"/>
                <c:pt idx="0">
                  <c:v>4260</c:v>
                </c:pt>
                <c:pt idx="1">
                  <c:v>4550</c:v>
                </c:pt>
                <c:pt idx="2">
                  <c:v>4545</c:v>
                </c:pt>
                <c:pt idx="3">
                  <c:v>4440</c:v>
                </c:pt>
                <c:pt idx="4">
                  <c:v>4350</c:v>
                </c:pt>
                <c:pt idx="5">
                  <c:v>4325</c:v>
                </c:pt>
                <c:pt idx="6">
                  <c:v>4090</c:v>
                </c:pt>
                <c:pt idx="7">
                  <c:v>3985</c:v>
                </c:pt>
                <c:pt idx="8">
                  <c:v>4065</c:v>
                </c:pt>
                <c:pt idx="9">
                  <c:v>4135</c:v>
                </c:pt>
                <c:pt idx="10">
                  <c:v>4070</c:v>
                </c:pt>
              </c:numCache>
            </c:numRef>
          </c:val>
          <c:smooth val="0"/>
          <c:extLst xmlns:c16r2="http://schemas.microsoft.com/office/drawing/2015/06/chart">
            <c:ext xmlns:c16="http://schemas.microsoft.com/office/drawing/2014/chart" uri="{C3380CC4-5D6E-409C-BE32-E72D297353CC}">
              <c16:uniqueId val="{00000000-3EF7-4C0C-B75B-9B7BA346915B}"/>
            </c:ext>
          </c:extLst>
        </c:ser>
        <c:dLbls>
          <c:showLegendKey val="0"/>
          <c:showVal val="0"/>
          <c:showCatName val="0"/>
          <c:showSerName val="0"/>
          <c:showPercent val="0"/>
          <c:showBubbleSize val="0"/>
        </c:dLbls>
        <c:smooth val="0"/>
        <c:axId val="537455296"/>
        <c:axId val="537455688"/>
      </c:lineChart>
      <c:catAx>
        <c:axId val="5374552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7455688"/>
        <c:crosses val="autoZero"/>
        <c:auto val="0"/>
        <c:lblAlgn val="ctr"/>
        <c:lblOffset val="100"/>
        <c:noMultiLvlLbl val="0"/>
      </c:catAx>
      <c:valAx>
        <c:axId val="5374556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7455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グラフライン!$B$437:$L$437</c:f>
              <c:numCache>
                <c:formatCode>#,##0_);[Red]\(#,##0\)</c:formatCode>
                <c:ptCount val="11"/>
                <c:pt idx="0">
                  <c:v>2097</c:v>
                </c:pt>
                <c:pt idx="1">
                  <c:v>2081</c:v>
                </c:pt>
                <c:pt idx="2">
                  <c:v>2108</c:v>
                </c:pt>
                <c:pt idx="3">
                  <c:v>2081</c:v>
                </c:pt>
                <c:pt idx="4">
                  <c:v>2111</c:v>
                </c:pt>
                <c:pt idx="5">
                  <c:v>2098</c:v>
                </c:pt>
                <c:pt idx="6">
                  <c:v>2070</c:v>
                </c:pt>
                <c:pt idx="7">
                  <c:v>2001</c:v>
                </c:pt>
                <c:pt idx="8">
                  <c:v>2078</c:v>
                </c:pt>
                <c:pt idx="9">
                  <c:v>1970</c:v>
                </c:pt>
                <c:pt idx="10">
                  <c:v>2000</c:v>
                </c:pt>
              </c:numCache>
            </c:numRef>
          </c:val>
          <c:smooth val="0"/>
          <c:extLst xmlns:c16r2="http://schemas.microsoft.com/office/drawing/2015/06/chart">
            <c:ext xmlns:c16="http://schemas.microsoft.com/office/drawing/2014/chart" uri="{C3380CC4-5D6E-409C-BE32-E72D297353CC}">
              <c16:uniqueId val="{00000000-32E5-4595-A414-440D84ECBE3E}"/>
            </c:ext>
          </c:extLst>
        </c:ser>
        <c:dLbls>
          <c:showLegendKey val="0"/>
          <c:showVal val="0"/>
          <c:showCatName val="0"/>
          <c:showSerName val="0"/>
          <c:showPercent val="0"/>
          <c:showBubbleSize val="0"/>
        </c:dLbls>
        <c:smooth val="0"/>
        <c:axId val="299994320"/>
        <c:axId val="299994712"/>
      </c:lineChart>
      <c:catAx>
        <c:axId val="2999943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994712"/>
        <c:crosses val="autoZero"/>
        <c:auto val="0"/>
        <c:lblAlgn val="ctr"/>
        <c:lblOffset val="100"/>
        <c:noMultiLvlLbl val="0"/>
      </c:catAx>
      <c:valAx>
        <c:axId val="2999947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994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グラフライン!$B$452:$L$452</c:f>
              <c:numCache>
                <c:formatCode>#,##0_);[Red]\(#,##0\)</c:formatCode>
                <c:ptCount val="11"/>
                <c:pt idx="0">
                  <c:v>9310</c:v>
                </c:pt>
                <c:pt idx="1">
                  <c:v>9240</c:v>
                </c:pt>
                <c:pt idx="2">
                  <c:v>9010</c:v>
                </c:pt>
                <c:pt idx="3">
                  <c:v>8800</c:v>
                </c:pt>
                <c:pt idx="4">
                  <c:v>8970</c:v>
                </c:pt>
                <c:pt idx="5">
                  <c:v>8670</c:v>
                </c:pt>
                <c:pt idx="6">
                  <c:v>8580</c:v>
                </c:pt>
                <c:pt idx="7">
                  <c:v>7990</c:v>
                </c:pt>
                <c:pt idx="8">
                  <c:v>8080</c:v>
                </c:pt>
                <c:pt idx="9">
                  <c:v>8470</c:v>
                </c:pt>
                <c:pt idx="10">
                  <c:v>8500</c:v>
                </c:pt>
              </c:numCache>
            </c:numRef>
          </c:val>
          <c:smooth val="0"/>
          <c:extLst xmlns:c16r2="http://schemas.microsoft.com/office/drawing/2015/06/chart">
            <c:ext xmlns:c16="http://schemas.microsoft.com/office/drawing/2014/chart" uri="{C3380CC4-5D6E-409C-BE32-E72D297353CC}">
              <c16:uniqueId val="{00000000-17C5-4ADE-9E66-441504AECBDB}"/>
            </c:ext>
          </c:extLst>
        </c:ser>
        <c:dLbls>
          <c:showLegendKey val="0"/>
          <c:showVal val="0"/>
          <c:showCatName val="0"/>
          <c:showSerName val="0"/>
          <c:showPercent val="0"/>
          <c:showBubbleSize val="0"/>
        </c:dLbls>
        <c:smooth val="0"/>
        <c:axId val="299995496"/>
        <c:axId val="299995888"/>
      </c:lineChart>
      <c:catAx>
        <c:axId val="2999954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995888"/>
        <c:crosses val="autoZero"/>
        <c:auto val="0"/>
        <c:lblAlgn val="ctr"/>
        <c:lblOffset val="100"/>
        <c:noMultiLvlLbl val="0"/>
      </c:catAx>
      <c:valAx>
        <c:axId val="2999958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995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グラフライン!$B$467:$L$467</c:f>
              <c:numCache>
                <c:formatCode>#,##0_);[Red]\(#,##0\)</c:formatCode>
                <c:ptCount val="11"/>
                <c:pt idx="0">
                  <c:v>1990</c:v>
                </c:pt>
                <c:pt idx="1">
                  <c:v>2069</c:v>
                </c:pt>
                <c:pt idx="2">
                  <c:v>2148</c:v>
                </c:pt>
                <c:pt idx="3">
                  <c:v>2107</c:v>
                </c:pt>
                <c:pt idx="4">
                  <c:v>2140</c:v>
                </c:pt>
                <c:pt idx="5">
                  <c:v>2154</c:v>
                </c:pt>
                <c:pt idx="6">
                  <c:v>2060</c:v>
                </c:pt>
                <c:pt idx="7">
                  <c:v>2016</c:v>
                </c:pt>
                <c:pt idx="8">
                  <c:v>2021</c:v>
                </c:pt>
                <c:pt idx="9">
                  <c:v>2031</c:v>
                </c:pt>
                <c:pt idx="10">
                  <c:v>1975</c:v>
                </c:pt>
              </c:numCache>
            </c:numRef>
          </c:val>
          <c:smooth val="0"/>
          <c:extLst xmlns:c16r2="http://schemas.microsoft.com/office/drawing/2015/06/chart">
            <c:ext xmlns:c16="http://schemas.microsoft.com/office/drawing/2014/chart" uri="{C3380CC4-5D6E-409C-BE32-E72D297353CC}">
              <c16:uniqueId val="{00000000-A2EA-48C2-BCC8-181F646EF3F7}"/>
            </c:ext>
          </c:extLst>
        </c:ser>
        <c:dLbls>
          <c:showLegendKey val="0"/>
          <c:showVal val="0"/>
          <c:showCatName val="0"/>
          <c:showSerName val="0"/>
          <c:showPercent val="0"/>
          <c:showBubbleSize val="0"/>
        </c:dLbls>
        <c:smooth val="0"/>
        <c:axId val="299996672"/>
        <c:axId val="299997064"/>
      </c:lineChart>
      <c:catAx>
        <c:axId val="2999966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997064"/>
        <c:crosses val="autoZero"/>
        <c:auto val="0"/>
        <c:lblAlgn val="ctr"/>
        <c:lblOffset val="100"/>
        <c:noMultiLvlLbl val="0"/>
      </c:catAx>
      <c:valAx>
        <c:axId val="2999970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996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グラフライン!$B$482:$L$482</c:f>
              <c:numCache>
                <c:formatCode>#,##0_);[Red]\(#,##0\)</c:formatCode>
                <c:ptCount val="11"/>
                <c:pt idx="0">
                  <c:v>2319</c:v>
                </c:pt>
                <c:pt idx="1">
                  <c:v>2387</c:v>
                </c:pt>
                <c:pt idx="2">
                  <c:v>2375</c:v>
                </c:pt>
                <c:pt idx="3">
                  <c:v>2360</c:v>
                </c:pt>
                <c:pt idx="4">
                  <c:v>2377</c:v>
                </c:pt>
                <c:pt idx="5">
                  <c:v>2404</c:v>
                </c:pt>
                <c:pt idx="6">
                  <c:v>2416</c:v>
                </c:pt>
                <c:pt idx="7">
                  <c:v>2323</c:v>
                </c:pt>
                <c:pt idx="8">
                  <c:v>2383</c:v>
                </c:pt>
                <c:pt idx="9">
                  <c:v>2378</c:v>
                </c:pt>
                <c:pt idx="10">
                  <c:v>2434</c:v>
                </c:pt>
              </c:numCache>
            </c:numRef>
          </c:val>
          <c:smooth val="0"/>
          <c:extLst xmlns:c16r2="http://schemas.microsoft.com/office/drawing/2015/06/chart">
            <c:ext xmlns:c16="http://schemas.microsoft.com/office/drawing/2014/chart" uri="{C3380CC4-5D6E-409C-BE32-E72D297353CC}">
              <c16:uniqueId val="{00000000-31EC-43C0-8205-81416BADE115}"/>
            </c:ext>
          </c:extLst>
        </c:ser>
        <c:dLbls>
          <c:showLegendKey val="0"/>
          <c:showVal val="0"/>
          <c:showCatName val="0"/>
          <c:showSerName val="0"/>
          <c:showPercent val="0"/>
          <c:showBubbleSize val="0"/>
        </c:dLbls>
        <c:smooth val="0"/>
        <c:axId val="299997848"/>
        <c:axId val="299998240"/>
      </c:lineChart>
      <c:catAx>
        <c:axId val="2999978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998240"/>
        <c:crosses val="autoZero"/>
        <c:auto val="0"/>
        <c:lblAlgn val="ctr"/>
        <c:lblOffset val="100"/>
        <c:noMultiLvlLbl val="0"/>
      </c:catAx>
      <c:valAx>
        <c:axId val="2999982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997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グラフライン!$B$497:$L$497</c:f>
              <c:numCache>
                <c:formatCode>#,##0_);[Red]\(#,##0\)</c:formatCode>
                <c:ptCount val="11"/>
                <c:pt idx="0">
                  <c:v>2187</c:v>
                </c:pt>
                <c:pt idx="1">
                  <c:v>2500</c:v>
                </c:pt>
                <c:pt idx="2">
                  <c:v>2766</c:v>
                </c:pt>
                <c:pt idx="3">
                  <c:v>2809</c:v>
                </c:pt>
                <c:pt idx="4">
                  <c:v>3300</c:v>
                </c:pt>
                <c:pt idx="5">
                  <c:v>3130</c:v>
                </c:pt>
                <c:pt idx="6">
                  <c:v>3315</c:v>
                </c:pt>
                <c:pt idx="7">
                  <c:v>3130</c:v>
                </c:pt>
                <c:pt idx="8">
                  <c:v>2937</c:v>
                </c:pt>
                <c:pt idx="9">
                  <c:v>2661</c:v>
                </c:pt>
                <c:pt idx="10">
                  <c:v>2671</c:v>
                </c:pt>
              </c:numCache>
            </c:numRef>
          </c:val>
          <c:smooth val="0"/>
          <c:extLst xmlns:c16r2="http://schemas.microsoft.com/office/drawing/2015/06/chart">
            <c:ext xmlns:c16="http://schemas.microsoft.com/office/drawing/2014/chart" uri="{C3380CC4-5D6E-409C-BE32-E72D297353CC}">
              <c16:uniqueId val="{00000000-0888-4D05-868D-1643CB754D82}"/>
            </c:ext>
          </c:extLst>
        </c:ser>
        <c:dLbls>
          <c:showLegendKey val="0"/>
          <c:showVal val="0"/>
          <c:showCatName val="0"/>
          <c:showSerName val="0"/>
          <c:showPercent val="0"/>
          <c:showBubbleSize val="0"/>
        </c:dLbls>
        <c:smooth val="0"/>
        <c:axId val="299999416"/>
        <c:axId val="299999808"/>
      </c:lineChart>
      <c:catAx>
        <c:axId val="2999994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999808"/>
        <c:crosses val="autoZero"/>
        <c:auto val="0"/>
        <c:lblAlgn val="ctr"/>
        <c:lblOffset val="100"/>
        <c:noMultiLvlLbl val="0"/>
      </c:catAx>
      <c:valAx>
        <c:axId val="2999998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99999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グラフライン!$B$512:$L$512</c:f>
              <c:numCache>
                <c:formatCode>#,##0_);[Red]\(#,##0\)</c:formatCode>
                <c:ptCount val="11"/>
                <c:pt idx="0">
                  <c:v>2945</c:v>
                </c:pt>
                <c:pt idx="1">
                  <c:v>3035</c:v>
                </c:pt>
                <c:pt idx="2">
                  <c:v>2933</c:v>
                </c:pt>
                <c:pt idx="3">
                  <c:v>2808</c:v>
                </c:pt>
                <c:pt idx="4">
                  <c:v>2872</c:v>
                </c:pt>
                <c:pt idx="5">
                  <c:v>2830</c:v>
                </c:pt>
                <c:pt idx="6">
                  <c:v>2740</c:v>
                </c:pt>
                <c:pt idx="7">
                  <c:v>2641</c:v>
                </c:pt>
                <c:pt idx="8">
                  <c:v>2731</c:v>
                </c:pt>
                <c:pt idx="9">
                  <c:v>2766</c:v>
                </c:pt>
                <c:pt idx="10">
                  <c:v>2769</c:v>
                </c:pt>
              </c:numCache>
            </c:numRef>
          </c:val>
          <c:smooth val="0"/>
          <c:extLst xmlns:c16r2="http://schemas.microsoft.com/office/drawing/2015/06/chart">
            <c:ext xmlns:c16="http://schemas.microsoft.com/office/drawing/2014/chart" uri="{C3380CC4-5D6E-409C-BE32-E72D297353CC}">
              <c16:uniqueId val="{00000000-DE01-44E0-B0FE-56FAF2BAE18E}"/>
            </c:ext>
          </c:extLst>
        </c:ser>
        <c:dLbls>
          <c:showLegendKey val="0"/>
          <c:showVal val="0"/>
          <c:showCatName val="0"/>
          <c:showSerName val="0"/>
          <c:showPercent val="0"/>
          <c:showBubbleSize val="0"/>
        </c:dLbls>
        <c:smooth val="0"/>
        <c:axId val="300000592"/>
        <c:axId val="300000984"/>
      </c:lineChart>
      <c:catAx>
        <c:axId val="3000005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0000984"/>
        <c:crosses val="autoZero"/>
        <c:auto val="0"/>
        <c:lblAlgn val="ctr"/>
        <c:lblOffset val="100"/>
        <c:noMultiLvlLbl val="0"/>
      </c:catAx>
      <c:valAx>
        <c:axId val="3000009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0000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グラフライン!$B$527:$L$527</c:f>
              <c:numCache>
                <c:formatCode>#,##0_);[Red]\(#,##0\)</c:formatCode>
                <c:ptCount val="11"/>
                <c:pt idx="0">
                  <c:v>1043</c:v>
                </c:pt>
                <c:pt idx="1">
                  <c:v>1079</c:v>
                </c:pt>
                <c:pt idx="2">
                  <c:v>1199</c:v>
                </c:pt>
                <c:pt idx="3">
                  <c:v>1220</c:v>
                </c:pt>
                <c:pt idx="4">
                  <c:v>1167</c:v>
                </c:pt>
                <c:pt idx="5">
                  <c:v>1111</c:v>
                </c:pt>
                <c:pt idx="6">
                  <c:v>1091</c:v>
                </c:pt>
                <c:pt idx="7">
                  <c:v>1027</c:v>
                </c:pt>
                <c:pt idx="8">
                  <c:v>1024</c:v>
                </c:pt>
                <c:pt idx="9">
                  <c:v>1005</c:v>
                </c:pt>
                <c:pt idx="10">
                  <c:v>1006</c:v>
                </c:pt>
              </c:numCache>
            </c:numRef>
          </c:val>
          <c:smooth val="0"/>
          <c:extLst xmlns:c16r2="http://schemas.microsoft.com/office/drawing/2015/06/chart">
            <c:ext xmlns:c16="http://schemas.microsoft.com/office/drawing/2014/chart" uri="{C3380CC4-5D6E-409C-BE32-E72D297353CC}">
              <c16:uniqueId val="{00000000-2116-4E6A-A6C6-1CA1274F2820}"/>
            </c:ext>
          </c:extLst>
        </c:ser>
        <c:dLbls>
          <c:showLegendKey val="0"/>
          <c:showVal val="0"/>
          <c:showCatName val="0"/>
          <c:showSerName val="0"/>
          <c:showPercent val="0"/>
          <c:showBubbleSize val="0"/>
        </c:dLbls>
        <c:smooth val="0"/>
        <c:axId val="300001768"/>
        <c:axId val="534511064"/>
      </c:lineChart>
      <c:catAx>
        <c:axId val="3000017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1064"/>
        <c:crosses val="autoZero"/>
        <c:auto val="0"/>
        <c:lblAlgn val="ctr"/>
        <c:lblOffset val="100"/>
        <c:noMultiLvlLbl val="0"/>
      </c:catAx>
      <c:valAx>
        <c:axId val="5345110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00001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グラフライン!$B$542:$L$542</c:f>
              <c:numCache>
                <c:formatCode>#,##0_);[Red]\(#,##0\)</c:formatCode>
                <c:ptCount val="11"/>
                <c:pt idx="0">
                  <c:v>1371</c:v>
                </c:pt>
                <c:pt idx="1">
                  <c:v>1379</c:v>
                </c:pt>
                <c:pt idx="2">
                  <c:v>1385</c:v>
                </c:pt>
                <c:pt idx="3">
                  <c:v>1372</c:v>
                </c:pt>
                <c:pt idx="4">
                  <c:v>1385</c:v>
                </c:pt>
                <c:pt idx="5">
                  <c:v>1376</c:v>
                </c:pt>
                <c:pt idx="6">
                  <c:v>1366</c:v>
                </c:pt>
                <c:pt idx="7">
                  <c:v>1354</c:v>
                </c:pt>
                <c:pt idx="8">
                  <c:v>1322</c:v>
                </c:pt>
                <c:pt idx="9">
                  <c:v>1356</c:v>
                </c:pt>
                <c:pt idx="10">
                  <c:v>1332</c:v>
                </c:pt>
              </c:numCache>
            </c:numRef>
          </c:val>
          <c:smooth val="0"/>
          <c:extLst xmlns:c16r2="http://schemas.microsoft.com/office/drawing/2015/06/chart">
            <c:ext xmlns:c16="http://schemas.microsoft.com/office/drawing/2014/chart" uri="{C3380CC4-5D6E-409C-BE32-E72D297353CC}">
              <c16:uniqueId val="{00000000-358C-4168-BBA8-96BCBD132CE7}"/>
            </c:ext>
          </c:extLst>
        </c:ser>
        <c:dLbls>
          <c:showLegendKey val="0"/>
          <c:showVal val="0"/>
          <c:showCatName val="0"/>
          <c:showSerName val="0"/>
          <c:showPercent val="0"/>
          <c:showBubbleSize val="0"/>
        </c:dLbls>
        <c:smooth val="0"/>
        <c:axId val="534511456"/>
        <c:axId val="534511848"/>
      </c:lineChart>
      <c:catAx>
        <c:axId val="5345114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1848"/>
        <c:crosses val="autoZero"/>
        <c:auto val="0"/>
        <c:lblAlgn val="ctr"/>
        <c:lblOffset val="100"/>
        <c:noMultiLvlLbl val="0"/>
      </c:catAx>
      <c:valAx>
        <c:axId val="5345118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1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グラフライン!$B$557:$L$557</c:f>
              <c:numCache>
                <c:formatCode>#,##0_);[Red]\(#,##0\)</c:formatCode>
                <c:ptCount val="11"/>
                <c:pt idx="0">
                  <c:v>4330</c:v>
                </c:pt>
                <c:pt idx="1">
                  <c:v>4220</c:v>
                </c:pt>
                <c:pt idx="2">
                  <c:v>4300</c:v>
                </c:pt>
                <c:pt idx="3">
                  <c:v>4165</c:v>
                </c:pt>
                <c:pt idx="4">
                  <c:v>4160</c:v>
                </c:pt>
                <c:pt idx="5">
                  <c:v>4180</c:v>
                </c:pt>
                <c:pt idx="6">
                  <c:v>4190</c:v>
                </c:pt>
                <c:pt idx="7">
                  <c:v>4030</c:v>
                </c:pt>
                <c:pt idx="8">
                  <c:v>4020</c:v>
                </c:pt>
                <c:pt idx="9">
                  <c:v>4050</c:v>
                </c:pt>
                <c:pt idx="10">
                  <c:v>4080</c:v>
                </c:pt>
              </c:numCache>
            </c:numRef>
          </c:val>
          <c:smooth val="0"/>
          <c:extLst xmlns:c16r2="http://schemas.microsoft.com/office/drawing/2015/06/chart">
            <c:ext xmlns:c16="http://schemas.microsoft.com/office/drawing/2014/chart" uri="{C3380CC4-5D6E-409C-BE32-E72D297353CC}">
              <c16:uniqueId val="{00000000-A1E1-433E-BBE5-E87C37BE1605}"/>
            </c:ext>
          </c:extLst>
        </c:ser>
        <c:dLbls>
          <c:showLegendKey val="0"/>
          <c:showVal val="0"/>
          <c:showCatName val="0"/>
          <c:showSerName val="0"/>
          <c:showPercent val="0"/>
          <c:showBubbleSize val="0"/>
        </c:dLbls>
        <c:smooth val="0"/>
        <c:axId val="534512632"/>
        <c:axId val="534513024"/>
      </c:lineChart>
      <c:catAx>
        <c:axId val="5345126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3024"/>
        <c:crosses val="autoZero"/>
        <c:auto val="0"/>
        <c:lblAlgn val="ctr"/>
        <c:lblOffset val="100"/>
        <c:noMultiLvlLbl val="0"/>
      </c:catAx>
      <c:valAx>
        <c:axId val="5345130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2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グラフライン!$B$572:$L$572</c:f>
              <c:numCache>
                <c:formatCode>#,##0_);[Red]\(#,##0\)</c:formatCode>
                <c:ptCount val="11"/>
                <c:pt idx="0">
                  <c:v>5090</c:v>
                </c:pt>
                <c:pt idx="1">
                  <c:v>2589</c:v>
                </c:pt>
                <c:pt idx="2">
                  <c:v>2555</c:v>
                </c:pt>
                <c:pt idx="3">
                  <c:v>2500</c:v>
                </c:pt>
                <c:pt idx="4">
                  <c:v>2460</c:v>
                </c:pt>
                <c:pt idx="5">
                  <c:v>2591</c:v>
                </c:pt>
                <c:pt idx="6">
                  <c:v>2522</c:v>
                </c:pt>
                <c:pt idx="7">
                  <c:v>2420</c:v>
                </c:pt>
                <c:pt idx="8">
                  <c:v>2377</c:v>
                </c:pt>
                <c:pt idx="9">
                  <c:v>2355</c:v>
                </c:pt>
                <c:pt idx="10">
                  <c:v>2365</c:v>
                </c:pt>
              </c:numCache>
            </c:numRef>
          </c:val>
          <c:smooth val="0"/>
          <c:extLst xmlns:c16r2="http://schemas.microsoft.com/office/drawing/2015/06/chart">
            <c:ext xmlns:c16="http://schemas.microsoft.com/office/drawing/2014/chart" uri="{C3380CC4-5D6E-409C-BE32-E72D297353CC}">
              <c16:uniqueId val="{00000000-6ECD-45D7-814F-D15F322B8EA6}"/>
            </c:ext>
          </c:extLst>
        </c:ser>
        <c:dLbls>
          <c:showLegendKey val="0"/>
          <c:showVal val="0"/>
          <c:showCatName val="0"/>
          <c:showSerName val="0"/>
          <c:showPercent val="0"/>
          <c:showBubbleSize val="0"/>
        </c:dLbls>
        <c:smooth val="0"/>
        <c:axId val="534513808"/>
        <c:axId val="534514200"/>
      </c:lineChart>
      <c:catAx>
        <c:axId val="5345138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4200"/>
        <c:crosses val="autoZero"/>
        <c:auto val="0"/>
        <c:lblAlgn val="ctr"/>
        <c:lblOffset val="100"/>
        <c:noMultiLvlLbl val="0"/>
      </c:catAx>
      <c:valAx>
        <c:axId val="5345142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3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グラフライン!$B$587:$L$587</c:f>
              <c:numCache>
                <c:formatCode>#,##0_);[Red]\(#,##0\)</c:formatCode>
                <c:ptCount val="11"/>
                <c:pt idx="0">
                  <c:v>3600</c:v>
                </c:pt>
                <c:pt idx="1">
                  <c:v>1810</c:v>
                </c:pt>
                <c:pt idx="2">
                  <c:v>1815</c:v>
                </c:pt>
                <c:pt idx="3">
                  <c:v>1824</c:v>
                </c:pt>
                <c:pt idx="4">
                  <c:v>1800</c:v>
                </c:pt>
                <c:pt idx="5">
                  <c:v>1830</c:v>
                </c:pt>
                <c:pt idx="6">
                  <c:v>1828</c:v>
                </c:pt>
                <c:pt idx="7">
                  <c:v>1819</c:v>
                </c:pt>
                <c:pt idx="8">
                  <c:v>1820</c:v>
                </c:pt>
                <c:pt idx="9">
                  <c:v>1822</c:v>
                </c:pt>
                <c:pt idx="10">
                  <c:v>1830</c:v>
                </c:pt>
              </c:numCache>
            </c:numRef>
          </c:val>
          <c:smooth val="0"/>
          <c:extLst xmlns:c16r2="http://schemas.microsoft.com/office/drawing/2015/06/chart">
            <c:ext xmlns:c16="http://schemas.microsoft.com/office/drawing/2014/chart" uri="{C3380CC4-5D6E-409C-BE32-E72D297353CC}">
              <c16:uniqueId val="{00000000-A5F1-42F0-9CB1-601E9E2657D9}"/>
            </c:ext>
          </c:extLst>
        </c:ser>
        <c:dLbls>
          <c:showLegendKey val="0"/>
          <c:showVal val="0"/>
          <c:showCatName val="0"/>
          <c:showSerName val="0"/>
          <c:showPercent val="0"/>
          <c:showBubbleSize val="0"/>
        </c:dLbls>
        <c:smooth val="0"/>
        <c:axId val="534514984"/>
        <c:axId val="534515376"/>
      </c:lineChart>
      <c:catAx>
        <c:axId val="5345149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5376"/>
        <c:crosses val="autoZero"/>
        <c:auto val="0"/>
        <c:lblAlgn val="ctr"/>
        <c:lblOffset val="100"/>
        <c:noMultiLvlLbl val="0"/>
      </c:catAx>
      <c:valAx>
        <c:axId val="5345153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4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グラフライン!$B$602:$L$602</c:f>
              <c:numCache>
                <c:formatCode>#,##0_);[Red]\(#,##0\)</c:formatCode>
                <c:ptCount val="11"/>
                <c:pt idx="0">
                  <c:v>4100</c:v>
                </c:pt>
                <c:pt idx="1">
                  <c:v>4370</c:v>
                </c:pt>
                <c:pt idx="2">
                  <c:v>4425</c:v>
                </c:pt>
                <c:pt idx="3">
                  <c:v>4405</c:v>
                </c:pt>
                <c:pt idx="4">
                  <c:v>4370</c:v>
                </c:pt>
                <c:pt idx="5">
                  <c:v>4495</c:v>
                </c:pt>
                <c:pt idx="6">
                  <c:v>4370</c:v>
                </c:pt>
                <c:pt idx="7">
                  <c:v>4125</c:v>
                </c:pt>
                <c:pt idx="8">
                  <c:v>4130</c:v>
                </c:pt>
                <c:pt idx="9">
                  <c:v>4270</c:v>
                </c:pt>
                <c:pt idx="10">
                  <c:v>4360</c:v>
                </c:pt>
              </c:numCache>
            </c:numRef>
          </c:val>
          <c:smooth val="0"/>
          <c:extLst xmlns:c16r2="http://schemas.microsoft.com/office/drawing/2015/06/chart">
            <c:ext xmlns:c16="http://schemas.microsoft.com/office/drawing/2014/chart" uri="{C3380CC4-5D6E-409C-BE32-E72D297353CC}">
              <c16:uniqueId val="{00000000-9B70-42A9-BAA1-4677754FF731}"/>
            </c:ext>
          </c:extLst>
        </c:ser>
        <c:dLbls>
          <c:showLegendKey val="0"/>
          <c:showVal val="0"/>
          <c:showCatName val="0"/>
          <c:showSerName val="0"/>
          <c:showPercent val="0"/>
          <c:showBubbleSize val="0"/>
        </c:dLbls>
        <c:smooth val="0"/>
        <c:axId val="534516160"/>
        <c:axId val="534516552"/>
      </c:lineChart>
      <c:catAx>
        <c:axId val="5345161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6552"/>
        <c:crosses val="autoZero"/>
        <c:auto val="0"/>
        <c:lblAlgn val="ctr"/>
        <c:lblOffset val="100"/>
        <c:noMultiLvlLbl val="0"/>
      </c:catAx>
      <c:valAx>
        <c:axId val="5345165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6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グラフライン!$B$617:$L$617</c:f>
              <c:numCache>
                <c:formatCode>#,##0_);[Red]\(#,##0\)</c:formatCode>
                <c:ptCount val="11"/>
                <c:pt idx="0">
                  <c:v>1340</c:v>
                </c:pt>
                <c:pt idx="1">
                  <c:v>1342</c:v>
                </c:pt>
                <c:pt idx="2">
                  <c:v>1372</c:v>
                </c:pt>
                <c:pt idx="3">
                  <c:v>1357</c:v>
                </c:pt>
                <c:pt idx="4">
                  <c:v>1336</c:v>
                </c:pt>
                <c:pt idx="5">
                  <c:v>1398</c:v>
                </c:pt>
                <c:pt idx="6">
                  <c:v>1345</c:v>
                </c:pt>
                <c:pt idx="7">
                  <c:v>1262</c:v>
                </c:pt>
                <c:pt idx="8">
                  <c:v>1264</c:v>
                </c:pt>
                <c:pt idx="9">
                  <c:v>1274</c:v>
                </c:pt>
                <c:pt idx="10">
                  <c:v>1256</c:v>
                </c:pt>
              </c:numCache>
            </c:numRef>
          </c:val>
          <c:smooth val="0"/>
          <c:extLst xmlns:c16r2="http://schemas.microsoft.com/office/drawing/2015/06/chart">
            <c:ext xmlns:c16="http://schemas.microsoft.com/office/drawing/2014/chart" uri="{C3380CC4-5D6E-409C-BE32-E72D297353CC}">
              <c16:uniqueId val="{00000000-B643-483D-894E-DE882CEC1396}"/>
            </c:ext>
          </c:extLst>
        </c:ser>
        <c:dLbls>
          <c:showLegendKey val="0"/>
          <c:showVal val="0"/>
          <c:showCatName val="0"/>
          <c:showSerName val="0"/>
          <c:showPercent val="0"/>
          <c:showBubbleSize val="0"/>
        </c:dLbls>
        <c:smooth val="0"/>
        <c:axId val="534517336"/>
        <c:axId val="534517728"/>
      </c:lineChart>
      <c:catAx>
        <c:axId val="5345173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7728"/>
        <c:crosses val="autoZero"/>
        <c:auto val="0"/>
        <c:lblAlgn val="ctr"/>
        <c:lblOffset val="100"/>
        <c:noMultiLvlLbl val="0"/>
      </c:catAx>
      <c:valAx>
        <c:axId val="5345177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7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グラフライン!$B$632:$L$632</c:f>
              <c:numCache>
                <c:formatCode>#,##0_);[Red]\(#,##0\)</c:formatCode>
                <c:ptCount val="11"/>
                <c:pt idx="0">
                  <c:v>403</c:v>
                </c:pt>
                <c:pt idx="1">
                  <c:v>418</c:v>
                </c:pt>
                <c:pt idx="2">
                  <c:v>405</c:v>
                </c:pt>
                <c:pt idx="3">
                  <c:v>465</c:v>
                </c:pt>
                <c:pt idx="4">
                  <c:v>523</c:v>
                </c:pt>
                <c:pt idx="5">
                  <c:v>471</c:v>
                </c:pt>
                <c:pt idx="6">
                  <c:v>446</c:v>
                </c:pt>
                <c:pt idx="7">
                  <c:v>441</c:v>
                </c:pt>
                <c:pt idx="8">
                  <c:v>418</c:v>
                </c:pt>
                <c:pt idx="9">
                  <c:v>412</c:v>
                </c:pt>
                <c:pt idx="10">
                  <c:v>407</c:v>
                </c:pt>
              </c:numCache>
            </c:numRef>
          </c:val>
          <c:smooth val="0"/>
          <c:extLst xmlns:c16r2="http://schemas.microsoft.com/office/drawing/2015/06/chart">
            <c:ext xmlns:c16="http://schemas.microsoft.com/office/drawing/2014/chart" uri="{C3380CC4-5D6E-409C-BE32-E72D297353CC}">
              <c16:uniqueId val="{00000000-3A7F-4446-B1DC-1C9AC571E8AA}"/>
            </c:ext>
          </c:extLst>
        </c:ser>
        <c:dLbls>
          <c:showLegendKey val="0"/>
          <c:showVal val="0"/>
          <c:showCatName val="0"/>
          <c:showSerName val="0"/>
          <c:showPercent val="0"/>
          <c:showBubbleSize val="0"/>
        </c:dLbls>
        <c:smooth val="0"/>
        <c:axId val="534518512"/>
        <c:axId val="565739552"/>
      </c:lineChart>
      <c:catAx>
        <c:axId val="5345185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739552"/>
        <c:crosses val="autoZero"/>
        <c:auto val="0"/>
        <c:lblAlgn val="ctr"/>
        <c:lblOffset val="100"/>
        <c:noMultiLvlLbl val="0"/>
      </c:catAx>
      <c:valAx>
        <c:axId val="5657395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4518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グラフライン!$B$647:$L$647</c:f>
              <c:numCache>
                <c:formatCode>#,##0_);[Red]\(#,##0\)</c:formatCode>
                <c:ptCount val="11"/>
                <c:pt idx="0">
                  <c:v>4930</c:v>
                </c:pt>
                <c:pt idx="1">
                  <c:v>5020</c:v>
                </c:pt>
                <c:pt idx="2">
                  <c:v>4990</c:v>
                </c:pt>
                <c:pt idx="3">
                  <c:v>4900</c:v>
                </c:pt>
                <c:pt idx="4">
                  <c:v>5000</c:v>
                </c:pt>
                <c:pt idx="5">
                  <c:v>5030</c:v>
                </c:pt>
                <c:pt idx="6">
                  <c:v>4905</c:v>
                </c:pt>
                <c:pt idx="7">
                  <c:v>4885</c:v>
                </c:pt>
                <c:pt idx="8">
                  <c:v>4965</c:v>
                </c:pt>
                <c:pt idx="9">
                  <c:v>4865</c:v>
                </c:pt>
                <c:pt idx="10">
                  <c:v>4850</c:v>
                </c:pt>
              </c:numCache>
            </c:numRef>
          </c:val>
          <c:smooth val="0"/>
          <c:extLst xmlns:c16r2="http://schemas.microsoft.com/office/drawing/2015/06/chart">
            <c:ext xmlns:c16="http://schemas.microsoft.com/office/drawing/2014/chart" uri="{C3380CC4-5D6E-409C-BE32-E72D297353CC}">
              <c16:uniqueId val="{00000000-DE12-491A-B229-4E60FCCD84E2}"/>
            </c:ext>
          </c:extLst>
        </c:ser>
        <c:dLbls>
          <c:showLegendKey val="0"/>
          <c:showVal val="0"/>
          <c:showCatName val="0"/>
          <c:showSerName val="0"/>
          <c:showPercent val="0"/>
          <c:showBubbleSize val="0"/>
        </c:dLbls>
        <c:smooth val="0"/>
        <c:axId val="565740336"/>
        <c:axId val="565740728"/>
      </c:lineChart>
      <c:catAx>
        <c:axId val="5657403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740728"/>
        <c:crosses val="autoZero"/>
        <c:auto val="0"/>
        <c:lblAlgn val="ctr"/>
        <c:lblOffset val="100"/>
        <c:noMultiLvlLbl val="0"/>
      </c:catAx>
      <c:valAx>
        <c:axId val="5657407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740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グラフライン!$B$662:$L$662</c:f>
              <c:numCache>
                <c:formatCode>#,##0_);[Red]\(#,##0\)</c:formatCode>
                <c:ptCount val="11"/>
                <c:pt idx="0">
                  <c:v>3495</c:v>
                </c:pt>
                <c:pt idx="1">
                  <c:v>3580</c:v>
                </c:pt>
                <c:pt idx="2">
                  <c:v>3665</c:v>
                </c:pt>
                <c:pt idx="3">
                  <c:v>3720</c:v>
                </c:pt>
                <c:pt idx="4">
                  <c:v>3815</c:v>
                </c:pt>
                <c:pt idx="5">
                  <c:v>3845</c:v>
                </c:pt>
                <c:pt idx="6">
                  <c:v>3655</c:v>
                </c:pt>
                <c:pt idx="7">
                  <c:v>3535</c:v>
                </c:pt>
                <c:pt idx="8">
                  <c:v>3500</c:v>
                </c:pt>
                <c:pt idx="9">
                  <c:v>3515</c:v>
                </c:pt>
                <c:pt idx="10">
                  <c:v>3535</c:v>
                </c:pt>
              </c:numCache>
            </c:numRef>
          </c:val>
          <c:smooth val="0"/>
          <c:extLst xmlns:c16r2="http://schemas.microsoft.com/office/drawing/2015/06/chart">
            <c:ext xmlns:c16="http://schemas.microsoft.com/office/drawing/2014/chart" uri="{C3380CC4-5D6E-409C-BE32-E72D297353CC}">
              <c16:uniqueId val="{00000000-E06B-4E60-BF29-C5FEDBFA02EC}"/>
            </c:ext>
          </c:extLst>
        </c:ser>
        <c:dLbls>
          <c:showLegendKey val="0"/>
          <c:showVal val="0"/>
          <c:showCatName val="0"/>
          <c:showSerName val="0"/>
          <c:showPercent val="0"/>
          <c:showBubbleSize val="0"/>
        </c:dLbls>
        <c:smooth val="0"/>
        <c:axId val="565741512"/>
        <c:axId val="565741904"/>
      </c:lineChart>
      <c:catAx>
        <c:axId val="5657415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741904"/>
        <c:crosses val="autoZero"/>
        <c:auto val="0"/>
        <c:lblAlgn val="ctr"/>
        <c:lblOffset val="100"/>
        <c:noMultiLvlLbl val="0"/>
      </c:catAx>
      <c:valAx>
        <c:axId val="5657419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741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グラフライン!$B$677:$L$677</c:f>
              <c:numCache>
                <c:formatCode>#,##0_);[Red]\(#,##0\)</c:formatCode>
                <c:ptCount val="11"/>
                <c:pt idx="0">
                  <c:v>3245</c:v>
                </c:pt>
                <c:pt idx="1">
                  <c:v>3305</c:v>
                </c:pt>
                <c:pt idx="2">
                  <c:v>3430</c:v>
                </c:pt>
                <c:pt idx="3">
                  <c:v>3980</c:v>
                </c:pt>
                <c:pt idx="4">
                  <c:v>3835</c:v>
                </c:pt>
                <c:pt idx="5">
                  <c:v>3700</c:v>
                </c:pt>
                <c:pt idx="6">
                  <c:v>3820</c:v>
                </c:pt>
                <c:pt idx="7">
                  <c:v>3580</c:v>
                </c:pt>
                <c:pt idx="8">
                  <c:v>3775</c:v>
                </c:pt>
                <c:pt idx="9">
                  <c:v>3775</c:v>
                </c:pt>
                <c:pt idx="10">
                  <c:v>3685</c:v>
                </c:pt>
              </c:numCache>
            </c:numRef>
          </c:val>
          <c:smooth val="0"/>
          <c:extLst xmlns:c16r2="http://schemas.microsoft.com/office/drawing/2015/06/chart">
            <c:ext xmlns:c16="http://schemas.microsoft.com/office/drawing/2014/chart" uri="{C3380CC4-5D6E-409C-BE32-E72D297353CC}">
              <c16:uniqueId val="{00000000-6F61-42C8-910D-893341C19639}"/>
            </c:ext>
          </c:extLst>
        </c:ser>
        <c:dLbls>
          <c:showLegendKey val="0"/>
          <c:showVal val="0"/>
          <c:showCatName val="0"/>
          <c:showSerName val="0"/>
          <c:showPercent val="0"/>
          <c:showBubbleSize val="0"/>
        </c:dLbls>
        <c:smooth val="0"/>
        <c:axId val="565742688"/>
        <c:axId val="565743080"/>
      </c:lineChart>
      <c:catAx>
        <c:axId val="5657426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743080"/>
        <c:crosses val="autoZero"/>
        <c:auto val="0"/>
        <c:lblAlgn val="ctr"/>
        <c:lblOffset val="100"/>
        <c:noMultiLvlLbl val="0"/>
      </c:catAx>
      <c:valAx>
        <c:axId val="5657430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742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グラフライン!$B$692:$L$692</c:f>
              <c:numCache>
                <c:formatCode>#,##0_);[Red]\(#,##0\)</c:formatCode>
                <c:ptCount val="11"/>
                <c:pt idx="0">
                  <c:v>617</c:v>
                </c:pt>
                <c:pt idx="1">
                  <c:v>642</c:v>
                </c:pt>
                <c:pt idx="2">
                  <c:v>645</c:v>
                </c:pt>
                <c:pt idx="3">
                  <c:v>661</c:v>
                </c:pt>
                <c:pt idx="4">
                  <c:v>664</c:v>
                </c:pt>
                <c:pt idx="5">
                  <c:v>657</c:v>
                </c:pt>
                <c:pt idx="6">
                  <c:v>647</c:v>
                </c:pt>
                <c:pt idx="7">
                  <c:v>643</c:v>
                </c:pt>
                <c:pt idx="8">
                  <c:v>641</c:v>
                </c:pt>
                <c:pt idx="9">
                  <c:v>647</c:v>
                </c:pt>
                <c:pt idx="10">
                  <c:v>641</c:v>
                </c:pt>
              </c:numCache>
            </c:numRef>
          </c:val>
          <c:smooth val="0"/>
          <c:extLst xmlns:c16r2="http://schemas.microsoft.com/office/drawing/2015/06/chart">
            <c:ext xmlns:c16="http://schemas.microsoft.com/office/drawing/2014/chart" uri="{C3380CC4-5D6E-409C-BE32-E72D297353CC}">
              <c16:uniqueId val="{00000000-4F7A-484E-B223-8310B4EDEB9A}"/>
            </c:ext>
          </c:extLst>
        </c:ser>
        <c:dLbls>
          <c:showLegendKey val="0"/>
          <c:showVal val="0"/>
          <c:showCatName val="0"/>
          <c:showSerName val="0"/>
          <c:showPercent val="0"/>
          <c:showBubbleSize val="0"/>
        </c:dLbls>
        <c:smooth val="0"/>
        <c:axId val="565743864"/>
        <c:axId val="565744256"/>
      </c:lineChart>
      <c:catAx>
        <c:axId val="5657438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744256"/>
        <c:crosses val="autoZero"/>
        <c:auto val="0"/>
        <c:lblAlgn val="ctr"/>
        <c:lblOffset val="100"/>
        <c:noMultiLvlLbl val="0"/>
      </c:catAx>
      <c:valAx>
        <c:axId val="5657442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743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グラフライン!$B$707:$L$707</c:f>
              <c:numCache>
                <c:formatCode>#,##0_);[Red]\(#,##0\)</c:formatCode>
                <c:ptCount val="11"/>
                <c:pt idx="0">
                  <c:v>158</c:v>
                </c:pt>
                <c:pt idx="1">
                  <c:v>159</c:v>
                </c:pt>
                <c:pt idx="2">
                  <c:v>166</c:v>
                </c:pt>
                <c:pt idx="3">
                  <c:v>164</c:v>
                </c:pt>
                <c:pt idx="4">
                  <c:v>162</c:v>
                </c:pt>
                <c:pt idx="5">
                  <c:v>172</c:v>
                </c:pt>
                <c:pt idx="6">
                  <c:v>167</c:v>
                </c:pt>
                <c:pt idx="7">
                  <c:v>164</c:v>
                </c:pt>
                <c:pt idx="8">
                  <c:v>161</c:v>
                </c:pt>
                <c:pt idx="9">
                  <c:v>163</c:v>
                </c:pt>
                <c:pt idx="10">
                  <c:v>159</c:v>
                </c:pt>
              </c:numCache>
            </c:numRef>
          </c:val>
          <c:smooth val="0"/>
          <c:extLst xmlns:c16r2="http://schemas.microsoft.com/office/drawing/2015/06/chart">
            <c:ext xmlns:c16="http://schemas.microsoft.com/office/drawing/2014/chart" uri="{C3380CC4-5D6E-409C-BE32-E72D297353CC}">
              <c16:uniqueId val="{00000000-53D7-4789-895D-D2E74F937AA2}"/>
            </c:ext>
          </c:extLst>
        </c:ser>
        <c:dLbls>
          <c:showLegendKey val="0"/>
          <c:showVal val="0"/>
          <c:showCatName val="0"/>
          <c:showSerName val="0"/>
          <c:showPercent val="0"/>
          <c:showBubbleSize val="0"/>
        </c:dLbls>
        <c:smooth val="0"/>
        <c:axId val="565745040"/>
        <c:axId val="565745432"/>
      </c:lineChart>
      <c:catAx>
        <c:axId val="5657450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745432"/>
        <c:crosses val="autoZero"/>
        <c:auto val="0"/>
        <c:lblAlgn val="ctr"/>
        <c:lblOffset val="100"/>
        <c:noMultiLvlLbl val="0"/>
      </c:catAx>
      <c:valAx>
        <c:axId val="5657454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745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グラフライン!$B$722:$L$722</c:f>
              <c:numCache>
                <c:formatCode>#,##0_);[Red]\(#,##0\)</c:formatCode>
                <c:ptCount val="11"/>
                <c:pt idx="0">
                  <c:v>2327</c:v>
                </c:pt>
                <c:pt idx="1">
                  <c:v>2430</c:v>
                </c:pt>
                <c:pt idx="2">
                  <c:v>2430</c:v>
                </c:pt>
                <c:pt idx="3">
                  <c:v>2528</c:v>
                </c:pt>
                <c:pt idx="4">
                  <c:v>2529</c:v>
                </c:pt>
                <c:pt idx="5">
                  <c:v>2522</c:v>
                </c:pt>
                <c:pt idx="6">
                  <c:v>2413</c:v>
                </c:pt>
                <c:pt idx="7">
                  <c:v>2340</c:v>
                </c:pt>
                <c:pt idx="8">
                  <c:v>2303</c:v>
                </c:pt>
                <c:pt idx="9">
                  <c:v>2344</c:v>
                </c:pt>
                <c:pt idx="10">
                  <c:v>2308</c:v>
                </c:pt>
              </c:numCache>
            </c:numRef>
          </c:val>
          <c:smooth val="0"/>
          <c:extLst xmlns:c16r2="http://schemas.microsoft.com/office/drawing/2015/06/chart">
            <c:ext xmlns:c16="http://schemas.microsoft.com/office/drawing/2014/chart" uri="{C3380CC4-5D6E-409C-BE32-E72D297353CC}">
              <c16:uniqueId val="{00000000-B31C-4419-8B4F-70D860126F09}"/>
            </c:ext>
          </c:extLst>
        </c:ser>
        <c:dLbls>
          <c:showLegendKey val="0"/>
          <c:showVal val="0"/>
          <c:showCatName val="0"/>
          <c:showSerName val="0"/>
          <c:showPercent val="0"/>
          <c:showBubbleSize val="0"/>
        </c:dLbls>
        <c:smooth val="0"/>
        <c:axId val="565746216"/>
        <c:axId val="565746608"/>
      </c:lineChart>
      <c:catAx>
        <c:axId val="5657462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746608"/>
        <c:crosses val="autoZero"/>
        <c:auto val="0"/>
        <c:lblAlgn val="ctr"/>
        <c:lblOffset val="100"/>
        <c:noMultiLvlLbl val="0"/>
      </c:catAx>
      <c:valAx>
        <c:axId val="5657466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746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グラフライン!$B$737:$L$737</c:f>
              <c:numCache>
                <c:formatCode>#,##0_);[Red]\(#,##0\)</c:formatCode>
                <c:ptCount val="11"/>
                <c:pt idx="0">
                  <c:v>4705</c:v>
                </c:pt>
                <c:pt idx="1">
                  <c:v>4760</c:v>
                </c:pt>
                <c:pt idx="2">
                  <c:v>4615</c:v>
                </c:pt>
                <c:pt idx="3">
                  <c:v>4665</c:v>
                </c:pt>
                <c:pt idx="4">
                  <c:v>4705</c:v>
                </c:pt>
                <c:pt idx="5">
                  <c:v>4800</c:v>
                </c:pt>
                <c:pt idx="6">
                  <c:v>4875</c:v>
                </c:pt>
                <c:pt idx="7">
                  <c:v>4945</c:v>
                </c:pt>
                <c:pt idx="8">
                  <c:v>4890</c:v>
                </c:pt>
                <c:pt idx="9">
                  <c:v>4900</c:v>
                </c:pt>
                <c:pt idx="10">
                  <c:v>4860</c:v>
                </c:pt>
              </c:numCache>
            </c:numRef>
          </c:val>
          <c:smooth val="0"/>
          <c:extLst xmlns:c16r2="http://schemas.microsoft.com/office/drawing/2015/06/chart">
            <c:ext xmlns:c16="http://schemas.microsoft.com/office/drawing/2014/chart" uri="{C3380CC4-5D6E-409C-BE32-E72D297353CC}">
              <c16:uniqueId val="{00000000-21F0-4940-8333-709A76CD8C76}"/>
            </c:ext>
          </c:extLst>
        </c:ser>
        <c:dLbls>
          <c:showLegendKey val="0"/>
          <c:showVal val="0"/>
          <c:showCatName val="0"/>
          <c:showSerName val="0"/>
          <c:showPercent val="0"/>
          <c:showBubbleSize val="0"/>
        </c:dLbls>
        <c:smooth val="0"/>
        <c:axId val="537545896"/>
        <c:axId val="537546288"/>
      </c:lineChart>
      <c:catAx>
        <c:axId val="537545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7546288"/>
        <c:crosses val="autoZero"/>
        <c:auto val="0"/>
        <c:lblAlgn val="ctr"/>
        <c:lblOffset val="100"/>
        <c:noMultiLvlLbl val="0"/>
      </c:catAx>
      <c:valAx>
        <c:axId val="5375462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7545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グラフライン!$B$752:$L$752</c:f>
              <c:numCache>
                <c:formatCode>#,##0_);[Red]\(#,##0\)</c:formatCode>
                <c:ptCount val="11"/>
                <c:pt idx="0">
                  <c:v>4175</c:v>
                </c:pt>
                <c:pt idx="1">
                  <c:v>4095</c:v>
                </c:pt>
                <c:pt idx="2">
                  <c:v>4100</c:v>
                </c:pt>
                <c:pt idx="3">
                  <c:v>4210</c:v>
                </c:pt>
                <c:pt idx="4">
                  <c:v>4255</c:v>
                </c:pt>
                <c:pt idx="5">
                  <c:v>4255</c:v>
                </c:pt>
                <c:pt idx="6">
                  <c:v>4350</c:v>
                </c:pt>
                <c:pt idx="7">
                  <c:v>4345</c:v>
                </c:pt>
                <c:pt idx="8">
                  <c:v>4540</c:v>
                </c:pt>
                <c:pt idx="9">
                  <c:v>4385</c:v>
                </c:pt>
                <c:pt idx="10">
                  <c:v>4220</c:v>
                </c:pt>
              </c:numCache>
            </c:numRef>
          </c:val>
          <c:smooth val="0"/>
          <c:extLst xmlns:c16r2="http://schemas.microsoft.com/office/drawing/2015/06/chart">
            <c:ext xmlns:c16="http://schemas.microsoft.com/office/drawing/2014/chart" uri="{C3380CC4-5D6E-409C-BE32-E72D297353CC}">
              <c16:uniqueId val="{00000000-BC66-46E5-A94B-C9FD6DC494C3}"/>
            </c:ext>
          </c:extLst>
        </c:ser>
        <c:dLbls>
          <c:showLegendKey val="0"/>
          <c:showVal val="0"/>
          <c:showCatName val="0"/>
          <c:showSerName val="0"/>
          <c:showPercent val="0"/>
          <c:showBubbleSize val="0"/>
        </c:dLbls>
        <c:smooth val="0"/>
        <c:axId val="537547072"/>
        <c:axId val="537547464"/>
      </c:lineChart>
      <c:catAx>
        <c:axId val="5375470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7547464"/>
        <c:crosses val="autoZero"/>
        <c:auto val="0"/>
        <c:lblAlgn val="ctr"/>
        <c:lblOffset val="100"/>
        <c:noMultiLvlLbl val="0"/>
      </c:catAx>
      <c:valAx>
        <c:axId val="5375474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7547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グラフライン!$B$767:$L$767</c:f>
              <c:numCache>
                <c:formatCode>#,##0_);[Red]\(#,##0\)</c:formatCode>
                <c:ptCount val="11"/>
                <c:pt idx="0">
                  <c:v>1035</c:v>
                </c:pt>
                <c:pt idx="1">
                  <c:v>1045</c:v>
                </c:pt>
                <c:pt idx="2">
                  <c:v>1027</c:v>
                </c:pt>
                <c:pt idx="3">
                  <c:v>1108</c:v>
                </c:pt>
                <c:pt idx="4">
                  <c:v>1201</c:v>
                </c:pt>
                <c:pt idx="5">
                  <c:v>1186</c:v>
                </c:pt>
                <c:pt idx="6">
                  <c:v>1181</c:v>
                </c:pt>
                <c:pt idx="7">
                  <c:v>1266</c:v>
                </c:pt>
                <c:pt idx="8">
                  <c:v>1266</c:v>
                </c:pt>
                <c:pt idx="9">
                  <c:v>1294</c:v>
                </c:pt>
                <c:pt idx="10">
                  <c:v>1286</c:v>
                </c:pt>
              </c:numCache>
            </c:numRef>
          </c:val>
          <c:smooth val="0"/>
          <c:extLst xmlns:c16r2="http://schemas.microsoft.com/office/drawing/2015/06/chart">
            <c:ext xmlns:c16="http://schemas.microsoft.com/office/drawing/2014/chart" uri="{C3380CC4-5D6E-409C-BE32-E72D297353CC}">
              <c16:uniqueId val="{00000000-37BF-4929-8346-B297BB5FA3F8}"/>
            </c:ext>
          </c:extLst>
        </c:ser>
        <c:dLbls>
          <c:showLegendKey val="0"/>
          <c:showVal val="0"/>
          <c:showCatName val="0"/>
          <c:showSerName val="0"/>
          <c:showPercent val="0"/>
          <c:showBubbleSize val="0"/>
        </c:dLbls>
        <c:smooth val="0"/>
        <c:axId val="537548248"/>
        <c:axId val="537548640"/>
      </c:lineChart>
      <c:catAx>
        <c:axId val="5375482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7548640"/>
        <c:crosses val="autoZero"/>
        <c:auto val="0"/>
        <c:lblAlgn val="ctr"/>
        <c:lblOffset val="100"/>
        <c:noMultiLvlLbl val="0"/>
      </c:catAx>
      <c:valAx>
        <c:axId val="5375486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7548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8" Type="http://schemas.openxmlformats.org/officeDocument/2006/relationships/chart" Target="../charts/chart8.xml"/><Relationship Id="rId51" Type="http://schemas.openxmlformats.org/officeDocument/2006/relationships/chart" Target="../charts/chart51.xml"/></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705971</xdr:colOff>
      <xdr:row>30</xdr:row>
      <xdr:rowOff>123265</xdr:rowOff>
    </xdr:from>
    <xdr:to>
      <xdr:col>7</xdr:col>
      <xdr:colOff>627530</xdr:colOff>
      <xdr:row>42</xdr:row>
      <xdr:rowOff>78441</xdr:rowOff>
    </xdr:to>
    <xdr:sp macro="" textlink="">
      <xdr:nvSpPr>
        <xdr:cNvPr id="2" name="テキスト ボックス 1">
          <a:extLst>
            <a:ext uri="{FF2B5EF4-FFF2-40B4-BE49-F238E27FC236}">
              <a16:creationId xmlns="" xmlns:a16="http://schemas.microsoft.com/office/drawing/2014/main" id="{00000000-0008-0000-0500-000002000000}"/>
            </a:ext>
          </a:extLst>
        </xdr:cNvPr>
        <xdr:cNvSpPr txBox="1"/>
      </xdr:nvSpPr>
      <xdr:spPr>
        <a:xfrm>
          <a:off x="2207559" y="5065059"/>
          <a:ext cx="4852147" cy="23756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譲渡益税</a:t>
          </a:r>
          <a:r>
            <a:rPr kumimoji="1" lang="en-US" altLang="ja-JP" sz="1100"/>
            <a:t>_</a:t>
          </a:r>
          <a:r>
            <a:rPr kumimoji="1" lang="ja-JP" altLang="en-US" sz="1100"/>
            <a:t>手動メンテ確認方法</a:t>
          </a:r>
          <a:endParaRPr kumimoji="1" lang="en-US" altLang="ja-JP" sz="1100"/>
        </a:p>
        <a:p>
          <a:r>
            <a:rPr kumimoji="1" lang="ja-JP" altLang="en-US" sz="1100"/>
            <a:t>■</a:t>
          </a:r>
          <a:r>
            <a:rPr kumimoji="1" lang="en-US" altLang="ja-JP" sz="1100"/>
            <a:t>SBI</a:t>
          </a:r>
          <a:r>
            <a:rPr kumimoji="1" lang="ja-JP" altLang="en-US" sz="1100"/>
            <a:t>証券</a:t>
          </a:r>
          <a:endParaRPr kumimoji="1" lang="en-US" altLang="ja-JP" sz="1100"/>
        </a:p>
        <a:p>
          <a:r>
            <a:rPr kumimoji="1" lang="ja-JP" altLang="en-US" sz="1100"/>
            <a:t>　「口座管理」</a:t>
          </a:r>
          <a:r>
            <a:rPr kumimoji="1" lang="en-US" altLang="ja-JP" sz="1100"/>
            <a:t>&gt;</a:t>
          </a:r>
          <a:r>
            <a:rPr kumimoji="1" lang="ja-JP" altLang="en-US" sz="1100"/>
            <a:t>「取引履歴」</a:t>
          </a:r>
          <a:r>
            <a:rPr kumimoji="1" lang="en-US" altLang="ja-JP" sz="1100"/>
            <a:t>&gt;</a:t>
          </a:r>
          <a:r>
            <a:rPr kumimoji="1" lang="ja-JP" altLang="en-US" sz="1100"/>
            <a:t>「譲渡益税明細」</a:t>
          </a:r>
          <a:endParaRPr kumimoji="1" lang="en-US" altLang="ja-JP" sz="1100"/>
        </a:p>
        <a:p>
          <a:r>
            <a:rPr kumimoji="1" lang="ja-JP" altLang="en-US" sz="1100"/>
            <a:t>■</a:t>
          </a:r>
          <a:r>
            <a:rPr kumimoji="1" lang="en-US" altLang="ja-JP" sz="1100"/>
            <a:t>SMBC</a:t>
          </a:r>
          <a:r>
            <a:rPr kumimoji="1" lang="ja-JP" altLang="en-US" sz="1100"/>
            <a:t>日興証券</a:t>
          </a:r>
          <a:endParaRPr kumimoji="1" lang="en-US" altLang="ja-JP" sz="1100"/>
        </a:p>
        <a:p>
          <a:r>
            <a:rPr kumimoji="1" lang="ja-JP" altLang="en-US" sz="1100"/>
            <a:t>　「残高の確認」</a:t>
          </a:r>
          <a:r>
            <a:rPr kumimoji="1" lang="en-US" altLang="ja-JP" sz="1100"/>
            <a:t>&gt;</a:t>
          </a:r>
          <a:r>
            <a:rPr kumimoji="1" lang="ja-JP" altLang="en-US" sz="1100"/>
            <a:t>「特定口座 譲渡履歴」　</a:t>
          </a:r>
          <a:endParaRPr kumimoji="1" lang="en-US" altLang="ja-JP" sz="1100"/>
        </a:p>
        <a:p>
          <a:r>
            <a:rPr kumimoji="1" lang="ja-JP" altLang="en-US" sz="1100"/>
            <a:t>■</a:t>
          </a:r>
          <a:r>
            <a:rPr kumimoji="1" lang="en-US" altLang="ja-JP" sz="1100"/>
            <a:t>MONEX</a:t>
          </a:r>
          <a:r>
            <a:rPr kumimoji="1" lang="ja-JP" altLang="en-US" sz="1100"/>
            <a:t>証券</a:t>
          </a:r>
          <a:endParaRPr kumimoji="1" lang="en-US" altLang="ja-JP" sz="1100"/>
        </a:p>
        <a:p>
          <a:r>
            <a:rPr kumimoji="1" lang="ja-JP" altLang="en-US" sz="1100"/>
            <a:t>　「売却損益明細」</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11</xdr:col>
      <xdr:colOff>963704</xdr:colOff>
      <xdr:row>15</xdr:row>
      <xdr:rowOff>121024</xdr:rowOff>
    </xdr:to>
    <xdr:graphicFrame macro="">
      <xdr:nvGraphicFramePr>
        <xdr:cNvPr id="1618" name="グラフ 1617">
          <a:extLst>
            <a:ext uri="{FF2B5EF4-FFF2-40B4-BE49-F238E27FC236}">
              <a16:creationId xmlns="" xmlns:a16="http://schemas.microsoft.com/office/drawing/2014/main" id="{00000000-0008-0000-0700-00005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17</xdr:row>
      <xdr:rowOff>0</xdr:rowOff>
    </xdr:from>
    <xdr:to>
      <xdr:col>11</xdr:col>
      <xdr:colOff>963704</xdr:colOff>
      <xdr:row>30</xdr:row>
      <xdr:rowOff>121024</xdr:rowOff>
    </xdr:to>
    <xdr:graphicFrame macro="">
      <xdr:nvGraphicFramePr>
        <xdr:cNvPr id="1619" name="グラフ 1618">
          <a:extLst>
            <a:ext uri="{FF2B5EF4-FFF2-40B4-BE49-F238E27FC236}">
              <a16:creationId xmlns="" xmlns:a16="http://schemas.microsoft.com/office/drawing/2014/main" id="{00000000-0008-0000-0700-00005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1731818</xdr:colOff>
      <xdr:row>32</xdr:row>
      <xdr:rowOff>103910</xdr:rowOff>
    </xdr:from>
    <xdr:to>
      <xdr:col>11</xdr:col>
      <xdr:colOff>842477</xdr:colOff>
      <xdr:row>46</xdr:row>
      <xdr:rowOff>17116</xdr:rowOff>
    </xdr:to>
    <xdr:graphicFrame macro="">
      <xdr:nvGraphicFramePr>
        <xdr:cNvPr id="1620" name="グラフ 1619">
          <a:extLst>
            <a:ext uri="{FF2B5EF4-FFF2-40B4-BE49-F238E27FC236}">
              <a16:creationId xmlns="" xmlns:a16="http://schemas.microsoft.com/office/drawing/2014/main" id="{00000000-0008-0000-0700-00005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47</xdr:row>
      <xdr:rowOff>0</xdr:rowOff>
    </xdr:from>
    <xdr:to>
      <xdr:col>11</xdr:col>
      <xdr:colOff>963704</xdr:colOff>
      <xdr:row>60</xdr:row>
      <xdr:rowOff>121024</xdr:rowOff>
    </xdr:to>
    <xdr:graphicFrame macro="">
      <xdr:nvGraphicFramePr>
        <xdr:cNvPr id="1621" name="グラフ 1620">
          <a:extLst>
            <a:ext uri="{FF2B5EF4-FFF2-40B4-BE49-F238E27FC236}">
              <a16:creationId xmlns="" xmlns:a16="http://schemas.microsoft.com/office/drawing/2014/main" id="{00000000-0008-0000-0700-00005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62</xdr:row>
      <xdr:rowOff>0</xdr:rowOff>
    </xdr:from>
    <xdr:to>
      <xdr:col>11</xdr:col>
      <xdr:colOff>963704</xdr:colOff>
      <xdr:row>75</xdr:row>
      <xdr:rowOff>121024</xdr:rowOff>
    </xdr:to>
    <xdr:graphicFrame macro="">
      <xdr:nvGraphicFramePr>
        <xdr:cNvPr id="1622" name="グラフ 1621">
          <a:extLst>
            <a:ext uri="{FF2B5EF4-FFF2-40B4-BE49-F238E27FC236}">
              <a16:creationId xmlns="" xmlns:a16="http://schemas.microsoft.com/office/drawing/2014/main" id="{00000000-0008-0000-0700-00005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77</xdr:row>
      <xdr:rowOff>0</xdr:rowOff>
    </xdr:from>
    <xdr:to>
      <xdr:col>11</xdr:col>
      <xdr:colOff>963704</xdr:colOff>
      <xdr:row>90</xdr:row>
      <xdr:rowOff>121024</xdr:rowOff>
    </xdr:to>
    <xdr:graphicFrame macro="">
      <xdr:nvGraphicFramePr>
        <xdr:cNvPr id="1623" name="グラフ 1622">
          <a:extLst>
            <a:ext uri="{FF2B5EF4-FFF2-40B4-BE49-F238E27FC236}">
              <a16:creationId xmlns="" xmlns:a16="http://schemas.microsoft.com/office/drawing/2014/main" id="{00000000-0008-0000-0700-00005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92</xdr:row>
      <xdr:rowOff>0</xdr:rowOff>
    </xdr:from>
    <xdr:to>
      <xdr:col>11</xdr:col>
      <xdr:colOff>963704</xdr:colOff>
      <xdr:row>105</xdr:row>
      <xdr:rowOff>121024</xdr:rowOff>
    </xdr:to>
    <xdr:graphicFrame macro="">
      <xdr:nvGraphicFramePr>
        <xdr:cNvPr id="1624" name="グラフ 1623">
          <a:extLst>
            <a:ext uri="{FF2B5EF4-FFF2-40B4-BE49-F238E27FC236}">
              <a16:creationId xmlns="" xmlns:a16="http://schemas.microsoft.com/office/drawing/2014/main" id="{00000000-0008-0000-0700-00005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107</xdr:row>
      <xdr:rowOff>0</xdr:rowOff>
    </xdr:from>
    <xdr:to>
      <xdr:col>11</xdr:col>
      <xdr:colOff>963704</xdr:colOff>
      <xdr:row>120</xdr:row>
      <xdr:rowOff>121024</xdr:rowOff>
    </xdr:to>
    <xdr:graphicFrame macro="">
      <xdr:nvGraphicFramePr>
        <xdr:cNvPr id="1625" name="グラフ 1624">
          <a:extLst>
            <a:ext uri="{FF2B5EF4-FFF2-40B4-BE49-F238E27FC236}">
              <a16:creationId xmlns="" xmlns:a16="http://schemas.microsoft.com/office/drawing/2014/main" id="{00000000-0008-0000-0700-00005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122</xdr:row>
      <xdr:rowOff>0</xdr:rowOff>
    </xdr:from>
    <xdr:to>
      <xdr:col>11</xdr:col>
      <xdr:colOff>963704</xdr:colOff>
      <xdr:row>135</xdr:row>
      <xdr:rowOff>121024</xdr:rowOff>
    </xdr:to>
    <xdr:graphicFrame macro="">
      <xdr:nvGraphicFramePr>
        <xdr:cNvPr id="1626" name="グラフ 1625">
          <a:extLst>
            <a:ext uri="{FF2B5EF4-FFF2-40B4-BE49-F238E27FC236}">
              <a16:creationId xmlns="" xmlns:a16="http://schemas.microsoft.com/office/drawing/2014/main" id="{00000000-0008-0000-0700-00005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137</xdr:row>
      <xdr:rowOff>0</xdr:rowOff>
    </xdr:from>
    <xdr:to>
      <xdr:col>11</xdr:col>
      <xdr:colOff>963704</xdr:colOff>
      <xdr:row>150</xdr:row>
      <xdr:rowOff>121024</xdr:rowOff>
    </xdr:to>
    <xdr:graphicFrame macro="">
      <xdr:nvGraphicFramePr>
        <xdr:cNvPr id="1627" name="グラフ 1626">
          <a:extLst>
            <a:ext uri="{FF2B5EF4-FFF2-40B4-BE49-F238E27FC236}">
              <a16:creationId xmlns="" xmlns:a16="http://schemas.microsoft.com/office/drawing/2014/main" id="{00000000-0008-0000-0700-00005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152</xdr:row>
      <xdr:rowOff>0</xdr:rowOff>
    </xdr:from>
    <xdr:to>
      <xdr:col>11</xdr:col>
      <xdr:colOff>963704</xdr:colOff>
      <xdr:row>165</xdr:row>
      <xdr:rowOff>121024</xdr:rowOff>
    </xdr:to>
    <xdr:graphicFrame macro="">
      <xdr:nvGraphicFramePr>
        <xdr:cNvPr id="1628" name="グラフ 1627">
          <a:extLst>
            <a:ext uri="{FF2B5EF4-FFF2-40B4-BE49-F238E27FC236}">
              <a16:creationId xmlns="" xmlns:a16="http://schemas.microsoft.com/office/drawing/2014/main" id="{00000000-0008-0000-0700-00005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167</xdr:row>
      <xdr:rowOff>0</xdr:rowOff>
    </xdr:from>
    <xdr:to>
      <xdr:col>11</xdr:col>
      <xdr:colOff>963704</xdr:colOff>
      <xdr:row>180</xdr:row>
      <xdr:rowOff>121024</xdr:rowOff>
    </xdr:to>
    <xdr:graphicFrame macro="">
      <xdr:nvGraphicFramePr>
        <xdr:cNvPr id="1629" name="グラフ 1628">
          <a:extLst>
            <a:ext uri="{FF2B5EF4-FFF2-40B4-BE49-F238E27FC236}">
              <a16:creationId xmlns="" xmlns:a16="http://schemas.microsoft.com/office/drawing/2014/main" id="{00000000-0008-0000-0700-00005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182</xdr:row>
      <xdr:rowOff>0</xdr:rowOff>
    </xdr:from>
    <xdr:to>
      <xdr:col>11</xdr:col>
      <xdr:colOff>963704</xdr:colOff>
      <xdr:row>195</xdr:row>
      <xdr:rowOff>121024</xdr:rowOff>
    </xdr:to>
    <xdr:graphicFrame macro="">
      <xdr:nvGraphicFramePr>
        <xdr:cNvPr id="1630" name="グラフ 1629">
          <a:extLst>
            <a:ext uri="{FF2B5EF4-FFF2-40B4-BE49-F238E27FC236}">
              <a16:creationId xmlns="" xmlns:a16="http://schemas.microsoft.com/office/drawing/2014/main" id="{00000000-0008-0000-0700-00005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197</xdr:row>
      <xdr:rowOff>0</xdr:rowOff>
    </xdr:from>
    <xdr:to>
      <xdr:col>11</xdr:col>
      <xdr:colOff>963704</xdr:colOff>
      <xdr:row>210</xdr:row>
      <xdr:rowOff>121024</xdr:rowOff>
    </xdr:to>
    <xdr:graphicFrame macro="">
      <xdr:nvGraphicFramePr>
        <xdr:cNvPr id="1631" name="グラフ 1630">
          <a:extLst>
            <a:ext uri="{FF2B5EF4-FFF2-40B4-BE49-F238E27FC236}">
              <a16:creationId xmlns="" xmlns:a16="http://schemas.microsoft.com/office/drawing/2014/main" id="{00000000-0008-0000-0700-00005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212</xdr:row>
      <xdr:rowOff>0</xdr:rowOff>
    </xdr:from>
    <xdr:to>
      <xdr:col>11</xdr:col>
      <xdr:colOff>963704</xdr:colOff>
      <xdr:row>225</xdr:row>
      <xdr:rowOff>121024</xdr:rowOff>
    </xdr:to>
    <xdr:graphicFrame macro="">
      <xdr:nvGraphicFramePr>
        <xdr:cNvPr id="1632" name="グラフ 1631">
          <a:extLst>
            <a:ext uri="{FF2B5EF4-FFF2-40B4-BE49-F238E27FC236}">
              <a16:creationId xmlns="" xmlns:a16="http://schemas.microsoft.com/office/drawing/2014/main" id="{00000000-0008-0000-0700-00006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227</xdr:row>
      <xdr:rowOff>0</xdr:rowOff>
    </xdr:from>
    <xdr:to>
      <xdr:col>11</xdr:col>
      <xdr:colOff>963704</xdr:colOff>
      <xdr:row>240</xdr:row>
      <xdr:rowOff>121024</xdr:rowOff>
    </xdr:to>
    <xdr:graphicFrame macro="">
      <xdr:nvGraphicFramePr>
        <xdr:cNvPr id="1633" name="グラフ 1632">
          <a:extLst>
            <a:ext uri="{FF2B5EF4-FFF2-40B4-BE49-F238E27FC236}">
              <a16:creationId xmlns="" xmlns:a16="http://schemas.microsoft.com/office/drawing/2014/main" id="{00000000-0008-0000-0700-00006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242</xdr:row>
      <xdr:rowOff>0</xdr:rowOff>
    </xdr:from>
    <xdr:to>
      <xdr:col>11</xdr:col>
      <xdr:colOff>963704</xdr:colOff>
      <xdr:row>255</xdr:row>
      <xdr:rowOff>121024</xdr:rowOff>
    </xdr:to>
    <xdr:graphicFrame macro="">
      <xdr:nvGraphicFramePr>
        <xdr:cNvPr id="1634" name="グラフ 1633">
          <a:extLst>
            <a:ext uri="{FF2B5EF4-FFF2-40B4-BE49-F238E27FC236}">
              <a16:creationId xmlns="" xmlns:a16="http://schemas.microsoft.com/office/drawing/2014/main" id="{00000000-0008-0000-0700-00006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257</xdr:row>
      <xdr:rowOff>0</xdr:rowOff>
    </xdr:from>
    <xdr:to>
      <xdr:col>11</xdr:col>
      <xdr:colOff>963704</xdr:colOff>
      <xdr:row>270</xdr:row>
      <xdr:rowOff>121024</xdr:rowOff>
    </xdr:to>
    <xdr:graphicFrame macro="">
      <xdr:nvGraphicFramePr>
        <xdr:cNvPr id="1635" name="グラフ 1634">
          <a:extLst>
            <a:ext uri="{FF2B5EF4-FFF2-40B4-BE49-F238E27FC236}">
              <a16:creationId xmlns="" xmlns:a16="http://schemas.microsoft.com/office/drawing/2014/main" id="{00000000-0008-0000-0700-00006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272</xdr:row>
      <xdr:rowOff>0</xdr:rowOff>
    </xdr:from>
    <xdr:to>
      <xdr:col>11</xdr:col>
      <xdr:colOff>963704</xdr:colOff>
      <xdr:row>285</xdr:row>
      <xdr:rowOff>121024</xdr:rowOff>
    </xdr:to>
    <xdr:graphicFrame macro="">
      <xdr:nvGraphicFramePr>
        <xdr:cNvPr id="1636" name="グラフ 1635">
          <a:extLst>
            <a:ext uri="{FF2B5EF4-FFF2-40B4-BE49-F238E27FC236}">
              <a16:creationId xmlns="" xmlns:a16="http://schemas.microsoft.com/office/drawing/2014/main" id="{00000000-0008-0000-0700-00006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287</xdr:row>
      <xdr:rowOff>0</xdr:rowOff>
    </xdr:from>
    <xdr:to>
      <xdr:col>11</xdr:col>
      <xdr:colOff>963704</xdr:colOff>
      <xdr:row>300</xdr:row>
      <xdr:rowOff>121024</xdr:rowOff>
    </xdr:to>
    <xdr:graphicFrame macro="">
      <xdr:nvGraphicFramePr>
        <xdr:cNvPr id="1637" name="グラフ 1636">
          <a:extLst>
            <a:ext uri="{FF2B5EF4-FFF2-40B4-BE49-F238E27FC236}">
              <a16:creationId xmlns="" xmlns:a16="http://schemas.microsoft.com/office/drawing/2014/main" id="{00000000-0008-0000-0700-00006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302</xdr:row>
      <xdr:rowOff>0</xdr:rowOff>
    </xdr:from>
    <xdr:to>
      <xdr:col>11</xdr:col>
      <xdr:colOff>963704</xdr:colOff>
      <xdr:row>315</xdr:row>
      <xdr:rowOff>121024</xdr:rowOff>
    </xdr:to>
    <xdr:graphicFrame macro="">
      <xdr:nvGraphicFramePr>
        <xdr:cNvPr id="1638" name="グラフ 1637">
          <a:extLst>
            <a:ext uri="{FF2B5EF4-FFF2-40B4-BE49-F238E27FC236}">
              <a16:creationId xmlns="" xmlns:a16="http://schemas.microsoft.com/office/drawing/2014/main" id="{00000000-0008-0000-0700-00006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317</xdr:row>
      <xdr:rowOff>0</xdr:rowOff>
    </xdr:from>
    <xdr:to>
      <xdr:col>11</xdr:col>
      <xdr:colOff>963704</xdr:colOff>
      <xdr:row>330</xdr:row>
      <xdr:rowOff>121024</xdr:rowOff>
    </xdr:to>
    <xdr:graphicFrame macro="">
      <xdr:nvGraphicFramePr>
        <xdr:cNvPr id="1639" name="グラフ 1638">
          <a:extLst>
            <a:ext uri="{FF2B5EF4-FFF2-40B4-BE49-F238E27FC236}">
              <a16:creationId xmlns="" xmlns:a16="http://schemas.microsoft.com/office/drawing/2014/main" id="{00000000-0008-0000-0700-00006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332</xdr:row>
      <xdr:rowOff>0</xdr:rowOff>
    </xdr:from>
    <xdr:to>
      <xdr:col>11</xdr:col>
      <xdr:colOff>963704</xdr:colOff>
      <xdr:row>345</xdr:row>
      <xdr:rowOff>121024</xdr:rowOff>
    </xdr:to>
    <xdr:graphicFrame macro="">
      <xdr:nvGraphicFramePr>
        <xdr:cNvPr id="1640" name="グラフ 1639">
          <a:extLst>
            <a:ext uri="{FF2B5EF4-FFF2-40B4-BE49-F238E27FC236}">
              <a16:creationId xmlns="" xmlns:a16="http://schemas.microsoft.com/office/drawing/2014/main" id="{00000000-0008-0000-0700-00006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0</xdr:colOff>
      <xdr:row>347</xdr:row>
      <xdr:rowOff>0</xdr:rowOff>
    </xdr:from>
    <xdr:to>
      <xdr:col>11</xdr:col>
      <xdr:colOff>963704</xdr:colOff>
      <xdr:row>360</xdr:row>
      <xdr:rowOff>121024</xdr:rowOff>
    </xdr:to>
    <xdr:graphicFrame macro="">
      <xdr:nvGraphicFramePr>
        <xdr:cNvPr id="1641" name="グラフ 1640">
          <a:extLst>
            <a:ext uri="{FF2B5EF4-FFF2-40B4-BE49-F238E27FC236}">
              <a16:creationId xmlns="" xmlns:a16="http://schemas.microsoft.com/office/drawing/2014/main" id="{00000000-0008-0000-0700-00006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362</xdr:row>
      <xdr:rowOff>0</xdr:rowOff>
    </xdr:from>
    <xdr:to>
      <xdr:col>11</xdr:col>
      <xdr:colOff>963704</xdr:colOff>
      <xdr:row>375</xdr:row>
      <xdr:rowOff>121024</xdr:rowOff>
    </xdr:to>
    <xdr:graphicFrame macro="">
      <xdr:nvGraphicFramePr>
        <xdr:cNvPr id="1642" name="グラフ 1641">
          <a:extLst>
            <a:ext uri="{FF2B5EF4-FFF2-40B4-BE49-F238E27FC236}">
              <a16:creationId xmlns="" xmlns:a16="http://schemas.microsoft.com/office/drawing/2014/main" id="{00000000-0008-0000-0700-00006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377</xdr:row>
      <xdr:rowOff>0</xdr:rowOff>
    </xdr:from>
    <xdr:to>
      <xdr:col>11</xdr:col>
      <xdr:colOff>963704</xdr:colOff>
      <xdr:row>390</xdr:row>
      <xdr:rowOff>121024</xdr:rowOff>
    </xdr:to>
    <xdr:graphicFrame macro="">
      <xdr:nvGraphicFramePr>
        <xdr:cNvPr id="1643" name="グラフ 1642">
          <a:extLst>
            <a:ext uri="{FF2B5EF4-FFF2-40B4-BE49-F238E27FC236}">
              <a16:creationId xmlns="" xmlns:a16="http://schemas.microsoft.com/office/drawing/2014/main" id="{00000000-0008-0000-0700-00006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0</xdr:colOff>
      <xdr:row>392</xdr:row>
      <xdr:rowOff>0</xdr:rowOff>
    </xdr:from>
    <xdr:to>
      <xdr:col>11</xdr:col>
      <xdr:colOff>963704</xdr:colOff>
      <xdr:row>405</xdr:row>
      <xdr:rowOff>121024</xdr:rowOff>
    </xdr:to>
    <xdr:graphicFrame macro="">
      <xdr:nvGraphicFramePr>
        <xdr:cNvPr id="1644" name="グラフ 1643">
          <a:extLst>
            <a:ext uri="{FF2B5EF4-FFF2-40B4-BE49-F238E27FC236}">
              <a16:creationId xmlns="" xmlns:a16="http://schemas.microsoft.com/office/drawing/2014/main" id="{00000000-0008-0000-0700-00006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407</xdr:row>
      <xdr:rowOff>0</xdr:rowOff>
    </xdr:from>
    <xdr:to>
      <xdr:col>11</xdr:col>
      <xdr:colOff>963704</xdr:colOff>
      <xdr:row>420</xdr:row>
      <xdr:rowOff>121024</xdr:rowOff>
    </xdr:to>
    <xdr:graphicFrame macro="">
      <xdr:nvGraphicFramePr>
        <xdr:cNvPr id="1645" name="グラフ 1644">
          <a:extLst>
            <a:ext uri="{FF2B5EF4-FFF2-40B4-BE49-F238E27FC236}">
              <a16:creationId xmlns="" xmlns:a16="http://schemas.microsoft.com/office/drawing/2014/main" id="{00000000-0008-0000-0700-00006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0</xdr:colOff>
      <xdr:row>422</xdr:row>
      <xdr:rowOff>0</xdr:rowOff>
    </xdr:from>
    <xdr:to>
      <xdr:col>11</xdr:col>
      <xdr:colOff>963704</xdr:colOff>
      <xdr:row>435</xdr:row>
      <xdr:rowOff>121024</xdr:rowOff>
    </xdr:to>
    <xdr:graphicFrame macro="">
      <xdr:nvGraphicFramePr>
        <xdr:cNvPr id="1646" name="グラフ 1645">
          <a:extLst>
            <a:ext uri="{FF2B5EF4-FFF2-40B4-BE49-F238E27FC236}">
              <a16:creationId xmlns="" xmlns:a16="http://schemas.microsoft.com/office/drawing/2014/main" id="{00000000-0008-0000-0700-00006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0</xdr:colOff>
      <xdr:row>437</xdr:row>
      <xdr:rowOff>0</xdr:rowOff>
    </xdr:from>
    <xdr:to>
      <xdr:col>11</xdr:col>
      <xdr:colOff>963704</xdr:colOff>
      <xdr:row>450</xdr:row>
      <xdr:rowOff>121024</xdr:rowOff>
    </xdr:to>
    <xdr:graphicFrame macro="">
      <xdr:nvGraphicFramePr>
        <xdr:cNvPr id="1647" name="グラフ 1646">
          <a:extLst>
            <a:ext uri="{FF2B5EF4-FFF2-40B4-BE49-F238E27FC236}">
              <a16:creationId xmlns="" xmlns:a16="http://schemas.microsoft.com/office/drawing/2014/main" id="{00000000-0008-0000-0700-00006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0</xdr:colOff>
      <xdr:row>452</xdr:row>
      <xdr:rowOff>0</xdr:rowOff>
    </xdr:from>
    <xdr:to>
      <xdr:col>11</xdr:col>
      <xdr:colOff>963704</xdr:colOff>
      <xdr:row>465</xdr:row>
      <xdr:rowOff>121024</xdr:rowOff>
    </xdr:to>
    <xdr:graphicFrame macro="">
      <xdr:nvGraphicFramePr>
        <xdr:cNvPr id="1648" name="グラフ 1647">
          <a:extLst>
            <a:ext uri="{FF2B5EF4-FFF2-40B4-BE49-F238E27FC236}">
              <a16:creationId xmlns="" xmlns:a16="http://schemas.microsoft.com/office/drawing/2014/main" id="{00000000-0008-0000-0700-00007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xdr:col>
      <xdr:colOff>0</xdr:colOff>
      <xdr:row>467</xdr:row>
      <xdr:rowOff>0</xdr:rowOff>
    </xdr:from>
    <xdr:to>
      <xdr:col>11</xdr:col>
      <xdr:colOff>963704</xdr:colOff>
      <xdr:row>480</xdr:row>
      <xdr:rowOff>121024</xdr:rowOff>
    </xdr:to>
    <xdr:graphicFrame macro="">
      <xdr:nvGraphicFramePr>
        <xdr:cNvPr id="1649" name="グラフ 1648">
          <a:extLst>
            <a:ext uri="{FF2B5EF4-FFF2-40B4-BE49-F238E27FC236}">
              <a16:creationId xmlns="" xmlns:a16="http://schemas.microsoft.com/office/drawing/2014/main" id="{00000000-0008-0000-0700-00007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0</xdr:colOff>
      <xdr:row>482</xdr:row>
      <xdr:rowOff>0</xdr:rowOff>
    </xdr:from>
    <xdr:to>
      <xdr:col>11</xdr:col>
      <xdr:colOff>963704</xdr:colOff>
      <xdr:row>495</xdr:row>
      <xdr:rowOff>121024</xdr:rowOff>
    </xdr:to>
    <xdr:graphicFrame macro="">
      <xdr:nvGraphicFramePr>
        <xdr:cNvPr id="1650" name="グラフ 1649">
          <a:extLst>
            <a:ext uri="{FF2B5EF4-FFF2-40B4-BE49-F238E27FC236}">
              <a16:creationId xmlns="" xmlns:a16="http://schemas.microsoft.com/office/drawing/2014/main" id="{00000000-0008-0000-0700-00007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497</xdr:row>
      <xdr:rowOff>0</xdr:rowOff>
    </xdr:from>
    <xdr:to>
      <xdr:col>11</xdr:col>
      <xdr:colOff>963704</xdr:colOff>
      <xdr:row>510</xdr:row>
      <xdr:rowOff>121024</xdr:rowOff>
    </xdr:to>
    <xdr:graphicFrame macro="">
      <xdr:nvGraphicFramePr>
        <xdr:cNvPr id="1651" name="グラフ 1650">
          <a:extLst>
            <a:ext uri="{FF2B5EF4-FFF2-40B4-BE49-F238E27FC236}">
              <a16:creationId xmlns="" xmlns:a16="http://schemas.microsoft.com/office/drawing/2014/main" id="{00000000-0008-0000-0700-00007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xdr:col>
      <xdr:colOff>0</xdr:colOff>
      <xdr:row>512</xdr:row>
      <xdr:rowOff>0</xdr:rowOff>
    </xdr:from>
    <xdr:to>
      <xdr:col>11</xdr:col>
      <xdr:colOff>963704</xdr:colOff>
      <xdr:row>525</xdr:row>
      <xdr:rowOff>121024</xdr:rowOff>
    </xdr:to>
    <xdr:graphicFrame macro="">
      <xdr:nvGraphicFramePr>
        <xdr:cNvPr id="1652" name="グラフ 1651">
          <a:extLst>
            <a:ext uri="{FF2B5EF4-FFF2-40B4-BE49-F238E27FC236}">
              <a16:creationId xmlns="" xmlns:a16="http://schemas.microsoft.com/office/drawing/2014/main" id="{00000000-0008-0000-0700-00007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0</xdr:colOff>
      <xdr:row>527</xdr:row>
      <xdr:rowOff>0</xdr:rowOff>
    </xdr:from>
    <xdr:to>
      <xdr:col>11</xdr:col>
      <xdr:colOff>963704</xdr:colOff>
      <xdr:row>540</xdr:row>
      <xdr:rowOff>121024</xdr:rowOff>
    </xdr:to>
    <xdr:graphicFrame macro="">
      <xdr:nvGraphicFramePr>
        <xdr:cNvPr id="1653" name="グラフ 1652">
          <a:extLst>
            <a:ext uri="{FF2B5EF4-FFF2-40B4-BE49-F238E27FC236}">
              <a16:creationId xmlns="" xmlns:a16="http://schemas.microsoft.com/office/drawing/2014/main" id="{00000000-0008-0000-0700-00007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0</xdr:colOff>
      <xdr:row>542</xdr:row>
      <xdr:rowOff>0</xdr:rowOff>
    </xdr:from>
    <xdr:to>
      <xdr:col>11</xdr:col>
      <xdr:colOff>949442</xdr:colOff>
      <xdr:row>555</xdr:row>
      <xdr:rowOff>127136</xdr:rowOff>
    </xdr:to>
    <xdr:graphicFrame macro="">
      <xdr:nvGraphicFramePr>
        <xdr:cNvPr id="1654" name="グラフ 1653">
          <a:extLst>
            <a:ext uri="{FF2B5EF4-FFF2-40B4-BE49-F238E27FC236}">
              <a16:creationId xmlns="" xmlns:a16="http://schemas.microsoft.com/office/drawing/2014/main" id="{00000000-0008-0000-0700-00007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xdr:col>
      <xdr:colOff>0</xdr:colOff>
      <xdr:row>557</xdr:row>
      <xdr:rowOff>0</xdr:rowOff>
    </xdr:from>
    <xdr:to>
      <xdr:col>11</xdr:col>
      <xdr:colOff>949442</xdr:colOff>
      <xdr:row>570</xdr:row>
      <xdr:rowOff>121024</xdr:rowOff>
    </xdr:to>
    <xdr:graphicFrame macro="">
      <xdr:nvGraphicFramePr>
        <xdr:cNvPr id="1655" name="グラフ 1654">
          <a:extLst>
            <a:ext uri="{FF2B5EF4-FFF2-40B4-BE49-F238E27FC236}">
              <a16:creationId xmlns="" xmlns:a16="http://schemas.microsoft.com/office/drawing/2014/main" id="{00000000-0008-0000-0700-00007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xdr:col>
      <xdr:colOff>0</xdr:colOff>
      <xdr:row>572</xdr:row>
      <xdr:rowOff>0</xdr:rowOff>
    </xdr:from>
    <xdr:to>
      <xdr:col>11</xdr:col>
      <xdr:colOff>949442</xdr:colOff>
      <xdr:row>585</xdr:row>
      <xdr:rowOff>127137</xdr:rowOff>
    </xdr:to>
    <xdr:graphicFrame macro="">
      <xdr:nvGraphicFramePr>
        <xdr:cNvPr id="1656" name="グラフ 1655">
          <a:extLst>
            <a:ext uri="{FF2B5EF4-FFF2-40B4-BE49-F238E27FC236}">
              <a16:creationId xmlns="" xmlns:a16="http://schemas.microsoft.com/office/drawing/2014/main" id="{00000000-0008-0000-0700-00007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xdr:col>
      <xdr:colOff>0</xdr:colOff>
      <xdr:row>587</xdr:row>
      <xdr:rowOff>0</xdr:rowOff>
    </xdr:from>
    <xdr:to>
      <xdr:col>11</xdr:col>
      <xdr:colOff>949442</xdr:colOff>
      <xdr:row>600</xdr:row>
      <xdr:rowOff>127136</xdr:rowOff>
    </xdr:to>
    <xdr:graphicFrame macro="">
      <xdr:nvGraphicFramePr>
        <xdr:cNvPr id="1657" name="グラフ 1656">
          <a:extLst>
            <a:ext uri="{FF2B5EF4-FFF2-40B4-BE49-F238E27FC236}">
              <a16:creationId xmlns="" xmlns:a16="http://schemas.microsoft.com/office/drawing/2014/main" id="{00000000-0008-0000-0700-00007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xdr:col>
      <xdr:colOff>0</xdr:colOff>
      <xdr:row>602</xdr:row>
      <xdr:rowOff>0</xdr:rowOff>
    </xdr:from>
    <xdr:to>
      <xdr:col>11</xdr:col>
      <xdr:colOff>949442</xdr:colOff>
      <xdr:row>615</xdr:row>
      <xdr:rowOff>121023</xdr:rowOff>
    </xdr:to>
    <xdr:graphicFrame macro="">
      <xdr:nvGraphicFramePr>
        <xdr:cNvPr id="1658" name="グラフ 1657">
          <a:extLst>
            <a:ext uri="{FF2B5EF4-FFF2-40B4-BE49-F238E27FC236}">
              <a16:creationId xmlns="" xmlns:a16="http://schemas.microsoft.com/office/drawing/2014/main" id="{00000000-0008-0000-0700-00007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xdr:col>
      <xdr:colOff>0</xdr:colOff>
      <xdr:row>617</xdr:row>
      <xdr:rowOff>0</xdr:rowOff>
    </xdr:from>
    <xdr:to>
      <xdr:col>11</xdr:col>
      <xdr:colOff>949442</xdr:colOff>
      <xdr:row>630</xdr:row>
      <xdr:rowOff>121024</xdr:rowOff>
    </xdr:to>
    <xdr:graphicFrame macro="">
      <xdr:nvGraphicFramePr>
        <xdr:cNvPr id="1659" name="グラフ 1658">
          <a:extLst>
            <a:ext uri="{FF2B5EF4-FFF2-40B4-BE49-F238E27FC236}">
              <a16:creationId xmlns="" xmlns:a16="http://schemas.microsoft.com/office/drawing/2014/main" id="{00000000-0008-0000-0700-00007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xdr:col>
      <xdr:colOff>0</xdr:colOff>
      <xdr:row>632</xdr:row>
      <xdr:rowOff>0</xdr:rowOff>
    </xdr:from>
    <xdr:to>
      <xdr:col>11</xdr:col>
      <xdr:colOff>970835</xdr:colOff>
      <xdr:row>645</xdr:row>
      <xdr:rowOff>121024</xdr:rowOff>
    </xdr:to>
    <xdr:graphicFrame macro="">
      <xdr:nvGraphicFramePr>
        <xdr:cNvPr id="1660" name="グラフ 1659">
          <a:extLst>
            <a:ext uri="{FF2B5EF4-FFF2-40B4-BE49-F238E27FC236}">
              <a16:creationId xmlns="" xmlns:a16="http://schemas.microsoft.com/office/drawing/2014/main" id="{00000000-0008-0000-0700-00007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xdr:col>
      <xdr:colOff>0</xdr:colOff>
      <xdr:row>647</xdr:row>
      <xdr:rowOff>0</xdr:rowOff>
    </xdr:from>
    <xdr:to>
      <xdr:col>11</xdr:col>
      <xdr:colOff>956573</xdr:colOff>
      <xdr:row>660</xdr:row>
      <xdr:rowOff>121024</xdr:rowOff>
    </xdr:to>
    <xdr:graphicFrame macro="">
      <xdr:nvGraphicFramePr>
        <xdr:cNvPr id="1661" name="グラフ 1660">
          <a:extLst>
            <a:ext uri="{FF2B5EF4-FFF2-40B4-BE49-F238E27FC236}">
              <a16:creationId xmlns="" xmlns:a16="http://schemas.microsoft.com/office/drawing/2014/main" id="{00000000-0008-0000-0700-00007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xdr:col>
      <xdr:colOff>0</xdr:colOff>
      <xdr:row>662</xdr:row>
      <xdr:rowOff>0</xdr:rowOff>
    </xdr:from>
    <xdr:to>
      <xdr:col>11</xdr:col>
      <xdr:colOff>963704</xdr:colOff>
      <xdr:row>675</xdr:row>
      <xdr:rowOff>121024</xdr:rowOff>
    </xdr:to>
    <xdr:graphicFrame macro="">
      <xdr:nvGraphicFramePr>
        <xdr:cNvPr id="1662" name="グラフ 1661">
          <a:extLst>
            <a:ext uri="{FF2B5EF4-FFF2-40B4-BE49-F238E27FC236}">
              <a16:creationId xmlns="" xmlns:a16="http://schemas.microsoft.com/office/drawing/2014/main" id="{00000000-0008-0000-0700-00007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xdr:col>
      <xdr:colOff>0</xdr:colOff>
      <xdr:row>677</xdr:row>
      <xdr:rowOff>0</xdr:rowOff>
    </xdr:from>
    <xdr:to>
      <xdr:col>11</xdr:col>
      <xdr:colOff>970835</xdr:colOff>
      <xdr:row>690</xdr:row>
      <xdr:rowOff>121024</xdr:rowOff>
    </xdr:to>
    <xdr:graphicFrame macro="">
      <xdr:nvGraphicFramePr>
        <xdr:cNvPr id="1663" name="グラフ 1662">
          <a:extLst>
            <a:ext uri="{FF2B5EF4-FFF2-40B4-BE49-F238E27FC236}">
              <a16:creationId xmlns="" xmlns:a16="http://schemas.microsoft.com/office/drawing/2014/main" id="{00000000-0008-0000-0700-00007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xdr:col>
      <xdr:colOff>0</xdr:colOff>
      <xdr:row>692</xdr:row>
      <xdr:rowOff>0</xdr:rowOff>
    </xdr:from>
    <xdr:to>
      <xdr:col>11</xdr:col>
      <xdr:colOff>970835</xdr:colOff>
      <xdr:row>705</xdr:row>
      <xdr:rowOff>121024</xdr:rowOff>
    </xdr:to>
    <xdr:graphicFrame macro="">
      <xdr:nvGraphicFramePr>
        <xdr:cNvPr id="1664" name="グラフ 1663">
          <a:extLst>
            <a:ext uri="{FF2B5EF4-FFF2-40B4-BE49-F238E27FC236}">
              <a16:creationId xmlns="" xmlns:a16="http://schemas.microsoft.com/office/drawing/2014/main" id="{00000000-0008-0000-0700-00008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xdr:col>
      <xdr:colOff>0</xdr:colOff>
      <xdr:row>707</xdr:row>
      <xdr:rowOff>0</xdr:rowOff>
    </xdr:from>
    <xdr:to>
      <xdr:col>11</xdr:col>
      <xdr:colOff>963704</xdr:colOff>
      <xdr:row>720</xdr:row>
      <xdr:rowOff>121024</xdr:rowOff>
    </xdr:to>
    <xdr:graphicFrame macro="">
      <xdr:nvGraphicFramePr>
        <xdr:cNvPr id="1665" name="グラフ 1664">
          <a:extLst>
            <a:ext uri="{FF2B5EF4-FFF2-40B4-BE49-F238E27FC236}">
              <a16:creationId xmlns="" xmlns:a16="http://schemas.microsoft.com/office/drawing/2014/main" id="{00000000-0008-0000-0700-00008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xdr:col>
      <xdr:colOff>0</xdr:colOff>
      <xdr:row>722</xdr:row>
      <xdr:rowOff>0</xdr:rowOff>
    </xdr:from>
    <xdr:to>
      <xdr:col>11</xdr:col>
      <xdr:colOff>963704</xdr:colOff>
      <xdr:row>735</xdr:row>
      <xdr:rowOff>121024</xdr:rowOff>
    </xdr:to>
    <xdr:graphicFrame macro="">
      <xdr:nvGraphicFramePr>
        <xdr:cNvPr id="1666" name="グラフ 1665">
          <a:extLst>
            <a:ext uri="{FF2B5EF4-FFF2-40B4-BE49-F238E27FC236}">
              <a16:creationId xmlns="" xmlns:a16="http://schemas.microsoft.com/office/drawing/2014/main" id="{00000000-0008-0000-0700-00008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xdr:col>
      <xdr:colOff>0</xdr:colOff>
      <xdr:row>737</xdr:row>
      <xdr:rowOff>0</xdr:rowOff>
    </xdr:from>
    <xdr:to>
      <xdr:col>11</xdr:col>
      <xdr:colOff>963704</xdr:colOff>
      <xdr:row>750</xdr:row>
      <xdr:rowOff>121024</xdr:rowOff>
    </xdr:to>
    <xdr:graphicFrame macro="">
      <xdr:nvGraphicFramePr>
        <xdr:cNvPr id="1667" name="グラフ 1666">
          <a:extLst>
            <a:ext uri="{FF2B5EF4-FFF2-40B4-BE49-F238E27FC236}">
              <a16:creationId xmlns="" xmlns:a16="http://schemas.microsoft.com/office/drawing/2014/main" id="{00000000-0008-0000-0700-00008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xdr:col>
      <xdr:colOff>0</xdr:colOff>
      <xdr:row>752</xdr:row>
      <xdr:rowOff>0</xdr:rowOff>
    </xdr:from>
    <xdr:to>
      <xdr:col>11</xdr:col>
      <xdr:colOff>963704</xdr:colOff>
      <xdr:row>765</xdr:row>
      <xdr:rowOff>121024</xdr:rowOff>
    </xdr:to>
    <xdr:graphicFrame macro="">
      <xdr:nvGraphicFramePr>
        <xdr:cNvPr id="1668" name="グラフ 1667">
          <a:extLst>
            <a:ext uri="{FF2B5EF4-FFF2-40B4-BE49-F238E27FC236}">
              <a16:creationId xmlns="" xmlns:a16="http://schemas.microsoft.com/office/drawing/2014/main" id="{00000000-0008-0000-0700-00008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xdr:col>
      <xdr:colOff>0</xdr:colOff>
      <xdr:row>767</xdr:row>
      <xdr:rowOff>0</xdr:rowOff>
    </xdr:from>
    <xdr:to>
      <xdr:col>11</xdr:col>
      <xdr:colOff>963704</xdr:colOff>
      <xdr:row>780</xdr:row>
      <xdr:rowOff>121024</xdr:rowOff>
    </xdr:to>
    <xdr:graphicFrame macro="">
      <xdr:nvGraphicFramePr>
        <xdr:cNvPr id="1669" name="グラフ 1668">
          <a:extLst>
            <a:ext uri="{FF2B5EF4-FFF2-40B4-BE49-F238E27FC236}">
              <a16:creationId xmlns="" xmlns:a16="http://schemas.microsoft.com/office/drawing/2014/main" id="{00000000-0008-0000-0700-00008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 xmlns:a16="http://schemas.microsoft.com/office/drawing/2014/main" id="{00000000-0008-0000-08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 xmlns:a16="http://schemas.microsoft.com/office/drawing/2014/main" id="{00000000-0008-0000-08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 xmlns:a16="http://schemas.microsoft.com/office/drawing/2014/main" id="{00000000-0008-0000-08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 xmlns:a16="http://schemas.microsoft.com/office/drawing/2014/main" id="{00000000-0008-0000-08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 xmlns:a16="http://schemas.microsoft.com/office/drawing/2014/main" id="{00000000-0008-0000-08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 xmlns:a16="http://schemas.microsoft.com/office/drawing/2014/main" id="{00000000-0008-0000-08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 xmlns:a16="http://schemas.microsoft.com/office/drawing/2014/main" id="{00000000-0008-0000-08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 xmlns:a16="http://schemas.microsoft.com/office/drawing/2014/main" id="{00000000-0008-0000-08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 xmlns:a16="http://schemas.microsoft.com/office/drawing/2014/main" id="{00000000-0008-0000-08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 xmlns:a16="http://schemas.microsoft.com/office/drawing/2014/main" id="{00000000-0008-0000-08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 xmlns:a16="http://schemas.microsoft.com/office/drawing/2014/main" id="{00000000-0008-0000-08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 xmlns:a16="http://schemas.microsoft.com/office/drawing/2014/main" id="{00000000-0008-0000-08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 xmlns:a16="http://schemas.microsoft.com/office/drawing/2014/main" id="{00000000-0008-0000-08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 xmlns:a16="http://schemas.microsoft.com/office/drawing/2014/main" id="{00000000-0008-0000-08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 xmlns:a16="http://schemas.microsoft.com/office/drawing/2014/main" id="{00000000-0008-0000-08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 xmlns:a16="http://schemas.microsoft.com/office/drawing/2014/main" id="{00000000-0008-0000-08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 xmlns:a16="http://schemas.microsoft.com/office/drawing/2014/main" id="{00000000-0008-0000-08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 xmlns:a16="http://schemas.microsoft.com/office/drawing/2014/main" id="{00000000-0008-0000-08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 xmlns:a16="http://schemas.microsoft.com/office/drawing/2014/main" id="{00000000-0008-0000-08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 xmlns:a16="http://schemas.microsoft.com/office/drawing/2014/main" id="{00000000-0008-0000-08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 xmlns:a16="http://schemas.microsoft.com/office/drawing/2014/main" id="{00000000-0008-0000-08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 xmlns:a16="http://schemas.microsoft.com/office/drawing/2014/main" id="{00000000-0008-0000-08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 xmlns:a16="http://schemas.microsoft.com/office/drawing/2014/main" id="{00000000-0008-0000-08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 xmlns:a16="http://schemas.microsoft.com/office/drawing/2014/main" id="{00000000-0008-0000-08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 xmlns:a16="http://schemas.microsoft.com/office/drawing/2014/main" id="{00000000-0008-0000-08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 xmlns:a16="http://schemas.microsoft.com/office/drawing/2014/main" id="{00000000-0008-0000-08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 xmlns:a16="http://schemas.microsoft.com/office/drawing/2014/main" id="{00000000-0008-0000-08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 xmlns:a16="http://schemas.microsoft.com/office/drawing/2014/main" id="{00000000-0008-0000-08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 xmlns:a16="http://schemas.microsoft.com/office/drawing/2014/main" id="{00000000-0008-0000-08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 xmlns:a16="http://schemas.microsoft.com/office/drawing/2014/main" id="{00000000-0008-0000-08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 xmlns:a16="http://schemas.microsoft.com/office/drawing/2014/main" id="{00000000-0008-0000-08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 xmlns:a16="http://schemas.microsoft.com/office/drawing/2014/main" id="{00000000-0008-0000-08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 xmlns:a16="http://schemas.microsoft.com/office/drawing/2014/main" id="{00000000-0008-0000-08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 xmlns:a16="http://schemas.microsoft.com/office/drawing/2014/main" id="{00000000-0008-0000-08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 xmlns:a16="http://schemas.microsoft.com/office/drawing/2014/main" id="{00000000-0008-0000-08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 xmlns:a16="http://schemas.microsoft.com/office/drawing/2014/main" id="{00000000-0008-0000-08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 xmlns:a16="http://schemas.microsoft.com/office/drawing/2014/main" id="{00000000-0008-0000-08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 xmlns:a16="http://schemas.microsoft.com/office/drawing/2014/main" id="{00000000-0008-0000-08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 xmlns:a16="http://schemas.microsoft.com/office/drawing/2014/main" id="{00000000-0008-0000-08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 xmlns:a16="http://schemas.microsoft.com/office/drawing/2014/main" id="{00000000-0008-0000-08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 xmlns:a16="http://schemas.microsoft.com/office/drawing/2014/main" id="{00000000-0008-0000-08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 xmlns:a16="http://schemas.microsoft.com/office/drawing/2014/main" id="{00000000-0008-0000-08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 xmlns:a16="http://schemas.microsoft.com/office/drawing/2014/main" id="{00000000-0008-0000-08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 xmlns:a16="http://schemas.microsoft.com/office/drawing/2014/main" id="{00000000-0008-0000-08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 xmlns:a16="http://schemas.microsoft.com/office/drawing/2014/main" id="{00000000-0008-0000-08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 xmlns:a16="http://schemas.microsoft.com/office/drawing/2014/main" id="{00000000-0008-0000-08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 xmlns:a16="http://schemas.microsoft.com/office/drawing/2014/main" id="{00000000-0008-0000-08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 xmlns:a16="http://schemas.microsoft.com/office/drawing/2014/main" id="{00000000-0008-0000-08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 xmlns:a16="http://schemas.microsoft.com/office/drawing/2014/main" id="{00000000-0008-0000-08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 xmlns:a16="http://schemas.microsoft.com/office/drawing/2014/main" id="{00000000-0008-0000-08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 xmlns:a16="http://schemas.microsoft.com/office/drawing/2014/main" id="{00000000-0008-0000-08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 xmlns:a16="http://schemas.microsoft.com/office/drawing/2014/main" id="{00000000-0008-0000-08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 xmlns:a16="http://schemas.microsoft.com/office/drawing/2014/main" id="{00000000-0008-0000-08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 xmlns:a16="http://schemas.microsoft.com/office/drawing/2014/main" id="{00000000-0008-0000-08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 xmlns:a16="http://schemas.microsoft.com/office/drawing/2014/main" id="{00000000-0008-0000-08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 xmlns:a16="http://schemas.microsoft.com/office/drawing/2014/main" id="{00000000-0008-0000-08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 xmlns:a16="http://schemas.microsoft.com/office/drawing/2014/main" id="{00000000-0008-0000-08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 xmlns:a16="http://schemas.microsoft.com/office/drawing/2014/main" id="{00000000-0008-0000-08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 xmlns:a16="http://schemas.microsoft.com/office/drawing/2014/main" id="{00000000-0008-0000-08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 xmlns:a16="http://schemas.microsoft.com/office/drawing/2014/main" id="{00000000-0008-0000-08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 xmlns:a16="http://schemas.microsoft.com/office/drawing/2014/main" id="{00000000-0008-0000-08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 xmlns:a16="http://schemas.microsoft.com/office/drawing/2014/main" id="{00000000-0008-0000-08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 xmlns:a16="http://schemas.microsoft.com/office/drawing/2014/main" id="{00000000-0008-0000-08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 xmlns:a16="http://schemas.microsoft.com/office/drawing/2014/main" id="{00000000-0008-0000-08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 xmlns:a16="http://schemas.microsoft.com/office/drawing/2014/main" id="{00000000-0008-0000-08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 xmlns:a16="http://schemas.microsoft.com/office/drawing/2014/main" id="{00000000-0008-0000-08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 xmlns:a16="http://schemas.microsoft.com/office/drawing/2014/main" id="{00000000-0008-0000-08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 xmlns:a16="http://schemas.microsoft.com/office/drawing/2014/main" id="{00000000-0008-0000-08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 xmlns:a16="http://schemas.microsoft.com/office/drawing/2014/main" id="{00000000-0008-0000-08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 xmlns:a16="http://schemas.microsoft.com/office/drawing/2014/main" id="{00000000-0008-0000-08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 xmlns:a16="http://schemas.microsoft.com/office/drawing/2014/main" id="{00000000-0008-0000-08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 xmlns:a16="http://schemas.microsoft.com/office/drawing/2014/main" id="{00000000-0008-0000-08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 xmlns:a16="http://schemas.microsoft.com/office/drawing/2014/main" id="{00000000-0008-0000-08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 xmlns:a16="http://schemas.microsoft.com/office/drawing/2014/main" id="{00000000-0008-0000-08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 xmlns:a16="http://schemas.microsoft.com/office/drawing/2014/main" id="{00000000-0008-0000-08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 xmlns:a16="http://schemas.microsoft.com/office/drawing/2014/main" id="{00000000-0008-0000-08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 xmlns:a16="http://schemas.microsoft.com/office/drawing/2014/main" id="{00000000-0008-0000-08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 xmlns:a16="http://schemas.microsoft.com/office/drawing/2014/main" id="{00000000-0008-0000-08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 xmlns:a16="http://schemas.microsoft.com/office/drawing/2014/main" id="{00000000-0008-0000-08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 xmlns:a16="http://schemas.microsoft.com/office/drawing/2014/main" id="{00000000-0008-0000-09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 xmlns:a16="http://schemas.microsoft.com/office/drawing/2014/main" id="{00000000-0008-0000-09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 xmlns:a16="http://schemas.microsoft.com/office/drawing/2014/main" id="{00000000-0008-0000-0B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 xmlns:a16="http://schemas.microsoft.com/office/drawing/2014/main" id="{00000000-0008-0000-0B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 xmlns:a16="http://schemas.microsoft.com/office/drawing/2014/main" id="{00000000-0008-0000-0B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 xmlns:a16="http://schemas.microsoft.com/office/drawing/2014/main" id="{00000000-0008-0000-0B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 xmlns:a16="http://schemas.microsoft.com/office/drawing/2014/main" id="{00000000-0008-0000-0B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 xmlns:a16="http://schemas.microsoft.com/office/drawing/2014/main" id="{00000000-0008-0000-0B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 xmlns:a16="http://schemas.microsoft.com/office/drawing/2014/main" id="{00000000-0008-0000-0B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 xmlns:a16="http://schemas.microsoft.com/office/drawing/2014/main" id="{00000000-0008-0000-0B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 xmlns:a16="http://schemas.microsoft.com/office/drawing/2014/main" id="{00000000-0008-0000-0B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 xmlns:a16="http://schemas.microsoft.com/office/drawing/2014/main" id="{00000000-0008-0000-0B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 xmlns:a16="http://schemas.microsoft.com/office/drawing/2014/main" id="{00000000-0008-0000-0B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 xmlns:a16="http://schemas.microsoft.com/office/drawing/2014/main" id="{00000000-0008-0000-0B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 xmlns:a16="http://schemas.microsoft.com/office/drawing/2014/main" id="{00000000-0008-0000-0B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 xmlns:a16="http://schemas.microsoft.com/office/drawing/2014/main" id="{00000000-0008-0000-0B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 xmlns:a16="http://schemas.microsoft.com/office/drawing/2014/main" id="{00000000-0008-0000-0B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 xmlns:a16="http://schemas.microsoft.com/office/drawing/2014/main" id="{00000000-0008-0000-0B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 xmlns:a16="http://schemas.microsoft.com/office/drawing/2014/main" id="{00000000-0008-0000-0B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hyperlink" Target="https://stocks.finance.yahoo.co.jp/stocks/detail/?code=3566" TargetMode="External"/><Relationship Id="rId55" Type="http://schemas.openxmlformats.org/officeDocument/2006/relationships/hyperlink" Target="https://stocks.finance.yahoo.co.jp/stocks/detail/?code=3990" TargetMode="External"/><Relationship Id="rId63" Type="http://schemas.openxmlformats.org/officeDocument/2006/relationships/hyperlink" Target="https://stocks.finance.yahoo.co.jp/stocks/detail/?code=3994" TargetMode="External"/><Relationship Id="rId68" Type="http://schemas.openxmlformats.org/officeDocument/2006/relationships/drawing" Target="../drawings/drawing1.xml"/><Relationship Id="rId7" Type="http://schemas.openxmlformats.org/officeDocument/2006/relationships/hyperlink" Target="https://stocks.finance.yahoo.co.jp/stocks/detail/?code=3979" TargetMode="External"/><Relationship Id="rId71" Type="http://schemas.openxmlformats.org/officeDocument/2006/relationships/image" Target="../media/image1.emf"/><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9" Type="http://schemas.openxmlformats.org/officeDocument/2006/relationships/hyperlink" Target="https://stocks.finance.yahoo.co.jp/stocks/detail/?code=3565" TargetMode="Externa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3" Type="http://schemas.openxmlformats.org/officeDocument/2006/relationships/hyperlink" Target="https://stocks.finance.yahoo.co.jp/stocks/detail/?code=3989" TargetMode="External"/><Relationship Id="rId58" Type="http://schemas.openxmlformats.org/officeDocument/2006/relationships/hyperlink" Target="https://stocks.finance.yahoo.co.jp/stocks/detail/?code=3992" TargetMode="External"/><Relationship Id="rId66" Type="http://schemas.openxmlformats.org/officeDocument/2006/relationships/hyperlink" Target="https://stocks.finance.yahoo.co.jp/stocks/detail/?code=4124" TargetMode="External"/><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hyperlink" Target="https://stocks.finance.yahoo.co.jp/stocks/detail/?code=6553" TargetMode="External"/><Relationship Id="rId57" Type="http://schemas.openxmlformats.org/officeDocument/2006/relationships/hyperlink" Target="https://stocks.finance.yahoo.co.jp/stocks/detail/?code=3991" TargetMode="External"/><Relationship Id="rId61" Type="http://schemas.openxmlformats.org/officeDocument/2006/relationships/hyperlink" Target="https://stocks.finance.yahoo.co.jp/stocks/detail/?code=3482" TargetMode="Externa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hyperlink" Target="https://stocks.finance.yahoo.co.jp/stocks/detail/?code=7810" TargetMode="External"/><Relationship Id="rId60" Type="http://schemas.openxmlformats.org/officeDocument/2006/relationships/hyperlink" Target="https://stocks.finance.yahoo.co.jp/stocks/detail/?code=7809" TargetMode="External"/><Relationship Id="rId65" Type="http://schemas.openxmlformats.org/officeDocument/2006/relationships/hyperlink" Target="https://stocks.finance.yahoo.co.jp/stocks/detail/?code=6555" TargetMode="Externa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56" Type="http://schemas.openxmlformats.org/officeDocument/2006/relationships/hyperlink" Target="https://stocks.finance.yahoo.co.jp/stocks/detail/?code=6554" TargetMode="External"/><Relationship Id="rId64" Type="http://schemas.openxmlformats.org/officeDocument/2006/relationships/hyperlink" Target="https://stocks.finance.yahoo.co.jp/stocks/detail/?code=6697" TargetMode="External"/><Relationship Id="rId69" Type="http://schemas.openxmlformats.org/officeDocument/2006/relationships/vmlDrawing" Target="../drawings/vmlDrawing1.vml"/><Relationship Id="rId8" Type="http://schemas.openxmlformats.org/officeDocument/2006/relationships/hyperlink" Target="https://stocks.finance.yahoo.co.jp/stocks/detail/?code=3560" TargetMode="External"/><Relationship Id="rId51" Type="http://schemas.openxmlformats.org/officeDocument/2006/relationships/hyperlink" Target="https://stocks.finance.yahoo.co.jp/stocks/detail/?code=3480" TargetMode="External"/><Relationship Id="rId3" Type="http://schemas.openxmlformats.org/officeDocument/2006/relationships/hyperlink" Target="https://stocks.finance.yahoo.co.jp/stocks/detail/?code=3557"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59" Type="http://schemas.openxmlformats.org/officeDocument/2006/relationships/hyperlink" Target="https://stocks.finance.yahoo.co.jp/stocks/detail/?code=3993" TargetMode="External"/><Relationship Id="rId67" Type="http://schemas.openxmlformats.org/officeDocument/2006/relationships/hyperlink" Target="https://stocks.finance.yahoo.co.jp/stocks/detail/?code=6556" TargetMode="External"/><Relationship Id="rId20" Type="http://schemas.openxmlformats.org/officeDocument/2006/relationships/hyperlink" Target="https://stocks.finance.yahoo.co.jp/stocks/detail/?code=3562" TargetMode="External"/><Relationship Id="rId41" Type="http://schemas.openxmlformats.org/officeDocument/2006/relationships/hyperlink" Target="https://stocks.finance.yahoo.co.jp/stocks/detail/?code=6550" TargetMode="External"/><Relationship Id="rId54" Type="http://schemas.openxmlformats.org/officeDocument/2006/relationships/hyperlink" Target="https://stocks.finance.yahoo.co.jp/stocks/detail/?code=6696" TargetMode="External"/><Relationship Id="rId62" Type="http://schemas.openxmlformats.org/officeDocument/2006/relationships/hyperlink" Target="https://stocks.finance.yahoo.co.jp/stocks/detail/?code=9260" TargetMode="External"/><Relationship Id="rId70"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Y105"/>
  <sheetViews>
    <sheetView tabSelected="1" zoomScale="80" zoomScaleNormal="80" workbookViewId="0">
      <pane ySplit="2" topLeftCell="A3" activePane="bottomLeft" state="frozen"/>
      <selection activeCell="U183" sqref="U183"/>
      <selection pane="bottomLeft" activeCell="B101" sqref="B101"/>
    </sheetView>
  </sheetViews>
  <sheetFormatPr defaultColWidth="8" defaultRowHeight="15.75" x14ac:dyDescent="0.25"/>
  <cols>
    <col min="1" max="1" width="3.5546875" style="12" customWidth="1"/>
    <col min="2" max="2" width="22" style="12" customWidth="1"/>
    <col min="3" max="3" width="12.77734375" style="12" bestFit="1" customWidth="1"/>
    <col min="4" max="4" width="12.109375" style="12" customWidth="1"/>
    <col min="5" max="5" width="12.77734375" style="12" bestFit="1" customWidth="1"/>
    <col min="6" max="6" width="12.77734375" style="12" customWidth="1"/>
    <col min="7" max="7" width="8.21875" style="15" bestFit="1" customWidth="1"/>
    <col min="8" max="8" width="4.88671875" style="12" bestFit="1" customWidth="1"/>
    <col min="9" max="13" width="15.21875" style="12" customWidth="1"/>
    <col min="14" max="14" width="15.77734375" style="12" bestFit="1" customWidth="1"/>
    <col min="15" max="15" width="12.77734375" style="17" bestFit="1" customWidth="1"/>
    <col min="16" max="16" width="8.77734375" style="18" bestFit="1" customWidth="1"/>
    <col min="17" max="17" width="9.77734375" style="12" bestFit="1" customWidth="1"/>
    <col min="18" max="18" width="25.77734375" style="12" bestFit="1" customWidth="1"/>
    <col min="19" max="19" width="8" style="12" customWidth="1"/>
    <col min="20" max="20" width="13.33203125" style="12" customWidth="1"/>
    <col min="21" max="21" width="28" style="12" bestFit="1" customWidth="1"/>
    <col min="22" max="22" width="5.5546875" style="12" customWidth="1"/>
    <col min="23" max="24" width="8" style="12"/>
    <col min="25" max="25" width="8.21875" style="21" bestFit="1" customWidth="1"/>
    <col min="26" max="16384" width="8" style="12"/>
  </cols>
  <sheetData>
    <row r="1" spans="1:24" ht="19.5" thickBot="1" x14ac:dyDescent="0.3">
      <c r="A1" s="452" t="s">
        <v>14</v>
      </c>
      <c r="B1" s="452"/>
      <c r="D1" s="13" t="s">
        <v>15</v>
      </c>
      <c r="E1" s="14" t="s">
        <v>16</v>
      </c>
      <c r="H1" s="396"/>
      <c r="I1" s="396"/>
      <c r="J1" s="396"/>
      <c r="K1" s="396"/>
      <c r="L1" s="396"/>
      <c r="M1" s="396"/>
      <c r="N1" s="16" t="s">
        <v>467</v>
      </c>
      <c r="Q1" s="19"/>
      <c r="R1" s="20"/>
    </row>
    <row r="2" spans="1:24" ht="16.5" thickBot="1" x14ac:dyDescent="0.3">
      <c r="B2" s="306" t="s">
        <v>17</v>
      </c>
      <c r="C2" s="306" t="s">
        <v>18</v>
      </c>
      <c r="D2" s="306" t="s">
        <v>19</v>
      </c>
      <c r="E2" s="306" t="s">
        <v>20</v>
      </c>
      <c r="F2" s="306" t="s">
        <v>21</v>
      </c>
      <c r="G2" s="308" t="s">
        <v>22</v>
      </c>
      <c r="H2" s="313" t="s">
        <v>23</v>
      </c>
      <c r="I2" s="24" t="s">
        <v>24</v>
      </c>
      <c r="J2" s="24" t="s">
        <v>25</v>
      </c>
      <c r="K2" s="24" t="s">
        <v>26</v>
      </c>
      <c r="L2" s="24" t="s">
        <v>27</v>
      </c>
      <c r="M2" s="347" t="s">
        <v>464</v>
      </c>
      <c r="N2" s="306" t="s">
        <v>28</v>
      </c>
      <c r="O2" s="309" t="s">
        <v>29</v>
      </c>
      <c r="P2" s="307" t="s">
        <v>30</v>
      </c>
      <c r="Q2" s="306" t="s">
        <v>31</v>
      </c>
      <c r="R2" s="306" t="s">
        <v>32</v>
      </c>
      <c r="T2" s="26" t="s">
        <v>21</v>
      </c>
      <c r="U2" s="26" t="s">
        <v>28</v>
      </c>
      <c r="V2" s="26" t="s">
        <v>33</v>
      </c>
      <c r="W2" s="26" t="s">
        <v>23</v>
      </c>
      <c r="X2" s="26" t="s">
        <v>34</v>
      </c>
    </row>
    <row r="3" spans="1:24" ht="16.5" thickTop="1" x14ac:dyDescent="0.25">
      <c r="A3" s="12">
        <f>ROW()-2</f>
        <v>1</v>
      </c>
      <c r="B3" s="256" t="s">
        <v>35</v>
      </c>
      <c r="C3" s="257" t="s">
        <v>36</v>
      </c>
      <c r="D3" s="257" t="s">
        <v>36</v>
      </c>
      <c r="E3" s="257">
        <v>42774</v>
      </c>
      <c r="F3" s="256" t="s">
        <v>37</v>
      </c>
      <c r="G3" s="258">
        <v>1600</v>
      </c>
      <c r="H3" s="259"/>
      <c r="I3" s="256" t="s">
        <v>38</v>
      </c>
      <c r="J3" s="256" t="s">
        <v>36</v>
      </c>
      <c r="K3" s="256" t="s">
        <v>36</v>
      </c>
      <c r="L3" s="256" t="s">
        <v>36</v>
      </c>
      <c r="M3" s="256" t="s">
        <v>36</v>
      </c>
      <c r="N3" s="260" t="s">
        <v>39</v>
      </c>
      <c r="O3" s="257">
        <v>42782</v>
      </c>
      <c r="P3" s="261">
        <v>3000</v>
      </c>
      <c r="Q3" s="259" t="str">
        <f>CONCATENATE((IF(ISBLANK(P3),0,P3)-IF(ISBLANK(G3),0,G3))/IF(ISBLANK(G3),0,G3)*100,"%")</f>
        <v>87.5%</v>
      </c>
      <c r="R3" s="256" t="s">
        <v>40</v>
      </c>
      <c r="T3" s="27" t="s">
        <v>41</v>
      </c>
      <c r="U3" s="28" t="s">
        <v>39</v>
      </c>
      <c r="V3" s="29">
        <f t="shared" ref="V3:V11" si="0">COUNTIF(N:N,U3)</f>
        <v>15</v>
      </c>
      <c r="W3" s="29" t="s">
        <v>42</v>
      </c>
      <c r="X3" s="29" t="s">
        <v>43</v>
      </c>
    </row>
    <row r="4" spans="1:24" x14ac:dyDescent="0.25">
      <c r="A4" s="12">
        <f t="shared" ref="A4:A67" si="1">ROW()-2</f>
        <v>2</v>
      </c>
      <c r="B4" s="262" t="s">
        <v>44</v>
      </c>
      <c r="C4" s="263" t="s">
        <v>36</v>
      </c>
      <c r="D4" s="263" t="s">
        <v>36</v>
      </c>
      <c r="E4" s="263">
        <v>42781</v>
      </c>
      <c r="F4" s="262" t="s">
        <v>45</v>
      </c>
      <c r="G4" s="264">
        <v>750</v>
      </c>
      <c r="H4" s="262" t="s">
        <v>46</v>
      </c>
      <c r="I4" s="262" t="s">
        <v>38</v>
      </c>
      <c r="J4" s="262" t="s">
        <v>38</v>
      </c>
      <c r="K4" s="262" t="s">
        <v>38</v>
      </c>
      <c r="L4" s="262" t="s">
        <v>36</v>
      </c>
      <c r="M4" s="262" t="s">
        <v>36</v>
      </c>
      <c r="N4" s="265" t="s">
        <v>39</v>
      </c>
      <c r="O4" s="263">
        <v>42789</v>
      </c>
      <c r="P4" s="266">
        <v>1125</v>
      </c>
      <c r="Q4" s="262" t="str">
        <f>CONCATENATE((IF(ISBLANK(P4),0,P4)-IF(ISBLANK(G4),0,G4))/IF(ISBLANK(G4),0,G4)*100,"%")</f>
        <v>50%</v>
      </c>
      <c r="R4" s="262"/>
      <c r="T4" s="30" t="s">
        <v>47</v>
      </c>
      <c r="U4" s="31" t="s">
        <v>48</v>
      </c>
      <c r="V4" s="29">
        <f t="shared" si="0"/>
        <v>11</v>
      </c>
      <c r="W4" s="31" t="s">
        <v>49</v>
      </c>
      <c r="X4" s="31" t="s">
        <v>50</v>
      </c>
    </row>
    <row r="5" spans="1:24" x14ac:dyDescent="0.25">
      <c r="A5" s="12">
        <f t="shared" si="1"/>
        <v>3</v>
      </c>
      <c r="B5" s="262" t="s">
        <v>51</v>
      </c>
      <c r="C5" s="263" t="s">
        <v>36</v>
      </c>
      <c r="D5" s="263" t="s">
        <v>36</v>
      </c>
      <c r="E5" s="263">
        <v>42781</v>
      </c>
      <c r="F5" s="262" t="s">
        <v>45</v>
      </c>
      <c r="G5" s="264">
        <v>1620</v>
      </c>
      <c r="H5" s="262" t="s">
        <v>52</v>
      </c>
      <c r="I5" s="262" t="s">
        <v>38</v>
      </c>
      <c r="J5" s="262" t="s">
        <v>38</v>
      </c>
      <c r="K5" s="262" t="s">
        <v>38</v>
      </c>
      <c r="L5" s="262" t="s">
        <v>36</v>
      </c>
      <c r="M5" s="262" t="s">
        <v>36</v>
      </c>
      <c r="N5" s="265" t="s">
        <v>53</v>
      </c>
      <c r="O5" s="263">
        <v>42789</v>
      </c>
      <c r="P5" s="266">
        <v>4500</v>
      </c>
      <c r="Q5" s="262" t="str">
        <f t="shared" ref="Q5:Q31" si="2">CONCATENATE(ROUND((IF(ISBLANK(P5),0,P5)-IF(ISBLANK(G5),0,G5))/IF(ISBLANK(G5),0,G5)*100,2),"%")</f>
        <v>177.78%</v>
      </c>
      <c r="R5" s="262"/>
      <c r="T5" s="30" t="s">
        <v>54</v>
      </c>
      <c r="U5" s="31" t="s">
        <v>55</v>
      </c>
      <c r="V5" s="29">
        <f t="shared" si="0"/>
        <v>8</v>
      </c>
      <c r="W5" s="31" t="s">
        <v>56</v>
      </c>
      <c r="X5" s="31" t="s">
        <v>57</v>
      </c>
    </row>
    <row r="6" spans="1:24" x14ac:dyDescent="0.25">
      <c r="A6" s="12">
        <f t="shared" si="1"/>
        <v>4</v>
      </c>
      <c r="B6" s="262" t="s">
        <v>58</v>
      </c>
      <c r="C6" s="263">
        <v>42783</v>
      </c>
      <c r="D6" s="263">
        <v>42789</v>
      </c>
      <c r="E6" s="263">
        <v>42790</v>
      </c>
      <c r="F6" s="262" t="s">
        <v>45</v>
      </c>
      <c r="G6" s="264">
        <v>1850</v>
      </c>
      <c r="H6" s="262" t="s">
        <v>59</v>
      </c>
      <c r="I6" s="262" t="s">
        <v>38</v>
      </c>
      <c r="J6" s="262" t="s">
        <v>38</v>
      </c>
      <c r="K6" s="262" t="s">
        <v>38</v>
      </c>
      <c r="L6" s="262" t="s">
        <v>60</v>
      </c>
      <c r="M6" s="262" t="s">
        <v>36</v>
      </c>
      <c r="N6" s="262" t="s">
        <v>61</v>
      </c>
      <c r="O6" s="263">
        <v>42801</v>
      </c>
      <c r="P6" s="266">
        <v>2625</v>
      </c>
      <c r="Q6" s="262" t="str">
        <f t="shared" si="2"/>
        <v>41.89%</v>
      </c>
      <c r="R6" s="262"/>
      <c r="T6" s="30" t="s">
        <v>37</v>
      </c>
      <c r="U6" s="31" t="s">
        <v>62</v>
      </c>
      <c r="V6" s="29">
        <f t="shared" si="0"/>
        <v>2</v>
      </c>
      <c r="W6" s="31" t="s">
        <v>63</v>
      </c>
      <c r="X6" s="32" t="s">
        <v>64</v>
      </c>
    </row>
    <row r="7" spans="1:24" x14ac:dyDescent="0.25">
      <c r="A7" s="12">
        <f t="shared" si="1"/>
        <v>5</v>
      </c>
      <c r="B7" s="262" t="s">
        <v>65</v>
      </c>
      <c r="C7" s="263">
        <v>42787</v>
      </c>
      <c r="D7" s="263">
        <v>42793</v>
      </c>
      <c r="E7" s="263">
        <v>42794</v>
      </c>
      <c r="F7" s="262" t="s">
        <v>45</v>
      </c>
      <c r="G7" s="264">
        <v>1650</v>
      </c>
      <c r="H7" s="262" t="s">
        <v>46</v>
      </c>
      <c r="I7" s="262" t="s">
        <v>38</v>
      </c>
      <c r="J7" s="262" t="s">
        <v>38</v>
      </c>
      <c r="K7" s="262" t="s">
        <v>36</v>
      </c>
      <c r="L7" s="262" t="s">
        <v>36</v>
      </c>
      <c r="M7" s="262" t="s">
        <v>36</v>
      </c>
      <c r="N7" s="265" t="s">
        <v>55</v>
      </c>
      <c r="O7" s="263">
        <v>42803</v>
      </c>
      <c r="P7" s="266">
        <v>3530</v>
      </c>
      <c r="Q7" s="262" t="str">
        <f t="shared" si="2"/>
        <v>113.94%</v>
      </c>
      <c r="R7" s="262" t="s">
        <v>66</v>
      </c>
      <c r="T7" s="31" t="s">
        <v>67</v>
      </c>
      <c r="U7" s="31" t="s">
        <v>68</v>
      </c>
      <c r="V7" s="29">
        <f t="shared" si="0"/>
        <v>3</v>
      </c>
      <c r="W7" s="31" t="s">
        <v>69</v>
      </c>
    </row>
    <row r="8" spans="1:24" x14ac:dyDescent="0.25">
      <c r="A8" s="12">
        <f t="shared" si="1"/>
        <v>6</v>
      </c>
      <c r="B8" s="262" t="s">
        <v>70</v>
      </c>
      <c r="C8" s="263">
        <v>42794</v>
      </c>
      <c r="D8" s="263">
        <v>42800</v>
      </c>
      <c r="E8" s="263">
        <v>42801</v>
      </c>
      <c r="F8" s="262" t="s">
        <v>45</v>
      </c>
      <c r="G8" s="264">
        <v>1250</v>
      </c>
      <c r="H8" s="262" t="s">
        <v>71</v>
      </c>
      <c r="I8" s="262" t="s">
        <v>36</v>
      </c>
      <c r="J8" s="262" t="s">
        <v>38</v>
      </c>
      <c r="K8" s="262" t="s">
        <v>38</v>
      </c>
      <c r="L8" s="262" t="s">
        <v>38</v>
      </c>
      <c r="M8" s="262" t="s">
        <v>36</v>
      </c>
      <c r="N8" s="265" t="s">
        <v>39</v>
      </c>
      <c r="O8" s="263">
        <v>42809</v>
      </c>
      <c r="P8" s="266">
        <v>4010</v>
      </c>
      <c r="Q8" s="262" t="str">
        <f t="shared" si="2"/>
        <v>220.8%</v>
      </c>
      <c r="R8" s="262"/>
      <c r="T8" s="31" t="s">
        <v>712</v>
      </c>
      <c r="U8" s="31" t="s">
        <v>73</v>
      </c>
      <c r="V8" s="29">
        <f t="shared" si="0"/>
        <v>14</v>
      </c>
      <c r="W8" s="32" t="s">
        <v>74</v>
      </c>
    </row>
    <row r="9" spans="1:24" x14ac:dyDescent="0.25">
      <c r="A9" s="12">
        <f t="shared" si="1"/>
        <v>7</v>
      </c>
      <c r="B9" s="262" t="s">
        <v>75</v>
      </c>
      <c r="C9" s="263">
        <v>42794</v>
      </c>
      <c r="D9" s="263">
        <v>42800</v>
      </c>
      <c r="E9" s="263">
        <v>42801</v>
      </c>
      <c r="F9" s="262" t="s">
        <v>45</v>
      </c>
      <c r="G9" s="264">
        <v>3000</v>
      </c>
      <c r="H9" s="262" t="s">
        <v>59</v>
      </c>
      <c r="I9" s="262" t="s">
        <v>38</v>
      </c>
      <c r="J9" s="262" t="s">
        <v>38</v>
      </c>
      <c r="K9" s="262" t="s">
        <v>38</v>
      </c>
      <c r="L9" s="262" t="s">
        <v>36</v>
      </c>
      <c r="M9" s="262" t="s">
        <v>36</v>
      </c>
      <c r="N9" s="262" t="s">
        <v>61</v>
      </c>
      <c r="O9" s="263">
        <v>42810</v>
      </c>
      <c r="P9" s="266">
        <v>3330</v>
      </c>
      <c r="Q9" s="262" t="str">
        <f t="shared" si="2"/>
        <v>11%</v>
      </c>
      <c r="R9" s="262"/>
      <c r="T9" s="31" t="s">
        <v>681</v>
      </c>
      <c r="U9" s="31" t="s">
        <v>61</v>
      </c>
      <c r="V9" s="31">
        <f t="shared" si="0"/>
        <v>27</v>
      </c>
    </row>
    <row r="10" spans="1:24" x14ac:dyDescent="0.25">
      <c r="A10" s="12">
        <f t="shared" si="1"/>
        <v>8</v>
      </c>
      <c r="B10" s="262" t="s">
        <v>76</v>
      </c>
      <c r="C10" s="263">
        <v>42794</v>
      </c>
      <c r="D10" s="263">
        <v>42800</v>
      </c>
      <c r="E10" s="263">
        <v>42801</v>
      </c>
      <c r="F10" s="262" t="s">
        <v>37</v>
      </c>
      <c r="G10" s="264">
        <v>2350</v>
      </c>
      <c r="H10" s="262" t="s">
        <v>71</v>
      </c>
      <c r="I10" s="262" t="s">
        <v>38</v>
      </c>
      <c r="J10" s="262" t="s">
        <v>38</v>
      </c>
      <c r="K10" s="262" t="s">
        <v>36</v>
      </c>
      <c r="L10" s="262" t="s">
        <v>38</v>
      </c>
      <c r="M10" s="262" t="s">
        <v>36</v>
      </c>
      <c r="N10" s="262" t="s">
        <v>73</v>
      </c>
      <c r="O10" s="263">
        <v>42810</v>
      </c>
      <c r="P10" s="266">
        <v>5360</v>
      </c>
      <c r="Q10" s="262" t="str">
        <f t="shared" si="2"/>
        <v>128.09%</v>
      </c>
      <c r="R10" s="262"/>
      <c r="T10" s="32" t="s">
        <v>72</v>
      </c>
      <c r="U10" s="44" t="s">
        <v>493</v>
      </c>
      <c r="V10" s="44">
        <f t="shared" si="0"/>
        <v>4</v>
      </c>
    </row>
    <row r="11" spans="1:24" x14ac:dyDescent="0.25">
      <c r="A11" s="12">
        <f t="shared" si="1"/>
        <v>9</v>
      </c>
      <c r="B11" s="262" t="s">
        <v>78</v>
      </c>
      <c r="C11" s="263">
        <v>42795</v>
      </c>
      <c r="D11" s="263">
        <v>42801</v>
      </c>
      <c r="E11" s="263">
        <v>42802</v>
      </c>
      <c r="F11" s="262" t="s">
        <v>45</v>
      </c>
      <c r="G11" s="264">
        <v>550</v>
      </c>
      <c r="H11" s="262" t="s">
        <v>46</v>
      </c>
      <c r="I11" s="262" t="s">
        <v>36</v>
      </c>
      <c r="J11" s="262" t="s">
        <v>38</v>
      </c>
      <c r="K11" s="262" t="s">
        <v>36</v>
      </c>
      <c r="L11" s="262" t="s">
        <v>38</v>
      </c>
      <c r="M11" s="262" t="s">
        <v>36</v>
      </c>
      <c r="N11" s="262" t="s">
        <v>61</v>
      </c>
      <c r="O11" s="263">
        <v>42811</v>
      </c>
      <c r="P11" s="266">
        <v>890</v>
      </c>
      <c r="Q11" s="262" t="str">
        <f t="shared" si="2"/>
        <v>61.82%</v>
      </c>
      <c r="R11" s="262"/>
      <c r="U11" s="32" t="s">
        <v>77</v>
      </c>
      <c r="V11" s="32">
        <f t="shared" si="0"/>
        <v>4</v>
      </c>
    </row>
    <row r="12" spans="1:24" x14ac:dyDescent="0.25">
      <c r="A12" s="12">
        <f t="shared" si="1"/>
        <v>10</v>
      </c>
      <c r="B12" s="262" t="s">
        <v>79</v>
      </c>
      <c r="C12" s="263">
        <v>42796</v>
      </c>
      <c r="D12" s="263">
        <v>42802</v>
      </c>
      <c r="E12" s="263">
        <v>42803</v>
      </c>
      <c r="F12" s="262" t="s">
        <v>45</v>
      </c>
      <c r="G12" s="264">
        <v>1880</v>
      </c>
      <c r="H12" s="262" t="s">
        <v>59</v>
      </c>
      <c r="I12" s="262" t="s">
        <v>38</v>
      </c>
      <c r="J12" s="262" t="s">
        <v>38</v>
      </c>
      <c r="K12" s="262" t="s">
        <v>36</v>
      </c>
      <c r="L12" s="262" t="s">
        <v>38</v>
      </c>
      <c r="M12" s="262" t="s">
        <v>36</v>
      </c>
      <c r="N12" s="265" t="s">
        <v>53</v>
      </c>
      <c r="O12" s="263">
        <v>42811</v>
      </c>
      <c r="P12" s="266">
        <v>1881</v>
      </c>
      <c r="Q12" s="262" t="str">
        <f t="shared" si="2"/>
        <v>0.05%</v>
      </c>
      <c r="R12" s="262"/>
    </row>
    <row r="13" spans="1:24" x14ac:dyDescent="0.25">
      <c r="A13" s="12">
        <f t="shared" si="1"/>
        <v>11</v>
      </c>
      <c r="B13" s="262" t="s">
        <v>80</v>
      </c>
      <c r="C13" s="263">
        <v>42796</v>
      </c>
      <c r="D13" s="263">
        <v>42802</v>
      </c>
      <c r="E13" s="263">
        <v>42803</v>
      </c>
      <c r="F13" s="262" t="s">
        <v>45</v>
      </c>
      <c r="G13" s="264">
        <v>600</v>
      </c>
      <c r="H13" s="262" t="s">
        <v>71</v>
      </c>
      <c r="I13" s="262" t="s">
        <v>38</v>
      </c>
      <c r="J13" s="262" t="s">
        <v>38</v>
      </c>
      <c r="K13" s="262" t="s">
        <v>36</v>
      </c>
      <c r="L13" s="262" t="s">
        <v>36</v>
      </c>
      <c r="M13" s="262" t="s">
        <v>36</v>
      </c>
      <c r="N13" s="262" t="s">
        <v>61</v>
      </c>
      <c r="O13" s="263">
        <v>42815</v>
      </c>
      <c r="P13" s="266">
        <v>2230</v>
      </c>
      <c r="Q13" s="262" t="str">
        <f t="shared" si="2"/>
        <v>271.67%</v>
      </c>
      <c r="R13" s="262"/>
    </row>
    <row r="14" spans="1:24" x14ac:dyDescent="0.25">
      <c r="A14" s="12">
        <f t="shared" si="1"/>
        <v>12</v>
      </c>
      <c r="B14" s="262" t="s">
        <v>82</v>
      </c>
      <c r="C14" s="263">
        <v>42796</v>
      </c>
      <c r="D14" s="263">
        <v>42802</v>
      </c>
      <c r="E14" s="263">
        <v>42803</v>
      </c>
      <c r="F14" s="262" t="s">
        <v>45</v>
      </c>
      <c r="G14" s="264">
        <v>1320</v>
      </c>
      <c r="H14" s="262" t="s">
        <v>71</v>
      </c>
      <c r="I14" s="262" t="s">
        <v>38</v>
      </c>
      <c r="J14" s="262" t="s">
        <v>38</v>
      </c>
      <c r="K14" s="262" t="s">
        <v>38</v>
      </c>
      <c r="L14" s="262" t="s">
        <v>38</v>
      </c>
      <c r="M14" s="262" t="s">
        <v>36</v>
      </c>
      <c r="N14" s="262" t="s">
        <v>73</v>
      </c>
      <c r="O14" s="263">
        <v>42815</v>
      </c>
      <c r="P14" s="266">
        <v>5040</v>
      </c>
      <c r="Q14" s="262" t="str">
        <f t="shared" si="2"/>
        <v>281.82%</v>
      </c>
      <c r="R14" s="262"/>
    </row>
    <row r="15" spans="1:24" x14ac:dyDescent="0.25">
      <c r="A15" s="12">
        <f t="shared" si="1"/>
        <v>13</v>
      </c>
      <c r="B15" s="262" t="s">
        <v>84</v>
      </c>
      <c r="C15" s="263">
        <v>42797</v>
      </c>
      <c r="D15" s="263">
        <v>42803</v>
      </c>
      <c r="E15" s="263">
        <v>42804</v>
      </c>
      <c r="F15" s="262" t="s">
        <v>47</v>
      </c>
      <c r="G15" s="264">
        <v>600</v>
      </c>
      <c r="H15" s="262" t="s">
        <v>59</v>
      </c>
      <c r="I15" s="262" t="s">
        <v>36</v>
      </c>
      <c r="J15" s="262" t="s">
        <v>38</v>
      </c>
      <c r="K15" s="262" t="s">
        <v>36</v>
      </c>
      <c r="L15" s="262" t="s">
        <v>38</v>
      </c>
      <c r="M15" s="262" t="s">
        <v>36</v>
      </c>
      <c r="N15" s="262" t="s">
        <v>61</v>
      </c>
      <c r="O15" s="263">
        <v>42816</v>
      </c>
      <c r="P15" s="266">
        <v>1230</v>
      </c>
      <c r="Q15" s="262" t="str">
        <f t="shared" si="2"/>
        <v>105%</v>
      </c>
      <c r="R15" s="262"/>
      <c r="T15" s="12" t="s">
        <v>81</v>
      </c>
    </row>
    <row r="16" spans="1:24" x14ac:dyDescent="0.25">
      <c r="A16" s="12">
        <f t="shared" si="1"/>
        <v>14</v>
      </c>
      <c r="B16" s="34" t="s">
        <v>86</v>
      </c>
      <c r="C16" s="35">
        <v>42800</v>
      </c>
      <c r="D16" s="35">
        <v>42804</v>
      </c>
      <c r="E16" s="35">
        <v>42807</v>
      </c>
      <c r="F16" s="34" t="s">
        <v>41</v>
      </c>
      <c r="G16" s="36">
        <v>1950</v>
      </c>
      <c r="H16" s="34" t="s">
        <v>59</v>
      </c>
      <c r="I16" s="34" t="s">
        <v>36</v>
      </c>
      <c r="J16" s="34" t="s">
        <v>38</v>
      </c>
      <c r="K16" s="37" t="s">
        <v>720</v>
      </c>
      <c r="L16" s="34" t="s">
        <v>38</v>
      </c>
      <c r="M16" s="34" t="s">
        <v>36</v>
      </c>
      <c r="N16" s="34" t="s">
        <v>87</v>
      </c>
      <c r="O16" s="35">
        <v>42816</v>
      </c>
      <c r="P16" s="38">
        <v>1867</v>
      </c>
      <c r="Q16" s="37" t="str">
        <f t="shared" si="2"/>
        <v>-4.26%</v>
      </c>
      <c r="R16" s="34" t="s">
        <v>88</v>
      </c>
      <c r="T16" s="12" t="s">
        <v>83</v>
      </c>
    </row>
    <row r="17" spans="1:20" x14ac:dyDescent="0.25">
      <c r="A17" s="12">
        <f t="shared" si="1"/>
        <v>15</v>
      </c>
      <c r="B17" s="34" t="s">
        <v>89</v>
      </c>
      <c r="C17" s="35">
        <v>42800</v>
      </c>
      <c r="D17" s="35">
        <v>42804</v>
      </c>
      <c r="E17" s="35">
        <v>42807</v>
      </c>
      <c r="F17" s="34" t="s">
        <v>47</v>
      </c>
      <c r="G17" s="39">
        <v>1400</v>
      </c>
      <c r="H17" s="34" t="s">
        <v>59</v>
      </c>
      <c r="I17" s="34" t="s">
        <v>90</v>
      </c>
      <c r="J17" s="34" t="s">
        <v>38</v>
      </c>
      <c r="K17" s="37" t="s">
        <v>719</v>
      </c>
      <c r="L17" s="34" t="s">
        <v>38</v>
      </c>
      <c r="M17" s="34" t="s">
        <v>36</v>
      </c>
      <c r="N17" s="34" t="s">
        <v>61</v>
      </c>
      <c r="O17" s="35">
        <v>42817</v>
      </c>
      <c r="P17" s="38">
        <v>1521</v>
      </c>
      <c r="Q17" s="34" t="str">
        <f t="shared" si="2"/>
        <v>8.64%</v>
      </c>
      <c r="R17" s="34" t="s">
        <v>91</v>
      </c>
      <c r="T17" s="33" t="s">
        <v>85</v>
      </c>
    </row>
    <row r="18" spans="1:20" x14ac:dyDescent="0.25">
      <c r="A18" s="12">
        <f t="shared" si="1"/>
        <v>16</v>
      </c>
      <c r="B18" s="262" t="s">
        <v>93</v>
      </c>
      <c r="C18" s="263">
        <v>42801</v>
      </c>
      <c r="D18" s="263">
        <v>42807</v>
      </c>
      <c r="E18" s="263">
        <v>42808</v>
      </c>
      <c r="F18" s="262" t="s">
        <v>45</v>
      </c>
      <c r="G18" s="264">
        <v>2070</v>
      </c>
      <c r="H18" s="262" t="s">
        <v>46</v>
      </c>
      <c r="I18" s="262" t="s">
        <v>38</v>
      </c>
      <c r="J18" s="262" t="s">
        <v>36</v>
      </c>
      <c r="K18" s="262" t="s">
        <v>36</v>
      </c>
      <c r="L18" s="262" t="s">
        <v>38</v>
      </c>
      <c r="M18" s="262" t="s">
        <v>36</v>
      </c>
      <c r="N18" s="262" t="s">
        <v>61</v>
      </c>
      <c r="O18" s="263">
        <v>42818</v>
      </c>
      <c r="P18" s="266">
        <v>4750</v>
      </c>
      <c r="Q18" s="262" t="str">
        <f t="shared" si="2"/>
        <v>129.47%</v>
      </c>
      <c r="R18" s="262"/>
    </row>
    <row r="19" spans="1:20" x14ac:dyDescent="0.25">
      <c r="A19" s="12">
        <f t="shared" si="1"/>
        <v>17</v>
      </c>
      <c r="B19" s="262" t="s">
        <v>94</v>
      </c>
      <c r="C19" s="263">
        <v>42801</v>
      </c>
      <c r="D19" s="263">
        <v>42807</v>
      </c>
      <c r="E19" s="263">
        <v>42808</v>
      </c>
      <c r="F19" s="262" t="s">
        <v>45</v>
      </c>
      <c r="G19" s="264">
        <v>185</v>
      </c>
      <c r="H19" s="262" t="s">
        <v>59</v>
      </c>
      <c r="I19" s="262" t="s">
        <v>38</v>
      </c>
      <c r="J19" s="262" t="s">
        <v>38</v>
      </c>
      <c r="K19" s="262" t="s">
        <v>36</v>
      </c>
      <c r="L19" s="262" t="s">
        <v>38</v>
      </c>
      <c r="M19" s="262" t="s">
        <v>36</v>
      </c>
      <c r="N19" s="262" t="s">
        <v>73</v>
      </c>
      <c r="O19" s="263">
        <v>42818</v>
      </c>
      <c r="P19" s="266">
        <v>234</v>
      </c>
      <c r="Q19" s="262" t="str">
        <f t="shared" si="2"/>
        <v>26.49%</v>
      </c>
      <c r="R19" s="262"/>
      <c r="T19" s="14" t="s">
        <v>92</v>
      </c>
    </row>
    <row r="20" spans="1:20" x14ac:dyDescent="0.25">
      <c r="A20" s="12">
        <f t="shared" si="1"/>
        <v>18</v>
      </c>
      <c r="B20" s="262" t="s">
        <v>95</v>
      </c>
      <c r="C20" s="263">
        <v>42802</v>
      </c>
      <c r="D20" s="263">
        <v>42808</v>
      </c>
      <c r="E20" s="263">
        <v>42809</v>
      </c>
      <c r="F20" s="262" t="s">
        <v>45</v>
      </c>
      <c r="G20" s="264">
        <v>6060</v>
      </c>
      <c r="H20" s="262" t="s">
        <v>59</v>
      </c>
      <c r="I20" s="262" t="s">
        <v>36</v>
      </c>
      <c r="J20" s="262" t="s">
        <v>38</v>
      </c>
      <c r="K20" s="262" t="s">
        <v>38</v>
      </c>
      <c r="L20" s="262" t="s">
        <v>36</v>
      </c>
      <c r="M20" s="262" t="s">
        <v>36</v>
      </c>
      <c r="N20" s="262" t="s">
        <v>61</v>
      </c>
      <c r="O20" s="263">
        <v>42821</v>
      </c>
      <c r="P20" s="266">
        <v>10560</v>
      </c>
      <c r="Q20" s="262" t="str">
        <f t="shared" si="2"/>
        <v>74.26%</v>
      </c>
      <c r="R20" s="262"/>
      <c r="T20" s="343" t="s">
        <v>541</v>
      </c>
    </row>
    <row r="21" spans="1:20" x14ac:dyDescent="0.25">
      <c r="A21" s="12">
        <f t="shared" si="1"/>
        <v>19</v>
      </c>
      <c r="B21" s="262" t="s">
        <v>97</v>
      </c>
      <c r="C21" s="263">
        <v>42803</v>
      </c>
      <c r="D21" s="263">
        <v>42809</v>
      </c>
      <c r="E21" s="263">
        <v>42810</v>
      </c>
      <c r="F21" s="262" t="s">
        <v>37</v>
      </c>
      <c r="G21" s="264">
        <v>1520</v>
      </c>
      <c r="H21" s="262" t="s">
        <v>59</v>
      </c>
      <c r="I21" s="262" t="s">
        <v>36</v>
      </c>
      <c r="J21" s="262" t="s">
        <v>38</v>
      </c>
      <c r="K21" s="262" t="s">
        <v>36</v>
      </c>
      <c r="L21" s="262" t="s">
        <v>38</v>
      </c>
      <c r="M21" s="262" t="s">
        <v>36</v>
      </c>
      <c r="N21" s="262" t="s">
        <v>61</v>
      </c>
      <c r="O21" s="263">
        <v>42822</v>
      </c>
      <c r="P21" s="266">
        <v>2278</v>
      </c>
      <c r="Q21" s="262" t="str">
        <f t="shared" si="2"/>
        <v>49.87%</v>
      </c>
      <c r="R21" s="262"/>
    </row>
    <row r="22" spans="1:20" x14ac:dyDescent="0.25">
      <c r="A22" s="12">
        <f t="shared" si="1"/>
        <v>20</v>
      </c>
      <c r="B22" s="262" t="s">
        <v>98</v>
      </c>
      <c r="C22" s="263">
        <v>42803</v>
      </c>
      <c r="D22" s="263">
        <v>42809</v>
      </c>
      <c r="E22" s="263">
        <v>42810</v>
      </c>
      <c r="F22" s="262" t="s">
        <v>37</v>
      </c>
      <c r="G22" s="264">
        <v>1570</v>
      </c>
      <c r="H22" s="262" t="s">
        <v>71</v>
      </c>
      <c r="I22" s="262" t="s">
        <v>36</v>
      </c>
      <c r="J22" s="262" t="s">
        <v>38</v>
      </c>
      <c r="K22" s="262" t="s">
        <v>36</v>
      </c>
      <c r="L22" s="262" t="s">
        <v>38</v>
      </c>
      <c r="M22" s="262" t="s">
        <v>36</v>
      </c>
      <c r="N22" s="265" t="s">
        <v>55</v>
      </c>
      <c r="O22" s="263">
        <v>42822</v>
      </c>
      <c r="P22" s="266">
        <v>3460</v>
      </c>
      <c r="Q22" s="262" t="str">
        <f t="shared" si="2"/>
        <v>120.38%</v>
      </c>
      <c r="R22" s="262"/>
      <c r="T22" s="12" t="s">
        <v>96</v>
      </c>
    </row>
    <row r="23" spans="1:20" x14ac:dyDescent="0.25">
      <c r="A23" s="12">
        <f t="shared" si="1"/>
        <v>21</v>
      </c>
      <c r="B23" s="267" t="s">
        <v>99</v>
      </c>
      <c r="C23" s="268">
        <v>42804</v>
      </c>
      <c r="D23" s="268">
        <v>42810</v>
      </c>
      <c r="E23" s="263">
        <v>42811</v>
      </c>
      <c r="F23" s="262" t="s">
        <v>41</v>
      </c>
      <c r="G23" s="269">
        <v>1100</v>
      </c>
      <c r="H23" s="267" t="s">
        <v>59</v>
      </c>
      <c r="I23" s="262" t="s">
        <v>38</v>
      </c>
      <c r="J23" s="262" t="s">
        <v>36</v>
      </c>
      <c r="K23" s="262" t="s">
        <v>36</v>
      </c>
      <c r="L23" s="262" t="s">
        <v>36</v>
      </c>
      <c r="M23" s="262" t="s">
        <v>36</v>
      </c>
      <c r="N23" s="267" t="s">
        <v>61</v>
      </c>
      <c r="O23" s="268">
        <v>42823</v>
      </c>
      <c r="P23" s="270">
        <v>1300</v>
      </c>
      <c r="Q23" s="262" t="str">
        <f t="shared" si="2"/>
        <v>18.18%</v>
      </c>
      <c r="R23" s="267"/>
      <c r="T23" s="343" t="s">
        <v>456</v>
      </c>
    </row>
    <row r="24" spans="1:20" x14ac:dyDescent="0.25">
      <c r="A24" s="12">
        <f t="shared" si="1"/>
        <v>22</v>
      </c>
      <c r="B24" s="40" t="s">
        <v>100</v>
      </c>
      <c r="C24" s="35">
        <v>42808</v>
      </c>
      <c r="D24" s="35">
        <v>42811</v>
      </c>
      <c r="E24" s="41">
        <v>42815</v>
      </c>
      <c r="F24" s="34" t="s">
        <v>41</v>
      </c>
      <c r="G24" s="42">
        <v>3600</v>
      </c>
      <c r="H24" s="40" t="s">
        <v>59</v>
      </c>
      <c r="I24" s="34" t="s">
        <v>36</v>
      </c>
      <c r="J24" s="34" t="s">
        <v>38</v>
      </c>
      <c r="K24" s="37" t="s">
        <v>719</v>
      </c>
      <c r="L24" s="34" t="s">
        <v>38</v>
      </c>
      <c r="M24" s="34" t="s">
        <v>36</v>
      </c>
      <c r="N24" s="40" t="s">
        <v>61</v>
      </c>
      <c r="O24" s="41">
        <v>42824</v>
      </c>
      <c r="P24" s="43">
        <v>3430</v>
      </c>
      <c r="Q24" s="37" t="str">
        <f t="shared" si="2"/>
        <v>-4.72%</v>
      </c>
      <c r="R24" s="34" t="s">
        <v>88</v>
      </c>
    </row>
    <row r="25" spans="1:20" x14ac:dyDescent="0.25">
      <c r="A25" s="12">
        <f t="shared" si="1"/>
        <v>23</v>
      </c>
      <c r="B25" s="262" t="s">
        <v>101</v>
      </c>
      <c r="C25" s="263">
        <v>42808</v>
      </c>
      <c r="D25" s="263">
        <v>42815</v>
      </c>
      <c r="E25" s="263">
        <v>42816</v>
      </c>
      <c r="F25" s="262" t="s">
        <v>45</v>
      </c>
      <c r="G25" s="264">
        <v>2940</v>
      </c>
      <c r="H25" s="262" t="s">
        <v>71</v>
      </c>
      <c r="I25" s="262" t="s">
        <v>36</v>
      </c>
      <c r="J25" s="262" t="s">
        <v>38</v>
      </c>
      <c r="K25" s="262" t="s">
        <v>38</v>
      </c>
      <c r="L25" s="262" t="s">
        <v>38</v>
      </c>
      <c r="M25" s="262" t="s">
        <v>36</v>
      </c>
      <c r="N25" s="265" t="s">
        <v>39</v>
      </c>
      <c r="O25" s="268">
        <v>42824</v>
      </c>
      <c r="P25" s="266">
        <v>12500</v>
      </c>
      <c r="Q25" s="262" t="str">
        <f t="shared" si="2"/>
        <v>325.17%</v>
      </c>
      <c r="R25" s="262"/>
    </row>
    <row r="26" spans="1:20" x14ac:dyDescent="0.25">
      <c r="A26" s="12">
        <f t="shared" si="1"/>
        <v>24</v>
      </c>
      <c r="B26" s="262" t="s">
        <v>102</v>
      </c>
      <c r="C26" s="263">
        <v>42807</v>
      </c>
      <c r="D26" s="263">
        <v>42811</v>
      </c>
      <c r="E26" s="268">
        <v>42815</v>
      </c>
      <c r="F26" s="262" t="s">
        <v>37</v>
      </c>
      <c r="G26" s="264">
        <v>1140</v>
      </c>
      <c r="H26" s="262" t="s">
        <v>52</v>
      </c>
      <c r="I26" s="262" t="s">
        <v>36</v>
      </c>
      <c r="J26" s="262" t="s">
        <v>38</v>
      </c>
      <c r="K26" s="262" t="s">
        <v>36</v>
      </c>
      <c r="L26" s="262" t="s">
        <v>38</v>
      </c>
      <c r="M26" s="262" t="s">
        <v>36</v>
      </c>
      <c r="N26" s="265" t="s">
        <v>55</v>
      </c>
      <c r="O26" s="268">
        <v>42825</v>
      </c>
      <c r="P26" s="266">
        <v>1552</v>
      </c>
      <c r="Q26" s="262" t="str">
        <f t="shared" si="2"/>
        <v>36.14%</v>
      </c>
      <c r="R26" s="262"/>
    </row>
    <row r="27" spans="1:20" x14ac:dyDescent="0.25">
      <c r="A27" s="12">
        <f t="shared" si="1"/>
        <v>25</v>
      </c>
      <c r="B27" s="267" t="s">
        <v>103</v>
      </c>
      <c r="C27" s="263">
        <v>42816</v>
      </c>
      <c r="D27" s="263">
        <v>42822</v>
      </c>
      <c r="E27" s="268">
        <v>42823</v>
      </c>
      <c r="F27" s="262" t="s">
        <v>45</v>
      </c>
      <c r="G27" s="269">
        <v>2550</v>
      </c>
      <c r="H27" s="267" t="s">
        <v>71</v>
      </c>
      <c r="I27" s="262" t="s">
        <v>38</v>
      </c>
      <c r="J27" s="262" t="s">
        <v>38</v>
      </c>
      <c r="K27" s="262" t="s">
        <v>36</v>
      </c>
      <c r="L27" s="262" t="s">
        <v>38</v>
      </c>
      <c r="M27" s="262" t="s">
        <v>36</v>
      </c>
      <c r="N27" s="271" t="s">
        <v>53</v>
      </c>
      <c r="O27" s="268">
        <v>42831</v>
      </c>
      <c r="P27" s="270">
        <v>8050</v>
      </c>
      <c r="Q27" s="262" t="str">
        <f t="shared" si="2"/>
        <v>215.69%</v>
      </c>
      <c r="R27" s="267"/>
    </row>
    <row r="28" spans="1:20" x14ac:dyDescent="0.25">
      <c r="A28" s="12">
        <f t="shared" si="1"/>
        <v>26</v>
      </c>
      <c r="B28" s="262" t="s">
        <v>104</v>
      </c>
      <c r="C28" s="263">
        <v>42817</v>
      </c>
      <c r="D28" s="263">
        <v>42822</v>
      </c>
      <c r="E28" s="268">
        <v>42823</v>
      </c>
      <c r="F28" s="262" t="s">
        <v>47</v>
      </c>
      <c r="G28" s="264">
        <v>750</v>
      </c>
      <c r="H28" s="262" t="s">
        <v>59</v>
      </c>
      <c r="I28" s="262" t="s">
        <v>38</v>
      </c>
      <c r="J28" s="262" t="s">
        <v>38</v>
      </c>
      <c r="K28" s="262" t="s">
        <v>36</v>
      </c>
      <c r="L28" s="262" t="s">
        <v>38</v>
      </c>
      <c r="M28" s="262" t="s">
        <v>36</v>
      </c>
      <c r="N28" s="262" t="s">
        <v>73</v>
      </c>
      <c r="O28" s="268">
        <v>42835</v>
      </c>
      <c r="P28" s="266">
        <v>721</v>
      </c>
      <c r="Q28" s="265" t="str">
        <f t="shared" si="2"/>
        <v>-3.87%</v>
      </c>
      <c r="R28" s="262" t="s">
        <v>88</v>
      </c>
    </row>
    <row r="29" spans="1:20" x14ac:dyDescent="0.25">
      <c r="A29" s="12">
        <f t="shared" si="1"/>
        <v>27</v>
      </c>
      <c r="B29" s="262" t="s">
        <v>105</v>
      </c>
      <c r="C29" s="263">
        <v>42822</v>
      </c>
      <c r="D29" s="263">
        <v>42825</v>
      </c>
      <c r="E29" s="263">
        <v>42828</v>
      </c>
      <c r="F29" s="262" t="s">
        <v>41</v>
      </c>
      <c r="G29" s="272">
        <v>2050</v>
      </c>
      <c r="H29" s="262" t="s">
        <v>59</v>
      </c>
      <c r="I29" s="262" t="s">
        <v>36</v>
      </c>
      <c r="J29" s="262" t="s">
        <v>38</v>
      </c>
      <c r="K29" s="262" t="s">
        <v>38</v>
      </c>
      <c r="L29" s="262" t="s">
        <v>36</v>
      </c>
      <c r="M29" s="262" t="s">
        <v>36</v>
      </c>
      <c r="N29" s="262" t="s">
        <v>61</v>
      </c>
      <c r="O29" s="268">
        <v>42837</v>
      </c>
      <c r="P29" s="266">
        <v>1947</v>
      </c>
      <c r="Q29" s="265" t="str">
        <f t="shared" si="2"/>
        <v>-5.02%</v>
      </c>
      <c r="R29" s="262" t="s">
        <v>88</v>
      </c>
    </row>
    <row r="30" spans="1:20" x14ac:dyDescent="0.25">
      <c r="A30" s="12">
        <f t="shared" si="1"/>
        <v>28</v>
      </c>
      <c r="B30" s="267" t="s">
        <v>106</v>
      </c>
      <c r="C30" s="268">
        <v>42828</v>
      </c>
      <c r="D30" s="268">
        <v>42832</v>
      </c>
      <c r="E30" s="268">
        <v>42835</v>
      </c>
      <c r="F30" s="262" t="s">
        <v>45</v>
      </c>
      <c r="G30" s="269">
        <v>1370</v>
      </c>
      <c r="H30" s="262" t="s">
        <v>52</v>
      </c>
      <c r="I30" s="262" t="s">
        <v>36</v>
      </c>
      <c r="J30" s="262" t="s">
        <v>38</v>
      </c>
      <c r="K30" s="262" t="s">
        <v>38</v>
      </c>
      <c r="L30" s="262" t="s">
        <v>36</v>
      </c>
      <c r="M30" s="262" t="s">
        <v>36</v>
      </c>
      <c r="N30" s="271" t="s">
        <v>39</v>
      </c>
      <c r="O30" s="268">
        <v>42843</v>
      </c>
      <c r="P30" s="270">
        <v>3750</v>
      </c>
      <c r="Q30" s="262" t="str">
        <f t="shared" si="2"/>
        <v>173.72%</v>
      </c>
      <c r="R30" s="267"/>
    </row>
    <row r="31" spans="1:20" x14ac:dyDescent="0.25">
      <c r="A31" s="12">
        <f t="shared" si="1"/>
        <v>29</v>
      </c>
      <c r="B31" s="262" t="s">
        <v>107</v>
      </c>
      <c r="C31" s="268">
        <v>42832</v>
      </c>
      <c r="D31" s="268">
        <v>42838</v>
      </c>
      <c r="E31" s="268">
        <v>42839</v>
      </c>
      <c r="F31" s="262" t="s">
        <v>45</v>
      </c>
      <c r="G31" s="264">
        <v>2000</v>
      </c>
      <c r="H31" s="262" t="s">
        <v>71</v>
      </c>
      <c r="I31" s="262" t="s">
        <v>36</v>
      </c>
      <c r="J31" s="262" t="s">
        <v>36</v>
      </c>
      <c r="K31" s="262" t="s">
        <v>36</v>
      </c>
      <c r="L31" s="262" t="s">
        <v>36</v>
      </c>
      <c r="M31" s="262" t="s">
        <v>36</v>
      </c>
      <c r="N31" s="265" t="s">
        <v>55</v>
      </c>
      <c r="O31" s="268">
        <v>42850</v>
      </c>
      <c r="P31" s="266">
        <v>5950</v>
      </c>
      <c r="Q31" s="262" t="str">
        <f t="shared" si="2"/>
        <v>197.5%</v>
      </c>
      <c r="R31" s="262"/>
    </row>
    <row r="32" spans="1:20" x14ac:dyDescent="0.25">
      <c r="A32" s="12">
        <f t="shared" si="1"/>
        <v>30</v>
      </c>
      <c r="B32" s="267" t="s">
        <v>108</v>
      </c>
      <c r="C32" s="268">
        <v>42884</v>
      </c>
      <c r="D32" s="268">
        <v>42888</v>
      </c>
      <c r="E32" s="268">
        <v>42891</v>
      </c>
      <c r="F32" s="262" t="s">
        <v>45</v>
      </c>
      <c r="G32" s="269">
        <v>1670</v>
      </c>
      <c r="H32" s="262" t="s">
        <v>71</v>
      </c>
      <c r="I32" s="267" t="s">
        <v>36</v>
      </c>
      <c r="J32" s="267" t="s">
        <v>38</v>
      </c>
      <c r="K32" s="267" t="s">
        <v>36</v>
      </c>
      <c r="L32" s="267" t="s">
        <v>38</v>
      </c>
      <c r="M32" s="267" t="s">
        <v>36</v>
      </c>
      <c r="N32" s="271" t="s">
        <v>55</v>
      </c>
      <c r="O32" s="268">
        <v>42901</v>
      </c>
      <c r="P32" s="270">
        <v>7700</v>
      </c>
      <c r="Q32" s="262" t="str">
        <f t="shared" ref="Q32:Q54" si="3">CONCATENATE(ROUND((IF(ISBLANK(P32),0,P32)-IF(ISBLANK(G32),0,G32))/IF(ISBLANK(G32),0,G32),4)*100,"%")</f>
        <v>361.08%</v>
      </c>
      <c r="R32" s="267"/>
    </row>
    <row r="33" spans="1:18" x14ac:dyDescent="0.25">
      <c r="A33" s="12">
        <f t="shared" si="1"/>
        <v>31</v>
      </c>
      <c r="B33" s="262" t="s">
        <v>109</v>
      </c>
      <c r="C33" s="263">
        <v>42887</v>
      </c>
      <c r="D33" s="263">
        <v>42893</v>
      </c>
      <c r="E33" s="263">
        <v>42894</v>
      </c>
      <c r="F33" s="262" t="s">
        <v>37</v>
      </c>
      <c r="G33" s="264">
        <v>2500</v>
      </c>
      <c r="H33" s="262" t="s">
        <v>71</v>
      </c>
      <c r="I33" s="267" t="s">
        <v>36</v>
      </c>
      <c r="J33" s="267" t="s">
        <v>36</v>
      </c>
      <c r="K33" s="267" t="s">
        <v>36</v>
      </c>
      <c r="L33" s="267" t="s">
        <v>471</v>
      </c>
      <c r="M33" s="267" t="s">
        <v>38</v>
      </c>
      <c r="N33" s="265" t="s">
        <v>55</v>
      </c>
      <c r="O33" s="263">
        <v>42906</v>
      </c>
      <c r="P33" s="266">
        <v>7100</v>
      </c>
      <c r="Q33" s="262" t="str">
        <f t="shared" si="3"/>
        <v>184%</v>
      </c>
      <c r="R33" s="262"/>
    </row>
    <row r="34" spans="1:18" x14ac:dyDescent="0.25">
      <c r="A34" s="12">
        <f t="shared" si="1"/>
        <v>32</v>
      </c>
      <c r="B34" s="262" t="s">
        <v>110</v>
      </c>
      <c r="C34" s="263">
        <v>42888</v>
      </c>
      <c r="D34" s="263">
        <v>42894</v>
      </c>
      <c r="E34" s="263">
        <v>42895</v>
      </c>
      <c r="F34" s="262" t="s">
        <v>72</v>
      </c>
      <c r="G34" s="264">
        <v>2730</v>
      </c>
      <c r="H34" s="262" t="s">
        <v>71</v>
      </c>
      <c r="I34" s="267" t="s">
        <v>36</v>
      </c>
      <c r="J34" s="267" t="s">
        <v>38</v>
      </c>
      <c r="K34" s="267" t="s">
        <v>36</v>
      </c>
      <c r="L34" s="267" t="s">
        <v>471</v>
      </c>
      <c r="M34" s="267" t="s">
        <v>36</v>
      </c>
      <c r="N34" s="262" t="s">
        <v>77</v>
      </c>
      <c r="O34" s="263">
        <v>42907</v>
      </c>
      <c r="P34" s="266">
        <v>4195</v>
      </c>
      <c r="Q34" s="262" t="str">
        <f t="shared" si="3"/>
        <v>53.66%</v>
      </c>
      <c r="R34" s="262"/>
    </row>
    <row r="35" spans="1:18" x14ac:dyDescent="0.25">
      <c r="A35" s="12">
        <f t="shared" si="1"/>
        <v>33</v>
      </c>
      <c r="B35" s="262" t="s">
        <v>452</v>
      </c>
      <c r="C35" s="263">
        <v>42894</v>
      </c>
      <c r="D35" s="263">
        <v>42900</v>
      </c>
      <c r="E35" s="263">
        <v>42901</v>
      </c>
      <c r="F35" s="262" t="s">
        <v>45</v>
      </c>
      <c r="G35" s="264">
        <v>2600</v>
      </c>
      <c r="H35" s="262" t="s">
        <v>52</v>
      </c>
      <c r="I35" s="267" t="s">
        <v>36</v>
      </c>
      <c r="J35" s="267" t="s">
        <v>38</v>
      </c>
      <c r="K35" s="267" t="s">
        <v>36</v>
      </c>
      <c r="L35" s="267" t="s">
        <v>36</v>
      </c>
      <c r="M35" s="267" t="s">
        <v>36</v>
      </c>
      <c r="N35" s="262" t="s">
        <v>61</v>
      </c>
      <c r="O35" s="263">
        <v>42913</v>
      </c>
      <c r="P35" s="266">
        <v>6060</v>
      </c>
      <c r="Q35" s="262" t="str">
        <f t="shared" si="3"/>
        <v>133.08%</v>
      </c>
      <c r="R35" s="262"/>
    </row>
    <row r="36" spans="1:18" x14ac:dyDescent="0.25">
      <c r="A36" s="12">
        <f t="shared" si="1"/>
        <v>34</v>
      </c>
      <c r="B36" s="267" t="s">
        <v>454</v>
      </c>
      <c r="C36" s="268">
        <v>42900</v>
      </c>
      <c r="D36" s="268">
        <v>42906</v>
      </c>
      <c r="E36" s="268">
        <v>42907</v>
      </c>
      <c r="F36" s="262" t="s">
        <v>45</v>
      </c>
      <c r="G36" s="269">
        <v>2130</v>
      </c>
      <c r="H36" s="262" t="s">
        <v>52</v>
      </c>
      <c r="I36" s="267" t="s">
        <v>36</v>
      </c>
      <c r="J36" s="267" t="s">
        <v>38</v>
      </c>
      <c r="K36" s="267" t="s">
        <v>38</v>
      </c>
      <c r="L36" s="267" t="s">
        <v>38</v>
      </c>
      <c r="M36" s="267" t="s">
        <v>36</v>
      </c>
      <c r="N36" s="267" t="s">
        <v>61</v>
      </c>
      <c r="O36" s="268">
        <v>42916</v>
      </c>
      <c r="P36" s="270">
        <v>4515</v>
      </c>
      <c r="Q36" s="262" t="str">
        <f t="shared" si="3"/>
        <v>111.97%</v>
      </c>
      <c r="R36" s="267"/>
    </row>
    <row r="37" spans="1:18" x14ac:dyDescent="0.25">
      <c r="A37" s="12">
        <f t="shared" si="1"/>
        <v>35</v>
      </c>
      <c r="B37" s="262" t="s">
        <v>455</v>
      </c>
      <c r="C37" s="268">
        <v>42900</v>
      </c>
      <c r="D37" s="268">
        <v>42906</v>
      </c>
      <c r="E37" s="268">
        <v>42907</v>
      </c>
      <c r="F37" s="262" t="s">
        <v>37</v>
      </c>
      <c r="G37" s="264">
        <v>2560</v>
      </c>
      <c r="H37" s="262" t="s">
        <v>52</v>
      </c>
      <c r="I37" s="267" t="s">
        <v>36</v>
      </c>
      <c r="J37" s="267" t="s">
        <v>38</v>
      </c>
      <c r="K37" s="267" t="s">
        <v>36</v>
      </c>
      <c r="L37" s="267" t="s">
        <v>38</v>
      </c>
      <c r="M37" s="267" t="s">
        <v>36</v>
      </c>
      <c r="N37" s="262" t="s">
        <v>62</v>
      </c>
      <c r="O37" s="268">
        <v>42916</v>
      </c>
      <c r="P37" s="266">
        <v>5530</v>
      </c>
      <c r="Q37" s="262" t="str">
        <f t="shared" si="3"/>
        <v>116.02%</v>
      </c>
      <c r="R37" s="262"/>
    </row>
    <row r="38" spans="1:18" x14ac:dyDescent="0.25">
      <c r="A38" s="12">
        <f t="shared" si="1"/>
        <v>36</v>
      </c>
      <c r="B38" s="267" t="s">
        <v>458</v>
      </c>
      <c r="C38" s="268">
        <v>42901</v>
      </c>
      <c r="D38" s="268">
        <v>42907</v>
      </c>
      <c r="E38" s="268">
        <v>42908</v>
      </c>
      <c r="F38" s="262" t="s">
        <v>45</v>
      </c>
      <c r="G38" s="269">
        <v>1920</v>
      </c>
      <c r="H38" s="262" t="s">
        <v>52</v>
      </c>
      <c r="I38" s="267" t="s">
        <v>459</v>
      </c>
      <c r="J38" s="267" t="s">
        <v>90</v>
      </c>
      <c r="K38" s="267" t="s">
        <v>38</v>
      </c>
      <c r="L38" s="267" t="s">
        <v>60</v>
      </c>
      <c r="M38" s="267" t="s">
        <v>36</v>
      </c>
      <c r="N38" s="271" t="s">
        <v>39</v>
      </c>
      <c r="O38" s="268">
        <v>42916</v>
      </c>
      <c r="P38" s="270">
        <v>4490</v>
      </c>
      <c r="Q38" s="262" t="str">
        <f t="shared" si="3"/>
        <v>133.85%</v>
      </c>
      <c r="R38" s="267"/>
    </row>
    <row r="39" spans="1:18" x14ac:dyDescent="0.25">
      <c r="A39" s="12">
        <f t="shared" si="1"/>
        <v>37</v>
      </c>
      <c r="B39" s="262" t="s">
        <v>472</v>
      </c>
      <c r="C39" s="263">
        <v>42909</v>
      </c>
      <c r="D39" s="263">
        <v>42915</v>
      </c>
      <c r="E39" s="263">
        <v>42916</v>
      </c>
      <c r="F39" s="262" t="s">
        <v>45</v>
      </c>
      <c r="G39" s="264">
        <v>1200</v>
      </c>
      <c r="H39" s="262" t="s">
        <v>52</v>
      </c>
      <c r="I39" s="262" t="s">
        <v>473</v>
      </c>
      <c r="J39" s="267" t="s">
        <v>38</v>
      </c>
      <c r="K39" s="267" t="s">
        <v>90</v>
      </c>
      <c r="L39" s="267" t="s">
        <v>60</v>
      </c>
      <c r="M39" s="262" t="s">
        <v>473</v>
      </c>
      <c r="N39" s="262" t="s">
        <v>87</v>
      </c>
      <c r="O39" s="263">
        <v>42928</v>
      </c>
      <c r="P39" s="266">
        <v>2123</v>
      </c>
      <c r="Q39" s="262" t="str">
        <f t="shared" si="3"/>
        <v>76.92%</v>
      </c>
      <c r="R39" s="262"/>
    </row>
    <row r="40" spans="1:18" x14ac:dyDescent="0.25">
      <c r="A40" s="12">
        <f t="shared" si="1"/>
        <v>38</v>
      </c>
      <c r="B40" s="262" t="s">
        <v>474</v>
      </c>
      <c r="C40" s="263">
        <v>42915</v>
      </c>
      <c r="D40" s="263">
        <v>42921</v>
      </c>
      <c r="E40" s="263">
        <v>42922</v>
      </c>
      <c r="F40" s="262" t="s">
        <v>45</v>
      </c>
      <c r="G40" s="264">
        <v>2800</v>
      </c>
      <c r="H40" s="262" t="s">
        <v>52</v>
      </c>
      <c r="I40" s="262" t="s">
        <v>478</v>
      </c>
      <c r="J40" s="267" t="s">
        <v>489</v>
      </c>
      <c r="K40" s="267" t="s">
        <v>489</v>
      </c>
      <c r="L40" s="267" t="s">
        <v>489</v>
      </c>
      <c r="M40" s="262" t="s">
        <v>478</v>
      </c>
      <c r="N40" s="262" t="s">
        <v>61</v>
      </c>
      <c r="O40" s="263">
        <v>42935</v>
      </c>
      <c r="P40" s="266">
        <v>6640</v>
      </c>
      <c r="Q40" s="262" t="str">
        <f t="shared" si="3"/>
        <v>137.14%</v>
      </c>
      <c r="R40" s="262"/>
    </row>
    <row r="41" spans="1:18" x14ac:dyDescent="0.25">
      <c r="A41" s="12">
        <f t="shared" si="1"/>
        <v>39</v>
      </c>
      <c r="B41" s="262" t="s">
        <v>476</v>
      </c>
      <c r="C41" s="263">
        <v>42916</v>
      </c>
      <c r="D41" s="263">
        <v>42922</v>
      </c>
      <c r="E41" s="263">
        <v>42923</v>
      </c>
      <c r="F41" s="262" t="s">
        <v>47</v>
      </c>
      <c r="G41" s="264">
        <v>3200</v>
      </c>
      <c r="H41" s="262" t="s">
        <v>59</v>
      </c>
      <c r="I41" s="262" t="s">
        <v>478</v>
      </c>
      <c r="J41" s="267" t="s">
        <v>489</v>
      </c>
      <c r="K41" s="262" t="s">
        <v>478</v>
      </c>
      <c r="L41" s="267" t="s">
        <v>489</v>
      </c>
      <c r="M41" s="262" t="s">
        <v>478</v>
      </c>
      <c r="N41" s="262" t="s">
        <v>87</v>
      </c>
      <c r="O41" s="263">
        <v>42936</v>
      </c>
      <c r="P41" s="266">
        <v>4280</v>
      </c>
      <c r="Q41" s="262" t="str">
        <f t="shared" si="3"/>
        <v>33.75%</v>
      </c>
      <c r="R41" s="262"/>
    </row>
    <row r="42" spans="1:18" x14ac:dyDescent="0.25">
      <c r="A42" s="12">
        <f t="shared" si="1"/>
        <v>40</v>
      </c>
      <c r="B42" s="267" t="s">
        <v>477</v>
      </c>
      <c r="C42" s="263">
        <v>42916</v>
      </c>
      <c r="D42" s="263">
        <v>42922</v>
      </c>
      <c r="E42" s="263">
        <v>42923</v>
      </c>
      <c r="F42" s="262" t="s">
        <v>37</v>
      </c>
      <c r="G42" s="269">
        <v>730</v>
      </c>
      <c r="H42" s="262" t="s">
        <v>46</v>
      </c>
      <c r="I42" s="262" t="s">
        <v>478</v>
      </c>
      <c r="J42" s="267" t="s">
        <v>38</v>
      </c>
      <c r="K42" s="262" t="s">
        <v>478</v>
      </c>
      <c r="L42" s="267" t="s">
        <v>38</v>
      </c>
      <c r="M42" s="262" t="s">
        <v>478</v>
      </c>
      <c r="N42" s="267" t="s">
        <v>73</v>
      </c>
      <c r="O42" s="263">
        <v>42936</v>
      </c>
      <c r="P42" s="270">
        <v>1051</v>
      </c>
      <c r="Q42" s="262" t="str">
        <f t="shared" si="3"/>
        <v>43.97%</v>
      </c>
      <c r="R42" s="267"/>
    </row>
    <row r="43" spans="1:18" x14ac:dyDescent="0.25">
      <c r="A43" s="12">
        <f t="shared" si="1"/>
        <v>41</v>
      </c>
      <c r="B43" s="262" t="s">
        <v>491</v>
      </c>
      <c r="C43" s="263">
        <v>42935</v>
      </c>
      <c r="D43" s="263">
        <v>42941</v>
      </c>
      <c r="E43" s="263">
        <v>42942</v>
      </c>
      <c r="F43" s="262" t="s">
        <v>45</v>
      </c>
      <c r="G43" s="264">
        <v>1600</v>
      </c>
      <c r="H43" s="262" t="s">
        <v>71</v>
      </c>
      <c r="I43" s="262" t="s">
        <v>459</v>
      </c>
      <c r="J43" s="262" t="s">
        <v>459</v>
      </c>
      <c r="K43" s="262" t="s">
        <v>521</v>
      </c>
      <c r="L43" s="262" t="s">
        <v>459</v>
      </c>
      <c r="M43" s="262" t="s">
        <v>459</v>
      </c>
      <c r="N43" s="265" t="s">
        <v>39</v>
      </c>
      <c r="O43" s="263">
        <v>42950</v>
      </c>
      <c r="P43" s="266">
        <v>2990</v>
      </c>
      <c r="Q43" s="262" t="str">
        <f t="shared" si="3"/>
        <v>86.88%</v>
      </c>
      <c r="R43" s="262"/>
    </row>
    <row r="44" spans="1:18" x14ac:dyDescent="0.25">
      <c r="A44" s="12">
        <f t="shared" si="1"/>
        <v>42</v>
      </c>
      <c r="B44" s="267" t="s">
        <v>492</v>
      </c>
      <c r="C44" s="268">
        <v>42940</v>
      </c>
      <c r="D44" s="268">
        <v>42944</v>
      </c>
      <c r="E44" s="268">
        <v>42947</v>
      </c>
      <c r="F44" s="262" t="s">
        <v>45</v>
      </c>
      <c r="G44" s="269">
        <v>1300</v>
      </c>
      <c r="H44" s="262" t="s">
        <v>71</v>
      </c>
      <c r="I44" s="262" t="s">
        <v>459</v>
      </c>
      <c r="J44" s="262" t="s">
        <v>459</v>
      </c>
      <c r="K44" s="262" t="s">
        <v>459</v>
      </c>
      <c r="L44" s="262" t="s">
        <v>459</v>
      </c>
      <c r="M44" s="262" t="s">
        <v>459</v>
      </c>
      <c r="N44" s="267" t="s">
        <v>493</v>
      </c>
      <c r="O44" s="268">
        <v>42956</v>
      </c>
      <c r="P44" s="270">
        <v>3510</v>
      </c>
      <c r="Q44" s="262" t="str">
        <f t="shared" si="3"/>
        <v>170%</v>
      </c>
      <c r="R44" s="267"/>
    </row>
    <row r="45" spans="1:18" x14ac:dyDescent="0.25">
      <c r="A45" s="12">
        <f t="shared" si="1"/>
        <v>43</v>
      </c>
      <c r="B45" s="262" t="s">
        <v>523</v>
      </c>
      <c r="C45" s="263">
        <v>42961</v>
      </c>
      <c r="D45" s="263">
        <v>42965</v>
      </c>
      <c r="E45" s="263">
        <v>42968</v>
      </c>
      <c r="F45" s="262" t="s">
        <v>45</v>
      </c>
      <c r="G45" s="264">
        <v>2050</v>
      </c>
      <c r="H45" s="262" t="s">
        <v>71</v>
      </c>
      <c r="I45" s="262" t="s">
        <v>527</v>
      </c>
      <c r="J45" s="262" t="s">
        <v>527</v>
      </c>
      <c r="K45" s="262" t="s">
        <v>521</v>
      </c>
      <c r="L45" s="262" t="s">
        <v>521</v>
      </c>
      <c r="M45" s="262" t="s">
        <v>527</v>
      </c>
      <c r="N45" s="262" t="s">
        <v>61</v>
      </c>
      <c r="O45" s="263">
        <v>42977</v>
      </c>
      <c r="P45" s="266">
        <v>6700</v>
      </c>
      <c r="Q45" s="262" t="str">
        <f>CONCATENATE(ROUND((IF(ISBLANK(P45),0,P45)-IF(ISBLANK(G45),0,G45))/IF(ISBLANK(G45),0,G45),4)*100,"%")</f>
        <v>226.83%</v>
      </c>
      <c r="R45" s="262"/>
    </row>
    <row r="46" spans="1:18" x14ac:dyDescent="0.25">
      <c r="A46" s="12">
        <f t="shared" si="1"/>
        <v>44</v>
      </c>
      <c r="B46" s="267" t="s">
        <v>524</v>
      </c>
      <c r="C46" s="268">
        <v>42975</v>
      </c>
      <c r="D46" s="268">
        <v>42979</v>
      </c>
      <c r="E46" s="268">
        <v>42982</v>
      </c>
      <c r="F46" s="262" t="s">
        <v>45</v>
      </c>
      <c r="G46" s="269">
        <v>2300</v>
      </c>
      <c r="H46" s="262" t="s">
        <v>71</v>
      </c>
      <c r="I46" s="267" t="s">
        <v>543</v>
      </c>
      <c r="J46" s="262" t="s">
        <v>527</v>
      </c>
      <c r="K46" s="262" t="s">
        <v>527</v>
      </c>
      <c r="L46" s="262" t="s">
        <v>521</v>
      </c>
      <c r="M46" s="262" t="s">
        <v>521</v>
      </c>
      <c r="N46" s="267" t="s">
        <v>61</v>
      </c>
      <c r="O46" s="268">
        <v>42991</v>
      </c>
      <c r="P46" s="270">
        <v>4970</v>
      </c>
      <c r="Q46" s="262" t="str">
        <f t="shared" si="3"/>
        <v>116.09%</v>
      </c>
      <c r="R46" s="267"/>
    </row>
    <row r="47" spans="1:18" x14ac:dyDescent="0.25">
      <c r="A47" s="12">
        <f t="shared" si="1"/>
        <v>45</v>
      </c>
      <c r="B47" s="262" t="s">
        <v>525</v>
      </c>
      <c r="C47" s="263">
        <v>42977</v>
      </c>
      <c r="D47" s="268">
        <v>42983</v>
      </c>
      <c r="E47" s="268">
        <v>42984</v>
      </c>
      <c r="F47" s="262" t="s">
        <v>45</v>
      </c>
      <c r="G47" s="264">
        <v>1000</v>
      </c>
      <c r="H47" s="262" t="s">
        <v>71</v>
      </c>
      <c r="I47" s="262" t="s">
        <v>527</v>
      </c>
      <c r="J47" s="262" t="s">
        <v>527</v>
      </c>
      <c r="K47" s="262" t="s">
        <v>521</v>
      </c>
      <c r="L47" s="262" t="s">
        <v>527</v>
      </c>
      <c r="M47" s="262" t="s">
        <v>527</v>
      </c>
      <c r="N47" s="265" t="s">
        <v>39</v>
      </c>
      <c r="O47" s="268">
        <v>42992</v>
      </c>
      <c r="P47" s="266">
        <v>5010</v>
      </c>
      <c r="Q47" s="262" t="str">
        <f t="shared" si="3"/>
        <v>401%</v>
      </c>
      <c r="R47" s="262"/>
    </row>
    <row r="48" spans="1:18" x14ac:dyDescent="0.25">
      <c r="A48" s="12">
        <f t="shared" si="1"/>
        <v>46</v>
      </c>
      <c r="B48" s="267" t="s">
        <v>526</v>
      </c>
      <c r="C48" s="263">
        <v>42977</v>
      </c>
      <c r="D48" s="268">
        <v>42983</v>
      </c>
      <c r="E48" s="268">
        <v>42984</v>
      </c>
      <c r="F48" s="262" t="s">
        <v>37</v>
      </c>
      <c r="G48" s="269">
        <v>1670</v>
      </c>
      <c r="H48" s="262" t="s">
        <v>71</v>
      </c>
      <c r="I48" s="262" t="s">
        <v>527</v>
      </c>
      <c r="J48" s="262" t="s">
        <v>527</v>
      </c>
      <c r="K48" s="262" t="s">
        <v>527</v>
      </c>
      <c r="L48" s="262" t="s">
        <v>527</v>
      </c>
      <c r="M48" s="262" t="s">
        <v>527</v>
      </c>
      <c r="N48" s="267" t="s">
        <v>73</v>
      </c>
      <c r="O48" s="268">
        <v>42998</v>
      </c>
      <c r="P48" s="270">
        <v>3850</v>
      </c>
      <c r="Q48" s="262" t="str">
        <f t="shared" si="3"/>
        <v>130.54%</v>
      </c>
      <c r="R48" s="267"/>
    </row>
    <row r="49" spans="1:18" x14ac:dyDescent="0.25">
      <c r="A49" s="12">
        <f t="shared" si="1"/>
        <v>47</v>
      </c>
      <c r="B49" s="267" t="s">
        <v>531</v>
      </c>
      <c r="C49" s="268">
        <v>42984</v>
      </c>
      <c r="D49" s="268">
        <v>42990</v>
      </c>
      <c r="E49" s="268">
        <v>42991</v>
      </c>
      <c r="F49" s="262" t="s">
        <v>45</v>
      </c>
      <c r="G49" s="269">
        <v>2400</v>
      </c>
      <c r="H49" s="262" t="s">
        <v>71</v>
      </c>
      <c r="I49" s="262" t="s">
        <v>527</v>
      </c>
      <c r="J49" s="262" t="s">
        <v>527</v>
      </c>
      <c r="K49" s="262" t="s">
        <v>521</v>
      </c>
      <c r="L49" s="262" t="s">
        <v>473</v>
      </c>
      <c r="M49" s="262" t="s">
        <v>521</v>
      </c>
      <c r="N49" s="271" t="s">
        <v>53</v>
      </c>
      <c r="O49" s="268">
        <v>43000</v>
      </c>
      <c r="P49" s="270">
        <v>5480</v>
      </c>
      <c r="Q49" s="262" t="str">
        <f t="shared" si="3"/>
        <v>128.33%</v>
      </c>
      <c r="R49" s="267"/>
    </row>
    <row r="50" spans="1:18" x14ac:dyDescent="0.25">
      <c r="A50" s="12">
        <f t="shared" si="1"/>
        <v>48</v>
      </c>
      <c r="B50" s="267" t="s">
        <v>566</v>
      </c>
      <c r="C50" s="268">
        <v>42986</v>
      </c>
      <c r="D50" s="268">
        <v>42992</v>
      </c>
      <c r="E50" s="268">
        <v>42993</v>
      </c>
      <c r="F50" s="262" t="s">
        <v>37</v>
      </c>
      <c r="G50" s="269">
        <v>2000</v>
      </c>
      <c r="H50" s="262" t="s">
        <v>46</v>
      </c>
      <c r="I50" s="267" t="s">
        <v>537</v>
      </c>
      <c r="J50" s="267" t="s">
        <v>459</v>
      </c>
      <c r="K50" s="262" t="s">
        <v>521</v>
      </c>
      <c r="L50" s="267" t="s">
        <v>459</v>
      </c>
      <c r="M50" s="262" t="s">
        <v>521</v>
      </c>
      <c r="N50" s="271" t="s">
        <v>39</v>
      </c>
      <c r="O50" s="268">
        <v>43004</v>
      </c>
      <c r="P50" s="270">
        <v>2650</v>
      </c>
      <c r="Q50" s="262" t="str">
        <f t="shared" si="3"/>
        <v>32.5%</v>
      </c>
      <c r="R50" s="267"/>
    </row>
    <row r="51" spans="1:18" x14ac:dyDescent="0.25">
      <c r="A51" s="12">
        <f t="shared" si="1"/>
        <v>49</v>
      </c>
      <c r="B51" s="267" t="s">
        <v>538</v>
      </c>
      <c r="C51" s="268">
        <v>42989</v>
      </c>
      <c r="D51" s="268">
        <v>42993</v>
      </c>
      <c r="E51" s="268">
        <v>42997</v>
      </c>
      <c r="F51" s="262" t="s">
        <v>45</v>
      </c>
      <c r="G51" s="269">
        <v>1820</v>
      </c>
      <c r="H51" s="262" t="s">
        <v>46</v>
      </c>
      <c r="I51" s="267" t="s">
        <v>473</v>
      </c>
      <c r="J51" s="267" t="s">
        <v>459</v>
      </c>
      <c r="K51" s="267" t="s">
        <v>542</v>
      </c>
      <c r="L51" s="267" t="s">
        <v>473</v>
      </c>
      <c r="M51" s="262" t="s">
        <v>521</v>
      </c>
      <c r="N51" s="267" t="s">
        <v>73</v>
      </c>
      <c r="O51" s="268">
        <v>43006</v>
      </c>
      <c r="P51" s="270">
        <v>2501</v>
      </c>
      <c r="Q51" s="262" t="str">
        <f t="shared" si="3"/>
        <v>37.42%</v>
      </c>
      <c r="R51" s="267"/>
    </row>
    <row r="52" spans="1:18" x14ac:dyDescent="0.25">
      <c r="A52" s="12">
        <f t="shared" si="1"/>
        <v>50</v>
      </c>
      <c r="B52" s="267" t="s">
        <v>539</v>
      </c>
      <c r="C52" s="268">
        <v>42990</v>
      </c>
      <c r="D52" s="268">
        <v>42997</v>
      </c>
      <c r="E52" s="268">
        <v>42998</v>
      </c>
      <c r="F52" s="262" t="s">
        <v>47</v>
      </c>
      <c r="G52" s="424">
        <v>4750</v>
      </c>
      <c r="H52" s="262" t="s">
        <v>59</v>
      </c>
      <c r="I52" s="267" t="s">
        <v>542</v>
      </c>
      <c r="J52" s="267" t="s">
        <v>537</v>
      </c>
      <c r="K52" s="267" t="s">
        <v>542</v>
      </c>
      <c r="L52" s="267" t="s">
        <v>537</v>
      </c>
      <c r="M52" s="267" t="s">
        <v>542</v>
      </c>
      <c r="N52" s="267" t="s">
        <v>61</v>
      </c>
      <c r="O52" s="268">
        <v>43007</v>
      </c>
      <c r="P52" s="270">
        <v>4465</v>
      </c>
      <c r="Q52" s="265" t="str">
        <f t="shared" si="3"/>
        <v>-6%</v>
      </c>
      <c r="R52" s="262" t="s">
        <v>88</v>
      </c>
    </row>
    <row r="53" spans="1:18" x14ac:dyDescent="0.25">
      <c r="A53" s="12">
        <f t="shared" si="1"/>
        <v>51</v>
      </c>
      <c r="B53" s="418" t="s">
        <v>540</v>
      </c>
      <c r="C53" s="419">
        <v>42991</v>
      </c>
      <c r="D53" s="419">
        <v>42998</v>
      </c>
      <c r="E53" s="419">
        <v>42999</v>
      </c>
      <c r="F53" s="158" t="s">
        <v>45</v>
      </c>
      <c r="G53" s="420">
        <v>1550</v>
      </c>
      <c r="H53" s="158" t="s">
        <v>46</v>
      </c>
      <c r="I53" s="418" t="s">
        <v>537</v>
      </c>
      <c r="J53" s="418" t="s">
        <v>537</v>
      </c>
      <c r="K53" s="418" t="s">
        <v>542</v>
      </c>
      <c r="L53" s="418" t="s">
        <v>537</v>
      </c>
      <c r="M53" s="418" t="s">
        <v>542</v>
      </c>
      <c r="N53" s="421" t="s">
        <v>53</v>
      </c>
      <c r="O53" s="419">
        <v>43007</v>
      </c>
      <c r="P53" s="422">
        <v>3000</v>
      </c>
      <c r="Q53" s="158" t="str">
        <f t="shared" si="3"/>
        <v>93.55%</v>
      </c>
      <c r="R53" s="423" t="s">
        <v>726</v>
      </c>
    </row>
    <row r="54" spans="1:18" x14ac:dyDescent="0.25">
      <c r="A54" s="12">
        <f t="shared" si="1"/>
        <v>52</v>
      </c>
      <c r="B54" s="267" t="s">
        <v>547</v>
      </c>
      <c r="C54" s="268">
        <v>42990</v>
      </c>
      <c r="D54" s="268">
        <v>42993</v>
      </c>
      <c r="E54" s="268">
        <v>42997</v>
      </c>
      <c r="F54" s="262" t="s">
        <v>45</v>
      </c>
      <c r="G54" s="269">
        <v>650</v>
      </c>
      <c r="H54" s="262" t="s">
        <v>46</v>
      </c>
      <c r="I54" s="262" t="s">
        <v>473</v>
      </c>
      <c r="J54" s="262" t="s">
        <v>548</v>
      </c>
      <c r="K54" s="262" t="s">
        <v>537</v>
      </c>
      <c r="L54" s="262" t="s">
        <v>537</v>
      </c>
      <c r="M54" s="267" t="s">
        <v>542</v>
      </c>
      <c r="N54" s="267" t="s">
        <v>73</v>
      </c>
      <c r="O54" s="268">
        <v>43007</v>
      </c>
      <c r="P54" s="270">
        <v>1072</v>
      </c>
      <c r="Q54" s="262" t="str">
        <f t="shared" si="3"/>
        <v>64.92%</v>
      </c>
      <c r="R54" s="267"/>
    </row>
    <row r="55" spans="1:18" x14ac:dyDescent="0.25">
      <c r="A55" s="12">
        <f t="shared" si="1"/>
        <v>53</v>
      </c>
      <c r="B55" s="267" t="s">
        <v>546</v>
      </c>
      <c r="C55" s="268">
        <v>42998</v>
      </c>
      <c r="D55" s="268">
        <v>43004</v>
      </c>
      <c r="E55" s="268">
        <v>43005</v>
      </c>
      <c r="F55" s="262" t="s">
        <v>45</v>
      </c>
      <c r="G55" s="269">
        <v>1280</v>
      </c>
      <c r="H55" s="262" t="s">
        <v>59</v>
      </c>
      <c r="I55" s="267" t="s">
        <v>560</v>
      </c>
      <c r="J55" s="267" t="s">
        <v>560</v>
      </c>
      <c r="K55" s="262" t="s">
        <v>521</v>
      </c>
      <c r="L55" s="267" t="s">
        <v>560</v>
      </c>
      <c r="M55" s="267" t="s">
        <v>473</v>
      </c>
      <c r="N55" s="271" t="s">
        <v>53</v>
      </c>
      <c r="O55" s="268">
        <v>43013</v>
      </c>
      <c r="P55" s="270">
        <v>1250</v>
      </c>
      <c r="Q55" s="265" t="str">
        <f t="shared" ref="Q55:Q66" si="4">CONCATENATE(ROUND((IF(ISBLANK(P55),0,P55)-IF(ISBLANK(G55),0,G55))/IF(ISBLANK(G55),0,G55),4)*100,"%")</f>
        <v>-2.34%</v>
      </c>
      <c r="R55" s="267" t="s">
        <v>727</v>
      </c>
    </row>
    <row r="56" spans="1:18" x14ac:dyDescent="0.25">
      <c r="A56" s="12">
        <f t="shared" si="1"/>
        <v>54</v>
      </c>
      <c r="B56" s="267" t="s">
        <v>549</v>
      </c>
      <c r="C56" s="268">
        <v>42997</v>
      </c>
      <c r="D56" s="268">
        <v>43003</v>
      </c>
      <c r="E56" s="268">
        <v>43004</v>
      </c>
      <c r="F56" s="262" t="s">
        <v>37</v>
      </c>
      <c r="G56" s="269">
        <v>1860</v>
      </c>
      <c r="H56" s="262" t="s">
        <v>59</v>
      </c>
      <c r="I56" s="267" t="s">
        <v>527</v>
      </c>
      <c r="J56" s="267" t="s">
        <v>560</v>
      </c>
      <c r="K56" s="262" t="s">
        <v>521</v>
      </c>
      <c r="L56" s="267" t="s">
        <v>560</v>
      </c>
      <c r="M56" s="267" t="s">
        <v>548</v>
      </c>
      <c r="N56" s="267" t="s">
        <v>61</v>
      </c>
      <c r="O56" s="268">
        <v>43013</v>
      </c>
      <c r="P56" s="270">
        <v>3100</v>
      </c>
      <c r="Q56" s="267" t="str">
        <f t="shared" si="4"/>
        <v>66.67%</v>
      </c>
      <c r="R56" s="267"/>
    </row>
    <row r="57" spans="1:18" x14ac:dyDescent="0.25">
      <c r="A57" s="12">
        <f t="shared" si="1"/>
        <v>55</v>
      </c>
      <c r="B57" s="267" t="s">
        <v>550</v>
      </c>
      <c r="C57" s="268">
        <v>42997</v>
      </c>
      <c r="D57" s="268">
        <v>43003</v>
      </c>
      <c r="E57" s="268">
        <v>43004</v>
      </c>
      <c r="F57" s="262" t="s">
        <v>45</v>
      </c>
      <c r="G57" s="269">
        <v>2580</v>
      </c>
      <c r="H57" s="262" t="s">
        <v>59</v>
      </c>
      <c r="I57" s="267" t="s">
        <v>560</v>
      </c>
      <c r="J57" s="267" t="s">
        <v>548</v>
      </c>
      <c r="K57" s="262" t="s">
        <v>521</v>
      </c>
      <c r="L57" s="267" t="s">
        <v>560</v>
      </c>
      <c r="M57" s="267" t="s">
        <v>548</v>
      </c>
      <c r="N57" s="267" t="s">
        <v>73</v>
      </c>
      <c r="O57" s="268">
        <v>43013</v>
      </c>
      <c r="P57" s="270">
        <v>3305</v>
      </c>
      <c r="Q57" s="267" t="str">
        <f t="shared" si="4"/>
        <v>28.1%</v>
      </c>
      <c r="R57" s="267"/>
    </row>
    <row r="58" spans="1:18" x14ac:dyDescent="0.25">
      <c r="A58" s="12">
        <f t="shared" si="1"/>
        <v>56</v>
      </c>
      <c r="B58" s="267" t="s">
        <v>556</v>
      </c>
      <c r="C58" s="268">
        <v>43018</v>
      </c>
      <c r="D58" s="268">
        <v>43024</v>
      </c>
      <c r="E58" s="268">
        <v>43025</v>
      </c>
      <c r="F58" s="262" t="s">
        <v>45</v>
      </c>
      <c r="G58" s="269">
        <v>2500</v>
      </c>
      <c r="H58" s="262" t="s">
        <v>52</v>
      </c>
      <c r="I58" s="267" t="s">
        <v>527</v>
      </c>
      <c r="J58" s="267" t="s">
        <v>560</v>
      </c>
      <c r="K58" s="267" t="s">
        <v>558</v>
      </c>
      <c r="L58" s="267" t="s">
        <v>560</v>
      </c>
      <c r="M58" s="262" t="s">
        <v>521</v>
      </c>
      <c r="N58" s="267" t="s">
        <v>73</v>
      </c>
      <c r="O58" s="268">
        <v>43033</v>
      </c>
      <c r="P58" s="270">
        <v>4630</v>
      </c>
      <c r="Q58" s="267" t="str">
        <f t="shared" si="4"/>
        <v>85.2%</v>
      </c>
      <c r="R58" s="267"/>
    </row>
    <row r="59" spans="1:18" x14ac:dyDescent="0.25">
      <c r="A59" s="12">
        <f t="shared" si="1"/>
        <v>57</v>
      </c>
      <c r="B59" s="267" t="s">
        <v>557</v>
      </c>
      <c r="C59" s="268">
        <v>43018</v>
      </c>
      <c r="D59" s="268">
        <v>43024</v>
      </c>
      <c r="E59" s="268">
        <v>43025</v>
      </c>
      <c r="F59" s="262" t="s">
        <v>45</v>
      </c>
      <c r="G59" s="269">
        <v>3100</v>
      </c>
      <c r="H59" s="262" t="s">
        <v>71</v>
      </c>
      <c r="I59" s="267" t="s">
        <v>560</v>
      </c>
      <c r="J59" s="267" t="s">
        <v>527</v>
      </c>
      <c r="K59" s="262" t="s">
        <v>560</v>
      </c>
      <c r="L59" s="267" t="s">
        <v>560</v>
      </c>
      <c r="M59" s="262" t="s">
        <v>521</v>
      </c>
      <c r="N59" s="267" t="s">
        <v>62</v>
      </c>
      <c r="O59" s="268">
        <v>43033</v>
      </c>
      <c r="P59" s="270">
        <v>6000</v>
      </c>
      <c r="Q59" s="267" t="str">
        <f t="shared" si="4"/>
        <v>93.55%</v>
      </c>
      <c r="R59" s="267"/>
    </row>
    <row r="60" spans="1:18" x14ac:dyDescent="0.25">
      <c r="A60" s="12">
        <f t="shared" si="1"/>
        <v>58</v>
      </c>
      <c r="B60" s="267" t="s">
        <v>559</v>
      </c>
      <c r="C60" s="268">
        <v>43018</v>
      </c>
      <c r="D60" s="268">
        <v>43024</v>
      </c>
      <c r="E60" s="268">
        <v>43025</v>
      </c>
      <c r="F60" s="262" t="s">
        <v>45</v>
      </c>
      <c r="G60" s="269">
        <v>3400</v>
      </c>
      <c r="H60" s="262" t="s">
        <v>71</v>
      </c>
      <c r="I60" s="267" t="s">
        <v>560</v>
      </c>
      <c r="J60" s="267" t="s">
        <v>527</v>
      </c>
      <c r="K60" s="267" t="s">
        <v>558</v>
      </c>
      <c r="L60" s="267" t="s">
        <v>560</v>
      </c>
      <c r="M60" s="262" t="s">
        <v>521</v>
      </c>
      <c r="N60" s="267" t="s">
        <v>493</v>
      </c>
      <c r="O60" s="268">
        <v>43034</v>
      </c>
      <c r="P60" s="270">
        <v>8400</v>
      </c>
      <c r="Q60" s="267" t="str">
        <f t="shared" si="4"/>
        <v>147.06%</v>
      </c>
      <c r="R60" s="267"/>
    </row>
    <row r="61" spans="1:18" x14ac:dyDescent="0.25">
      <c r="A61" s="12">
        <f t="shared" si="1"/>
        <v>59</v>
      </c>
      <c r="B61" s="267" t="s">
        <v>561</v>
      </c>
      <c r="C61" s="267" t="s">
        <v>562</v>
      </c>
      <c r="D61" s="267" t="s">
        <v>563</v>
      </c>
      <c r="E61" s="267" t="s">
        <v>564</v>
      </c>
      <c r="F61" s="262" t="s">
        <v>47</v>
      </c>
      <c r="G61" s="269">
        <v>2270</v>
      </c>
      <c r="H61" s="262" t="s">
        <v>59</v>
      </c>
      <c r="I61" s="267" t="s">
        <v>565</v>
      </c>
      <c r="J61" s="267" t="s">
        <v>565</v>
      </c>
      <c r="K61" s="267" t="s">
        <v>521</v>
      </c>
      <c r="L61" s="267" t="s">
        <v>565</v>
      </c>
      <c r="M61" s="267" t="s">
        <v>521</v>
      </c>
      <c r="N61" s="271" t="s">
        <v>53</v>
      </c>
      <c r="O61" s="268">
        <v>43039</v>
      </c>
      <c r="P61" s="270">
        <v>2331</v>
      </c>
      <c r="Q61" s="267" t="str">
        <f t="shared" si="4"/>
        <v>2.69%</v>
      </c>
      <c r="R61" s="267" t="s">
        <v>728</v>
      </c>
    </row>
    <row r="62" spans="1:18" x14ac:dyDescent="0.25">
      <c r="A62" s="12">
        <f t="shared" si="1"/>
        <v>60</v>
      </c>
      <c r="B62" s="267" t="s">
        <v>671</v>
      </c>
      <c r="C62" s="268">
        <v>43035</v>
      </c>
      <c r="D62" s="268">
        <v>43041</v>
      </c>
      <c r="E62" s="268">
        <v>43045</v>
      </c>
      <c r="F62" s="262" t="s">
        <v>37</v>
      </c>
      <c r="G62" s="269">
        <v>1480</v>
      </c>
      <c r="H62" s="262" t="s">
        <v>46</v>
      </c>
      <c r="I62" s="267" t="s">
        <v>673</v>
      </c>
      <c r="J62" s="267" t="s">
        <v>459</v>
      </c>
      <c r="K62" s="267" t="s">
        <v>459</v>
      </c>
      <c r="L62" s="267" t="s">
        <v>459</v>
      </c>
      <c r="M62" s="267" t="s">
        <v>459</v>
      </c>
      <c r="N62" s="267" t="s">
        <v>73</v>
      </c>
      <c r="O62" s="268">
        <v>43054</v>
      </c>
      <c r="P62" s="270">
        <v>2724</v>
      </c>
      <c r="Q62" s="267" t="str">
        <f t="shared" si="4"/>
        <v>84.05%</v>
      </c>
      <c r="R62" s="267"/>
    </row>
    <row r="63" spans="1:18" x14ac:dyDescent="0.25">
      <c r="A63" s="12">
        <f t="shared" si="1"/>
        <v>61</v>
      </c>
      <c r="B63" s="267" t="s">
        <v>672</v>
      </c>
      <c r="C63" s="268">
        <v>43041</v>
      </c>
      <c r="D63" s="268">
        <v>43048</v>
      </c>
      <c r="E63" s="268">
        <v>43049</v>
      </c>
      <c r="F63" s="262" t="s">
        <v>45</v>
      </c>
      <c r="G63" s="269">
        <v>2200</v>
      </c>
      <c r="H63" s="262" t="s">
        <v>71</v>
      </c>
      <c r="I63" s="267" t="s">
        <v>673</v>
      </c>
      <c r="J63" s="267" t="s">
        <v>459</v>
      </c>
      <c r="K63" s="267" t="s">
        <v>521</v>
      </c>
      <c r="L63" s="267" t="s">
        <v>459</v>
      </c>
      <c r="M63" s="267" t="s">
        <v>521</v>
      </c>
      <c r="N63" s="267" t="s">
        <v>493</v>
      </c>
      <c r="O63" s="268">
        <v>43060</v>
      </c>
      <c r="P63" s="270">
        <v>8530</v>
      </c>
      <c r="Q63" s="267" t="str">
        <f t="shared" si="4"/>
        <v>287.73%</v>
      </c>
      <c r="R63" s="267"/>
    </row>
    <row r="64" spans="1:18" x14ac:dyDescent="0.25">
      <c r="A64" s="12">
        <f t="shared" si="1"/>
        <v>62</v>
      </c>
      <c r="B64" s="267" t="s">
        <v>674</v>
      </c>
      <c r="C64" s="268">
        <v>43048</v>
      </c>
      <c r="D64" s="268">
        <v>43054</v>
      </c>
      <c r="E64" s="268">
        <v>43055</v>
      </c>
      <c r="F64" s="262" t="s">
        <v>37</v>
      </c>
      <c r="G64" s="269">
        <v>750</v>
      </c>
      <c r="H64" s="262" t="s">
        <v>52</v>
      </c>
      <c r="I64" s="267" t="s">
        <v>459</v>
      </c>
      <c r="J64" s="267" t="s">
        <v>679</v>
      </c>
      <c r="K64" s="267" t="s">
        <v>459</v>
      </c>
      <c r="L64" s="267" t="s">
        <v>679</v>
      </c>
      <c r="M64" s="267" t="s">
        <v>521</v>
      </c>
      <c r="N64" s="267" t="s">
        <v>61</v>
      </c>
      <c r="O64" s="268">
        <v>43067</v>
      </c>
      <c r="P64" s="270">
        <v>3280</v>
      </c>
      <c r="Q64" s="267" t="str">
        <f t="shared" si="4"/>
        <v>337.33%</v>
      </c>
      <c r="R64" s="267"/>
    </row>
    <row r="65" spans="1:18" x14ac:dyDescent="0.25">
      <c r="A65" s="12">
        <f t="shared" si="1"/>
        <v>63</v>
      </c>
      <c r="B65" s="267" t="s">
        <v>675</v>
      </c>
      <c r="C65" s="268">
        <v>43049</v>
      </c>
      <c r="D65" s="268">
        <v>43055</v>
      </c>
      <c r="E65" s="268">
        <v>43056</v>
      </c>
      <c r="F65" s="262" t="s">
        <v>37</v>
      </c>
      <c r="G65" s="269">
        <v>3250</v>
      </c>
      <c r="H65" s="262" t="s">
        <v>52</v>
      </c>
      <c r="I65" s="267" t="s">
        <v>459</v>
      </c>
      <c r="J65" s="267" t="s">
        <v>679</v>
      </c>
      <c r="K65" s="267" t="s">
        <v>521</v>
      </c>
      <c r="L65" s="267" t="s">
        <v>679</v>
      </c>
      <c r="M65" s="267" t="s">
        <v>521</v>
      </c>
      <c r="N65" s="271" t="s">
        <v>53</v>
      </c>
      <c r="O65" s="268">
        <v>43067</v>
      </c>
      <c r="P65" s="270">
        <v>7980</v>
      </c>
      <c r="Q65" s="267" t="str">
        <f t="shared" si="4"/>
        <v>145.54%</v>
      </c>
      <c r="R65" s="267"/>
    </row>
    <row r="66" spans="1:18" x14ac:dyDescent="0.25">
      <c r="A66" s="12">
        <f t="shared" si="1"/>
        <v>64</v>
      </c>
      <c r="B66" s="267" t="s">
        <v>678</v>
      </c>
      <c r="C66" s="268">
        <v>43049</v>
      </c>
      <c r="D66" s="268">
        <v>43055</v>
      </c>
      <c r="E66" s="268">
        <v>43056</v>
      </c>
      <c r="F66" s="262" t="s">
        <v>45</v>
      </c>
      <c r="G66" s="269">
        <v>2250</v>
      </c>
      <c r="H66" s="262" t="s">
        <v>71</v>
      </c>
      <c r="I66" s="267" t="s">
        <v>459</v>
      </c>
      <c r="J66" s="267" t="s">
        <v>679</v>
      </c>
      <c r="K66" s="267" t="s">
        <v>521</v>
      </c>
      <c r="L66" s="267" t="s">
        <v>679</v>
      </c>
      <c r="M66" s="267" t="s">
        <v>459</v>
      </c>
      <c r="N66" s="271" t="s">
        <v>39</v>
      </c>
      <c r="O66" s="268">
        <v>43067</v>
      </c>
      <c r="P66" s="270">
        <v>5280</v>
      </c>
      <c r="Q66" s="267" t="str">
        <f t="shared" si="4"/>
        <v>134.67%</v>
      </c>
      <c r="R66" s="267"/>
    </row>
    <row r="67" spans="1:18" x14ac:dyDescent="0.25">
      <c r="A67" s="12">
        <f t="shared" si="1"/>
        <v>65</v>
      </c>
      <c r="B67" s="267" t="s">
        <v>677</v>
      </c>
      <c r="C67" s="268">
        <v>43048</v>
      </c>
      <c r="D67" s="268">
        <v>43054</v>
      </c>
      <c r="E67" s="268">
        <v>43055</v>
      </c>
      <c r="F67" s="262" t="s">
        <v>37</v>
      </c>
      <c r="G67" s="269">
        <v>2200</v>
      </c>
      <c r="H67" s="262" t="s">
        <v>71</v>
      </c>
      <c r="I67" s="267" t="s">
        <v>459</v>
      </c>
      <c r="J67" s="267" t="s">
        <v>459</v>
      </c>
      <c r="K67" s="267" t="s">
        <v>459</v>
      </c>
      <c r="L67" s="267" t="s">
        <v>679</v>
      </c>
      <c r="M67" s="267" t="s">
        <v>521</v>
      </c>
      <c r="N67" s="267" t="s">
        <v>77</v>
      </c>
      <c r="O67" s="268">
        <v>43068</v>
      </c>
      <c r="P67" s="270">
        <v>13600</v>
      </c>
      <c r="Q67" s="267" t="str">
        <f t="shared" ref="Q67:Q73" si="5">CONCATENATE(ROUND((IF(ISBLANK(P67),0,P67)-IF(ISBLANK(G67),0,G67))/IF(ISBLANK(G67),0,G67),4)*100,"%")</f>
        <v>518.18%</v>
      </c>
      <c r="R67" s="267"/>
    </row>
    <row r="68" spans="1:18" x14ac:dyDescent="0.25">
      <c r="A68" s="12">
        <f t="shared" ref="A68:A105" si="6">ROW()-2</f>
        <v>66</v>
      </c>
      <c r="B68" s="431" t="s">
        <v>680</v>
      </c>
      <c r="C68" s="432">
        <v>43056</v>
      </c>
      <c r="D68" s="432">
        <v>43063</v>
      </c>
      <c r="E68" s="432">
        <v>43066</v>
      </c>
      <c r="F68" s="47" t="s">
        <v>681</v>
      </c>
      <c r="G68" s="433">
        <v>1400</v>
      </c>
      <c r="H68" s="47" t="s">
        <v>71</v>
      </c>
      <c r="I68" s="431" t="s">
        <v>685</v>
      </c>
      <c r="J68" s="431" t="s">
        <v>685</v>
      </c>
      <c r="K68" s="431" t="s">
        <v>686</v>
      </c>
      <c r="L68" s="431" t="s">
        <v>685</v>
      </c>
      <c r="M68" s="431" t="s">
        <v>521</v>
      </c>
      <c r="N68" s="431" t="s">
        <v>77</v>
      </c>
      <c r="O68" s="432">
        <v>43076</v>
      </c>
      <c r="P68" s="434" t="s">
        <v>731</v>
      </c>
      <c r="Q68" s="431"/>
      <c r="R68" s="431" t="s">
        <v>723</v>
      </c>
    </row>
    <row r="69" spans="1:18" x14ac:dyDescent="0.25">
      <c r="A69" s="12">
        <f t="shared" si="6"/>
        <v>67</v>
      </c>
      <c r="B69" s="267" t="s">
        <v>682</v>
      </c>
      <c r="C69" s="268">
        <v>43066</v>
      </c>
      <c r="D69" s="268">
        <v>43070</v>
      </c>
      <c r="E69" s="268">
        <v>43073</v>
      </c>
      <c r="F69" s="262" t="s">
        <v>45</v>
      </c>
      <c r="G69" s="269">
        <v>2450</v>
      </c>
      <c r="H69" s="262" t="s">
        <v>52</v>
      </c>
      <c r="I69" s="267" t="s">
        <v>685</v>
      </c>
      <c r="J69" s="267" t="s">
        <v>685</v>
      </c>
      <c r="K69" s="267" t="s">
        <v>686</v>
      </c>
      <c r="L69" s="267" t="s">
        <v>685</v>
      </c>
      <c r="M69" s="267" t="s">
        <v>686</v>
      </c>
      <c r="N69" s="271" t="s">
        <v>53</v>
      </c>
      <c r="O69" s="268">
        <v>43081</v>
      </c>
      <c r="P69" s="270">
        <v>6700</v>
      </c>
      <c r="Q69" s="267" t="str">
        <f t="shared" si="5"/>
        <v>173.47%</v>
      </c>
      <c r="R69" s="267"/>
    </row>
    <row r="70" spans="1:18" x14ac:dyDescent="0.25">
      <c r="A70" s="12">
        <f t="shared" si="6"/>
        <v>68</v>
      </c>
      <c r="B70" s="267" t="s">
        <v>687</v>
      </c>
      <c r="C70" s="268">
        <v>43067</v>
      </c>
      <c r="D70" s="268">
        <v>43070</v>
      </c>
      <c r="E70" s="268">
        <v>43073</v>
      </c>
      <c r="F70" s="262" t="s">
        <v>41</v>
      </c>
      <c r="G70" s="269">
        <v>1640</v>
      </c>
      <c r="H70" s="262" t="s">
        <v>59</v>
      </c>
      <c r="I70" s="267" t="s">
        <v>560</v>
      </c>
      <c r="J70" s="267" t="s">
        <v>560</v>
      </c>
      <c r="K70" s="267" t="s">
        <v>521</v>
      </c>
      <c r="L70" s="267" t="s">
        <v>560</v>
      </c>
      <c r="M70" s="267" t="s">
        <v>521</v>
      </c>
      <c r="N70" s="271" t="s">
        <v>39</v>
      </c>
      <c r="O70" s="268">
        <v>43081</v>
      </c>
      <c r="P70" s="270">
        <v>1665</v>
      </c>
      <c r="Q70" s="267" t="str">
        <f t="shared" si="5"/>
        <v>1.52%</v>
      </c>
      <c r="R70" s="267"/>
    </row>
    <row r="71" spans="1:18" x14ac:dyDescent="0.25">
      <c r="A71" s="12">
        <f t="shared" si="6"/>
        <v>69</v>
      </c>
      <c r="B71" s="40" t="s">
        <v>683</v>
      </c>
      <c r="C71" s="41">
        <v>43066</v>
      </c>
      <c r="D71" s="41">
        <v>43070</v>
      </c>
      <c r="E71" s="41">
        <v>43073</v>
      </c>
      <c r="F71" s="34" t="s">
        <v>41</v>
      </c>
      <c r="G71" s="429">
        <v>1620</v>
      </c>
      <c r="H71" s="34" t="s">
        <v>59</v>
      </c>
      <c r="I71" s="40" t="s">
        <v>686</v>
      </c>
      <c r="J71" s="40" t="s">
        <v>685</v>
      </c>
      <c r="K71" s="430" t="s">
        <v>719</v>
      </c>
      <c r="L71" s="40" t="s">
        <v>686</v>
      </c>
      <c r="M71" s="40" t="s">
        <v>459</v>
      </c>
      <c r="N71" s="430" t="s">
        <v>39</v>
      </c>
      <c r="O71" s="41">
        <v>43082</v>
      </c>
      <c r="P71" s="43">
        <v>1900</v>
      </c>
      <c r="Q71" s="40" t="str">
        <f t="shared" si="5"/>
        <v>17.28%</v>
      </c>
      <c r="R71" s="40"/>
    </row>
    <row r="72" spans="1:18" x14ac:dyDescent="0.25">
      <c r="A72" s="12">
        <f t="shared" si="6"/>
        <v>70</v>
      </c>
      <c r="B72" s="267" t="s">
        <v>688</v>
      </c>
      <c r="C72" s="268">
        <v>43067</v>
      </c>
      <c r="D72" s="268">
        <v>43073</v>
      </c>
      <c r="E72" s="268">
        <v>43074</v>
      </c>
      <c r="F72" s="262" t="s">
        <v>45</v>
      </c>
      <c r="G72" s="269">
        <v>2620</v>
      </c>
      <c r="H72" s="262" t="s">
        <v>52</v>
      </c>
      <c r="I72" s="267" t="s">
        <v>560</v>
      </c>
      <c r="J72" s="267" t="s">
        <v>560</v>
      </c>
      <c r="K72" s="267" t="s">
        <v>459</v>
      </c>
      <c r="L72" s="267" t="s">
        <v>560</v>
      </c>
      <c r="M72" s="267" t="s">
        <v>459</v>
      </c>
      <c r="N72" s="271" t="s">
        <v>53</v>
      </c>
      <c r="O72" s="268">
        <v>43082</v>
      </c>
      <c r="P72" s="270">
        <v>6130</v>
      </c>
      <c r="Q72" s="267" t="str">
        <f t="shared" si="5"/>
        <v>133.97%</v>
      </c>
      <c r="R72" s="267"/>
    </row>
    <row r="73" spans="1:18" x14ac:dyDescent="0.25">
      <c r="A73" s="12">
        <f t="shared" si="6"/>
        <v>71</v>
      </c>
      <c r="B73" s="267" t="s">
        <v>691</v>
      </c>
      <c r="C73" s="268">
        <v>43066</v>
      </c>
      <c r="D73" s="268">
        <v>43070</v>
      </c>
      <c r="E73" s="268">
        <v>43073</v>
      </c>
      <c r="F73" s="262" t="s">
        <v>41</v>
      </c>
      <c r="G73" s="269">
        <v>2600</v>
      </c>
      <c r="H73" s="262" t="s">
        <v>59</v>
      </c>
      <c r="I73" s="267" t="s">
        <v>686</v>
      </c>
      <c r="J73" s="267" t="s">
        <v>560</v>
      </c>
      <c r="K73" s="267" t="s">
        <v>686</v>
      </c>
      <c r="L73" s="267" t="s">
        <v>560</v>
      </c>
      <c r="M73" s="267" t="s">
        <v>686</v>
      </c>
      <c r="N73" s="267" t="s">
        <v>61</v>
      </c>
      <c r="O73" s="268">
        <v>43082</v>
      </c>
      <c r="P73" s="270">
        <v>3600</v>
      </c>
      <c r="Q73" s="267" t="str">
        <f t="shared" si="5"/>
        <v>38.46%</v>
      </c>
      <c r="R73" s="267"/>
    </row>
    <row r="74" spans="1:18" x14ac:dyDescent="0.25">
      <c r="A74" s="12">
        <f t="shared" si="6"/>
        <v>72</v>
      </c>
      <c r="B74" s="267" t="s">
        <v>692</v>
      </c>
      <c r="C74" s="268">
        <v>43066</v>
      </c>
      <c r="D74" s="268">
        <v>43070</v>
      </c>
      <c r="E74" s="268">
        <v>43073</v>
      </c>
      <c r="F74" s="262" t="s">
        <v>37</v>
      </c>
      <c r="G74" s="269">
        <v>4920</v>
      </c>
      <c r="H74" s="262" t="s">
        <v>52</v>
      </c>
      <c r="I74" s="267" t="s">
        <v>686</v>
      </c>
      <c r="J74" s="267" t="s">
        <v>686</v>
      </c>
      <c r="K74" s="267" t="s">
        <v>686</v>
      </c>
      <c r="L74" s="267" t="s">
        <v>560</v>
      </c>
      <c r="M74" s="267" t="s">
        <v>521</v>
      </c>
      <c r="N74" s="267" t="s">
        <v>73</v>
      </c>
      <c r="O74" s="268">
        <v>43082</v>
      </c>
      <c r="P74" s="270">
        <v>15000</v>
      </c>
      <c r="Q74" s="267" t="str">
        <f t="shared" ref="Q74" si="7">CONCATENATE(ROUND((IF(ISBLANK(P74),0,P74)-IF(ISBLANK(G74),0,G74))/IF(ISBLANK(G74),0,G74),4)*100,"%")</f>
        <v>204.88%</v>
      </c>
      <c r="R74" s="267"/>
    </row>
    <row r="75" spans="1:18" x14ac:dyDescent="0.25">
      <c r="A75" s="12">
        <f t="shared" si="6"/>
        <v>73</v>
      </c>
      <c r="B75" s="267" t="s">
        <v>684</v>
      </c>
      <c r="C75" s="268">
        <v>43067</v>
      </c>
      <c r="D75" s="268">
        <v>43073</v>
      </c>
      <c r="E75" s="268">
        <v>43074</v>
      </c>
      <c r="F75" s="262" t="s">
        <v>41</v>
      </c>
      <c r="G75" s="424">
        <v>1300</v>
      </c>
      <c r="H75" s="262" t="s">
        <v>59</v>
      </c>
      <c r="I75" s="267" t="s">
        <v>686</v>
      </c>
      <c r="J75" s="267" t="s">
        <v>560</v>
      </c>
      <c r="K75" s="267" t="s">
        <v>521</v>
      </c>
      <c r="L75" s="267" t="s">
        <v>560</v>
      </c>
      <c r="M75" s="267" t="s">
        <v>686</v>
      </c>
      <c r="N75" s="267" t="s">
        <v>61</v>
      </c>
      <c r="O75" s="268">
        <v>43083</v>
      </c>
      <c r="P75" s="270">
        <v>1270</v>
      </c>
      <c r="Q75" s="267" t="str">
        <f t="shared" ref="Q75" si="8">CONCATENATE(ROUND((IF(ISBLANK(P75),0,P75)-IF(ISBLANK(G75),0,G75))/IF(ISBLANK(G75),0,G75),4)*100,"%")</f>
        <v>-2.31%</v>
      </c>
      <c r="R75" s="267" t="s">
        <v>730</v>
      </c>
    </row>
    <row r="76" spans="1:18" x14ac:dyDescent="0.25">
      <c r="A76" s="12">
        <f t="shared" si="6"/>
        <v>74</v>
      </c>
      <c r="B76" s="267" t="s">
        <v>693</v>
      </c>
      <c r="C76" s="268">
        <v>43068</v>
      </c>
      <c r="D76" s="268">
        <v>43074</v>
      </c>
      <c r="E76" s="268">
        <v>43075</v>
      </c>
      <c r="F76" s="262" t="s">
        <v>45</v>
      </c>
      <c r="G76" s="269">
        <v>680</v>
      </c>
      <c r="H76" s="262" t="s">
        <v>71</v>
      </c>
      <c r="I76" s="267" t="s">
        <v>560</v>
      </c>
      <c r="J76" s="267" t="s">
        <v>560</v>
      </c>
      <c r="K76" s="267" t="s">
        <v>521</v>
      </c>
      <c r="L76" s="267" t="s">
        <v>560</v>
      </c>
      <c r="M76" s="267" t="s">
        <v>694</v>
      </c>
      <c r="N76" s="271" t="s">
        <v>39</v>
      </c>
      <c r="O76" s="268">
        <v>43083</v>
      </c>
      <c r="P76" s="270">
        <v>2810</v>
      </c>
      <c r="Q76" s="267" t="str">
        <f t="shared" ref="Q76:Q83" si="9">CONCATENATE(ROUND((IF(ISBLANK(P76),0,P76)-IF(ISBLANK(G76),0,G76))/IF(ISBLANK(G76),0,G76),4)*100,"%")</f>
        <v>313.24%</v>
      </c>
      <c r="R76" s="267"/>
    </row>
    <row r="77" spans="1:18" x14ac:dyDescent="0.25">
      <c r="A77" s="12">
        <f t="shared" si="6"/>
        <v>75</v>
      </c>
      <c r="B77" s="267" t="s">
        <v>697</v>
      </c>
      <c r="C77" s="268">
        <v>43068</v>
      </c>
      <c r="D77" s="268">
        <v>43074</v>
      </c>
      <c r="E77" s="268">
        <v>43075</v>
      </c>
      <c r="F77" s="262" t="s">
        <v>45</v>
      </c>
      <c r="G77" s="269">
        <v>1890</v>
      </c>
      <c r="H77" s="262" t="s">
        <v>71</v>
      </c>
      <c r="I77" s="267" t="s">
        <v>704</v>
      </c>
      <c r="J77" s="267" t="s">
        <v>704</v>
      </c>
      <c r="K77" s="267" t="s">
        <v>705</v>
      </c>
      <c r="L77" s="267" t="s">
        <v>704</v>
      </c>
      <c r="M77" s="267" t="s">
        <v>705</v>
      </c>
      <c r="N77" s="271" t="s">
        <v>55</v>
      </c>
      <c r="O77" s="268">
        <v>43084</v>
      </c>
      <c r="P77" s="270">
        <v>5100</v>
      </c>
      <c r="Q77" s="267" t="str">
        <f t="shared" si="9"/>
        <v>169.84%</v>
      </c>
      <c r="R77" s="267"/>
    </row>
    <row r="78" spans="1:18" x14ac:dyDescent="0.25">
      <c r="A78" s="12">
        <f t="shared" si="6"/>
        <v>76</v>
      </c>
      <c r="B78" s="267" t="s">
        <v>698</v>
      </c>
      <c r="C78" s="268">
        <v>43068</v>
      </c>
      <c r="D78" s="268">
        <v>43074</v>
      </c>
      <c r="E78" s="268">
        <v>43075</v>
      </c>
      <c r="F78" s="262" t="s">
        <v>45</v>
      </c>
      <c r="G78" s="269">
        <v>2000</v>
      </c>
      <c r="H78" s="262" t="s">
        <v>59</v>
      </c>
      <c r="I78" s="267" t="s">
        <v>704</v>
      </c>
      <c r="J78" s="267" t="s">
        <v>704</v>
      </c>
      <c r="K78" s="267" t="s">
        <v>705</v>
      </c>
      <c r="L78" s="267" t="s">
        <v>704</v>
      </c>
      <c r="M78" s="267" t="s">
        <v>521</v>
      </c>
      <c r="N78" s="267" t="s">
        <v>73</v>
      </c>
      <c r="O78" s="268">
        <v>43084</v>
      </c>
      <c r="P78" s="270">
        <v>2200</v>
      </c>
      <c r="Q78" s="267" t="str">
        <f t="shared" si="9"/>
        <v>10%</v>
      </c>
      <c r="R78" s="267" t="s">
        <v>729</v>
      </c>
    </row>
    <row r="79" spans="1:18" x14ac:dyDescent="0.25">
      <c r="A79" s="12">
        <f t="shared" si="6"/>
        <v>77</v>
      </c>
      <c r="B79" s="267" t="s">
        <v>699</v>
      </c>
      <c r="C79" s="268">
        <v>43069</v>
      </c>
      <c r="D79" s="268">
        <v>43075</v>
      </c>
      <c r="E79" s="268">
        <v>43076</v>
      </c>
      <c r="F79" s="262" t="s">
        <v>45</v>
      </c>
      <c r="G79" s="269">
        <v>2000</v>
      </c>
      <c r="H79" s="262" t="s">
        <v>71</v>
      </c>
      <c r="I79" s="267" t="s">
        <v>704</v>
      </c>
      <c r="J79" s="267" t="s">
        <v>704</v>
      </c>
      <c r="K79" s="267" t="s">
        <v>705</v>
      </c>
      <c r="L79" s="267" t="s">
        <v>704</v>
      </c>
      <c r="M79" s="267" t="s">
        <v>705</v>
      </c>
      <c r="N79" s="267" t="s">
        <v>493</v>
      </c>
      <c r="O79" s="268">
        <v>43087</v>
      </c>
      <c r="P79" s="270">
        <v>5010</v>
      </c>
      <c r="Q79" s="267" t="str">
        <f t="shared" si="9"/>
        <v>150.5%</v>
      </c>
      <c r="R79" s="267"/>
    </row>
    <row r="80" spans="1:18" x14ac:dyDescent="0.25">
      <c r="A80" s="12">
        <f t="shared" si="6"/>
        <v>78</v>
      </c>
      <c r="B80" s="267" t="s">
        <v>700</v>
      </c>
      <c r="C80" s="268">
        <v>43069</v>
      </c>
      <c r="D80" s="268">
        <v>43075</v>
      </c>
      <c r="E80" s="268">
        <v>43076</v>
      </c>
      <c r="F80" s="262" t="s">
        <v>45</v>
      </c>
      <c r="G80" s="269">
        <v>2040</v>
      </c>
      <c r="H80" s="262" t="s">
        <v>71</v>
      </c>
      <c r="I80" s="267" t="s">
        <v>704</v>
      </c>
      <c r="J80" s="267" t="s">
        <v>704</v>
      </c>
      <c r="K80" s="267" t="s">
        <v>521</v>
      </c>
      <c r="L80" s="267" t="s">
        <v>704</v>
      </c>
      <c r="M80" s="267" t="s">
        <v>705</v>
      </c>
      <c r="N80" s="267" t="s">
        <v>73</v>
      </c>
      <c r="O80" s="268">
        <v>43087</v>
      </c>
      <c r="P80" s="270">
        <v>4345</v>
      </c>
      <c r="Q80" s="267" t="str">
        <f t="shared" si="9"/>
        <v>112.99%</v>
      </c>
      <c r="R80" s="267"/>
    </row>
    <row r="81" spans="1:18" x14ac:dyDescent="0.25">
      <c r="A81" s="12">
        <f t="shared" si="6"/>
        <v>79</v>
      </c>
      <c r="B81" s="267" t="s">
        <v>701</v>
      </c>
      <c r="C81" s="268">
        <v>43069</v>
      </c>
      <c r="D81" s="268">
        <v>43075</v>
      </c>
      <c r="E81" s="268">
        <v>43076</v>
      </c>
      <c r="F81" s="262" t="s">
        <v>45</v>
      </c>
      <c r="G81" s="269">
        <v>1350</v>
      </c>
      <c r="H81" s="262" t="s">
        <v>52</v>
      </c>
      <c r="I81" s="267" t="s">
        <v>705</v>
      </c>
      <c r="J81" s="267" t="s">
        <v>704</v>
      </c>
      <c r="K81" s="267" t="s">
        <v>521</v>
      </c>
      <c r="L81" s="267" t="s">
        <v>704</v>
      </c>
      <c r="M81" s="267" t="s">
        <v>705</v>
      </c>
      <c r="N81" s="267" t="s">
        <v>61</v>
      </c>
      <c r="O81" s="268">
        <v>43087</v>
      </c>
      <c r="P81" s="270">
        <v>2674</v>
      </c>
      <c r="Q81" s="267" t="str">
        <f t="shared" si="9"/>
        <v>98.07%</v>
      </c>
      <c r="R81" s="267"/>
    </row>
    <row r="82" spans="1:18" x14ac:dyDescent="0.25">
      <c r="A82" s="12">
        <f t="shared" si="6"/>
        <v>80</v>
      </c>
      <c r="B82" s="267" t="s">
        <v>702</v>
      </c>
      <c r="C82" s="268">
        <v>43070</v>
      </c>
      <c r="D82" s="268">
        <v>43076</v>
      </c>
      <c r="E82" s="268">
        <v>43077</v>
      </c>
      <c r="F82" s="262" t="s">
        <v>37</v>
      </c>
      <c r="G82" s="269">
        <v>3300</v>
      </c>
      <c r="H82" s="262" t="s">
        <v>59</v>
      </c>
      <c r="I82" s="267" t="s">
        <v>705</v>
      </c>
      <c r="J82" s="267" t="s">
        <v>704</v>
      </c>
      <c r="K82" s="267" t="s">
        <v>521</v>
      </c>
      <c r="L82" s="267" t="s">
        <v>704</v>
      </c>
      <c r="M82" s="267" t="s">
        <v>705</v>
      </c>
      <c r="N82" s="271" t="s">
        <v>53</v>
      </c>
      <c r="O82" s="268">
        <v>43087</v>
      </c>
      <c r="P82" s="270">
        <v>4030</v>
      </c>
      <c r="Q82" s="267" t="str">
        <f t="shared" si="9"/>
        <v>22.12%</v>
      </c>
      <c r="R82" s="267"/>
    </row>
    <row r="83" spans="1:18" x14ac:dyDescent="0.25">
      <c r="A83" s="12">
        <f t="shared" si="6"/>
        <v>81</v>
      </c>
      <c r="B83" s="267" t="s">
        <v>703</v>
      </c>
      <c r="C83" s="268">
        <v>43070</v>
      </c>
      <c r="D83" s="268">
        <v>43076</v>
      </c>
      <c r="E83" s="268">
        <v>43077</v>
      </c>
      <c r="F83" s="262" t="s">
        <v>45</v>
      </c>
      <c r="G83" s="269">
        <v>1840</v>
      </c>
      <c r="H83" s="262" t="s">
        <v>71</v>
      </c>
      <c r="I83" s="267" t="s">
        <v>704</v>
      </c>
      <c r="J83" s="267" t="s">
        <v>705</v>
      </c>
      <c r="K83" s="267" t="s">
        <v>705</v>
      </c>
      <c r="L83" s="267" t="s">
        <v>704</v>
      </c>
      <c r="M83" s="267" t="s">
        <v>521</v>
      </c>
      <c r="N83" s="271" t="s">
        <v>55</v>
      </c>
      <c r="O83" s="268">
        <v>43088</v>
      </c>
      <c r="P83" s="270">
        <v>6080</v>
      </c>
      <c r="Q83" s="267" t="str">
        <f t="shared" si="9"/>
        <v>230.43%</v>
      </c>
      <c r="R83" s="267"/>
    </row>
    <row r="84" spans="1:18" x14ac:dyDescent="0.25">
      <c r="A84" s="12">
        <f t="shared" si="6"/>
        <v>82</v>
      </c>
      <c r="B84" s="267" t="s">
        <v>706</v>
      </c>
      <c r="C84" s="268">
        <v>43074</v>
      </c>
      <c r="D84" s="268">
        <v>43080</v>
      </c>
      <c r="E84" s="268">
        <v>43081</v>
      </c>
      <c r="F84" s="262" t="s">
        <v>41</v>
      </c>
      <c r="G84" s="269">
        <v>1460</v>
      </c>
      <c r="H84" s="262" t="s">
        <v>59</v>
      </c>
      <c r="I84" s="267" t="s">
        <v>473</v>
      </c>
      <c r="J84" s="267" t="s">
        <v>473</v>
      </c>
      <c r="K84" s="267" t="s">
        <v>521</v>
      </c>
      <c r="L84" s="267" t="s">
        <v>707</v>
      </c>
      <c r="M84" s="267" t="s">
        <v>521</v>
      </c>
      <c r="N84" s="271" t="s">
        <v>39</v>
      </c>
      <c r="O84" s="268">
        <v>43089</v>
      </c>
      <c r="P84" s="270">
        <v>2436</v>
      </c>
      <c r="Q84" s="267" t="str">
        <f t="shared" ref="Q84:Q89" si="10">CONCATENATE(ROUND((IF(ISBLANK(P84),0,P84)-IF(ISBLANK(G84),0,G84))/IF(ISBLANK(G84),0,G84),4)*100,"%")</f>
        <v>66.85%</v>
      </c>
      <c r="R84" s="267"/>
    </row>
    <row r="85" spans="1:18" x14ac:dyDescent="0.25">
      <c r="A85" s="12">
        <f t="shared" si="6"/>
        <v>83</v>
      </c>
      <c r="B85" s="267" t="s">
        <v>709</v>
      </c>
      <c r="C85" s="268">
        <v>43073</v>
      </c>
      <c r="D85" s="268">
        <v>43077</v>
      </c>
      <c r="E85" s="268">
        <v>43080</v>
      </c>
      <c r="F85" s="262" t="s">
        <v>41</v>
      </c>
      <c r="G85" s="269">
        <v>2700</v>
      </c>
      <c r="H85" s="262" t="s">
        <v>59</v>
      </c>
      <c r="I85" s="267" t="s">
        <v>711</v>
      </c>
      <c r="J85" s="267" t="s">
        <v>560</v>
      </c>
      <c r="K85" s="267" t="s">
        <v>711</v>
      </c>
      <c r="L85" s="267" t="s">
        <v>560</v>
      </c>
      <c r="M85" s="267" t="s">
        <v>521</v>
      </c>
      <c r="N85" s="267" t="s">
        <v>61</v>
      </c>
      <c r="O85" s="268">
        <v>43089</v>
      </c>
      <c r="P85" s="270">
        <v>2975</v>
      </c>
      <c r="Q85" s="267" t="str">
        <f t="shared" si="10"/>
        <v>10.19%</v>
      </c>
      <c r="R85" s="267"/>
    </row>
    <row r="86" spans="1:18" x14ac:dyDescent="0.25">
      <c r="A86" s="12">
        <f t="shared" si="6"/>
        <v>84</v>
      </c>
      <c r="B86" s="267" t="s">
        <v>708</v>
      </c>
      <c r="C86" s="268">
        <v>43074</v>
      </c>
      <c r="D86" s="268">
        <v>43080</v>
      </c>
      <c r="E86" s="268">
        <v>43081</v>
      </c>
      <c r="F86" s="262" t="s">
        <v>47</v>
      </c>
      <c r="G86" s="269">
        <v>2320</v>
      </c>
      <c r="H86" s="262" t="s">
        <v>59</v>
      </c>
      <c r="I86" s="267" t="s">
        <v>560</v>
      </c>
      <c r="J86" s="267" t="s">
        <v>560</v>
      </c>
      <c r="K86" s="267" t="s">
        <v>521</v>
      </c>
      <c r="L86" s="267" t="s">
        <v>560</v>
      </c>
      <c r="M86" s="267" t="s">
        <v>521</v>
      </c>
      <c r="N86" s="267" t="s">
        <v>61</v>
      </c>
      <c r="O86" s="268">
        <v>43090</v>
      </c>
      <c r="P86" s="270">
        <v>2220</v>
      </c>
      <c r="Q86" s="271" t="str">
        <f t="shared" si="10"/>
        <v>-4.31%</v>
      </c>
      <c r="R86" s="267" t="s">
        <v>732</v>
      </c>
    </row>
    <row r="87" spans="1:18" x14ac:dyDescent="0.25">
      <c r="A87" s="12">
        <f t="shared" si="6"/>
        <v>85</v>
      </c>
      <c r="B87" s="267" t="s">
        <v>710</v>
      </c>
      <c r="C87" s="268">
        <v>43074</v>
      </c>
      <c r="D87" s="268">
        <v>43080</v>
      </c>
      <c r="E87" s="268">
        <v>43081</v>
      </c>
      <c r="F87" s="262" t="s">
        <v>712</v>
      </c>
      <c r="G87" s="269">
        <v>1300</v>
      </c>
      <c r="H87" s="262" t="s">
        <v>46</v>
      </c>
      <c r="I87" s="267" t="s">
        <v>716</v>
      </c>
      <c r="J87" s="267" t="s">
        <v>716</v>
      </c>
      <c r="K87" s="267" t="s">
        <v>715</v>
      </c>
      <c r="L87" s="267" t="s">
        <v>716</v>
      </c>
      <c r="M87" s="267" t="s">
        <v>521</v>
      </c>
      <c r="N87" s="267" t="s">
        <v>77</v>
      </c>
      <c r="O87" s="268">
        <v>43091</v>
      </c>
      <c r="P87" s="270">
        <v>2000</v>
      </c>
      <c r="Q87" s="267" t="str">
        <f t="shared" si="10"/>
        <v>53.85%</v>
      </c>
      <c r="R87" s="267"/>
    </row>
    <row r="88" spans="1:18" x14ac:dyDescent="0.25">
      <c r="A88" s="12">
        <f t="shared" si="6"/>
        <v>86</v>
      </c>
      <c r="B88" s="267" t="s">
        <v>713</v>
      </c>
      <c r="C88" s="268">
        <v>43076</v>
      </c>
      <c r="D88" s="268">
        <v>43082</v>
      </c>
      <c r="E88" s="268">
        <v>43083</v>
      </c>
      <c r="F88" s="262" t="s">
        <v>47</v>
      </c>
      <c r="G88" s="269">
        <v>750</v>
      </c>
      <c r="H88" s="262" t="s">
        <v>59</v>
      </c>
      <c r="I88" s="267" t="s">
        <v>715</v>
      </c>
      <c r="J88" s="267" t="s">
        <v>716</v>
      </c>
      <c r="K88" s="267" t="s">
        <v>715</v>
      </c>
      <c r="L88" s="267" t="s">
        <v>716</v>
      </c>
      <c r="M88" s="267" t="s">
        <v>521</v>
      </c>
      <c r="N88" s="267" t="s">
        <v>61</v>
      </c>
      <c r="O88" s="268">
        <v>43094</v>
      </c>
      <c r="P88" s="270">
        <v>950</v>
      </c>
      <c r="Q88" s="267" t="str">
        <f t="shared" si="10"/>
        <v>26.67%</v>
      </c>
      <c r="R88" s="267"/>
    </row>
    <row r="89" spans="1:18" x14ac:dyDescent="0.25">
      <c r="A89" s="12">
        <f t="shared" si="6"/>
        <v>87</v>
      </c>
      <c r="B89" s="267" t="s">
        <v>714</v>
      </c>
      <c r="C89" s="268">
        <v>43077</v>
      </c>
      <c r="D89" s="268">
        <v>43083</v>
      </c>
      <c r="E89" s="268">
        <v>43084</v>
      </c>
      <c r="F89" s="262" t="s">
        <v>37</v>
      </c>
      <c r="G89" s="269">
        <v>1500</v>
      </c>
      <c r="H89" s="262" t="s">
        <v>46</v>
      </c>
      <c r="I89" s="267" t="s">
        <v>715</v>
      </c>
      <c r="J89" s="267" t="s">
        <v>716</v>
      </c>
      <c r="K89" s="267" t="s">
        <v>521</v>
      </c>
      <c r="L89" s="267" t="s">
        <v>716</v>
      </c>
      <c r="M89" s="267" t="s">
        <v>521</v>
      </c>
      <c r="N89" s="271" t="s">
        <v>39</v>
      </c>
      <c r="O89" s="268">
        <v>43094</v>
      </c>
      <c r="P89" s="270">
        <v>3060</v>
      </c>
      <c r="Q89" s="267" t="str">
        <f t="shared" si="10"/>
        <v>104%</v>
      </c>
      <c r="R89" s="267"/>
    </row>
    <row r="90" spans="1:18" x14ac:dyDescent="0.25">
      <c r="A90" s="12">
        <f t="shared" si="6"/>
        <v>88</v>
      </c>
      <c r="B90" s="267" t="s">
        <v>717</v>
      </c>
      <c r="C90" s="268">
        <v>43077</v>
      </c>
      <c r="D90" s="268">
        <v>43083</v>
      </c>
      <c r="E90" s="268">
        <v>43084</v>
      </c>
      <c r="F90" s="262" t="s">
        <v>47</v>
      </c>
      <c r="G90" s="269">
        <v>1800</v>
      </c>
      <c r="H90" s="262" t="s">
        <v>59</v>
      </c>
      <c r="I90" s="267" t="s">
        <v>558</v>
      </c>
      <c r="J90" s="267" t="s">
        <v>560</v>
      </c>
      <c r="K90" s="267" t="s">
        <v>558</v>
      </c>
      <c r="L90" s="267" t="s">
        <v>560</v>
      </c>
      <c r="M90" s="267" t="s">
        <v>558</v>
      </c>
      <c r="N90" s="267" t="s">
        <v>61</v>
      </c>
      <c r="O90" s="268">
        <v>43095</v>
      </c>
      <c r="P90" s="270">
        <v>2001</v>
      </c>
      <c r="Q90" s="267" t="str">
        <f t="shared" ref="Q90:Q94" si="11">CONCATENATE(ROUND((IF(ISBLANK(P90),0,P90)-IF(ISBLANK(G90),0,G90))/IF(ISBLANK(G90),0,G90),4)*100,"%")</f>
        <v>11.17%</v>
      </c>
      <c r="R90" s="267"/>
    </row>
    <row r="91" spans="1:18" x14ac:dyDescent="0.25">
      <c r="A91" s="12">
        <f t="shared" si="6"/>
        <v>89</v>
      </c>
      <c r="B91" s="44"/>
      <c r="C91" s="45"/>
      <c r="D91" s="45"/>
      <c r="E91" s="45"/>
      <c r="F91" s="31"/>
      <c r="G91" s="46"/>
      <c r="H91" s="31"/>
      <c r="I91" s="44"/>
      <c r="J91" s="44"/>
      <c r="K91" s="44"/>
      <c r="L91" s="44"/>
      <c r="M91" s="44"/>
      <c r="N91" s="44"/>
      <c r="O91" s="45"/>
      <c r="P91" s="48"/>
      <c r="Q91" s="425"/>
      <c r="R91" s="44"/>
    </row>
    <row r="92" spans="1:18" x14ac:dyDescent="0.25">
      <c r="A92" s="12">
        <f t="shared" si="6"/>
        <v>90</v>
      </c>
      <c r="B92" s="44"/>
      <c r="C92" s="44"/>
      <c r="D92" s="44"/>
      <c r="E92" s="44"/>
      <c r="F92" s="31"/>
      <c r="G92" s="46"/>
      <c r="H92" s="31"/>
      <c r="I92" s="44"/>
      <c r="J92" s="44"/>
      <c r="K92" s="44"/>
      <c r="L92" s="44"/>
      <c r="M92" s="44"/>
      <c r="N92" s="44"/>
      <c r="O92" s="45"/>
      <c r="P92" s="48"/>
      <c r="Q92" s="425" t="e">
        <f t="shared" si="11"/>
        <v>#DIV/0!</v>
      </c>
      <c r="R92" s="44"/>
    </row>
    <row r="93" spans="1:18" x14ac:dyDescent="0.25">
      <c r="A93" s="12">
        <f t="shared" si="6"/>
        <v>91</v>
      </c>
      <c r="B93" s="44"/>
      <c r="C93" s="44"/>
      <c r="D93" s="44"/>
      <c r="E93" s="44"/>
      <c r="F93" s="31"/>
      <c r="G93" s="46"/>
      <c r="H93" s="31"/>
      <c r="I93" s="44"/>
      <c r="J93" s="44"/>
      <c r="K93" s="44"/>
      <c r="L93" s="44"/>
      <c r="M93" s="44"/>
      <c r="N93" s="44"/>
      <c r="O93" s="45"/>
      <c r="P93" s="48"/>
      <c r="Q93" s="425" t="e">
        <f t="shared" si="11"/>
        <v>#DIV/0!</v>
      </c>
      <c r="R93" s="44"/>
    </row>
    <row r="94" spans="1:18" x14ac:dyDescent="0.25">
      <c r="A94" s="12">
        <f t="shared" si="6"/>
        <v>92</v>
      </c>
      <c r="B94" s="44"/>
      <c r="C94" s="44"/>
      <c r="D94" s="44"/>
      <c r="E94" s="44"/>
      <c r="F94" s="31"/>
      <c r="G94" s="46"/>
      <c r="H94" s="31"/>
      <c r="I94" s="44"/>
      <c r="J94" s="44"/>
      <c r="K94" s="44"/>
      <c r="L94" s="44"/>
      <c r="M94" s="44"/>
      <c r="N94" s="44"/>
      <c r="O94" s="45"/>
      <c r="P94" s="48"/>
      <c r="Q94" s="425" t="e">
        <f t="shared" si="11"/>
        <v>#DIV/0!</v>
      </c>
      <c r="R94" s="44"/>
    </row>
    <row r="95" spans="1:18" x14ac:dyDescent="0.25">
      <c r="A95" s="12">
        <f t="shared" si="6"/>
        <v>93</v>
      </c>
      <c r="B95" s="44"/>
      <c r="C95" s="44"/>
      <c r="D95" s="44"/>
      <c r="E95" s="44"/>
      <c r="F95" s="31"/>
      <c r="G95" s="46"/>
      <c r="H95" s="31"/>
      <c r="I95" s="44"/>
      <c r="J95" s="44"/>
      <c r="K95" s="44"/>
      <c r="L95" s="44"/>
      <c r="M95" s="44"/>
      <c r="N95" s="44"/>
      <c r="O95" s="45"/>
      <c r="P95" s="48"/>
      <c r="Q95" s="425" t="e">
        <f t="shared" ref="Q95:Q105" si="12">CONCATENATE(ROUND((IF(ISBLANK(P95),0,P95)-IF(ISBLANK(G95),0,G95))/IF(ISBLANK(G95),0,G95),4)*100,"%")</f>
        <v>#DIV/0!</v>
      </c>
      <c r="R95" s="44"/>
    </row>
    <row r="96" spans="1:18" x14ac:dyDescent="0.25">
      <c r="A96" s="12">
        <f t="shared" si="6"/>
        <v>94</v>
      </c>
      <c r="B96" s="44"/>
      <c r="C96" s="44"/>
      <c r="D96" s="44"/>
      <c r="E96" s="44"/>
      <c r="F96" s="31"/>
      <c r="G96" s="46"/>
      <c r="H96" s="31"/>
      <c r="I96" s="44"/>
      <c r="J96" s="44"/>
      <c r="K96" s="44"/>
      <c r="L96" s="44"/>
      <c r="M96" s="44"/>
      <c r="N96" s="44"/>
      <c r="O96" s="45"/>
      <c r="P96" s="48"/>
      <c r="Q96" s="425" t="e">
        <f t="shared" si="12"/>
        <v>#DIV/0!</v>
      </c>
      <c r="R96" s="44"/>
    </row>
    <row r="97" spans="1:18" x14ac:dyDescent="0.25">
      <c r="A97" s="12">
        <f t="shared" si="6"/>
        <v>95</v>
      </c>
      <c r="B97" s="44"/>
      <c r="C97" s="44"/>
      <c r="D97" s="44"/>
      <c r="E97" s="44"/>
      <c r="F97" s="31"/>
      <c r="G97" s="46"/>
      <c r="H97" s="31"/>
      <c r="I97" s="44"/>
      <c r="J97" s="44"/>
      <c r="K97" s="44"/>
      <c r="L97" s="44"/>
      <c r="M97" s="44"/>
      <c r="N97" s="44"/>
      <c r="O97" s="45"/>
      <c r="P97" s="48"/>
      <c r="Q97" s="425" t="e">
        <f t="shared" si="12"/>
        <v>#DIV/0!</v>
      </c>
      <c r="R97" s="44"/>
    </row>
    <row r="98" spans="1:18" x14ac:dyDescent="0.25">
      <c r="A98" s="12">
        <f t="shared" si="6"/>
        <v>96</v>
      </c>
      <c r="B98" s="44"/>
      <c r="C98" s="44"/>
      <c r="D98" s="44"/>
      <c r="E98" s="44"/>
      <c r="F98" s="31"/>
      <c r="G98" s="46"/>
      <c r="H98" s="31"/>
      <c r="I98" s="44"/>
      <c r="J98" s="44"/>
      <c r="K98" s="44"/>
      <c r="L98" s="44"/>
      <c r="M98" s="44"/>
      <c r="N98" s="44"/>
      <c r="O98" s="45"/>
      <c r="P98" s="48"/>
      <c r="Q98" s="425" t="e">
        <f t="shared" si="12"/>
        <v>#DIV/0!</v>
      </c>
      <c r="R98" s="44"/>
    </row>
    <row r="99" spans="1:18" x14ac:dyDescent="0.25">
      <c r="A99" s="12">
        <f t="shared" si="6"/>
        <v>97</v>
      </c>
      <c r="B99" s="44"/>
      <c r="C99" s="44"/>
      <c r="D99" s="44"/>
      <c r="E99" s="44"/>
      <c r="F99" s="31"/>
      <c r="G99" s="46"/>
      <c r="H99" s="31"/>
      <c r="I99" s="44"/>
      <c r="J99" s="44"/>
      <c r="K99" s="44"/>
      <c r="L99" s="44"/>
      <c r="M99" s="44"/>
      <c r="N99" s="44"/>
      <c r="O99" s="45"/>
      <c r="P99" s="48"/>
      <c r="Q99" s="425" t="e">
        <f t="shared" si="12"/>
        <v>#DIV/0!</v>
      </c>
      <c r="R99" s="44"/>
    </row>
    <row r="100" spans="1:18" x14ac:dyDescent="0.25">
      <c r="A100" s="12">
        <f t="shared" si="6"/>
        <v>98</v>
      </c>
      <c r="B100" s="44"/>
      <c r="C100" s="44"/>
      <c r="D100" s="44"/>
      <c r="E100" s="44"/>
      <c r="F100" s="31"/>
      <c r="G100" s="46"/>
      <c r="H100" s="31"/>
      <c r="I100" s="44"/>
      <c r="J100" s="44"/>
      <c r="K100" s="44"/>
      <c r="L100" s="44"/>
      <c r="M100" s="44"/>
      <c r="N100" s="44"/>
      <c r="O100" s="45"/>
      <c r="P100" s="48"/>
      <c r="Q100" s="425" t="e">
        <f t="shared" si="12"/>
        <v>#DIV/0!</v>
      </c>
      <c r="R100" s="44"/>
    </row>
    <row r="101" spans="1:18" x14ac:dyDescent="0.25">
      <c r="A101" s="12">
        <f t="shared" si="6"/>
        <v>99</v>
      </c>
      <c r="B101" s="44"/>
      <c r="C101" s="44"/>
      <c r="D101" s="44"/>
      <c r="E101" s="44"/>
      <c r="F101" s="31"/>
      <c r="G101" s="46"/>
      <c r="H101" s="31"/>
      <c r="I101" s="44"/>
      <c r="J101" s="44"/>
      <c r="K101" s="44"/>
      <c r="L101" s="44"/>
      <c r="M101" s="44"/>
      <c r="N101" s="44"/>
      <c r="O101" s="45"/>
      <c r="P101" s="48"/>
      <c r="Q101" s="425" t="e">
        <f t="shared" si="12"/>
        <v>#DIV/0!</v>
      </c>
      <c r="R101" s="44"/>
    </row>
    <row r="102" spans="1:18" x14ac:dyDescent="0.25">
      <c r="A102" s="12">
        <f t="shared" si="6"/>
        <v>100</v>
      </c>
      <c r="B102" s="44"/>
      <c r="C102" s="44"/>
      <c r="D102" s="44"/>
      <c r="E102" s="44"/>
      <c r="F102" s="31"/>
      <c r="G102" s="46"/>
      <c r="H102" s="31"/>
      <c r="I102" s="44"/>
      <c r="J102" s="44"/>
      <c r="K102" s="44"/>
      <c r="L102" s="44"/>
      <c r="M102" s="44"/>
      <c r="N102" s="44"/>
      <c r="O102" s="45"/>
      <c r="P102" s="48"/>
      <c r="Q102" s="425" t="e">
        <f t="shared" si="12"/>
        <v>#DIV/0!</v>
      </c>
      <c r="R102" s="44"/>
    </row>
    <row r="103" spans="1:18" x14ac:dyDescent="0.25">
      <c r="A103" s="12">
        <f t="shared" si="6"/>
        <v>101</v>
      </c>
      <c r="B103" s="44"/>
      <c r="C103" s="44"/>
      <c r="D103" s="44"/>
      <c r="E103" s="44"/>
      <c r="F103" s="31"/>
      <c r="G103" s="46"/>
      <c r="H103" s="31"/>
      <c r="I103" s="44"/>
      <c r="J103" s="44"/>
      <c r="K103" s="44"/>
      <c r="L103" s="44"/>
      <c r="M103" s="44"/>
      <c r="N103" s="44"/>
      <c r="O103" s="45"/>
      <c r="P103" s="48"/>
      <c r="Q103" s="425" t="e">
        <f t="shared" si="12"/>
        <v>#DIV/0!</v>
      </c>
      <c r="R103" s="44"/>
    </row>
    <row r="104" spans="1:18" x14ac:dyDescent="0.25">
      <c r="A104" s="12">
        <f t="shared" si="6"/>
        <v>102</v>
      </c>
      <c r="B104" s="44"/>
      <c r="C104" s="44"/>
      <c r="D104" s="44"/>
      <c r="E104" s="44"/>
      <c r="F104" s="31"/>
      <c r="G104" s="46"/>
      <c r="H104" s="31"/>
      <c r="I104" s="44"/>
      <c r="J104" s="44"/>
      <c r="K104" s="44"/>
      <c r="L104" s="44"/>
      <c r="M104" s="44"/>
      <c r="N104" s="44"/>
      <c r="O104" s="45"/>
      <c r="P104" s="48"/>
      <c r="Q104" s="425" t="e">
        <f t="shared" si="12"/>
        <v>#DIV/0!</v>
      </c>
      <c r="R104" s="44"/>
    </row>
    <row r="105" spans="1:18" x14ac:dyDescent="0.25">
      <c r="A105" s="12">
        <f t="shared" si="6"/>
        <v>103</v>
      </c>
      <c r="B105" s="44"/>
      <c r="C105" s="44"/>
      <c r="D105" s="44"/>
      <c r="E105" s="44"/>
      <c r="F105" s="31"/>
      <c r="G105" s="46"/>
      <c r="H105" s="31"/>
      <c r="I105" s="44"/>
      <c r="J105" s="44"/>
      <c r="K105" s="44"/>
      <c r="L105" s="44"/>
      <c r="M105" s="44"/>
      <c r="N105" s="44"/>
      <c r="O105" s="45"/>
      <c r="P105" s="48"/>
      <c r="Q105" s="425" t="e">
        <f t="shared" si="12"/>
        <v>#DIV/0!</v>
      </c>
      <c r="R105" s="44"/>
    </row>
  </sheetData>
  <mergeCells count="1">
    <mergeCell ref="A1:B1"/>
  </mergeCells>
  <phoneticPr fontId="2"/>
  <conditionalFormatting sqref="H2:H1048576">
    <cfRule type="cellIs" dxfId="116" priority="7" operator="lessThan">
      <formula>"D"</formula>
    </cfRule>
    <cfRule type="cellIs" dxfId="115" priority="8" operator="equal">
      <formula>"D"</formula>
    </cfRule>
  </conditionalFormatting>
  <conditionalFormatting sqref="A1:G1 I1:XFD1 A76:D76 A77:B78 F76:S76 G77:S78 A2:XFD7 A8:S75 A106:XFD1048576 T8:XFD105 A79:S105">
    <cfRule type="expression" dxfId="114" priority="6">
      <formula>CELL("ROW")=ROW()</formula>
    </cfRule>
  </conditionalFormatting>
  <conditionalFormatting sqref="E76">
    <cfRule type="expression" dxfId="113" priority="5">
      <formula>CELL("ROW")=ROW()</formula>
    </cfRule>
  </conditionalFormatting>
  <conditionalFormatting sqref="C77:D77 F77">
    <cfRule type="expression" dxfId="112" priority="4">
      <formula>CELL("ROW")=ROW()</formula>
    </cfRule>
  </conditionalFormatting>
  <conditionalFormatting sqref="E77">
    <cfRule type="expression" dxfId="111" priority="3">
      <formula>CELL("ROW")=ROW()</formula>
    </cfRule>
  </conditionalFormatting>
  <conditionalFormatting sqref="C78:D78 F78">
    <cfRule type="expression" dxfId="110" priority="2">
      <formula>CELL("ROW")=ROW()</formula>
    </cfRule>
  </conditionalFormatting>
  <conditionalFormatting sqref="E78">
    <cfRule type="expression" dxfId="109" priority="1">
      <formula>CELL("ROW")=ROW()</formula>
    </cfRule>
  </conditionalFormatting>
  <dataValidations count="3">
    <dataValidation type="list" allowBlank="1" showInputMessage="1" showErrorMessage="1" sqref="H3:H105">
      <formula1>$W$3:$W$8</formula1>
    </dataValidation>
    <dataValidation type="list" allowBlank="1" showInputMessage="1" showErrorMessage="1" sqref="N2:N1048576">
      <formula1>$U$3:$U$11</formula1>
    </dataValidation>
    <dataValidation type="list" allowBlank="1" showInputMessage="1" showErrorMessage="1" sqref="F3:F105">
      <formula1>$T$3:$T$10</formula1>
    </dataValidation>
  </dataValidations>
  <hyperlinks>
    <hyperlink ref="T17" r:id="rId1"/>
    <hyperlink ref="T20" r:id="rId2"/>
    <hyperlink ref="I2" r:id="rId3"/>
    <hyperlink ref="K2" r:id="rId4"/>
    <hyperlink ref="J2" r:id="rId5"/>
    <hyperlink ref="L2" r:id="rId6"/>
    <hyperlink ref="T23" r:id="rId7"/>
    <hyperlink ref="M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V240"/>
  <sheetViews>
    <sheetView zoomScale="70" zoomScaleNormal="70" workbookViewId="0">
      <pane xSplit="2" ySplit="2" topLeftCell="C204" activePane="bottomRight" state="frozen"/>
      <selection activeCell="U183" sqref="U183"/>
      <selection pane="topRight" activeCell="U183" sqref="U183"/>
      <selection pane="bottomLeft" activeCell="U183" sqref="U183"/>
      <selection pane="bottomRight" activeCell="D235" sqref="D235"/>
    </sheetView>
  </sheetViews>
  <sheetFormatPr defaultColWidth="8" defaultRowHeight="15.75" x14ac:dyDescent="0.25"/>
  <cols>
    <col min="1" max="1" width="5" style="114" bestFit="1" customWidth="1"/>
    <col min="2" max="2" width="24.109375" style="12" bestFit="1" customWidth="1"/>
    <col min="3" max="3" width="8.33203125" style="18" bestFit="1" customWidth="1"/>
    <col min="4" max="5" width="12.6640625" style="15" bestFit="1" customWidth="1"/>
    <col min="6" max="6" width="10.5546875" style="17" customWidth="1"/>
    <col min="7" max="7" width="9.5546875" style="18" customWidth="1"/>
    <col min="8" max="8" width="12.21875" style="115" bestFit="1" customWidth="1"/>
    <col min="9" max="9" width="8.33203125" style="51" bestFit="1" customWidth="1"/>
    <col min="10" max="10" width="8.33203125" style="51" customWidth="1"/>
    <col min="11" max="11" width="9.88671875" style="12" customWidth="1"/>
    <col min="12" max="12" width="8.33203125" style="12" bestFit="1" customWidth="1"/>
    <col min="13" max="13" width="11.109375" style="12" bestFit="1" customWidth="1"/>
    <col min="14" max="15" width="6.6640625" style="12" bestFit="1" customWidth="1"/>
    <col min="16" max="16" width="12.109375" style="116" bestFit="1" customWidth="1"/>
    <col min="17" max="17" width="13.21875" style="12" bestFit="1" customWidth="1"/>
    <col min="18" max="19" width="10.21875" style="15" bestFit="1" customWidth="1"/>
    <col min="20" max="20" width="8.6640625" style="15" customWidth="1"/>
    <col min="21" max="21" width="10.21875" style="15" bestFit="1" customWidth="1"/>
    <col min="22" max="22" width="10" style="53" bestFit="1" customWidth="1"/>
    <col min="23" max="23" width="9.44140625" style="53" bestFit="1" customWidth="1"/>
    <col min="24" max="25" width="8" style="53"/>
    <col min="26" max="26" width="11.88671875" style="53" bestFit="1" customWidth="1"/>
    <col min="27" max="27" width="7.6640625" style="53" bestFit="1" customWidth="1"/>
    <col min="28" max="28" width="8.33203125" style="53" bestFit="1" customWidth="1"/>
    <col min="29" max="16384" width="8" style="53"/>
  </cols>
  <sheetData>
    <row r="1" spans="1:22" ht="17.25" customHeight="1" x14ac:dyDescent="0.25">
      <c r="A1" s="453" t="s">
        <v>111</v>
      </c>
      <c r="B1" s="453"/>
      <c r="E1" s="50" t="s">
        <v>112</v>
      </c>
      <c r="F1" s="53"/>
      <c r="G1" s="53"/>
      <c r="H1" s="449" t="s">
        <v>113</v>
      </c>
      <c r="J1" s="53"/>
      <c r="K1" s="53"/>
      <c r="L1" s="53"/>
      <c r="M1" s="53"/>
      <c r="O1" s="53"/>
      <c r="P1" s="53"/>
      <c r="Q1" s="53"/>
      <c r="R1" s="53"/>
      <c r="S1" s="360" t="s">
        <v>114</v>
      </c>
      <c r="T1" s="52"/>
    </row>
    <row r="2" spans="1:22" ht="16.5" thickBot="1" x14ac:dyDescent="0.3">
      <c r="A2" s="306" t="s">
        <v>23</v>
      </c>
      <c r="B2" s="306" t="s">
        <v>17</v>
      </c>
      <c r="C2" s="307" t="s">
        <v>22</v>
      </c>
      <c r="D2" s="308" t="s">
        <v>115</v>
      </c>
      <c r="E2" s="308" t="s">
        <v>116</v>
      </c>
      <c r="F2" s="309" t="s">
        <v>29</v>
      </c>
      <c r="G2" s="307" t="s">
        <v>30</v>
      </c>
      <c r="H2" s="310" t="s">
        <v>118</v>
      </c>
      <c r="I2" s="311" t="s">
        <v>119</v>
      </c>
      <c r="J2" s="311" t="s">
        <v>34</v>
      </c>
      <c r="K2" s="306" t="s">
        <v>120</v>
      </c>
      <c r="L2" s="306" t="s">
        <v>121</v>
      </c>
      <c r="M2" s="306" t="s">
        <v>122</v>
      </c>
      <c r="N2" s="306" t="s">
        <v>123</v>
      </c>
      <c r="O2" s="306" t="s">
        <v>124</v>
      </c>
      <c r="P2" s="312" t="s">
        <v>125</v>
      </c>
      <c r="Q2" s="54" t="s">
        <v>126</v>
      </c>
      <c r="R2" s="15" t="s">
        <v>127</v>
      </c>
      <c r="S2" s="15" t="s">
        <v>128</v>
      </c>
      <c r="T2" s="15" t="s">
        <v>129</v>
      </c>
      <c r="U2" s="15" t="s">
        <v>130</v>
      </c>
    </row>
    <row r="3" spans="1:22" ht="16.5" thickTop="1" x14ac:dyDescent="0.25">
      <c r="A3" s="55"/>
      <c r="B3" s="273" t="s">
        <v>131</v>
      </c>
      <c r="C3" s="274"/>
      <c r="D3" s="275"/>
      <c r="E3" s="275"/>
      <c r="F3" s="276"/>
      <c r="G3" s="274"/>
      <c r="H3" s="277"/>
      <c r="I3" s="278"/>
      <c r="J3" s="56" t="s">
        <v>132</v>
      </c>
      <c r="K3" s="57">
        <v>661.5</v>
      </c>
      <c r="L3" s="57">
        <v>1000</v>
      </c>
      <c r="M3" s="57">
        <v>662.3</v>
      </c>
      <c r="N3" s="58">
        <f t="shared" ref="N3:O5" si="0">R3+T3</f>
        <v>924</v>
      </c>
      <c r="O3" s="58">
        <f t="shared" si="0"/>
        <v>72</v>
      </c>
      <c r="P3" s="59">
        <f t="shared" ref="P3:P167" si="1">(M3-K3)*L3-O3-N3</f>
        <v>-196.00000000004547</v>
      </c>
      <c r="Q3" s="60">
        <v>42836</v>
      </c>
      <c r="R3" s="15">
        <v>462</v>
      </c>
      <c r="S3" s="15">
        <v>36</v>
      </c>
      <c r="T3" s="15">
        <v>462</v>
      </c>
      <c r="U3" s="15">
        <v>36</v>
      </c>
      <c r="V3" s="19"/>
    </row>
    <row r="4" spans="1:22" x14ac:dyDescent="0.25">
      <c r="A4" s="55"/>
      <c r="B4" s="279" t="s">
        <v>133</v>
      </c>
      <c r="C4" s="280"/>
      <c r="D4" s="281"/>
      <c r="E4" s="281"/>
      <c r="F4" s="282"/>
      <c r="G4" s="280"/>
      <c r="H4" s="283"/>
      <c r="I4" s="284"/>
      <c r="J4" s="61" t="s">
        <v>132</v>
      </c>
      <c r="K4" s="62">
        <v>2945</v>
      </c>
      <c r="L4" s="62">
        <v>200</v>
      </c>
      <c r="M4" s="62">
        <v>2949.5</v>
      </c>
      <c r="N4" s="63">
        <f t="shared" si="0"/>
        <v>974</v>
      </c>
      <c r="O4" s="63">
        <f t="shared" si="0"/>
        <v>76</v>
      </c>
      <c r="P4" s="64">
        <f t="shared" si="1"/>
        <v>-150</v>
      </c>
      <c r="Q4" s="60">
        <v>42851</v>
      </c>
      <c r="R4" s="15">
        <v>487</v>
      </c>
      <c r="S4" s="15">
        <v>38</v>
      </c>
      <c r="T4" s="15">
        <v>487</v>
      </c>
      <c r="U4" s="15">
        <v>38</v>
      </c>
      <c r="V4" s="19"/>
    </row>
    <row r="5" spans="1:22" x14ac:dyDescent="0.25">
      <c r="A5" s="55"/>
      <c r="B5" s="279" t="s">
        <v>134</v>
      </c>
      <c r="C5" s="280"/>
      <c r="D5" s="281"/>
      <c r="E5" s="281"/>
      <c r="F5" s="282"/>
      <c r="G5" s="280"/>
      <c r="H5" s="283"/>
      <c r="I5" s="284"/>
      <c r="J5" s="65" t="s">
        <v>135</v>
      </c>
      <c r="K5" s="66">
        <v>1664</v>
      </c>
      <c r="L5" s="66">
        <v>200</v>
      </c>
      <c r="M5" s="66">
        <v>1673</v>
      </c>
      <c r="N5" s="67">
        <f t="shared" si="0"/>
        <v>700</v>
      </c>
      <c r="O5" s="67">
        <f t="shared" si="0"/>
        <v>56</v>
      </c>
      <c r="P5" s="68">
        <f t="shared" si="1"/>
        <v>1044</v>
      </c>
      <c r="Q5" s="60">
        <v>42864</v>
      </c>
      <c r="R5" s="15">
        <v>350</v>
      </c>
      <c r="S5" s="15">
        <v>28</v>
      </c>
      <c r="T5" s="15">
        <v>350</v>
      </c>
      <c r="U5" s="15">
        <v>28</v>
      </c>
      <c r="V5" s="19"/>
    </row>
    <row r="6" spans="1:22" x14ac:dyDescent="0.25">
      <c r="A6" s="55"/>
      <c r="B6" s="285" t="s">
        <v>136</v>
      </c>
      <c r="C6" s="286"/>
      <c r="D6" s="287"/>
      <c r="E6" s="287"/>
      <c r="F6" s="288"/>
      <c r="G6" s="286"/>
      <c r="H6" s="289"/>
      <c r="I6" s="290"/>
      <c r="J6" s="61" t="s">
        <v>132</v>
      </c>
      <c r="K6" s="69">
        <v>4560</v>
      </c>
      <c r="L6" s="69">
        <v>100</v>
      </c>
      <c r="M6" s="69">
        <v>4580</v>
      </c>
      <c r="N6" s="70">
        <v>544</v>
      </c>
      <c r="O6" s="70">
        <v>42</v>
      </c>
      <c r="P6" s="71">
        <v>1414</v>
      </c>
      <c r="Q6" s="60">
        <v>42865</v>
      </c>
      <c r="R6" s="15">
        <v>272</v>
      </c>
      <c r="S6" s="15">
        <v>21</v>
      </c>
      <c r="T6" s="15">
        <v>272</v>
      </c>
      <c r="U6" s="15">
        <v>21</v>
      </c>
      <c r="V6" s="19"/>
    </row>
    <row r="7" spans="1:22" x14ac:dyDescent="0.25">
      <c r="A7" s="55"/>
      <c r="B7" s="279"/>
      <c r="C7" s="280"/>
      <c r="D7" s="281"/>
      <c r="E7" s="281"/>
      <c r="F7" s="282"/>
      <c r="G7" s="280"/>
      <c r="H7" s="283"/>
      <c r="I7" s="284"/>
      <c r="J7" s="61" t="s">
        <v>132</v>
      </c>
      <c r="K7" s="62">
        <v>4650</v>
      </c>
      <c r="L7" s="62">
        <v>100</v>
      </c>
      <c r="M7" s="62">
        <v>4620</v>
      </c>
      <c r="N7" s="63">
        <f t="shared" ref="N7:O14" si="2">R7+T7</f>
        <v>544</v>
      </c>
      <c r="O7" s="63">
        <f t="shared" si="2"/>
        <v>42</v>
      </c>
      <c r="P7" s="64">
        <f t="shared" ref="P7:P14" si="3">(M7-K7)*L7-O7-N7</f>
        <v>-3586</v>
      </c>
      <c r="Q7" s="60">
        <v>42866</v>
      </c>
      <c r="R7" s="15">
        <v>272</v>
      </c>
      <c r="S7" s="15">
        <v>21</v>
      </c>
      <c r="T7" s="15">
        <v>272</v>
      </c>
      <c r="U7" s="15">
        <v>21</v>
      </c>
      <c r="V7" s="19"/>
    </row>
    <row r="8" spans="1:22" x14ac:dyDescent="0.25">
      <c r="A8" s="55"/>
      <c r="B8" s="279"/>
      <c r="C8" s="280"/>
      <c r="D8" s="281"/>
      <c r="E8" s="281"/>
      <c r="F8" s="282"/>
      <c r="G8" s="280"/>
      <c r="H8" s="283"/>
      <c r="I8" s="284"/>
      <c r="J8" s="61" t="s">
        <v>132</v>
      </c>
      <c r="K8" s="66">
        <v>4520</v>
      </c>
      <c r="L8" s="66">
        <v>100</v>
      </c>
      <c r="M8" s="66">
        <v>4555</v>
      </c>
      <c r="N8" s="67">
        <f t="shared" si="2"/>
        <v>531</v>
      </c>
      <c r="O8" s="67">
        <f t="shared" si="2"/>
        <v>41</v>
      </c>
      <c r="P8" s="68">
        <f t="shared" si="3"/>
        <v>2928</v>
      </c>
      <c r="Q8" s="60">
        <v>42873</v>
      </c>
      <c r="R8" s="15">
        <v>272</v>
      </c>
      <c r="S8" s="15">
        <v>21</v>
      </c>
      <c r="T8" s="15">
        <v>259</v>
      </c>
      <c r="U8" s="15">
        <v>20</v>
      </c>
      <c r="V8" s="19"/>
    </row>
    <row r="9" spans="1:22" x14ac:dyDescent="0.25">
      <c r="A9" s="55"/>
      <c r="B9" s="279" t="s">
        <v>137</v>
      </c>
      <c r="C9" s="280"/>
      <c r="D9" s="281"/>
      <c r="E9" s="281"/>
      <c r="F9" s="282"/>
      <c r="G9" s="280"/>
      <c r="H9" s="283"/>
      <c r="I9" s="284"/>
      <c r="J9" s="61" t="s">
        <v>132</v>
      </c>
      <c r="K9" s="66">
        <v>2955</v>
      </c>
      <c r="L9" s="66">
        <v>200</v>
      </c>
      <c r="M9" s="66">
        <v>3005</v>
      </c>
      <c r="N9" s="67">
        <f t="shared" si="2"/>
        <v>974</v>
      </c>
      <c r="O9" s="67">
        <f t="shared" si="2"/>
        <v>76</v>
      </c>
      <c r="P9" s="68">
        <f t="shared" si="3"/>
        <v>8950</v>
      </c>
      <c r="Q9" s="60">
        <v>42866</v>
      </c>
      <c r="R9" s="15">
        <v>487</v>
      </c>
      <c r="S9" s="15">
        <v>38</v>
      </c>
      <c r="T9" s="15">
        <v>487</v>
      </c>
      <c r="U9" s="15">
        <v>38</v>
      </c>
      <c r="V9" s="19"/>
    </row>
    <row r="10" spans="1:22" x14ac:dyDescent="0.25">
      <c r="A10" s="55"/>
      <c r="B10" s="279" t="s">
        <v>138</v>
      </c>
      <c r="C10" s="280"/>
      <c r="D10" s="281"/>
      <c r="E10" s="281"/>
      <c r="F10" s="282"/>
      <c r="G10" s="280"/>
      <c r="H10" s="283"/>
      <c r="I10" s="284"/>
      <c r="J10" s="61" t="s">
        <v>132</v>
      </c>
      <c r="K10" s="62">
        <v>5860</v>
      </c>
      <c r="L10" s="62">
        <v>100</v>
      </c>
      <c r="M10" s="62">
        <v>5860</v>
      </c>
      <c r="N10" s="63">
        <f t="shared" si="2"/>
        <v>974</v>
      </c>
      <c r="O10" s="63">
        <f t="shared" si="2"/>
        <v>76</v>
      </c>
      <c r="P10" s="64">
        <f t="shared" si="3"/>
        <v>-1050</v>
      </c>
      <c r="Q10" s="60">
        <v>42867</v>
      </c>
      <c r="R10" s="15">
        <v>487</v>
      </c>
      <c r="S10" s="15">
        <v>38</v>
      </c>
      <c r="T10" s="15">
        <v>487</v>
      </c>
      <c r="U10" s="15">
        <v>38</v>
      </c>
      <c r="V10" s="19"/>
    </row>
    <row r="11" spans="1:22" x14ac:dyDescent="0.25">
      <c r="A11" s="55"/>
      <c r="B11" s="285"/>
      <c r="C11" s="286"/>
      <c r="D11" s="287"/>
      <c r="E11" s="287"/>
      <c r="F11" s="288"/>
      <c r="G11" s="286"/>
      <c r="H11" s="289"/>
      <c r="I11" s="290"/>
      <c r="J11" s="61" t="s">
        <v>132</v>
      </c>
      <c r="K11" s="66">
        <v>6110</v>
      </c>
      <c r="L11" s="66">
        <v>100</v>
      </c>
      <c r="M11" s="66">
        <v>6130</v>
      </c>
      <c r="N11" s="67">
        <f t="shared" si="2"/>
        <v>974</v>
      </c>
      <c r="O11" s="67">
        <f t="shared" si="2"/>
        <v>76</v>
      </c>
      <c r="P11" s="68">
        <f t="shared" si="3"/>
        <v>950</v>
      </c>
      <c r="Q11" s="72">
        <v>42871</v>
      </c>
      <c r="R11" s="73">
        <v>487</v>
      </c>
      <c r="S11" s="73">
        <v>38</v>
      </c>
      <c r="T11" s="73">
        <v>487</v>
      </c>
      <c r="U11" s="73">
        <v>38</v>
      </c>
      <c r="V11" s="19"/>
    </row>
    <row r="12" spans="1:22" x14ac:dyDescent="0.25">
      <c r="A12" s="55"/>
      <c r="B12" s="279"/>
      <c r="C12" s="280"/>
      <c r="D12" s="281"/>
      <c r="E12" s="281"/>
      <c r="F12" s="282"/>
      <c r="G12" s="280"/>
      <c r="H12" s="283"/>
      <c r="I12" s="284"/>
      <c r="J12" s="61" t="s">
        <v>132</v>
      </c>
      <c r="K12" s="66">
        <v>6030</v>
      </c>
      <c r="L12" s="66">
        <v>100</v>
      </c>
      <c r="M12" s="66">
        <v>6060</v>
      </c>
      <c r="N12" s="67">
        <f t="shared" si="2"/>
        <v>974</v>
      </c>
      <c r="O12" s="67">
        <f t="shared" si="2"/>
        <v>76</v>
      </c>
      <c r="P12" s="68">
        <f t="shared" si="3"/>
        <v>1950</v>
      </c>
      <c r="Q12" s="74">
        <v>42872</v>
      </c>
      <c r="R12" s="75">
        <v>487</v>
      </c>
      <c r="S12" s="75">
        <v>38</v>
      </c>
      <c r="T12" s="75">
        <v>487</v>
      </c>
      <c r="U12" s="75">
        <v>38</v>
      </c>
      <c r="V12" s="19"/>
    </row>
    <row r="13" spans="1:22" x14ac:dyDescent="0.25">
      <c r="A13" s="55"/>
      <c r="B13" s="279"/>
      <c r="C13" s="280"/>
      <c r="D13" s="281"/>
      <c r="E13" s="281"/>
      <c r="F13" s="282"/>
      <c r="G13" s="280"/>
      <c r="H13" s="283"/>
      <c r="I13" s="284"/>
      <c r="J13" s="61" t="s">
        <v>132</v>
      </c>
      <c r="K13" s="66">
        <v>6240</v>
      </c>
      <c r="L13" s="66">
        <v>100</v>
      </c>
      <c r="M13" s="66">
        <v>6260</v>
      </c>
      <c r="N13" s="67">
        <f t="shared" ref="N13" si="4">R13+T13</f>
        <v>974</v>
      </c>
      <c r="O13" s="67">
        <f t="shared" ref="O13" si="5">S13+U13</f>
        <v>76</v>
      </c>
      <c r="P13" s="68">
        <f t="shared" ref="P13" si="6">(M13-K13)*L13-O13-N13</f>
        <v>950</v>
      </c>
      <c r="Q13" s="74">
        <v>42877</v>
      </c>
      <c r="R13" s="75">
        <v>487</v>
      </c>
      <c r="S13" s="75">
        <v>38</v>
      </c>
      <c r="T13" s="75">
        <v>487</v>
      </c>
      <c r="U13" s="75">
        <v>38</v>
      </c>
      <c r="V13" s="19"/>
    </row>
    <row r="14" spans="1:22" x14ac:dyDescent="0.25">
      <c r="A14" s="55"/>
      <c r="B14" s="279" t="s">
        <v>139</v>
      </c>
      <c r="C14" s="280"/>
      <c r="D14" s="281"/>
      <c r="E14" s="281"/>
      <c r="F14" s="282"/>
      <c r="G14" s="280"/>
      <c r="H14" s="283"/>
      <c r="I14" s="284"/>
      <c r="J14" s="61" t="s">
        <v>132</v>
      </c>
      <c r="K14" s="66">
        <v>1065</v>
      </c>
      <c r="L14" s="66">
        <v>500</v>
      </c>
      <c r="M14" s="66">
        <v>1105</v>
      </c>
      <c r="N14" s="67">
        <f t="shared" si="2"/>
        <v>974</v>
      </c>
      <c r="O14" s="67">
        <f t="shared" si="2"/>
        <v>76</v>
      </c>
      <c r="P14" s="68">
        <f t="shared" si="3"/>
        <v>18950</v>
      </c>
      <c r="Q14" s="74">
        <v>42873</v>
      </c>
      <c r="R14" s="75">
        <v>487</v>
      </c>
      <c r="S14" s="75">
        <v>38</v>
      </c>
      <c r="T14" s="75">
        <v>487</v>
      </c>
      <c r="U14" s="75">
        <v>38</v>
      </c>
      <c r="V14" s="19"/>
    </row>
    <row r="15" spans="1:22" x14ac:dyDescent="0.25">
      <c r="A15" s="55"/>
      <c r="B15" s="285"/>
      <c r="C15" s="286"/>
      <c r="D15" s="287"/>
      <c r="E15" s="287"/>
      <c r="F15" s="288"/>
      <c r="G15" s="286"/>
      <c r="H15" s="289"/>
      <c r="I15" s="290"/>
      <c r="J15" s="326" t="s">
        <v>132</v>
      </c>
      <c r="K15" s="69">
        <v>1155</v>
      </c>
      <c r="L15" s="69">
        <v>600</v>
      </c>
      <c r="M15" s="69">
        <v>1161</v>
      </c>
      <c r="N15" s="70">
        <f t="shared" ref="N15" si="7">R15+T15</f>
        <v>974</v>
      </c>
      <c r="O15" s="70">
        <f t="shared" ref="O15" si="8">S15+U15</f>
        <v>76</v>
      </c>
      <c r="P15" s="71">
        <f t="shared" ref="P15" si="9">(M15-K15)*L15-O15-N15</f>
        <v>2550</v>
      </c>
      <c r="Q15" s="323">
        <v>42877</v>
      </c>
      <c r="R15" s="75">
        <v>487</v>
      </c>
      <c r="S15" s="75">
        <v>38</v>
      </c>
      <c r="T15" s="75">
        <v>487</v>
      </c>
      <c r="U15" s="75">
        <v>38</v>
      </c>
      <c r="V15" s="19"/>
    </row>
    <row r="16" spans="1:22" x14ac:dyDescent="0.25">
      <c r="A16" s="55"/>
      <c r="B16" s="285"/>
      <c r="C16" s="286"/>
      <c r="D16" s="287"/>
      <c r="E16" s="287"/>
      <c r="F16" s="288"/>
      <c r="G16" s="286"/>
      <c r="H16" s="289"/>
      <c r="I16" s="290"/>
      <c r="J16" s="326" t="s">
        <v>132</v>
      </c>
      <c r="K16" s="69">
        <v>1197</v>
      </c>
      <c r="L16" s="69">
        <v>400</v>
      </c>
      <c r="M16" s="69">
        <v>1210</v>
      </c>
      <c r="N16" s="70">
        <f t="shared" ref="N16" si="10">R16+T16</f>
        <v>544</v>
      </c>
      <c r="O16" s="70">
        <f t="shared" ref="O16" si="11">S16+U16</f>
        <v>42</v>
      </c>
      <c r="P16" s="71">
        <f t="shared" ref="P16" si="12">(M16-K16)*L16-O16-N16</f>
        <v>4614</v>
      </c>
      <c r="Q16" s="323">
        <v>42878</v>
      </c>
      <c r="R16" s="75">
        <v>272</v>
      </c>
      <c r="S16" s="75">
        <v>21</v>
      </c>
      <c r="T16" s="75">
        <v>272</v>
      </c>
      <c r="U16" s="75">
        <v>21</v>
      </c>
      <c r="V16" s="19"/>
    </row>
    <row r="17" spans="1:22" x14ac:dyDescent="0.25">
      <c r="A17" s="55"/>
      <c r="B17" s="285"/>
      <c r="C17" s="286"/>
      <c r="D17" s="287"/>
      <c r="E17" s="287"/>
      <c r="F17" s="288"/>
      <c r="G17" s="286"/>
      <c r="H17" s="289"/>
      <c r="I17" s="290"/>
      <c r="J17" s="326" t="s">
        <v>132</v>
      </c>
      <c r="K17" s="69">
        <v>1213</v>
      </c>
      <c r="L17" s="69">
        <v>300</v>
      </c>
      <c r="M17" s="69">
        <v>1229</v>
      </c>
      <c r="N17" s="70">
        <f t="shared" ref="N17" si="13">R17+T17</f>
        <v>544</v>
      </c>
      <c r="O17" s="70">
        <f t="shared" ref="O17" si="14">S17+U17</f>
        <v>42</v>
      </c>
      <c r="P17" s="71">
        <f t="shared" ref="P17" si="15">(M17-K17)*L17-O17-N17</f>
        <v>4214</v>
      </c>
      <c r="Q17" s="323">
        <v>42879</v>
      </c>
      <c r="R17" s="75">
        <v>272</v>
      </c>
      <c r="S17" s="75">
        <v>21</v>
      </c>
      <c r="T17" s="75">
        <v>272</v>
      </c>
      <c r="U17" s="75">
        <v>21</v>
      </c>
      <c r="V17" s="19"/>
    </row>
    <row r="18" spans="1:22" x14ac:dyDescent="0.25">
      <c r="A18" s="55"/>
      <c r="B18" s="285"/>
      <c r="C18" s="286"/>
      <c r="D18" s="287"/>
      <c r="E18" s="287"/>
      <c r="F18" s="288"/>
      <c r="G18" s="286"/>
      <c r="H18" s="289"/>
      <c r="I18" s="290"/>
      <c r="J18" s="326" t="s">
        <v>132</v>
      </c>
      <c r="K18" s="69">
        <v>1205</v>
      </c>
      <c r="L18" s="69">
        <v>700</v>
      </c>
      <c r="M18" s="69">
        <v>1214</v>
      </c>
      <c r="N18" s="70">
        <f t="shared" ref="N18" si="16">R18+T18</f>
        <v>974</v>
      </c>
      <c r="O18" s="70">
        <f t="shared" ref="O18" si="17">S18+U18</f>
        <v>76</v>
      </c>
      <c r="P18" s="71">
        <f t="shared" ref="P18" si="18">(M18-K18)*L18-O18-N18</f>
        <v>5250</v>
      </c>
      <c r="Q18" s="323">
        <v>42880</v>
      </c>
      <c r="R18" s="75">
        <v>487</v>
      </c>
      <c r="S18" s="75">
        <v>38</v>
      </c>
      <c r="T18" s="75">
        <v>487</v>
      </c>
      <c r="U18" s="75">
        <v>38</v>
      </c>
      <c r="V18" s="19"/>
    </row>
    <row r="19" spans="1:22" x14ac:dyDescent="0.25">
      <c r="A19" s="55"/>
      <c r="B19" s="285"/>
      <c r="C19" s="286"/>
      <c r="D19" s="287"/>
      <c r="E19" s="287"/>
      <c r="F19" s="288"/>
      <c r="G19" s="286"/>
      <c r="H19" s="289"/>
      <c r="I19" s="290"/>
      <c r="J19" s="326" t="s">
        <v>132</v>
      </c>
      <c r="K19" s="69">
        <v>1302</v>
      </c>
      <c r="L19" s="69">
        <v>300</v>
      </c>
      <c r="M19" s="69">
        <v>1324</v>
      </c>
      <c r="N19" s="70">
        <f t="shared" ref="N19" si="19">R19+T19</f>
        <v>544</v>
      </c>
      <c r="O19" s="70">
        <f t="shared" ref="O19" si="20">S19+U19</f>
        <v>42</v>
      </c>
      <c r="P19" s="71">
        <f t="shared" ref="P19" si="21">(M19-K19)*L19-O19-N19</f>
        <v>6014</v>
      </c>
      <c r="Q19" s="323">
        <v>42885</v>
      </c>
      <c r="R19" s="75">
        <v>272</v>
      </c>
      <c r="S19" s="75">
        <v>21</v>
      </c>
      <c r="T19" s="75">
        <v>272</v>
      </c>
      <c r="U19" s="75">
        <v>21</v>
      </c>
      <c r="V19" s="19"/>
    </row>
    <row r="20" spans="1:22" x14ac:dyDescent="0.25">
      <c r="A20" s="55"/>
      <c r="B20" s="285"/>
      <c r="C20" s="286"/>
      <c r="D20" s="287"/>
      <c r="E20" s="287"/>
      <c r="F20" s="288"/>
      <c r="G20" s="286"/>
      <c r="H20" s="289"/>
      <c r="I20" s="290"/>
      <c r="J20" s="326" t="s">
        <v>132</v>
      </c>
      <c r="K20" s="69">
        <v>1361</v>
      </c>
      <c r="L20" s="69">
        <v>400</v>
      </c>
      <c r="M20" s="69">
        <v>1372</v>
      </c>
      <c r="N20" s="70">
        <f t="shared" ref="N20" si="22">R20+T20</f>
        <v>974</v>
      </c>
      <c r="O20" s="70">
        <f t="shared" ref="O20" si="23">S20+U20</f>
        <v>76</v>
      </c>
      <c r="P20" s="71">
        <f t="shared" ref="P20" si="24">(M20-K20)*L20-O20-N20</f>
        <v>3350</v>
      </c>
      <c r="Q20" s="323">
        <v>42898</v>
      </c>
      <c r="R20" s="75">
        <v>487</v>
      </c>
      <c r="S20" s="75">
        <v>38</v>
      </c>
      <c r="T20" s="75">
        <v>487</v>
      </c>
      <c r="U20" s="75">
        <v>38</v>
      </c>
      <c r="V20" s="19"/>
    </row>
    <row r="21" spans="1:22" x14ac:dyDescent="0.25">
      <c r="A21" s="55"/>
      <c r="B21" s="285"/>
      <c r="C21" s="286"/>
      <c r="D21" s="287"/>
      <c r="E21" s="287"/>
      <c r="F21" s="288"/>
      <c r="G21" s="286"/>
      <c r="H21" s="289"/>
      <c r="I21" s="290"/>
      <c r="J21" s="326" t="s">
        <v>132</v>
      </c>
      <c r="K21" s="69">
        <v>1361</v>
      </c>
      <c r="L21" s="69">
        <v>200</v>
      </c>
      <c r="M21" s="69">
        <v>1372</v>
      </c>
      <c r="N21" s="70">
        <f t="shared" ref="N21" si="25">R21+T21</f>
        <v>272</v>
      </c>
      <c r="O21" s="70">
        <f t="shared" ref="O21" si="26">S21+U21</f>
        <v>21</v>
      </c>
      <c r="P21" s="71">
        <f t="shared" ref="P21" si="27">(M21-K21)*L21-O21-N21</f>
        <v>1907</v>
      </c>
      <c r="Q21" s="323">
        <v>42898</v>
      </c>
      <c r="R21" s="75">
        <v>0</v>
      </c>
      <c r="S21" s="75">
        <v>0</v>
      </c>
      <c r="T21" s="75">
        <v>272</v>
      </c>
      <c r="U21" s="75">
        <v>21</v>
      </c>
      <c r="V21" s="19"/>
    </row>
    <row r="22" spans="1:22" x14ac:dyDescent="0.25">
      <c r="A22" s="55"/>
      <c r="B22" s="285" t="s">
        <v>447</v>
      </c>
      <c r="C22" s="286"/>
      <c r="D22" s="287"/>
      <c r="E22" s="287"/>
      <c r="F22" s="288"/>
      <c r="G22" s="286"/>
      <c r="H22" s="289"/>
      <c r="I22" s="290"/>
      <c r="J22" s="61" t="s">
        <v>132</v>
      </c>
      <c r="K22" s="327">
        <v>2631</v>
      </c>
      <c r="L22" s="327">
        <v>400</v>
      </c>
      <c r="M22" s="327">
        <v>2571</v>
      </c>
      <c r="N22" s="63">
        <f t="shared" ref="N22" si="28">R22+T22</f>
        <v>1135</v>
      </c>
      <c r="O22" s="63">
        <f t="shared" ref="O22" si="29">S22+U22</f>
        <v>90</v>
      </c>
      <c r="P22" s="64">
        <f t="shared" ref="P22:P23" si="30">(M22-K22)*L22-O22-N22</f>
        <v>-25225</v>
      </c>
      <c r="Q22" s="323">
        <v>42878</v>
      </c>
      <c r="R22" s="75">
        <v>582</v>
      </c>
      <c r="S22" s="75">
        <v>46</v>
      </c>
      <c r="T22" s="75">
        <v>553</v>
      </c>
      <c r="U22" s="75">
        <v>44</v>
      </c>
      <c r="V22" s="19"/>
    </row>
    <row r="23" spans="1:22" x14ac:dyDescent="0.25">
      <c r="A23" s="55"/>
      <c r="B23" s="285"/>
      <c r="C23" s="286"/>
      <c r="D23" s="287"/>
      <c r="E23" s="287"/>
      <c r="F23" s="288"/>
      <c r="G23" s="286"/>
      <c r="H23" s="289"/>
      <c r="I23" s="290"/>
      <c r="J23" s="326" t="s">
        <v>132</v>
      </c>
      <c r="K23" s="69">
        <v>2470</v>
      </c>
      <c r="L23" s="69">
        <v>100</v>
      </c>
      <c r="M23" s="69">
        <v>2503</v>
      </c>
      <c r="N23" s="70">
        <f t="shared" ref="N23:N24" si="31">R23+T23</f>
        <v>544</v>
      </c>
      <c r="O23" s="70">
        <f t="shared" ref="O23:O24" si="32">S23+U23</f>
        <v>42</v>
      </c>
      <c r="P23" s="71">
        <f t="shared" si="30"/>
        <v>2714</v>
      </c>
      <c r="Q23" s="323">
        <v>42885</v>
      </c>
      <c r="R23" s="75">
        <v>272</v>
      </c>
      <c r="S23" s="75">
        <v>21</v>
      </c>
      <c r="T23" s="75">
        <v>272</v>
      </c>
      <c r="U23" s="75">
        <v>21</v>
      </c>
      <c r="V23" s="19"/>
    </row>
    <row r="24" spans="1:22" x14ac:dyDescent="0.25">
      <c r="A24" s="55"/>
      <c r="B24" s="285"/>
      <c r="C24" s="286"/>
      <c r="D24" s="287"/>
      <c r="E24" s="287"/>
      <c r="F24" s="288"/>
      <c r="G24" s="286"/>
      <c r="H24" s="289"/>
      <c r="I24" s="290"/>
      <c r="J24" s="326" t="s">
        <v>132</v>
      </c>
      <c r="K24" s="327">
        <v>3070</v>
      </c>
      <c r="L24" s="327">
        <v>100</v>
      </c>
      <c r="M24" s="327">
        <v>3025</v>
      </c>
      <c r="N24" s="63">
        <f t="shared" si="31"/>
        <v>544</v>
      </c>
      <c r="O24" s="63">
        <f t="shared" si="32"/>
        <v>42</v>
      </c>
      <c r="P24" s="64">
        <f t="shared" ref="P24" si="33">(M24-K24)*L24-O24-N24</f>
        <v>-5086</v>
      </c>
      <c r="Q24" s="323">
        <v>42888</v>
      </c>
      <c r="R24" s="75">
        <v>272</v>
      </c>
      <c r="S24" s="75">
        <v>21</v>
      </c>
      <c r="T24" s="75">
        <v>272</v>
      </c>
      <c r="U24" s="75">
        <v>21</v>
      </c>
      <c r="V24" s="19"/>
    </row>
    <row r="25" spans="1:22" x14ac:dyDescent="0.25">
      <c r="A25" s="55"/>
      <c r="B25" s="285"/>
      <c r="C25" s="286"/>
      <c r="D25" s="287"/>
      <c r="E25" s="287"/>
      <c r="F25" s="288"/>
      <c r="G25" s="286"/>
      <c r="H25" s="289"/>
      <c r="I25" s="290"/>
      <c r="J25" s="326" t="s">
        <v>132</v>
      </c>
      <c r="K25" s="327">
        <v>3830</v>
      </c>
      <c r="L25" s="327">
        <v>200</v>
      </c>
      <c r="M25" s="327">
        <v>3835</v>
      </c>
      <c r="N25" s="63">
        <f t="shared" ref="N25:N26" si="34">R25+T25</f>
        <v>974</v>
      </c>
      <c r="O25" s="63">
        <f t="shared" ref="O25:O26" si="35">S25+U25</f>
        <v>76</v>
      </c>
      <c r="P25" s="64">
        <f t="shared" ref="P25:P26" si="36">(M25-K25)*L25-O25-N25</f>
        <v>-50</v>
      </c>
      <c r="Q25" s="323">
        <v>42900</v>
      </c>
      <c r="R25" s="75">
        <v>487</v>
      </c>
      <c r="S25" s="75">
        <v>38</v>
      </c>
      <c r="T25" s="75">
        <v>487</v>
      </c>
      <c r="U25" s="75">
        <v>38</v>
      </c>
      <c r="V25" s="19"/>
    </row>
    <row r="26" spans="1:22" x14ac:dyDescent="0.25">
      <c r="A26" s="55"/>
      <c r="B26" s="285"/>
      <c r="C26" s="286"/>
      <c r="D26" s="287"/>
      <c r="E26" s="287"/>
      <c r="F26" s="288"/>
      <c r="G26" s="286"/>
      <c r="H26" s="289"/>
      <c r="I26" s="290"/>
      <c r="J26" s="326" t="s">
        <v>132</v>
      </c>
      <c r="K26" s="69">
        <v>4555</v>
      </c>
      <c r="L26" s="69">
        <v>200</v>
      </c>
      <c r="M26" s="69">
        <v>4580</v>
      </c>
      <c r="N26" s="70">
        <f t="shared" si="34"/>
        <v>1164</v>
      </c>
      <c r="O26" s="70">
        <f t="shared" si="35"/>
        <v>92</v>
      </c>
      <c r="P26" s="71">
        <f t="shared" si="36"/>
        <v>3744</v>
      </c>
      <c r="Q26" s="323">
        <v>42906</v>
      </c>
      <c r="R26" s="75">
        <v>582</v>
      </c>
      <c r="S26" s="75">
        <v>46</v>
      </c>
      <c r="T26" s="75">
        <v>582</v>
      </c>
      <c r="U26" s="75">
        <v>46</v>
      </c>
      <c r="V26" s="19"/>
    </row>
    <row r="27" spans="1:22" x14ac:dyDescent="0.25">
      <c r="A27" s="55"/>
      <c r="B27" s="285"/>
      <c r="C27" s="286"/>
      <c r="D27" s="287"/>
      <c r="E27" s="287"/>
      <c r="F27" s="288"/>
      <c r="G27" s="286"/>
      <c r="H27" s="289"/>
      <c r="I27" s="290"/>
      <c r="J27" s="326" t="s">
        <v>132</v>
      </c>
      <c r="K27" s="69">
        <v>5570</v>
      </c>
      <c r="L27" s="69">
        <v>200</v>
      </c>
      <c r="M27" s="69">
        <v>5710</v>
      </c>
      <c r="N27" s="70">
        <f t="shared" ref="N27" si="37">R27+T27</f>
        <v>1164</v>
      </c>
      <c r="O27" s="70">
        <f t="shared" ref="O27" si="38">S27+U27</f>
        <v>92</v>
      </c>
      <c r="P27" s="71">
        <f t="shared" ref="P27" si="39">(M27-K27)*L27-O27-N27</f>
        <v>26744</v>
      </c>
      <c r="Q27" s="323">
        <v>42915</v>
      </c>
      <c r="R27" s="75">
        <v>582</v>
      </c>
      <c r="S27" s="75">
        <v>46</v>
      </c>
      <c r="T27" s="75">
        <v>582</v>
      </c>
      <c r="U27" s="75">
        <v>46</v>
      </c>
      <c r="V27" s="19"/>
    </row>
    <row r="28" spans="1:22" x14ac:dyDescent="0.25">
      <c r="A28" s="55"/>
      <c r="B28" s="279" t="s">
        <v>457</v>
      </c>
      <c r="C28" s="280"/>
      <c r="D28" s="281"/>
      <c r="E28" s="281"/>
      <c r="F28" s="282"/>
      <c r="G28" s="280"/>
      <c r="H28" s="283"/>
      <c r="I28" s="284"/>
      <c r="J28" s="61" t="s">
        <v>132</v>
      </c>
      <c r="K28" s="66">
        <v>2319</v>
      </c>
      <c r="L28" s="66">
        <v>100</v>
      </c>
      <c r="M28" s="66">
        <v>2345</v>
      </c>
      <c r="N28" s="67">
        <f t="shared" ref="N28:N29" si="40">R28+T28</f>
        <v>544</v>
      </c>
      <c r="O28" s="67">
        <f t="shared" ref="O28:O29" si="41">S28+U28</f>
        <v>42</v>
      </c>
      <c r="P28" s="68">
        <f t="shared" ref="P28:P29" si="42">(M28-K28)*L28-O28-N28</f>
        <v>2014</v>
      </c>
      <c r="Q28" s="323">
        <v>42885</v>
      </c>
      <c r="R28" s="75">
        <v>272</v>
      </c>
      <c r="S28" s="75">
        <v>21</v>
      </c>
      <c r="T28" s="75">
        <v>272</v>
      </c>
      <c r="U28" s="75">
        <v>21</v>
      </c>
      <c r="V28" s="19"/>
    </row>
    <row r="29" spans="1:22" x14ac:dyDescent="0.25">
      <c r="A29" s="55"/>
      <c r="B29" s="279"/>
      <c r="C29" s="280"/>
      <c r="D29" s="281"/>
      <c r="E29" s="281"/>
      <c r="F29" s="282"/>
      <c r="G29" s="280"/>
      <c r="H29" s="283"/>
      <c r="I29" s="284"/>
      <c r="J29" s="61" t="s">
        <v>132</v>
      </c>
      <c r="K29" s="62">
        <v>2428</v>
      </c>
      <c r="L29" s="62">
        <v>100</v>
      </c>
      <c r="M29" s="62">
        <v>2426</v>
      </c>
      <c r="N29" s="63">
        <f t="shared" si="40"/>
        <v>544</v>
      </c>
      <c r="O29" s="63">
        <f t="shared" si="41"/>
        <v>42</v>
      </c>
      <c r="P29" s="64">
        <f t="shared" si="42"/>
        <v>-786</v>
      </c>
      <c r="Q29" s="323">
        <v>42887</v>
      </c>
      <c r="R29" s="75">
        <v>272</v>
      </c>
      <c r="S29" s="75">
        <v>21</v>
      </c>
      <c r="T29" s="75">
        <v>272</v>
      </c>
      <c r="U29" s="75">
        <v>21</v>
      </c>
      <c r="V29" s="19"/>
    </row>
    <row r="30" spans="1:22" x14ac:dyDescent="0.25">
      <c r="A30" s="55"/>
      <c r="B30" s="279" t="s">
        <v>460</v>
      </c>
      <c r="C30" s="280"/>
      <c r="D30" s="281"/>
      <c r="E30" s="281"/>
      <c r="F30" s="282"/>
      <c r="G30" s="280"/>
      <c r="H30" s="283"/>
      <c r="I30" s="284"/>
      <c r="J30" s="61" t="s">
        <v>132</v>
      </c>
      <c r="K30" s="62">
        <v>759</v>
      </c>
      <c r="L30" s="62">
        <v>600</v>
      </c>
      <c r="M30" s="62">
        <v>743</v>
      </c>
      <c r="N30" s="63">
        <f t="shared" ref="N30" si="43">R30+T30</f>
        <v>544</v>
      </c>
      <c r="O30" s="63">
        <f t="shared" ref="O30" si="44">S30+U30</f>
        <v>42</v>
      </c>
      <c r="P30" s="64">
        <f t="shared" ref="P30" si="45">(M30-K30)*L30-O30-N30</f>
        <v>-10186</v>
      </c>
      <c r="Q30" s="323">
        <v>42886</v>
      </c>
      <c r="R30" s="75">
        <v>272</v>
      </c>
      <c r="S30" s="75">
        <v>21</v>
      </c>
      <c r="T30" s="75">
        <v>272</v>
      </c>
      <c r="U30" s="75">
        <v>21</v>
      </c>
      <c r="V30" s="19"/>
    </row>
    <row r="31" spans="1:22" x14ac:dyDescent="0.25">
      <c r="A31" s="55"/>
      <c r="B31" s="285"/>
      <c r="C31" s="286"/>
      <c r="D31" s="287"/>
      <c r="E31" s="287"/>
      <c r="F31" s="288"/>
      <c r="G31" s="286"/>
      <c r="H31" s="289"/>
      <c r="I31" s="290"/>
      <c r="J31" s="61" t="s">
        <v>132</v>
      </c>
      <c r="K31" s="69">
        <v>876</v>
      </c>
      <c r="L31" s="69">
        <v>200</v>
      </c>
      <c r="M31" s="69">
        <v>887</v>
      </c>
      <c r="N31" s="67">
        <f t="shared" ref="N31:N32" si="46">R31+T31</f>
        <v>370</v>
      </c>
      <c r="O31" s="67">
        <f t="shared" ref="O31:O32" si="47">S31+U31</f>
        <v>28</v>
      </c>
      <c r="P31" s="68">
        <f t="shared" ref="P31:P32" si="48">(M31-K31)*L31-O31-N31</f>
        <v>1802</v>
      </c>
      <c r="Q31" s="323">
        <v>42887</v>
      </c>
      <c r="R31" s="320">
        <v>185</v>
      </c>
      <c r="S31" s="320">
        <v>14</v>
      </c>
      <c r="T31" s="320">
        <v>185</v>
      </c>
      <c r="U31" s="320">
        <v>14</v>
      </c>
      <c r="V31" s="19"/>
    </row>
    <row r="32" spans="1:22" x14ac:dyDescent="0.25">
      <c r="A32" s="55"/>
      <c r="B32" s="285"/>
      <c r="C32" s="286"/>
      <c r="D32" s="287"/>
      <c r="E32" s="287"/>
      <c r="F32" s="288"/>
      <c r="G32" s="286"/>
      <c r="H32" s="289"/>
      <c r="I32" s="290"/>
      <c r="J32" s="61" t="s">
        <v>132</v>
      </c>
      <c r="K32" s="69">
        <v>915</v>
      </c>
      <c r="L32" s="69">
        <v>100</v>
      </c>
      <c r="M32" s="69">
        <v>947</v>
      </c>
      <c r="N32" s="67">
        <f t="shared" si="46"/>
        <v>278</v>
      </c>
      <c r="O32" s="67">
        <f t="shared" si="47"/>
        <v>22</v>
      </c>
      <c r="P32" s="68">
        <f t="shared" si="48"/>
        <v>2900</v>
      </c>
      <c r="Q32" s="323">
        <v>42888</v>
      </c>
      <c r="R32" s="320">
        <v>139</v>
      </c>
      <c r="S32" s="320">
        <v>11</v>
      </c>
      <c r="T32" s="320">
        <v>139</v>
      </c>
      <c r="U32" s="320">
        <v>11</v>
      </c>
      <c r="V32" s="19"/>
    </row>
    <row r="33" spans="1:22" x14ac:dyDescent="0.25">
      <c r="A33" s="55"/>
      <c r="B33" s="285"/>
      <c r="C33" s="286"/>
      <c r="D33" s="287"/>
      <c r="E33" s="287"/>
      <c r="F33" s="288"/>
      <c r="G33" s="286"/>
      <c r="H33" s="289"/>
      <c r="I33" s="290"/>
      <c r="J33" s="326" t="s">
        <v>132</v>
      </c>
      <c r="K33" s="69">
        <v>680</v>
      </c>
      <c r="L33" s="69">
        <v>300</v>
      </c>
      <c r="M33" s="69">
        <v>720</v>
      </c>
      <c r="N33" s="70">
        <f t="shared" ref="N33:N35" si="49">R33+T33</f>
        <v>544</v>
      </c>
      <c r="O33" s="70">
        <f t="shared" ref="O33:O35" si="50">S33+U33</f>
        <v>42</v>
      </c>
      <c r="P33" s="71">
        <f t="shared" ref="P33:P35" si="51">(M33-K33)*L33-O33-N33</f>
        <v>11414</v>
      </c>
      <c r="Q33" s="323">
        <v>42892</v>
      </c>
      <c r="R33" s="75">
        <v>272</v>
      </c>
      <c r="S33" s="75">
        <v>21</v>
      </c>
      <c r="T33" s="75">
        <v>272</v>
      </c>
      <c r="U33" s="75">
        <v>21</v>
      </c>
      <c r="V33" s="19"/>
    </row>
    <row r="34" spans="1:22" x14ac:dyDescent="0.25">
      <c r="A34" s="55"/>
      <c r="B34" s="285"/>
      <c r="C34" s="286"/>
      <c r="D34" s="287"/>
      <c r="E34" s="287"/>
      <c r="F34" s="288"/>
      <c r="G34" s="286"/>
      <c r="H34" s="289"/>
      <c r="I34" s="290"/>
      <c r="J34" s="326" t="s">
        <v>132</v>
      </c>
      <c r="K34" s="327">
        <v>1633</v>
      </c>
      <c r="L34" s="327">
        <v>300</v>
      </c>
      <c r="M34" s="327">
        <v>1404</v>
      </c>
      <c r="N34" s="63">
        <f t="shared" si="49"/>
        <v>544</v>
      </c>
      <c r="O34" s="63">
        <f t="shared" si="50"/>
        <v>42</v>
      </c>
      <c r="P34" s="64">
        <f t="shared" si="51"/>
        <v>-69286</v>
      </c>
      <c r="Q34" s="323">
        <v>42898</v>
      </c>
      <c r="R34" s="75">
        <v>272</v>
      </c>
      <c r="S34" s="75">
        <v>21</v>
      </c>
      <c r="T34" s="75">
        <v>272</v>
      </c>
      <c r="U34" s="75">
        <v>21</v>
      </c>
      <c r="V34" s="19"/>
    </row>
    <row r="35" spans="1:22" x14ac:dyDescent="0.25">
      <c r="A35" s="55"/>
      <c r="B35" s="285"/>
      <c r="C35" s="286"/>
      <c r="D35" s="287"/>
      <c r="E35" s="287"/>
      <c r="F35" s="288"/>
      <c r="G35" s="286"/>
      <c r="H35" s="289"/>
      <c r="I35" s="290"/>
      <c r="J35" s="326" t="s">
        <v>480</v>
      </c>
      <c r="K35" s="69">
        <v>1619</v>
      </c>
      <c r="L35" s="69">
        <v>800</v>
      </c>
      <c r="M35" s="69">
        <v>1623</v>
      </c>
      <c r="N35" s="70">
        <f t="shared" si="49"/>
        <v>1164</v>
      </c>
      <c r="O35" s="70">
        <f t="shared" si="50"/>
        <v>92</v>
      </c>
      <c r="P35" s="71">
        <f t="shared" si="51"/>
        <v>1944</v>
      </c>
      <c r="Q35" s="323">
        <v>42906</v>
      </c>
      <c r="R35" s="75">
        <v>582</v>
      </c>
      <c r="S35" s="75">
        <v>46</v>
      </c>
      <c r="T35" s="75">
        <v>582</v>
      </c>
      <c r="U35" s="75">
        <v>46</v>
      </c>
      <c r="V35" s="19"/>
    </row>
    <row r="36" spans="1:22" x14ac:dyDescent="0.25">
      <c r="A36" s="55"/>
      <c r="B36" s="285"/>
      <c r="C36" s="286"/>
      <c r="D36" s="287"/>
      <c r="E36" s="287"/>
      <c r="F36" s="288"/>
      <c r="G36" s="286"/>
      <c r="H36" s="289"/>
      <c r="I36" s="290"/>
      <c r="J36" s="326" t="s">
        <v>479</v>
      </c>
      <c r="K36" s="69">
        <f>(1610*1+1614.5*7)/8</f>
        <v>1613.9375</v>
      </c>
      <c r="L36" s="69">
        <v>800</v>
      </c>
      <c r="M36" s="69">
        <v>1634</v>
      </c>
      <c r="N36" s="70">
        <f t="shared" ref="N36" si="52">R36+T36</f>
        <v>1311</v>
      </c>
      <c r="O36" s="70">
        <f t="shared" ref="O36" si="53">S36+U36</f>
        <v>104</v>
      </c>
      <c r="P36" s="71">
        <f t="shared" ref="P36" si="54">(M36-K36)*L36-O36-N36</f>
        <v>14635</v>
      </c>
      <c r="Q36" s="323">
        <v>42907</v>
      </c>
      <c r="R36" s="75">
        <f>176+553</f>
        <v>729</v>
      </c>
      <c r="S36" s="75">
        <f>14+44</f>
        <v>58</v>
      </c>
      <c r="T36" s="75">
        <v>582</v>
      </c>
      <c r="U36" s="75">
        <v>46</v>
      </c>
      <c r="V36" s="19"/>
    </row>
    <row r="37" spans="1:22" x14ac:dyDescent="0.25">
      <c r="A37" s="55"/>
      <c r="B37" s="285"/>
      <c r="C37" s="286"/>
      <c r="D37" s="287"/>
      <c r="E37" s="287"/>
      <c r="F37" s="288"/>
      <c r="G37" s="286"/>
      <c r="H37" s="289"/>
      <c r="I37" s="290"/>
      <c r="J37" s="363" t="s">
        <v>50</v>
      </c>
      <c r="K37" s="69">
        <v>1350</v>
      </c>
      <c r="L37" s="69">
        <v>300</v>
      </c>
      <c r="M37" s="69">
        <v>1400</v>
      </c>
      <c r="N37" s="70">
        <f t="shared" ref="N37" si="55">R37+T37</f>
        <v>800</v>
      </c>
      <c r="O37" s="70">
        <f t="shared" ref="O37" si="56">S37+U37</f>
        <v>64</v>
      </c>
      <c r="P37" s="71">
        <f t="shared" ref="P37" si="57">(M37-K37)*L37-O37-N37</f>
        <v>14136</v>
      </c>
      <c r="Q37" s="323">
        <v>42909</v>
      </c>
      <c r="R37" s="75">
        <v>400</v>
      </c>
      <c r="S37" s="75">
        <v>32</v>
      </c>
      <c r="T37" s="75">
        <v>400</v>
      </c>
      <c r="U37" s="75">
        <v>32</v>
      </c>
      <c r="V37" s="19"/>
    </row>
    <row r="38" spans="1:22" x14ac:dyDescent="0.25">
      <c r="A38" s="55"/>
      <c r="B38" s="285"/>
      <c r="C38" s="286"/>
      <c r="D38" s="287"/>
      <c r="E38" s="287"/>
      <c r="F38" s="288"/>
      <c r="G38" s="286"/>
      <c r="H38" s="289"/>
      <c r="I38" s="290"/>
      <c r="J38" s="326" t="s">
        <v>132</v>
      </c>
      <c r="K38" s="327">
        <f>(1585*8+1085*2)/10</f>
        <v>1485</v>
      </c>
      <c r="L38" s="327">
        <v>1000</v>
      </c>
      <c r="M38" s="327"/>
      <c r="N38" s="348"/>
      <c r="O38" s="348"/>
      <c r="P38" s="349"/>
      <c r="Q38" s="323">
        <v>42983</v>
      </c>
      <c r="R38" s="75">
        <f>582+272</f>
        <v>854</v>
      </c>
      <c r="S38" s="75">
        <f>46+21</f>
        <v>67</v>
      </c>
      <c r="T38" s="75"/>
      <c r="U38" s="75"/>
      <c r="V38" s="19"/>
    </row>
    <row r="39" spans="1:22" x14ac:dyDescent="0.25">
      <c r="A39" s="55"/>
      <c r="B39" s="285"/>
      <c r="C39" s="286"/>
      <c r="D39" s="287"/>
      <c r="E39" s="287"/>
      <c r="F39" s="288"/>
      <c r="G39" s="286"/>
      <c r="H39" s="289"/>
      <c r="I39" s="290"/>
      <c r="J39" s="363" t="s">
        <v>50</v>
      </c>
      <c r="K39" s="327">
        <v>1212</v>
      </c>
      <c r="L39" s="327">
        <v>400</v>
      </c>
      <c r="M39" s="327"/>
      <c r="N39" s="348"/>
      <c r="O39" s="348"/>
      <c r="P39" s="349"/>
      <c r="Q39" s="323">
        <v>42929</v>
      </c>
      <c r="R39" s="75">
        <v>400</v>
      </c>
      <c r="S39" s="75">
        <v>32</v>
      </c>
      <c r="T39" s="75"/>
      <c r="U39" s="75"/>
      <c r="V39" s="19"/>
    </row>
    <row r="40" spans="1:22" x14ac:dyDescent="0.25">
      <c r="A40" s="55"/>
      <c r="B40" s="285" t="s">
        <v>470</v>
      </c>
      <c r="C40" s="286"/>
      <c r="D40" s="287"/>
      <c r="E40" s="287"/>
      <c r="F40" s="288"/>
      <c r="G40" s="286"/>
      <c r="H40" s="289"/>
      <c r="I40" s="290"/>
      <c r="J40" s="326" t="s">
        <v>132</v>
      </c>
      <c r="K40" s="69">
        <v>2407</v>
      </c>
      <c r="L40" s="69">
        <v>100</v>
      </c>
      <c r="M40" s="69">
        <v>2415</v>
      </c>
      <c r="N40" s="70">
        <f t="shared" ref="N40:N41" si="58">R40+T40</f>
        <v>544</v>
      </c>
      <c r="O40" s="70">
        <f t="shared" ref="O40:O41" si="59">S40+U40</f>
        <v>42</v>
      </c>
      <c r="P40" s="71">
        <f t="shared" ref="P40:P41" si="60">(M40-K40)*L40-O40-N40</f>
        <v>214</v>
      </c>
      <c r="Q40" s="323">
        <v>42893</v>
      </c>
      <c r="R40" s="75">
        <v>272</v>
      </c>
      <c r="S40" s="75">
        <v>21</v>
      </c>
      <c r="T40" s="75">
        <v>272</v>
      </c>
      <c r="U40" s="75">
        <v>21</v>
      </c>
      <c r="V40" s="19"/>
    </row>
    <row r="41" spans="1:22" x14ac:dyDescent="0.25">
      <c r="A41" s="55"/>
      <c r="B41" s="285"/>
      <c r="C41" s="286"/>
      <c r="D41" s="287"/>
      <c r="E41" s="287"/>
      <c r="F41" s="288"/>
      <c r="G41" s="286"/>
      <c r="H41" s="289"/>
      <c r="I41" s="290"/>
      <c r="J41" s="326" t="s">
        <v>132</v>
      </c>
      <c r="K41" s="327">
        <v>2193</v>
      </c>
      <c r="L41" s="327">
        <v>300</v>
      </c>
      <c r="M41" s="327">
        <v>1883</v>
      </c>
      <c r="N41" s="348">
        <f t="shared" si="58"/>
        <v>974</v>
      </c>
      <c r="O41" s="348">
        <f t="shared" si="59"/>
        <v>76</v>
      </c>
      <c r="P41" s="349">
        <f t="shared" si="60"/>
        <v>-94050</v>
      </c>
      <c r="Q41" s="323">
        <v>42900</v>
      </c>
      <c r="R41" s="75">
        <v>487</v>
      </c>
      <c r="S41" s="75">
        <v>38</v>
      </c>
      <c r="T41" s="75">
        <v>487</v>
      </c>
      <c r="U41" s="75">
        <v>38</v>
      </c>
      <c r="V41" s="19"/>
    </row>
    <row r="42" spans="1:22" x14ac:dyDescent="0.25">
      <c r="A42" s="55"/>
      <c r="B42" s="285" t="s">
        <v>481</v>
      </c>
      <c r="C42" s="286"/>
      <c r="D42" s="287"/>
      <c r="E42" s="287"/>
      <c r="F42" s="288"/>
      <c r="G42" s="286"/>
      <c r="H42" s="289"/>
      <c r="I42" s="290"/>
      <c r="J42" s="326" t="s">
        <v>132</v>
      </c>
      <c r="K42" s="69">
        <v>1080</v>
      </c>
      <c r="L42" s="69">
        <v>1000</v>
      </c>
      <c r="M42" s="69">
        <v>1095</v>
      </c>
      <c r="N42" s="70">
        <f t="shared" ref="N42:N43" si="61">R42+T42</f>
        <v>1164</v>
      </c>
      <c r="O42" s="70">
        <f t="shared" ref="O42:O43" si="62">S42+U42</f>
        <v>92</v>
      </c>
      <c r="P42" s="71">
        <f t="shared" ref="P42:P43" si="63">(M42-K42)*L42-O42-N42</f>
        <v>13744</v>
      </c>
      <c r="Q42" s="323">
        <v>42914</v>
      </c>
      <c r="R42" s="75">
        <v>582</v>
      </c>
      <c r="S42" s="75">
        <v>46</v>
      </c>
      <c r="T42" s="75">
        <v>582</v>
      </c>
      <c r="U42" s="75">
        <v>46</v>
      </c>
      <c r="V42" s="19"/>
    </row>
    <row r="43" spans="1:22" x14ac:dyDescent="0.25">
      <c r="A43" s="55"/>
      <c r="B43" s="285"/>
      <c r="C43" s="286"/>
      <c r="D43" s="287"/>
      <c r="E43" s="287"/>
      <c r="F43" s="288"/>
      <c r="G43" s="286"/>
      <c r="H43" s="289"/>
      <c r="I43" s="290"/>
      <c r="J43" s="326" t="s">
        <v>132</v>
      </c>
      <c r="K43" s="69">
        <v>1206</v>
      </c>
      <c r="L43" s="69">
        <v>100</v>
      </c>
      <c r="M43" s="69">
        <v>1280</v>
      </c>
      <c r="N43" s="70">
        <f t="shared" si="61"/>
        <v>361</v>
      </c>
      <c r="O43" s="70">
        <f t="shared" si="62"/>
        <v>26</v>
      </c>
      <c r="P43" s="71">
        <f t="shared" si="63"/>
        <v>7013</v>
      </c>
      <c r="Q43" s="323">
        <v>42920</v>
      </c>
      <c r="R43" s="75">
        <v>185</v>
      </c>
      <c r="S43" s="75">
        <v>14</v>
      </c>
      <c r="T43" s="320">
        <v>176</v>
      </c>
      <c r="U43" s="320">
        <v>12</v>
      </c>
      <c r="V43" s="19"/>
    </row>
    <row r="44" spans="1:22" x14ac:dyDescent="0.25">
      <c r="A44" s="55"/>
      <c r="B44" s="285" t="s">
        <v>482</v>
      </c>
      <c r="C44" s="286"/>
      <c r="D44" s="287"/>
      <c r="E44" s="287"/>
      <c r="F44" s="288"/>
      <c r="G44" s="286"/>
      <c r="H44" s="289"/>
      <c r="I44" s="290"/>
      <c r="J44" s="326" t="s">
        <v>132</v>
      </c>
      <c r="K44" s="69">
        <v>644</v>
      </c>
      <c r="L44" s="69">
        <v>2000</v>
      </c>
      <c r="M44" s="69">
        <f>(650+651)/2</f>
        <v>650.5</v>
      </c>
      <c r="N44" s="70">
        <f t="shared" ref="N44" si="64">R44+T44</f>
        <v>1531</v>
      </c>
      <c r="O44" s="70">
        <f t="shared" ref="O44" si="65">S44+U44</f>
        <v>120</v>
      </c>
      <c r="P44" s="71">
        <f t="shared" ref="P44" si="66">(M44-K44)*L44-O44-N44</f>
        <v>11349</v>
      </c>
      <c r="Q44" s="323">
        <v>42914</v>
      </c>
      <c r="R44" s="75">
        <v>582</v>
      </c>
      <c r="S44" s="75">
        <v>46</v>
      </c>
      <c r="T44" s="15">
        <f>462+487</f>
        <v>949</v>
      </c>
      <c r="U44" s="15">
        <f>36+38</f>
        <v>74</v>
      </c>
      <c r="V44" s="19"/>
    </row>
    <row r="45" spans="1:22" x14ac:dyDescent="0.25">
      <c r="A45" s="55"/>
      <c r="B45" s="285" t="s">
        <v>490</v>
      </c>
      <c r="C45" s="286"/>
      <c r="D45" s="287"/>
      <c r="E45" s="287"/>
      <c r="F45" s="288"/>
      <c r="G45" s="286"/>
      <c r="H45" s="289"/>
      <c r="I45" s="290"/>
      <c r="J45" s="326" t="s">
        <v>132</v>
      </c>
      <c r="K45" s="69">
        <v>664</v>
      </c>
      <c r="L45" s="69">
        <v>200</v>
      </c>
      <c r="M45" s="69">
        <v>673</v>
      </c>
      <c r="N45" s="70">
        <f t="shared" ref="N45" si="67">R45+T45</f>
        <v>370</v>
      </c>
      <c r="O45" s="70">
        <f t="shared" ref="O45" si="68">S45+U45</f>
        <v>28</v>
      </c>
      <c r="P45" s="71">
        <f t="shared" ref="P45" si="69">(M45-K45)*L45-O45-N45</f>
        <v>1402</v>
      </c>
      <c r="Q45" s="323">
        <v>42922</v>
      </c>
      <c r="R45" s="320">
        <v>185</v>
      </c>
      <c r="S45" s="320">
        <v>14</v>
      </c>
      <c r="T45" s="320">
        <v>185</v>
      </c>
      <c r="U45" s="320">
        <v>14</v>
      </c>
      <c r="V45" s="19"/>
    </row>
    <row r="46" spans="1:22" x14ac:dyDescent="0.25">
      <c r="A46" s="55"/>
      <c r="B46" s="285" t="s">
        <v>494</v>
      </c>
      <c r="C46" s="286"/>
      <c r="D46" s="287"/>
      <c r="E46" s="287"/>
      <c r="F46" s="288"/>
      <c r="G46" s="286"/>
      <c r="H46" s="289"/>
      <c r="I46" s="290"/>
      <c r="J46" s="326" t="s">
        <v>132</v>
      </c>
      <c r="K46" s="69">
        <v>300</v>
      </c>
      <c r="L46" s="69">
        <v>400</v>
      </c>
      <c r="M46" s="69">
        <v>337</v>
      </c>
      <c r="N46" s="70">
        <f t="shared" ref="N46" si="70">R46+T46</f>
        <v>370</v>
      </c>
      <c r="O46" s="70">
        <f t="shared" ref="O46" si="71">S46+U46</f>
        <v>28</v>
      </c>
      <c r="P46" s="71">
        <f t="shared" ref="P46" si="72">(M46-K46)*L46-O46-N46</f>
        <v>14402</v>
      </c>
      <c r="Q46" s="323">
        <v>42923</v>
      </c>
      <c r="R46" s="320">
        <v>185</v>
      </c>
      <c r="S46" s="320">
        <v>14</v>
      </c>
      <c r="T46" s="320">
        <v>185</v>
      </c>
      <c r="U46" s="320">
        <v>14</v>
      </c>
      <c r="V46" s="19"/>
    </row>
    <row r="47" spans="1:22" x14ac:dyDescent="0.25">
      <c r="A47" s="55"/>
      <c r="B47" s="285"/>
      <c r="C47" s="286"/>
      <c r="D47" s="287"/>
      <c r="E47" s="287"/>
      <c r="F47" s="288"/>
      <c r="G47" s="286"/>
      <c r="H47" s="289"/>
      <c r="I47" s="290"/>
      <c r="J47" s="326" t="s">
        <v>132</v>
      </c>
      <c r="K47" s="327">
        <v>350</v>
      </c>
      <c r="L47" s="327">
        <v>1500</v>
      </c>
      <c r="M47" s="327"/>
      <c r="N47" s="348"/>
      <c r="O47" s="348"/>
      <c r="P47" s="349"/>
      <c r="Q47" s="323">
        <v>42926</v>
      </c>
      <c r="R47" s="15">
        <v>487</v>
      </c>
      <c r="S47" s="15">
        <v>38</v>
      </c>
      <c r="T47" s="320"/>
      <c r="U47" s="320"/>
      <c r="V47" s="19"/>
    </row>
    <row r="48" spans="1:22" x14ac:dyDescent="0.25">
      <c r="A48" s="76"/>
      <c r="B48" s="77" t="str">
        <f>IPO監視一覧!B3</f>
        <v>日宣</v>
      </c>
      <c r="C48" s="78">
        <f>IPO監視一覧!G3</f>
        <v>1600</v>
      </c>
      <c r="D48" s="79">
        <v>200000</v>
      </c>
      <c r="E48" s="79">
        <v>50000</v>
      </c>
      <c r="F48" s="80">
        <f>IPO監視一覧!O3</f>
        <v>42782</v>
      </c>
      <c r="G48" s="78">
        <f>IPO監視一覧!P3</f>
        <v>3000</v>
      </c>
      <c r="H48" s="81">
        <f>(G48-C48)*100*0.79685</f>
        <v>111558.99999999999</v>
      </c>
      <c r="I48" s="82">
        <f ca="1">NETWORKDAYS(F48,TODAY())</f>
        <v>260</v>
      </c>
      <c r="J48" s="89"/>
      <c r="K48" s="29"/>
      <c r="L48" s="29"/>
      <c r="M48" s="29"/>
      <c r="N48" s="29"/>
      <c r="O48" s="29"/>
      <c r="P48" s="83">
        <f t="shared" si="1"/>
        <v>0</v>
      </c>
    </row>
    <row r="49" spans="1:22" x14ac:dyDescent="0.25">
      <c r="A49" s="84" t="str">
        <f>IPO監視一覧!H4</f>
        <v>C</v>
      </c>
      <c r="B49" s="84" t="str">
        <f>IPO監視一覧!B4</f>
        <v>レノバ </v>
      </c>
      <c r="C49" s="85">
        <f>IPO監視一覧!G4</f>
        <v>750</v>
      </c>
      <c r="D49" s="86">
        <v>650000</v>
      </c>
      <c r="E49" s="86">
        <v>560000</v>
      </c>
      <c r="F49" s="87">
        <f>IPO監視一覧!O4</f>
        <v>42789</v>
      </c>
      <c r="G49" s="85">
        <f>IPO監視一覧!P4</f>
        <v>1125</v>
      </c>
      <c r="H49" s="88">
        <f>(G49-C49)*100*0.79685</f>
        <v>29881.874999999996</v>
      </c>
      <c r="I49" s="89">
        <f ca="1">NETWORKDAYS(F49,TODAY())</f>
        <v>255</v>
      </c>
      <c r="J49" s="61" t="s">
        <v>132</v>
      </c>
      <c r="K49" s="66">
        <v>1900</v>
      </c>
      <c r="L49" s="66">
        <v>200</v>
      </c>
      <c r="M49" s="66">
        <v>1919</v>
      </c>
      <c r="N49" s="67">
        <f t="shared" ref="N49:O51" si="73">R49+T49</f>
        <v>722</v>
      </c>
      <c r="O49" s="67">
        <f t="shared" si="73"/>
        <v>56</v>
      </c>
      <c r="P49" s="68">
        <f t="shared" si="1"/>
        <v>3022</v>
      </c>
      <c r="Q49" s="17">
        <v>42808</v>
      </c>
      <c r="R49" s="15">
        <v>370</v>
      </c>
      <c r="S49" s="15">
        <v>28</v>
      </c>
      <c r="T49" s="15">
        <v>352</v>
      </c>
      <c r="U49" s="15">
        <v>28</v>
      </c>
    </row>
    <row r="50" spans="1:22" x14ac:dyDescent="0.25">
      <c r="A50" s="84"/>
      <c r="B50" s="84"/>
      <c r="C50" s="85"/>
      <c r="D50" s="86"/>
      <c r="E50" s="86"/>
      <c r="F50" s="87"/>
      <c r="G50" s="85"/>
      <c r="H50" s="88"/>
      <c r="I50" s="89"/>
      <c r="J50" s="65" t="s">
        <v>135</v>
      </c>
      <c r="K50" s="66">
        <v>1297</v>
      </c>
      <c r="L50" s="66">
        <v>200</v>
      </c>
      <c r="M50" s="66">
        <v>1311</v>
      </c>
      <c r="N50" s="67">
        <f t="shared" si="73"/>
        <v>500</v>
      </c>
      <c r="O50" s="67">
        <f t="shared" si="73"/>
        <v>40</v>
      </c>
      <c r="P50" s="68">
        <f t="shared" si="1"/>
        <v>2260</v>
      </c>
      <c r="Q50" s="17">
        <v>42857</v>
      </c>
      <c r="R50" s="15">
        <v>250</v>
      </c>
      <c r="S50" s="15">
        <v>20</v>
      </c>
      <c r="T50" s="15">
        <v>250</v>
      </c>
      <c r="U50" s="15">
        <v>20</v>
      </c>
    </row>
    <row r="51" spans="1:22" x14ac:dyDescent="0.25">
      <c r="A51" s="84"/>
      <c r="B51" s="84"/>
      <c r="C51" s="85"/>
      <c r="D51" s="86"/>
      <c r="E51" s="86"/>
      <c r="F51" s="87"/>
      <c r="G51" s="85"/>
      <c r="H51" s="88"/>
      <c r="I51" s="89"/>
      <c r="J51" s="65" t="s">
        <v>135</v>
      </c>
      <c r="K51" s="66">
        <v>1288</v>
      </c>
      <c r="L51" s="66">
        <v>200</v>
      </c>
      <c r="M51" s="66">
        <v>1340</v>
      </c>
      <c r="N51" s="67">
        <f t="shared" si="73"/>
        <v>500</v>
      </c>
      <c r="O51" s="67">
        <f t="shared" si="73"/>
        <v>40</v>
      </c>
      <c r="P51" s="68">
        <f t="shared" si="1"/>
        <v>9860</v>
      </c>
      <c r="Q51" s="17">
        <v>42871</v>
      </c>
      <c r="R51" s="15">
        <v>250</v>
      </c>
      <c r="S51" s="15">
        <v>20</v>
      </c>
      <c r="T51" s="15">
        <v>250</v>
      </c>
      <c r="U51" s="15">
        <v>20</v>
      </c>
    </row>
    <row r="52" spans="1:22" x14ac:dyDescent="0.25">
      <c r="A52" s="84"/>
      <c r="B52" s="84"/>
      <c r="C52" s="85"/>
      <c r="D52" s="86"/>
      <c r="E52" s="86"/>
      <c r="F52" s="87"/>
      <c r="G52" s="85"/>
      <c r="H52" s="88"/>
      <c r="I52" s="89"/>
      <c r="J52" s="61" t="s">
        <v>132</v>
      </c>
      <c r="K52" s="66">
        <v>1330</v>
      </c>
      <c r="L52" s="66">
        <v>500</v>
      </c>
      <c r="M52" s="66">
        <v>1334</v>
      </c>
      <c r="N52" s="67">
        <f t="shared" ref="N52" si="74">R52+T52</f>
        <v>974</v>
      </c>
      <c r="O52" s="67">
        <f t="shared" ref="O52" si="75">S52+U52</f>
        <v>76</v>
      </c>
      <c r="P52" s="68">
        <f t="shared" ref="P52" si="76">(M52-K52)*L52-O52-N52</f>
        <v>950</v>
      </c>
      <c r="Q52" s="17">
        <v>42878</v>
      </c>
      <c r="R52" s="15">
        <v>487</v>
      </c>
      <c r="S52" s="15">
        <v>38</v>
      </c>
      <c r="T52" s="15">
        <v>487</v>
      </c>
      <c r="U52" s="15">
        <v>38</v>
      </c>
    </row>
    <row r="53" spans="1:22" x14ac:dyDescent="0.25">
      <c r="A53" s="84" t="str">
        <f>IPO監視一覧!H5</f>
        <v>B</v>
      </c>
      <c r="B53" s="84" t="str">
        <f>IPO監視一覧!B5</f>
        <v>ユナイテッド＆コレクティブ</v>
      </c>
      <c r="C53" s="85">
        <f>IPO監視一覧!G5</f>
        <v>1620</v>
      </c>
      <c r="D53" s="86">
        <v>228500</v>
      </c>
      <c r="E53" s="86">
        <v>68700</v>
      </c>
      <c r="F53" s="87">
        <f>IPO監視一覧!O5</f>
        <v>42789</v>
      </c>
      <c r="G53" s="85">
        <f>IPO監視一覧!P5</f>
        <v>4500</v>
      </c>
      <c r="H53" s="88">
        <f>(G53-C53)*100*0.79685</f>
        <v>229492.8</v>
      </c>
      <c r="I53" s="89">
        <f ca="1">NETWORKDAYS(F53,TODAY())</f>
        <v>255</v>
      </c>
      <c r="J53" s="89"/>
      <c r="K53" s="31"/>
      <c r="L53" s="31"/>
      <c r="M53" s="31"/>
      <c r="N53" s="90"/>
      <c r="O53" s="90"/>
      <c r="P53" s="91">
        <f t="shared" si="1"/>
        <v>0</v>
      </c>
    </row>
    <row r="54" spans="1:22" x14ac:dyDescent="0.25">
      <c r="A54" s="84" t="str">
        <f>IPO監視一覧!H6</f>
        <v>D</v>
      </c>
      <c r="B54" s="84" t="str">
        <f>IPO監視一覧!B6</f>
        <v>ロコンド</v>
      </c>
      <c r="C54" s="85">
        <f>IPO監視一覧!G6</f>
        <v>1850</v>
      </c>
      <c r="D54" s="86">
        <v>924000</v>
      </c>
      <c r="E54" s="86">
        <v>651700</v>
      </c>
      <c r="F54" s="87">
        <f>IPO監視一覧!O6</f>
        <v>42801</v>
      </c>
      <c r="G54" s="85">
        <f>IPO監視一覧!P6</f>
        <v>2625</v>
      </c>
      <c r="H54" s="88">
        <f>(G54-C54)*100*0.79685</f>
        <v>61755.874999999993</v>
      </c>
      <c r="I54" s="89">
        <f ca="1">NETWORKDAYS(F54,TODAY())</f>
        <v>247</v>
      </c>
      <c r="J54" s="89"/>
      <c r="K54" s="31"/>
      <c r="L54" s="31"/>
      <c r="M54" s="31"/>
      <c r="N54" s="90"/>
      <c r="O54" s="90"/>
      <c r="P54" s="91">
        <f t="shared" si="1"/>
        <v>0</v>
      </c>
    </row>
    <row r="55" spans="1:22" x14ac:dyDescent="0.25">
      <c r="A55" s="84" t="str">
        <f>IPO監視一覧!H7</f>
        <v>C</v>
      </c>
      <c r="B55" s="92" t="str">
        <f>IPO監視一覧!B7</f>
        <v>ピーバンドットコム</v>
      </c>
      <c r="C55" s="93">
        <f>IPO監視一覧!G7</f>
        <v>1650</v>
      </c>
      <c r="D55" s="94">
        <v>150000</v>
      </c>
      <c r="E55" s="94">
        <v>650000</v>
      </c>
      <c r="F55" s="95">
        <f>IPO監視一覧!O7</f>
        <v>42803</v>
      </c>
      <c r="G55" s="93">
        <f>IPO監視一覧!P7</f>
        <v>3530</v>
      </c>
      <c r="H55" s="88">
        <f>(G55-C55)*100*0.79685</f>
        <v>149807.79999999999</v>
      </c>
      <c r="I55" s="96">
        <f ca="1">NETWORKDAYS(F55,TODAY())</f>
        <v>245</v>
      </c>
      <c r="J55" s="61" t="s">
        <v>132</v>
      </c>
      <c r="K55" s="97">
        <v>3550</v>
      </c>
      <c r="L55" s="62">
        <v>200</v>
      </c>
      <c r="M55" s="97">
        <v>3320</v>
      </c>
      <c r="N55" s="63">
        <f t="shared" ref="N55:O142" si="77">R55+T55</f>
        <v>974</v>
      </c>
      <c r="O55" s="63">
        <f t="shared" si="77"/>
        <v>76</v>
      </c>
      <c r="P55" s="64">
        <f t="shared" si="1"/>
        <v>-47050</v>
      </c>
      <c r="Q55" s="17">
        <v>42803</v>
      </c>
      <c r="R55" s="15">
        <v>487</v>
      </c>
      <c r="S55" s="15">
        <v>38</v>
      </c>
      <c r="T55" s="15">
        <v>487</v>
      </c>
      <c r="U55" s="15">
        <v>38</v>
      </c>
      <c r="V55" s="98"/>
    </row>
    <row r="56" spans="1:22" x14ac:dyDescent="0.25">
      <c r="A56" s="84"/>
      <c r="B56" s="92"/>
      <c r="C56" s="93"/>
      <c r="D56" s="94"/>
      <c r="E56" s="94"/>
      <c r="F56" s="95"/>
      <c r="G56" s="93"/>
      <c r="H56" s="99"/>
      <c r="I56" s="96"/>
      <c r="J56" s="61" t="s">
        <v>132</v>
      </c>
      <c r="K56" s="100">
        <v>2999</v>
      </c>
      <c r="L56" s="66">
        <v>300</v>
      </c>
      <c r="M56" s="101">
        <v>3083.33</v>
      </c>
      <c r="N56" s="67">
        <f t="shared" si="77"/>
        <v>1518</v>
      </c>
      <c r="O56" s="67">
        <f t="shared" si="77"/>
        <v>118</v>
      </c>
      <c r="P56" s="68">
        <f t="shared" si="1"/>
        <v>23662.999999999978</v>
      </c>
      <c r="Q56" s="17">
        <v>42808</v>
      </c>
      <c r="R56" s="15">
        <v>759</v>
      </c>
      <c r="S56" s="15">
        <v>59</v>
      </c>
      <c r="T56" s="15">
        <v>759</v>
      </c>
      <c r="U56" s="15">
        <v>59</v>
      </c>
      <c r="V56" s="102"/>
    </row>
    <row r="57" spans="1:22" x14ac:dyDescent="0.25">
      <c r="A57" s="84"/>
      <c r="B57" s="92"/>
      <c r="C57" s="93"/>
      <c r="D57" s="94"/>
      <c r="E57" s="94"/>
      <c r="F57" s="95"/>
      <c r="G57" s="93"/>
      <c r="H57" s="99"/>
      <c r="I57" s="96"/>
      <c r="J57" s="61" t="s">
        <v>132</v>
      </c>
      <c r="K57" s="103">
        <v>2900.33</v>
      </c>
      <c r="L57" s="66">
        <v>300</v>
      </c>
      <c r="M57" s="101">
        <v>3020</v>
      </c>
      <c r="N57" s="67">
        <f t="shared" si="77"/>
        <v>974</v>
      </c>
      <c r="O57" s="67">
        <f t="shared" si="77"/>
        <v>76</v>
      </c>
      <c r="P57" s="68">
        <f t="shared" si="1"/>
        <v>34851.000000000022</v>
      </c>
      <c r="Q57" s="17">
        <v>42809</v>
      </c>
      <c r="R57" s="15">
        <v>487</v>
      </c>
      <c r="S57" s="15">
        <v>38</v>
      </c>
      <c r="T57" s="15">
        <v>487</v>
      </c>
      <c r="U57" s="15">
        <v>38</v>
      </c>
      <c r="V57" s="102"/>
    </row>
    <row r="58" spans="1:22" x14ac:dyDescent="0.25">
      <c r="A58" s="84" t="str">
        <f>IPO監視一覧!H8</f>
        <v>A</v>
      </c>
      <c r="B58" s="84" t="str">
        <f>IPO監視一覧!B8</f>
        <v>ファイズ</v>
      </c>
      <c r="C58" s="85">
        <f>IPO監視一覧!G8</f>
        <v>1250</v>
      </c>
      <c r="D58" s="86">
        <v>300000</v>
      </c>
      <c r="E58" s="86">
        <v>250000</v>
      </c>
      <c r="F58" s="87">
        <f>IPO監視一覧!O8</f>
        <v>42809</v>
      </c>
      <c r="G58" s="85">
        <f>IPO監視一覧!P8</f>
        <v>4010</v>
      </c>
      <c r="H58" s="88">
        <f>(G58-C58)*100*0.79685</f>
        <v>219930.59999999998</v>
      </c>
      <c r="I58" s="89">
        <f ca="1">NETWORKDAYS(F58,TODAY())</f>
        <v>241</v>
      </c>
      <c r="J58" s="61" t="s">
        <v>132</v>
      </c>
      <c r="K58" s="66">
        <v>3700</v>
      </c>
      <c r="L58" s="66">
        <v>200</v>
      </c>
      <c r="M58" s="66">
        <v>3807.5</v>
      </c>
      <c r="N58" s="67">
        <f t="shared" si="77"/>
        <v>974</v>
      </c>
      <c r="O58" s="67">
        <f t="shared" si="77"/>
        <v>76</v>
      </c>
      <c r="P58" s="68">
        <f t="shared" si="1"/>
        <v>20450</v>
      </c>
      <c r="Q58" s="17">
        <v>42811</v>
      </c>
      <c r="R58" s="15">
        <v>487</v>
      </c>
      <c r="S58" s="15">
        <v>38</v>
      </c>
      <c r="T58" s="15">
        <v>487</v>
      </c>
      <c r="U58" s="15">
        <v>38</v>
      </c>
    </row>
    <row r="59" spans="1:22" x14ac:dyDescent="0.25">
      <c r="A59" s="84"/>
      <c r="B59" s="84"/>
      <c r="C59" s="85"/>
      <c r="D59" s="86"/>
      <c r="E59" s="86"/>
      <c r="F59" s="87"/>
      <c r="G59" s="85"/>
      <c r="H59" s="88"/>
      <c r="I59" s="89"/>
      <c r="J59" s="61" t="s">
        <v>132</v>
      </c>
      <c r="K59" s="62">
        <v>3790</v>
      </c>
      <c r="L59" s="62">
        <v>200</v>
      </c>
      <c r="M59" s="62">
        <v>3450</v>
      </c>
      <c r="N59" s="63">
        <f t="shared" si="77"/>
        <v>974</v>
      </c>
      <c r="O59" s="63">
        <f t="shared" si="77"/>
        <v>76</v>
      </c>
      <c r="P59" s="64">
        <f t="shared" si="1"/>
        <v>-69050</v>
      </c>
      <c r="Q59" s="17">
        <v>42815</v>
      </c>
      <c r="R59" s="15">
        <v>487</v>
      </c>
      <c r="S59" s="15">
        <v>38</v>
      </c>
      <c r="T59" s="15">
        <v>487</v>
      </c>
      <c r="U59" s="15">
        <v>38</v>
      </c>
      <c r="V59" s="98"/>
    </row>
    <row r="60" spans="1:22" x14ac:dyDescent="0.25">
      <c r="A60" s="84"/>
      <c r="B60" s="84"/>
      <c r="C60" s="85"/>
      <c r="D60" s="86"/>
      <c r="E60" s="86"/>
      <c r="F60" s="87"/>
      <c r="G60" s="85"/>
      <c r="H60" s="88"/>
      <c r="I60" s="89"/>
      <c r="J60" s="61" t="s">
        <v>132</v>
      </c>
      <c r="K60" s="66">
        <v>7400</v>
      </c>
      <c r="L60" s="66">
        <v>100</v>
      </c>
      <c r="M60" s="66">
        <v>7430</v>
      </c>
      <c r="N60" s="67">
        <f t="shared" si="77"/>
        <v>974</v>
      </c>
      <c r="O60" s="67">
        <f t="shared" si="77"/>
        <v>76</v>
      </c>
      <c r="P60" s="68">
        <f t="shared" si="1"/>
        <v>1950</v>
      </c>
      <c r="Q60" s="17">
        <v>42832</v>
      </c>
      <c r="R60" s="15">
        <v>487</v>
      </c>
      <c r="S60" s="15">
        <v>38</v>
      </c>
      <c r="T60" s="15">
        <v>487</v>
      </c>
      <c r="U60" s="15">
        <v>38</v>
      </c>
      <c r="V60" s="98"/>
    </row>
    <row r="61" spans="1:22" x14ac:dyDescent="0.25">
      <c r="A61" s="84"/>
      <c r="B61" s="84"/>
      <c r="C61" s="85"/>
      <c r="D61" s="86"/>
      <c r="E61" s="86"/>
      <c r="F61" s="87"/>
      <c r="G61" s="85"/>
      <c r="H61" s="88"/>
      <c r="I61" s="89"/>
      <c r="J61" s="61" t="s">
        <v>132</v>
      </c>
      <c r="K61" s="66">
        <v>7730</v>
      </c>
      <c r="L61" s="66">
        <v>100</v>
      </c>
      <c r="M61" s="66">
        <v>7850</v>
      </c>
      <c r="N61" s="67">
        <f t="shared" si="77"/>
        <v>974</v>
      </c>
      <c r="O61" s="67">
        <f t="shared" si="77"/>
        <v>76</v>
      </c>
      <c r="P61" s="68">
        <f t="shared" si="1"/>
        <v>10950</v>
      </c>
      <c r="Q61" s="17">
        <v>42835</v>
      </c>
      <c r="R61" s="15">
        <v>487</v>
      </c>
      <c r="S61" s="15">
        <v>38</v>
      </c>
      <c r="T61" s="15">
        <v>487</v>
      </c>
      <c r="U61" s="15">
        <v>38</v>
      </c>
      <c r="V61" s="98"/>
    </row>
    <row r="62" spans="1:22" x14ac:dyDescent="0.25">
      <c r="A62" s="84"/>
      <c r="B62" s="84"/>
      <c r="C62" s="85"/>
      <c r="D62" s="86"/>
      <c r="E62" s="86"/>
      <c r="F62" s="87"/>
      <c r="G62" s="85"/>
      <c r="H62" s="88"/>
      <c r="I62" s="89"/>
      <c r="J62" s="61" t="s">
        <v>132</v>
      </c>
      <c r="K62" s="66">
        <v>7910</v>
      </c>
      <c r="L62" s="66">
        <v>100</v>
      </c>
      <c r="M62" s="66">
        <v>7940</v>
      </c>
      <c r="N62" s="67">
        <f t="shared" si="77"/>
        <v>949</v>
      </c>
      <c r="O62" s="67">
        <f t="shared" si="77"/>
        <v>74</v>
      </c>
      <c r="P62" s="68">
        <f t="shared" si="1"/>
        <v>1977</v>
      </c>
      <c r="Q62" s="17">
        <v>42836</v>
      </c>
      <c r="R62" s="15">
        <v>462</v>
      </c>
      <c r="S62" s="15">
        <v>36</v>
      </c>
      <c r="T62" s="15">
        <v>487</v>
      </c>
      <c r="U62" s="15">
        <v>38</v>
      </c>
      <c r="V62" s="98"/>
    </row>
    <row r="63" spans="1:22" x14ac:dyDescent="0.25">
      <c r="A63" s="84"/>
      <c r="B63" s="84"/>
      <c r="C63" s="85"/>
      <c r="D63" s="86"/>
      <c r="E63" s="86"/>
      <c r="F63" s="87"/>
      <c r="G63" s="85"/>
      <c r="H63" s="88"/>
      <c r="I63" s="89"/>
      <c r="J63" s="61" t="s">
        <v>132</v>
      </c>
      <c r="K63" s="66">
        <v>6550</v>
      </c>
      <c r="L63" s="66">
        <v>100</v>
      </c>
      <c r="M63" s="66">
        <v>6640</v>
      </c>
      <c r="N63" s="67">
        <f t="shared" si="77"/>
        <v>974</v>
      </c>
      <c r="O63" s="67">
        <f t="shared" si="77"/>
        <v>76</v>
      </c>
      <c r="P63" s="68">
        <f t="shared" si="1"/>
        <v>7950</v>
      </c>
      <c r="Q63" s="17">
        <v>42837</v>
      </c>
      <c r="R63" s="15">
        <v>487</v>
      </c>
      <c r="S63" s="15">
        <v>38</v>
      </c>
      <c r="T63" s="15">
        <v>487</v>
      </c>
      <c r="U63" s="15">
        <v>38</v>
      </c>
      <c r="V63" s="98"/>
    </row>
    <row r="64" spans="1:22" x14ac:dyDescent="0.25">
      <c r="A64" s="84"/>
      <c r="B64" s="84"/>
      <c r="C64" s="85"/>
      <c r="D64" s="86"/>
      <c r="E64" s="86"/>
      <c r="F64" s="87"/>
      <c r="G64" s="85"/>
      <c r="H64" s="88"/>
      <c r="I64" s="89"/>
      <c r="J64" s="61" t="s">
        <v>132</v>
      </c>
      <c r="K64" s="66">
        <v>6610</v>
      </c>
      <c r="L64" s="66">
        <v>100</v>
      </c>
      <c r="M64" s="66">
        <v>6680</v>
      </c>
      <c r="N64" s="67">
        <f t="shared" si="77"/>
        <v>974</v>
      </c>
      <c r="O64" s="67">
        <f t="shared" si="77"/>
        <v>76</v>
      </c>
      <c r="P64" s="68">
        <f t="shared" si="1"/>
        <v>5950</v>
      </c>
      <c r="Q64" s="17">
        <v>42838</v>
      </c>
      <c r="R64" s="15">
        <v>487</v>
      </c>
      <c r="S64" s="15">
        <v>38</v>
      </c>
      <c r="T64" s="15">
        <v>487</v>
      </c>
      <c r="U64" s="15">
        <v>38</v>
      </c>
      <c r="V64" s="98"/>
    </row>
    <row r="65" spans="1:22" x14ac:dyDescent="0.25">
      <c r="A65" s="84"/>
      <c r="B65" s="84"/>
      <c r="C65" s="85"/>
      <c r="D65" s="86"/>
      <c r="E65" s="86"/>
      <c r="F65" s="87"/>
      <c r="G65" s="85"/>
      <c r="H65" s="88"/>
      <c r="I65" s="89"/>
      <c r="J65" s="61" t="s">
        <v>132</v>
      </c>
      <c r="K65" s="66">
        <v>6410</v>
      </c>
      <c r="L65" s="66">
        <v>100</v>
      </c>
      <c r="M65" s="66">
        <v>6520</v>
      </c>
      <c r="N65" s="67">
        <f t="shared" si="77"/>
        <v>974</v>
      </c>
      <c r="O65" s="67">
        <f t="shared" si="77"/>
        <v>76</v>
      </c>
      <c r="P65" s="68">
        <f t="shared" si="1"/>
        <v>9950</v>
      </c>
      <c r="Q65" s="17">
        <v>42839</v>
      </c>
      <c r="R65" s="15">
        <v>487</v>
      </c>
      <c r="S65" s="15">
        <v>38</v>
      </c>
      <c r="T65" s="15">
        <v>487</v>
      </c>
      <c r="U65" s="15">
        <v>38</v>
      </c>
      <c r="V65" s="98"/>
    </row>
    <row r="66" spans="1:22" x14ac:dyDescent="0.25">
      <c r="A66" s="84"/>
      <c r="B66" s="84"/>
      <c r="C66" s="85"/>
      <c r="D66" s="86"/>
      <c r="E66" s="86"/>
      <c r="F66" s="87"/>
      <c r="G66" s="85"/>
      <c r="H66" s="88"/>
      <c r="I66" s="89"/>
      <c r="J66" s="61" t="s">
        <v>132</v>
      </c>
      <c r="K66" s="66">
        <v>5700</v>
      </c>
      <c r="L66" s="66">
        <v>100</v>
      </c>
      <c r="M66" s="66">
        <v>5770</v>
      </c>
      <c r="N66" s="67">
        <f t="shared" si="77"/>
        <v>974</v>
      </c>
      <c r="O66" s="67">
        <f t="shared" si="77"/>
        <v>76</v>
      </c>
      <c r="P66" s="68">
        <f t="shared" si="1"/>
        <v>5950</v>
      </c>
      <c r="Q66" s="17">
        <v>42842</v>
      </c>
      <c r="R66" s="15">
        <v>487</v>
      </c>
      <c r="S66" s="15">
        <v>38</v>
      </c>
      <c r="T66" s="15">
        <v>487</v>
      </c>
      <c r="U66" s="15">
        <v>38</v>
      </c>
      <c r="V66" s="98"/>
    </row>
    <row r="67" spans="1:22" x14ac:dyDescent="0.25">
      <c r="A67" s="84"/>
      <c r="B67" s="84"/>
      <c r="C67" s="85"/>
      <c r="D67" s="86"/>
      <c r="E67" s="86"/>
      <c r="F67" s="87"/>
      <c r="G67" s="85"/>
      <c r="H67" s="88"/>
      <c r="I67" s="89"/>
      <c r="J67" s="61" t="s">
        <v>132</v>
      </c>
      <c r="K67" s="66">
        <v>6400</v>
      </c>
      <c r="L67" s="66">
        <v>100</v>
      </c>
      <c r="M67" s="66">
        <v>6430</v>
      </c>
      <c r="N67" s="67">
        <f t="shared" si="77"/>
        <v>974</v>
      </c>
      <c r="O67" s="67">
        <f t="shared" si="77"/>
        <v>76</v>
      </c>
      <c r="P67" s="68">
        <f t="shared" si="1"/>
        <v>1950</v>
      </c>
      <c r="Q67" s="17">
        <v>42843</v>
      </c>
      <c r="R67" s="15">
        <v>487</v>
      </c>
      <c r="S67" s="15">
        <v>38</v>
      </c>
      <c r="T67" s="15">
        <v>487</v>
      </c>
      <c r="U67" s="15">
        <v>38</v>
      </c>
      <c r="V67" s="98"/>
    </row>
    <row r="68" spans="1:22" x14ac:dyDescent="0.25">
      <c r="A68" s="84"/>
      <c r="B68" s="84"/>
      <c r="C68" s="85"/>
      <c r="D68" s="86"/>
      <c r="E68" s="86"/>
      <c r="F68" s="87"/>
      <c r="G68" s="85"/>
      <c r="H68" s="88"/>
      <c r="I68" s="89"/>
      <c r="J68" s="61" t="s">
        <v>132</v>
      </c>
      <c r="K68" s="66">
        <v>7020</v>
      </c>
      <c r="L68" s="66">
        <v>200</v>
      </c>
      <c r="M68" s="66">
        <v>7090</v>
      </c>
      <c r="N68" s="67">
        <f t="shared" si="77"/>
        <v>1948</v>
      </c>
      <c r="O68" s="67">
        <f t="shared" si="77"/>
        <v>152</v>
      </c>
      <c r="P68" s="68">
        <f t="shared" si="1"/>
        <v>11900</v>
      </c>
      <c r="Q68" s="17">
        <v>42850</v>
      </c>
      <c r="R68" s="15">
        <v>974</v>
      </c>
      <c r="S68" s="15">
        <v>76</v>
      </c>
      <c r="T68" s="15">
        <v>974</v>
      </c>
      <c r="U68" s="15">
        <v>76</v>
      </c>
      <c r="V68" s="98"/>
    </row>
    <row r="69" spans="1:22" x14ac:dyDescent="0.25">
      <c r="A69" s="84"/>
      <c r="B69" s="84"/>
      <c r="C69" s="85"/>
      <c r="D69" s="86"/>
      <c r="E69" s="86"/>
      <c r="F69" s="87"/>
      <c r="G69" s="85"/>
      <c r="H69" s="88"/>
      <c r="I69" s="89"/>
      <c r="J69" s="61" t="s">
        <v>132</v>
      </c>
      <c r="K69" s="66">
        <v>7180</v>
      </c>
      <c r="L69" s="66">
        <v>100</v>
      </c>
      <c r="M69" s="66">
        <v>7220</v>
      </c>
      <c r="N69" s="67">
        <f t="shared" si="77"/>
        <v>974</v>
      </c>
      <c r="O69" s="67">
        <f t="shared" si="77"/>
        <v>76</v>
      </c>
      <c r="P69" s="68">
        <f t="shared" si="1"/>
        <v>2950</v>
      </c>
      <c r="Q69" s="17">
        <v>42851</v>
      </c>
      <c r="R69" s="15">
        <v>487</v>
      </c>
      <c r="S69" s="15">
        <v>38</v>
      </c>
      <c r="T69" s="15">
        <v>487</v>
      </c>
      <c r="U69" s="15">
        <v>38</v>
      </c>
      <c r="V69" s="98"/>
    </row>
    <row r="70" spans="1:22" x14ac:dyDescent="0.25">
      <c r="A70" s="84"/>
      <c r="B70" s="84"/>
      <c r="C70" s="85"/>
      <c r="D70" s="86"/>
      <c r="E70" s="86"/>
      <c r="F70" s="87"/>
      <c r="G70" s="85"/>
      <c r="H70" s="88"/>
      <c r="I70" s="89"/>
      <c r="J70" s="61" t="s">
        <v>132</v>
      </c>
      <c r="K70" s="62">
        <v>8320</v>
      </c>
      <c r="L70" s="62">
        <v>100</v>
      </c>
      <c r="M70" s="62">
        <v>8320</v>
      </c>
      <c r="N70" s="63">
        <f t="shared" si="77"/>
        <v>974</v>
      </c>
      <c r="O70" s="63">
        <f t="shared" si="77"/>
        <v>76</v>
      </c>
      <c r="P70" s="64">
        <f t="shared" si="1"/>
        <v>-1050</v>
      </c>
      <c r="Q70" s="17">
        <v>42865</v>
      </c>
      <c r="R70" s="15">
        <v>487</v>
      </c>
      <c r="S70" s="15">
        <v>38</v>
      </c>
      <c r="T70" s="15">
        <v>487</v>
      </c>
      <c r="U70" s="15">
        <v>38</v>
      </c>
      <c r="V70" s="98"/>
    </row>
    <row r="71" spans="1:22" x14ac:dyDescent="0.25">
      <c r="A71" s="84"/>
      <c r="B71" s="84"/>
      <c r="C71" s="85"/>
      <c r="D71" s="86"/>
      <c r="E71" s="86"/>
      <c r="F71" s="87"/>
      <c r="G71" s="85"/>
      <c r="H71" s="88"/>
      <c r="I71" s="89"/>
      <c r="J71" s="61" t="s">
        <v>132</v>
      </c>
      <c r="K71" s="66">
        <v>8150</v>
      </c>
      <c r="L71" s="66">
        <v>100</v>
      </c>
      <c r="M71" s="66">
        <v>8210</v>
      </c>
      <c r="N71" s="67">
        <f t="shared" si="77"/>
        <v>974</v>
      </c>
      <c r="O71" s="67">
        <f t="shared" si="77"/>
        <v>76</v>
      </c>
      <c r="P71" s="68">
        <f t="shared" si="1"/>
        <v>4950</v>
      </c>
      <c r="Q71" s="17">
        <v>42866</v>
      </c>
      <c r="R71" s="15">
        <v>487</v>
      </c>
      <c r="S71" s="15">
        <v>38</v>
      </c>
      <c r="T71" s="15">
        <v>487</v>
      </c>
      <c r="U71" s="15">
        <v>38</v>
      </c>
      <c r="V71" s="98"/>
    </row>
    <row r="72" spans="1:22" x14ac:dyDescent="0.25">
      <c r="A72" s="84"/>
      <c r="B72" s="84"/>
      <c r="C72" s="85"/>
      <c r="D72" s="86"/>
      <c r="E72" s="86"/>
      <c r="F72" s="87"/>
      <c r="G72" s="85"/>
      <c r="H72" s="88"/>
      <c r="I72" s="89"/>
      <c r="J72" s="61" t="s">
        <v>132</v>
      </c>
      <c r="K72" s="66">
        <v>7780</v>
      </c>
      <c r="L72" s="66">
        <v>100</v>
      </c>
      <c r="M72" s="66">
        <v>7980</v>
      </c>
      <c r="N72" s="67">
        <f t="shared" si="77"/>
        <v>974</v>
      </c>
      <c r="O72" s="67">
        <f t="shared" si="77"/>
        <v>76</v>
      </c>
      <c r="P72" s="68">
        <f t="shared" si="1"/>
        <v>18950</v>
      </c>
      <c r="Q72" s="17">
        <v>42870</v>
      </c>
      <c r="R72" s="15">
        <v>487</v>
      </c>
      <c r="S72" s="15">
        <v>38</v>
      </c>
      <c r="T72" s="15">
        <v>487</v>
      </c>
      <c r="U72" s="15">
        <v>38</v>
      </c>
      <c r="V72" s="98"/>
    </row>
    <row r="73" spans="1:22" x14ac:dyDescent="0.25">
      <c r="A73" s="84"/>
      <c r="B73" s="84"/>
      <c r="C73" s="85"/>
      <c r="D73" s="86"/>
      <c r="E73" s="86"/>
      <c r="F73" s="87"/>
      <c r="G73" s="85"/>
      <c r="H73" s="88"/>
      <c r="I73" s="89"/>
      <c r="J73" s="61" t="s">
        <v>132</v>
      </c>
      <c r="K73" s="66">
        <v>7730</v>
      </c>
      <c r="L73" s="66">
        <v>100</v>
      </c>
      <c r="M73" s="66">
        <v>7760</v>
      </c>
      <c r="N73" s="67">
        <f t="shared" ref="N73" si="78">R73+T73</f>
        <v>974</v>
      </c>
      <c r="O73" s="67">
        <f t="shared" ref="O73" si="79">S73+U73</f>
        <v>76</v>
      </c>
      <c r="P73" s="68">
        <f t="shared" ref="P73" si="80">(M73-K73)*L73-O73-N73</f>
        <v>1950</v>
      </c>
      <c r="Q73" s="17">
        <v>42878</v>
      </c>
      <c r="R73" s="15">
        <v>487</v>
      </c>
      <c r="S73" s="15">
        <v>38</v>
      </c>
      <c r="T73" s="15">
        <v>487</v>
      </c>
      <c r="U73" s="15">
        <v>38</v>
      </c>
      <c r="V73" s="98"/>
    </row>
    <row r="74" spans="1:22" x14ac:dyDescent="0.25">
      <c r="A74" s="84"/>
      <c r="B74" s="84"/>
      <c r="C74" s="85"/>
      <c r="D74" s="86"/>
      <c r="E74" s="86"/>
      <c r="F74" s="87"/>
      <c r="G74" s="85"/>
      <c r="H74" s="88"/>
      <c r="I74" s="89"/>
      <c r="J74" s="61" t="s">
        <v>132</v>
      </c>
      <c r="K74" s="66">
        <v>6540</v>
      </c>
      <c r="L74" s="66">
        <v>100</v>
      </c>
      <c r="M74" s="66">
        <v>6590</v>
      </c>
      <c r="N74" s="67">
        <f t="shared" ref="N74" si="81">R74+T74</f>
        <v>974</v>
      </c>
      <c r="O74" s="67">
        <f t="shared" ref="O74" si="82">S74+U74</f>
        <v>76</v>
      </c>
      <c r="P74" s="68">
        <f t="shared" ref="P74" si="83">(M74-K74)*L74-O74-N74</f>
        <v>3950</v>
      </c>
      <c r="Q74" s="17">
        <v>42905</v>
      </c>
      <c r="R74" s="15">
        <v>487</v>
      </c>
      <c r="S74" s="15">
        <v>38</v>
      </c>
      <c r="T74" s="15">
        <v>487</v>
      </c>
      <c r="U74" s="15">
        <v>38</v>
      </c>
      <c r="V74" s="98"/>
    </row>
    <row r="75" spans="1:22" x14ac:dyDescent="0.25">
      <c r="A75" s="84" t="str">
        <f>IPO監視一覧!H9</f>
        <v>D</v>
      </c>
      <c r="B75" s="84" t="str">
        <f>IPO監視一覧!B9</f>
        <v>うるる</v>
      </c>
      <c r="C75" s="85">
        <f>IPO監視一覧!G9</f>
        <v>3000</v>
      </c>
      <c r="D75" s="86">
        <v>250000</v>
      </c>
      <c r="E75" s="104">
        <v>1025800</v>
      </c>
      <c r="F75" s="87">
        <f>IPO監視一覧!O9</f>
        <v>42810</v>
      </c>
      <c r="G75" s="85">
        <f>IPO監視一覧!P9</f>
        <v>3330</v>
      </c>
      <c r="H75" s="88">
        <f>(G75-C75)*100*0.79685</f>
        <v>26296.05</v>
      </c>
      <c r="I75" s="89">
        <f ca="1">NETWORKDAYS(F75,TODAY())</f>
        <v>240</v>
      </c>
      <c r="J75" s="61" t="s">
        <v>132</v>
      </c>
      <c r="K75" s="66">
        <v>4000</v>
      </c>
      <c r="L75" s="66">
        <v>200</v>
      </c>
      <c r="M75" s="66">
        <v>4105</v>
      </c>
      <c r="N75" s="67">
        <f t="shared" si="77"/>
        <v>974</v>
      </c>
      <c r="O75" s="67">
        <f t="shared" si="77"/>
        <v>76</v>
      </c>
      <c r="P75" s="68">
        <f>(M75-K75)*L75-O75-N75</f>
        <v>19950</v>
      </c>
      <c r="Q75" s="17">
        <v>42817</v>
      </c>
      <c r="R75" s="15">
        <v>487</v>
      </c>
      <c r="S75" s="15">
        <v>38</v>
      </c>
      <c r="T75" s="15">
        <v>487</v>
      </c>
      <c r="U75" s="15">
        <v>38</v>
      </c>
    </row>
    <row r="76" spans="1:22" x14ac:dyDescent="0.25">
      <c r="A76" s="84"/>
      <c r="B76" s="84"/>
      <c r="C76" s="85"/>
      <c r="D76" s="86"/>
      <c r="E76" s="104"/>
      <c r="F76" s="87"/>
      <c r="G76" s="85"/>
      <c r="H76" s="88"/>
      <c r="I76" s="89"/>
      <c r="J76" s="61" t="s">
        <v>132</v>
      </c>
      <c r="K76" s="66">
        <v>4120</v>
      </c>
      <c r="L76" s="66">
        <v>100</v>
      </c>
      <c r="M76" s="66">
        <v>4225</v>
      </c>
      <c r="N76" s="67">
        <f t="shared" si="77"/>
        <v>544</v>
      </c>
      <c r="O76" s="67">
        <f t="shared" si="77"/>
        <v>42</v>
      </c>
      <c r="P76" s="68">
        <f>(M76-K76)*L76-O76-N76</f>
        <v>9914</v>
      </c>
      <c r="Q76" s="17">
        <v>42873</v>
      </c>
      <c r="R76" s="15">
        <v>272</v>
      </c>
      <c r="S76" s="15">
        <v>21</v>
      </c>
      <c r="T76" s="15">
        <v>272</v>
      </c>
      <c r="U76" s="15">
        <v>21</v>
      </c>
    </row>
    <row r="77" spans="1:22" x14ac:dyDescent="0.25">
      <c r="A77" s="84"/>
      <c r="B77" s="84"/>
      <c r="C77" s="85"/>
      <c r="D77" s="86"/>
      <c r="E77" s="104"/>
      <c r="F77" s="87"/>
      <c r="G77" s="85"/>
      <c r="H77" s="88"/>
      <c r="I77" s="89"/>
      <c r="J77" s="61" t="s">
        <v>132</v>
      </c>
      <c r="K77" s="66">
        <v>4600</v>
      </c>
      <c r="L77" s="66">
        <v>100</v>
      </c>
      <c r="M77" s="66">
        <v>4625</v>
      </c>
      <c r="N77" s="67">
        <f t="shared" ref="N77" si="84">R77+T77</f>
        <v>544</v>
      </c>
      <c r="O77" s="67">
        <f t="shared" ref="O77" si="85">S77+U77</f>
        <v>42</v>
      </c>
      <c r="P77" s="68">
        <f>(M77-K77)*L77-O77-N77</f>
        <v>1914</v>
      </c>
      <c r="Q77" s="17">
        <v>42879</v>
      </c>
      <c r="R77" s="15">
        <v>272</v>
      </c>
      <c r="S77" s="15">
        <v>21</v>
      </c>
      <c r="T77" s="15">
        <v>272</v>
      </c>
      <c r="U77" s="15">
        <v>21</v>
      </c>
    </row>
    <row r="78" spans="1:22" x14ac:dyDescent="0.25">
      <c r="A78" s="84" t="str">
        <f>IPO監視一覧!H10</f>
        <v>A</v>
      </c>
      <c r="B78" s="84" t="str">
        <f>IPO監視一覧!B10</f>
        <v>ほぼ日</v>
      </c>
      <c r="C78" s="85">
        <f>IPO監視一覧!G10</f>
        <v>2350</v>
      </c>
      <c r="D78" s="86">
        <v>250000</v>
      </c>
      <c r="E78" s="86">
        <v>150000</v>
      </c>
      <c r="F78" s="87">
        <f>IPO監視一覧!O10</f>
        <v>42810</v>
      </c>
      <c r="G78" s="85">
        <f>IPO監視一覧!P10</f>
        <v>5360</v>
      </c>
      <c r="H78" s="88">
        <f>(G78-C78)*100*0.79685</f>
        <v>239851.84999999998</v>
      </c>
      <c r="I78" s="89">
        <f ca="1">NETWORKDAYS(F78,TODAY())</f>
        <v>240</v>
      </c>
      <c r="J78" s="61" t="s">
        <v>132</v>
      </c>
      <c r="K78" s="66">
        <v>4557.5</v>
      </c>
      <c r="L78" s="66">
        <v>200</v>
      </c>
      <c r="M78" s="66">
        <v>4595</v>
      </c>
      <c r="N78" s="67">
        <f t="shared" si="77"/>
        <v>974</v>
      </c>
      <c r="O78" s="67">
        <f t="shared" si="77"/>
        <v>76</v>
      </c>
      <c r="P78" s="68">
        <f>(M78-K78)*L78-O78-N78</f>
        <v>6450</v>
      </c>
      <c r="Q78" s="17">
        <v>42817</v>
      </c>
      <c r="R78" s="15">
        <v>487</v>
      </c>
      <c r="S78" s="15">
        <v>38</v>
      </c>
      <c r="T78" s="15">
        <v>487</v>
      </c>
      <c r="U78" s="15">
        <v>38</v>
      </c>
    </row>
    <row r="79" spans="1:22" x14ac:dyDescent="0.25">
      <c r="A79" s="84" t="str">
        <f>IPO監視一覧!H11</f>
        <v>C</v>
      </c>
      <c r="B79" s="84" t="str">
        <f>IPO監視一覧!B11</f>
        <v>ジャパンエレベーターサービスHD</v>
      </c>
      <c r="C79" s="85">
        <f>IPO監視一覧!G11</f>
        <v>550</v>
      </c>
      <c r="D79" s="86">
        <v>1640000</v>
      </c>
      <c r="E79" s="86">
        <v>1695000</v>
      </c>
      <c r="F79" s="87">
        <f>IPO監視一覧!O11</f>
        <v>42811</v>
      </c>
      <c r="G79" s="85">
        <f>IPO監視一覧!P11</f>
        <v>890</v>
      </c>
      <c r="H79" s="88">
        <f>(G79-C79)*100*0.79685</f>
        <v>27092.899999999998</v>
      </c>
      <c r="I79" s="89">
        <f ca="1">NETWORKDAYS(F79,TODAY())</f>
        <v>239</v>
      </c>
      <c r="J79" s="61" t="s">
        <v>132</v>
      </c>
      <c r="K79" s="66">
        <v>901.8</v>
      </c>
      <c r="L79" s="66">
        <v>500</v>
      </c>
      <c r="M79" s="66">
        <v>950.4</v>
      </c>
      <c r="N79" s="67">
        <f t="shared" si="77"/>
        <v>914</v>
      </c>
      <c r="O79" s="67">
        <f t="shared" si="77"/>
        <v>70</v>
      </c>
      <c r="P79" s="68">
        <f t="shared" si="1"/>
        <v>23316.000000000011</v>
      </c>
      <c r="Q79" s="17">
        <v>42811</v>
      </c>
      <c r="R79" s="15">
        <v>457</v>
      </c>
      <c r="S79" s="15">
        <v>35</v>
      </c>
      <c r="T79" s="15">
        <v>457</v>
      </c>
      <c r="U79" s="15">
        <v>35</v>
      </c>
    </row>
    <row r="80" spans="1:22" x14ac:dyDescent="0.25">
      <c r="A80" s="84"/>
      <c r="B80" s="84"/>
      <c r="C80" s="85"/>
      <c r="D80" s="86"/>
      <c r="E80" s="86"/>
      <c r="F80" s="87"/>
      <c r="G80" s="85"/>
      <c r="H80" s="88"/>
      <c r="I80" s="89"/>
      <c r="J80" s="61" t="s">
        <v>132</v>
      </c>
      <c r="K80" s="66">
        <v>1166.5</v>
      </c>
      <c r="L80" s="66">
        <v>800</v>
      </c>
      <c r="M80" s="66">
        <v>1220.5</v>
      </c>
      <c r="N80" s="67">
        <f t="shared" si="77"/>
        <v>1518</v>
      </c>
      <c r="O80" s="67">
        <f t="shared" si="77"/>
        <v>118</v>
      </c>
      <c r="P80" s="68">
        <f t="shared" si="1"/>
        <v>41564</v>
      </c>
      <c r="Q80" s="17">
        <v>42815</v>
      </c>
      <c r="R80" s="15">
        <v>759</v>
      </c>
      <c r="S80" s="15">
        <v>59</v>
      </c>
      <c r="T80" s="15">
        <v>759</v>
      </c>
      <c r="U80" s="15">
        <v>59</v>
      </c>
    </row>
    <row r="81" spans="1:22" x14ac:dyDescent="0.25">
      <c r="A81" s="84"/>
      <c r="B81" s="84"/>
      <c r="C81" s="85"/>
      <c r="D81" s="86"/>
      <c r="E81" s="86"/>
      <c r="F81" s="87"/>
      <c r="G81" s="85"/>
      <c r="H81" s="88"/>
      <c r="I81" s="89"/>
      <c r="J81" s="65" t="s">
        <v>135</v>
      </c>
      <c r="K81" s="62">
        <v>1222</v>
      </c>
      <c r="L81" s="62">
        <v>100</v>
      </c>
      <c r="M81" s="62">
        <v>1183</v>
      </c>
      <c r="N81" s="63">
        <f t="shared" si="77"/>
        <v>360</v>
      </c>
      <c r="O81" s="63">
        <f t="shared" si="77"/>
        <v>28</v>
      </c>
      <c r="P81" s="64">
        <f t="shared" si="1"/>
        <v>-4288</v>
      </c>
      <c r="Q81" s="17">
        <v>42815</v>
      </c>
      <c r="R81" s="15">
        <v>180</v>
      </c>
      <c r="S81" s="15">
        <v>14</v>
      </c>
      <c r="T81" s="15">
        <v>180</v>
      </c>
      <c r="U81" s="15">
        <v>14</v>
      </c>
      <c r="V81" s="98"/>
    </row>
    <row r="82" spans="1:22" x14ac:dyDescent="0.25">
      <c r="A82" s="84"/>
      <c r="B82" s="84"/>
      <c r="C82" s="85"/>
      <c r="D82" s="86"/>
      <c r="E82" s="86"/>
      <c r="F82" s="87"/>
      <c r="G82" s="85"/>
      <c r="H82" s="88"/>
      <c r="I82" s="89"/>
      <c r="J82" s="61" t="s">
        <v>132</v>
      </c>
      <c r="K82" s="66">
        <v>1139</v>
      </c>
      <c r="L82" s="66">
        <v>800</v>
      </c>
      <c r="M82" s="66">
        <v>1191.8</v>
      </c>
      <c r="N82" s="67">
        <f t="shared" si="77"/>
        <v>974</v>
      </c>
      <c r="O82" s="67">
        <f t="shared" si="77"/>
        <v>76</v>
      </c>
      <c r="P82" s="68">
        <f t="shared" si="1"/>
        <v>41189.999999999964</v>
      </c>
      <c r="Q82" s="17">
        <v>42816</v>
      </c>
      <c r="R82" s="15">
        <v>487</v>
      </c>
      <c r="S82" s="15">
        <v>38</v>
      </c>
      <c r="T82" s="15">
        <v>487</v>
      </c>
      <c r="U82" s="15">
        <v>38</v>
      </c>
    </row>
    <row r="83" spans="1:22" x14ac:dyDescent="0.25">
      <c r="A83" s="84"/>
      <c r="B83" s="84"/>
      <c r="C83" s="85"/>
      <c r="D83" s="86"/>
      <c r="E83" s="86"/>
      <c r="F83" s="87"/>
      <c r="G83" s="85"/>
      <c r="H83" s="88"/>
      <c r="I83" s="89"/>
      <c r="J83" s="65" t="s">
        <v>135</v>
      </c>
      <c r="K83" s="66">
        <v>1152</v>
      </c>
      <c r="L83" s="66">
        <v>200</v>
      </c>
      <c r="M83" s="66">
        <v>1163</v>
      </c>
      <c r="N83" s="67">
        <f t="shared" si="77"/>
        <v>500</v>
      </c>
      <c r="O83" s="67">
        <f t="shared" si="77"/>
        <v>40</v>
      </c>
      <c r="P83" s="68">
        <f t="shared" si="1"/>
        <v>1660</v>
      </c>
      <c r="Q83" s="17">
        <v>42863</v>
      </c>
      <c r="R83" s="15">
        <v>250</v>
      </c>
      <c r="S83" s="15">
        <v>20</v>
      </c>
      <c r="T83" s="15">
        <v>250</v>
      </c>
      <c r="U83" s="15">
        <v>20</v>
      </c>
    </row>
    <row r="84" spans="1:22" x14ac:dyDescent="0.25">
      <c r="A84" s="84"/>
      <c r="B84" s="84"/>
      <c r="C84" s="85"/>
      <c r="D84" s="86"/>
      <c r="E84" s="86"/>
      <c r="F84" s="87"/>
      <c r="G84" s="85"/>
      <c r="H84" s="88"/>
      <c r="I84" s="89"/>
      <c r="J84" s="61" t="s">
        <v>132</v>
      </c>
      <c r="K84" s="66">
        <v>1378</v>
      </c>
      <c r="L84" s="66">
        <v>100</v>
      </c>
      <c r="M84" s="66">
        <v>1399</v>
      </c>
      <c r="N84" s="67">
        <f t="shared" si="77"/>
        <v>368</v>
      </c>
      <c r="O84" s="67">
        <f t="shared" si="77"/>
        <v>30</v>
      </c>
      <c r="P84" s="68">
        <f t="shared" si="1"/>
        <v>1702</v>
      </c>
      <c r="Q84" s="17">
        <v>42871</v>
      </c>
      <c r="R84" s="15">
        <v>184</v>
      </c>
      <c r="S84" s="15">
        <v>15</v>
      </c>
      <c r="T84" s="15">
        <v>184</v>
      </c>
      <c r="U84" s="15">
        <v>15</v>
      </c>
    </row>
    <row r="85" spans="1:22" x14ac:dyDescent="0.25">
      <c r="A85" s="84"/>
      <c r="B85" s="84"/>
      <c r="C85" s="85"/>
      <c r="D85" s="86"/>
      <c r="E85" s="86"/>
      <c r="F85" s="87"/>
      <c r="G85" s="85"/>
      <c r="H85" s="88"/>
      <c r="I85" s="89"/>
      <c r="J85" s="61" t="s">
        <v>132</v>
      </c>
      <c r="K85" s="62">
        <f>(1726*5+1646*3)/8</f>
        <v>1696</v>
      </c>
      <c r="L85" s="62">
        <v>800</v>
      </c>
      <c r="M85" s="62">
        <f>(1751*1+1672.8*7)/8</f>
        <v>1682.575</v>
      </c>
      <c r="N85" s="63">
        <f t="shared" ref="N85" si="86">R85+T85</f>
        <v>1526</v>
      </c>
      <c r="O85" s="63">
        <f t="shared" ref="O85" si="87">S85+U85</f>
        <v>119</v>
      </c>
      <c r="P85" s="64">
        <f t="shared" ref="P85" si="88">(M85-K85)*L85-O85-N85</f>
        <v>-12384.999999999964</v>
      </c>
      <c r="Q85" s="17">
        <v>42877</v>
      </c>
      <c r="R85" s="15">
        <v>759</v>
      </c>
      <c r="S85" s="15">
        <v>59</v>
      </c>
      <c r="T85" s="15">
        <f>185+582</f>
        <v>767</v>
      </c>
      <c r="U85" s="15">
        <f>14+46</f>
        <v>60</v>
      </c>
    </row>
    <row r="86" spans="1:22" x14ac:dyDescent="0.25">
      <c r="A86" s="84"/>
      <c r="B86" s="84"/>
      <c r="C86" s="85"/>
      <c r="D86" s="86"/>
      <c r="E86" s="86"/>
      <c r="F86" s="87"/>
      <c r="G86" s="85"/>
      <c r="H86" s="88"/>
      <c r="I86" s="89"/>
      <c r="J86" s="61" t="s">
        <v>132</v>
      </c>
      <c r="K86" s="66">
        <v>1667</v>
      </c>
      <c r="L86" s="66">
        <v>300</v>
      </c>
      <c r="M86" s="66">
        <v>1688</v>
      </c>
      <c r="N86" s="67">
        <f t="shared" ref="N86:N87" si="89">R86+T86</f>
        <v>974</v>
      </c>
      <c r="O86" s="67">
        <f t="shared" ref="O86:O87" si="90">S86+U86</f>
        <v>76</v>
      </c>
      <c r="P86" s="68">
        <f t="shared" ref="P86:P87" si="91">(M86-K86)*L86-O86-N86</f>
        <v>5250</v>
      </c>
      <c r="Q86" s="17">
        <v>42879</v>
      </c>
      <c r="R86" s="15">
        <v>487</v>
      </c>
      <c r="S86" s="15">
        <v>38</v>
      </c>
      <c r="T86" s="15">
        <v>487</v>
      </c>
      <c r="U86" s="15">
        <v>38</v>
      </c>
    </row>
    <row r="87" spans="1:22" x14ac:dyDescent="0.25">
      <c r="A87" s="84"/>
      <c r="B87" s="84"/>
      <c r="C87" s="85"/>
      <c r="D87" s="86"/>
      <c r="E87" s="86"/>
      <c r="F87" s="87"/>
      <c r="G87" s="85"/>
      <c r="H87" s="88"/>
      <c r="I87" s="89"/>
      <c r="J87" s="61" t="s">
        <v>132</v>
      </c>
      <c r="K87" s="62">
        <v>1606.8</v>
      </c>
      <c r="L87" s="62">
        <v>900</v>
      </c>
      <c r="M87" s="62">
        <v>1538.5</v>
      </c>
      <c r="N87" s="63">
        <f t="shared" si="89"/>
        <v>1558</v>
      </c>
      <c r="O87" s="63">
        <f t="shared" si="90"/>
        <v>152</v>
      </c>
      <c r="P87" s="64">
        <f t="shared" si="91"/>
        <v>-63179.999999999956</v>
      </c>
      <c r="Q87" s="17">
        <v>42881</v>
      </c>
      <c r="R87" s="15">
        <v>976</v>
      </c>
      <c r="S87" s="15">
        <v>76</v>
      </c>
      <c r="T87" s="15">
        <v>582</v>
      </c>
      <c r="U87" s="15">
        <v>76</v>
      </c>
    </row>
    <row r="88" spans="1:22" x14ac:dyDescent="0.25">
      <c r="A88" s="84" t="str">
        <f>IPO監視一覧!H12</f>
        <v>D</v>
      </c>
      <c r="B88" s="84" t="str">
        <f>IPO監視一覧!B12</f>
        <v>ビーグリー</v>
      </c>
      <c r="C88" s="85">
        <f>IPO監視一覧!G12</f>
        <v>1880</v>
      </c>
      <c r="D88" s="86">
        <v>384700</v>
      </c>
      <c r="E88" s="104">
        <v>4309900</v>
      </c>
      <c r="F88" s="87">
        <f>IPO監視一覧!O12</f>
        <v>42811</v>
      </c>
      <c r="G88" s="85">
        <f>IPO監視一覧!P12</f>
        <v>1881</v>
      </c>
      <c r="H88" s="88">
        <f>(G88-C88)*100*0.79685</f>
        <v>79.684999999999988</v>
      </c>
      <c r="I88" s="89">
        <f ca="1">NETWORKDAYS(F88,TODAY())</f>
        <v>239</v>
      </c>
      <c r="J88" s="61" t="s">
        <v>132</v>
      </c>
      <c r="K88" s="66">
        <v>2330</v>
      </c>
      <c r="L88" s="66">
        <v>300</v>
      </c>
      <c r="M88" s="66">
        <v>2365</v>
      </c>
      <c r="N88" s="67">
        <f t="shared" si="77"/>
        <v>974</v>
      </c>
      <c r="O88" s="67">
        <f t="shared" si="77"/>
        <v>84</v>
      </c>
      <c r="P88" s="68">
        <f t="shared" si="1"/>
        <v>9442</v>
      </c>
      <c r="Q88" s="17">
        <v>42817</v>
      </c>
      <c r="R88" s="15">
        <v>487</v>
      </c>
      <c r="S88" s="15">
        <v>38</v>
      </c>
      <c r="T88" s="15">
        <v>487</v>
      </c>
      <c r="U88" s="15">
        <v>46</v>
      </c>
    </row>
    <row r="89" spans="1:22" x14ac:dyDescent="0.25">
      <c r="A89" s="84"/>
      <c r="B89" s="84"/>
      <c r="C89" s="85"/>
      <c r="D89" s="86"/>
      <c r="E89" s="104"/>
      <c r="F89" s="87"/>
      <c r="G89" s="85"/>
      <c r="H89" s="88"/>
      <c r="I89" s="89"/>
      <c r="J89" s="61" t="s">
        <v>132</v>
      </c>
      <c r="K89" s="66">
        <v>2319</v>
      </c>
      <c r="L89" s="66">
        <v>300</v>
      </c>
      <c r="M89" s="66">
        <v>2376</v>
      </c>
      <c r="N89" s="67">
        <f t="shared" si="77"/>
        <v>974</v>
      </c>
      <c r="O89" s="67">
        <f t="shared" si="77"/>
        <v>76</v>
      </c>
      <c r="P89" s="68">
        <f t="shared" si="1"/>
        <v>16050</v>
      </c>
      <c r="Q89" s="17">
        <v>42818</v>
      </c>
      <c r="R89" s="15">
        <v>487</v>
      </c>
      <c r="S89" s="15">
        <v>38</v>
      </c>
      <c r="T89" s="15">
        <v>487</v>
      </c>
      <c r="U89" s="15">
        <v>38</v>
      </c>
    </row>
    <row r="90" spans="1:22" x14ac:dyDescent="0.25">
      <c r="A90" s="84"/>
      <c r="B90" s="84"/>
      <c r="C90" s="85"/>
      <c r="D90" s="86"/>
      <c r="E90" s="104"/>
      <c r="F90" s="87"/>
      <c r="G90" s="85"/>
      <c r="H90" s="88"/>
      <c r="I90" s="89"/>
      <c r="J90" s="61" t="s">
        <v>132</v>
      </c>
      <c r="K90" s="66">
        <v>2263</v>
      </c>
      <c r="L90" s="66">
        <v>300</v>
      </c>
      <c r="M90" s="66">
        <v>2309</v>
      </c>
      <c r="N90" s="67">
        <f t="shared" si="77"/>
        <v>974</v>
      </c>
      <c r="O90" s="67">
        <f t="shared" si="77"/>
        <v>76</v>
      </c>
      <c r="P90" s="68">
        <f t="shared" si="1"/>
        <v>12750</v>
      </c>
      <c r="Q90" s="17">
        <v>42873</v>
      </c>
      <c r="R90" s="15">
        <v>487</v>
      </c>
      <c r="S90" s="15">
        <v>38</v>
      </c>
      <c r="T90" s="15">
        <v>487</v>
      </c>
      <c r="U90" s="15">
        <v>38</v>
      </c>
    </row>
    <row r="91" spans="1:22" x14ac:dyDescent="0.25">
      <c r="A91" s="84"/>
      <c r="B91" s="84"/>
      <c r="C91" s="85"/>
      <c r="D91" s="86"/>
      <c r="E91" s="104"/>
      <c r="F91" s="87"/>
      <c r="G91" s="85"/>
      <c r="H91" s="88"/>
      <c r="I91" s="89"/>
      <c r="J91" s="61" t="s">
        <v>132</v>
      </c>
      <c r="K91" s="66">
        <v>2380</v>
      </c>
      <c r="L91" s="66">
        <v>300</v>
      </c>
      <c r="M91" s="66">
        <v>2406</v>
      </c>
      <c r="N91" s="67">
        <f t="shared" ref="N91" si="92">R91+T91</f>
        <v>974</v>
      </c>
      <c r="O91" s="67">
        <f t="shared" ref="O91" si="93">S91+U91</f>
        <v>76</v>
      </c>
      <c r="P91" s="68">
        <f t="shared" ref="P91" si="94">(M91-K91)*L91-O91-N91</f>
        <v>6750</v>
      </c>
      <c r="Q91" s="17">
        <v>42878</v>
      </c>
      <c r="R91" s="15">
        <v>487</v>
      </c>
      <c r="S91" s="15">
        <v>38</v>
      </c>
      <c r="T91" s="15">
        <v>487</v>
      </c>
      <c r="U91" s="15">
        <v>38</v>
      </c>
    </row>
    <row r="92" spans="1:22" x14ac:dyDescent="0.25">
      <c r="A92" s="84"/>
      <c r="B92" s="84"/>
      <c r="C92" s="85"/>
      <c r="D92" s="86"/>
      <c r="E92" s="104"/>
      <c r="F92" s="87"/>
      <c r="G92" s="85"/>
      <c r="H92" s="88"/>
      <c r="I92" s="89"/>
      <c r="J92" s="61" t="s">
        <v>132</v>
      </c>
      <c r="K92" s="66">
        <v>2305</v>
      </c>
      <c r="L92" s="66">
        <v>300</v>
      </c>
      <c r="M92" s="66">
        <v>2319</v>
      </c>
      <c r="N92" s="67">
        <f t="shared" ref="N92" si="95">R92+T92</f>
        <v>974</v>
      </c>
      <c r="O92" s="67">
        <f t="shared" ref="O92" si="96">S92+U92</f>
        <v>76</v>
      </c>
      <c r="P92" s="68">
        <f t="shared" ref="P92" si="97">(M92-K92)*L92-O92-N92</f>
        <v>3150</v>
      </c>
      <c r="Q92" s="17">
        <v>42879</v>
      </c>
      <c r="R92" s="15">
        <v>487</v>
      </c>
      <c r="S92" s="15">
        <v>38</v>
      </c>
      <c r="T92" s="15">
        <v>487</v>
      </c>
      <c r="U92" s="15">
        <v>38</v>
      </c>
    </row>
    <row r="93" spans="1:22" x14ac:dyDescent="0.25">
      <c r="A93" s="84"/>
      <c r="B93" s="84"/>
      <c r="C93" s="85"/>
      <c r="D93" s="86"/>
      <c r="E93" s="104"/>
      <c r="F93" s="87"/>
      <c r="G93" s="85"/>
      <c r="H93" s="88"/>
      <c r="I93" s="89"/>
      <c r="J93" s="65" t="s">
        <v>135</v>
      </c>
      <c r="K93" s="66">
        <v>2306</v>
      </c>
      <c r="L93" s="66">
        <v>100</v>
      </c>
      <c r="M93" s="66">
        <v>2315</v>
      </c>
      <c r="N93" s="67">
        <f t="shared" ref="N93" si="98">R93+T93</f>
        <v>500</v>
      </c>
      <c r="O93" s="67">
        <f t="shared" ref="O93" si="99">S93+U93</f>
        <v>40</v>
      </c>
      <c r="P93" s="68">
        <f t="shared" ref="P93" si="100">(M93-K93)*L93-O93-N93</f>
        <v>360</v>
      </c>
      <c r="Q93" s="17">
        <v>42879</v>
      </c>
      <c r="R93" s="15">
        <v>250</v>
      </c>
      <c r="S93" s="15">
        <v>20</v>
      </c>
      <c r="T93" s="15">
        <v>250</v>
      </c>
      <c r="U93" s="15">
        <v>20</v>
      </c>
    </row>
    <row r="94" spans="1:22" x14ac:dyDescent="0.25">
      <c r="A94" s="84"/>
      <c r="B94" s="84"/>
      <c r="C94" s="85"/>
      <c r="D94" s="86"/>
      <c r="E94" s="104"/>
      <c r="F94" s="87"/>
      <c r="G94" s="85"/>
      <c r="H94" s="88"/>
      <c r="I94" s="89"/>
      <c r="J94" s="61" t="s">
        <v>132</v>
      </c>
      <c r="K94" s="66">
        <v>2287</v>
      </c>
      <c r="L94" s="66">
        <v>500</v>
      </c>
      <c r="M94" s="66">
        <v>2326</v>
      </c>
      <c r="N94" s="67">
        <f t="shared" ref="N94" si="101">R94+T94</f>
        <v>1164</v>
      </c>
      <c r="O94" s="67">
        <f t="shared" ref="O94" si="102">S94+U94</f>
        <v>92</v>
      </c>
      <c r="P94" s="68">
        <f t="shared" ref="P94" si="103">(M94-K94)*L94-O94-N94</f>
        <v>18244</v>
      </c>
      <c r="Q94" s="17">
        <v>42880</v>
      </c>
      <c r="R94" s="15">
        <v>582</v>
      </c>
      <c r="S94" s="15">
        <v>46</v>
      </c>
      <c r="T94" s="15">
        <v>582</v>
      </c>
      <c r="U94" s="15">
        <v>46</v>
      </c>
    </row>
    <row r="95" spans="1:22" x14ac:dyDescent="0.25">
      <c r="A95" s="84"/>
      <c r="B95" s="84"/>
      <c r="C95" s="85"/>
      <c r="D95" s="86"/>
      <c r="E95" s="104"/>
      <c r="F95" s="87"/>
      <c r="G95" s="85"/>
      <c r="H95" s="88"/>
      <c r="I95" s="89"/>
      <c r="J95" s="61" t="s">
        <v>132</v>
      </c>
      <c r="K95" s="66">
        <v>2406</v>
      </c>
      <c r="L95" s="66">
        <v>100</v>
      </c>
      <c r="M95" s="66">
        <v>2416</v>
      </c>
      <c r="N95" s="67">
        <f t="shared" ref="N95:N96" si="104">R95+T95</f>
        <v>544</v>
      </c>
      <c r="O95" s="67">
        <f t="shared" ref="O95:O96" si="105">S95+U95</f>
        <v>42</v>
      </c>
      <c r="P95" s="68">
        <f t="shared" ref="P95:P96" si="106">(M95-K95)*L95-O95-N95</f>
        <v>414</v>
      </c>
      <c r="Q95" s="17">
        <v>42886</v>
      </c>
      <c r="R95" s="15">
        <v>272</v>
      </c>
      <c r="S95" s="15">
        <v>21</v>
      </c>
      <c r="T95" s="15">
        <v>272</v>
      </c>
      <c r="U95" s="15">
        <v>21</v>
      </c>
    </row>
    <row r="96" spans="1:22" x14ac:dyDescent="0.25">
      <c r="A96" s="84"/>
      <c r="B96" s="84"/>
      <c r="C96" s="85"/>
      <c r="D96" s="86"/>
      <c r="E96" s="104"/>
      <c r="F96" s="87"/>
      <c r="G96" s="85"/>
      <c r="H96" s="88"/>
      <c r="I96" s="89"/>
      <c r="J96" s="61" t="s">
        <v>132</v>
      </c>
      <c r="K96" s="62">
        <v>2289</v>
      </c>
      <c r="L96" s="62">
        <v>100</v>
      </c>
      <c r="M96" s="62">
        <v>2292</v>
      </c>
      <c r="N96" s="63">
        <f t="shared" si="104"/>
        <v>544</v>
      </c>
      <c r="O96" s="63">
        <f t="shared" si="105"/>
        <v>42</v>
      </c>
      <c r="P96" s="64">
        <f t="shared" si="106"/>
        <v>-286</v>
      </c>
      <c r="Q96" s="17">
        <v>42888</v>
      </c>
      <c r="R96" s="15">
        <v>272</v>
      </c>
      <c r="S96" s="15">
        <v>21</v>
      </c>
      <c r="T96" s="15">
        <v>272</v>
      </c>
      <c r="U96" s="15">
        <v>21</v>
      </c>
    </row>
    <row r="97" spans="1:22" x14ac:dyDescent="0.25">
      <c r="A97" s="84" t="str">
        <f>IPO監視一覧!H13</f>
        <v>A</v>
      </c>
      <c r="B97" s="84" t="str">
        <f>IPO監視一覧!B13</f>
        <v>力の源HD</v>
      </c>
      <c r="C97" s="85">
        <f>IPO監視一覧!G13</f>
        <v>600</v>
      </c>
      <c r="D97" s="86">
        <v>800000</v>
      </c>
      <c r="E97" s="86">
        <v>200000</v>
      </c>
      <c r="F97" s="87">
        <f>IPO監視一覧!O13</f>
        <v>42815</v>
      </c>
      <c r="G97" s="85">
        <f>IPO監視一覧!P13</f>
        <v>2230</v>
      </c>
      <c r="H97" s="88">
        <f>(G97-C97)*100*0.79685</f>
        <v>129886.54999999999</v>
      </c>
      <c r="I97" s="89">
        <f ca="1">NETWORKDAYS(F97,TODAY())</f>
        <v>237</v>
      </c>
      <c r="J97" s="61" t="s">
        <v>132</v>
      </c>
      <c r="K97" s="66">
        <v>2981</v>
      </c>
      <c r="L97" s="66">
        <v>200</v>
      </c>
      <c r="M97" s="66">
        <v>3050</v>
      </c>
      <c r="N97" s="67">
        <f t="shared" si="77"/>
        <v>974</v>
      </c>
      <c r="O97" s="67">
        <f t="shared" si="77"/>
        <v>76</v>
      </c>
      <c r="P97" s="68">
        <f t="shared" si="1"/>
        <v>12750</v>
      </c>
      <c r="Q97" s="17">
        <v>42821</v>
      </c>
      <c r="R97" s="15">
        <v>487</v>
      </c>
      <c r="S97" s="15">
        <v>38</v>
      </c>
      <c r="T97" s="15">
        <v>487</v>
      </c>
      <c r="U97" s="15">
        <v>38</v>
      </c>
    </row>
    <row r="98" spans="1:22" x14ac:dyDescent="0.25">
      <c r="A98" s="84"/>
      <c r="B98" s="84"/>
      <c r="C98" s="85"/>
      <c r="D98" s="86"/>
      <c r="E98" s="86"/>
      <c r="F98" s="87"/>
      <c r="G98" s="85"/>
      <c r="H98" s="88"/>
      <c r="I98" s="89"/>
      <c r="J98" s="61" t="s">
        <v>132</v>
      </c>
      <c r="K98" s="66">
        <v>2672</v>
      </c>
      <c r="L98" s="66">
        <v>300</v>
      </c>
      <c r="M98" s="66">
        <v>2735.6669999999999</v>
      </c>
      <c r="N98" s="67">
        <f t="shared" si="77"/>
        <v>1246</v>
      </c>
      <c r="O98" s="67">
        <f t="shared" si="77"/>
        <v>97</v>
      </c>
      <c r="P98" s="68">
        <f t="shared" si="1"/>
        <v>17757.099999999977</v>
      </c>
      <c r="Q98" s="17">
        <v>42822</v>
      </c>
      <c r="R98" s="15">
        <v>759</v>
      </c>
      <c r="S98" s="15">
        <v>59</v>
      </c>
      <c r="T98" s="15">
        <v>487</v>
      </c>
      <c r="U98" s="15">
        <v>38</v>
      </c>
    </row>
    <row r="99" spans="1:22" x14ac:dyDescent="0.25">
      <c r="A99" s="84"/>
      <c r="B99" s="84"/>
      <c r="C99" s="85"/>
      <c r="D99" s="86"/>
      <c r="E99" s="86"/>
      <c r="F99" s="87"/>
      <c r="G99" s="85"/>
      <c r="H99" s="88"/>
      <c r="I99" s="89"/>
      <c r="J99" s="61" t="s">
        <v>132</v>
      </c>
      <c r="K99" s="62">
        <v>2678</v>
      </c>
      <c r="L99" s="62">
        <v>500</v>
      </c>
      <c r="M99" s="62">
        <f>(2200*200+2201*300)/500</f>
        <v>2200.6</v>
      </c>
      <c r="N99" s="63">
        <f t="shared" si="77"/>
        <v>1436</v>
      </c>
      <c r="O99" s="63">
        <f t="shared" si="77"/>
        <v>113</v>
      </c>
      <c r="P99" s="64">
        <f t="shared" si="1"/>
        <v>-240249.00000000006</v>
      </c>
      <c r="Q99" s="17">
        <v>42825</v>
      </c>
      <c r="R99" s="15">
        <v>854</v>
      </c>
      <c r="S99" s="15">
        <v>67</v>
      </c>
      <c r="T99" s="15">
        <v>582</v>
      </c>
      <c r="U99" s="15">
        <v>46</v>
      </c>
    </row>
    <row r="100" spans="1:22" x14ac:dyDescent="0.25">
      <c r="A100" s="84" t="str">
        <f>IPO監視一覧!H14</f>
        <v>A</v>
      </c>
      <c r="B100" s="84" t="str">
        <f>IPO監視一覧!B14</f>
        <v>インターネットインフィニティー</v>
      </c>
      <c r="C100" s="85">
        <f>IPO監視一覧!G14</f>
        <v>1320</v>
      </c>
      <c r="D100" s="86">
        <v>130000</v>
      </c>
      <c r="E100" s="86">
        <v>65000</v>
      </c>
      <c r="F100" s="87">
        <f>IPO監視一覧!O14</f>
        <v>42815</v>
      </c>
      <c r="G100" s="85">
        <f>IPO監視一覧!P14</f>
        <v>5040</v>
      </c>
      <c r="H100" s="88">
        <f>(G100-C100)*100*0.79685</f>
        <v>296428.19999999995</v>
      </c>
      <c r="I100" s="89">
        <f ca="1">NETWORKDAYS(F100,TODAY())</f>
        <v>237</v>
      </c>
      <c r="J100" s="61" t="s">
        <v>132</v>
      </c>
      <c r="K100" s="62">
        <v>5110</v>
      </c>
      <c r="L100" s="62">
        <v>100</v>
      </c>
      <c r="M100" s="62">
        <v>5010</v>
      </c>
      <c r="N100" s="63">
        <f t="shared" si="77"/>
        <v>974</v>
      </c>
      <c r="O100" s="63">
        <f t="shared" si="77"/>
        <v>76</v>
      </c>
      <c r="P100" s="64">
        <f t="shared" si="1"/>
        <v>-11050</v>
      </c>
      <c r="Q100" s="17">
        <v>42818</v>
      </c>
      <c r="R100" s="15">
        <v>487</v>
      </c>
      <c r="S100" s="15">
        <v>38</v>
      </c>
      <c r="T100" s="15">
        <v>487</v>
      </c>
      <c r="U100" s="15">
        <v>38</v>
      </c>
      <c r="V100" s="98"/>
    </row>
    <row r="101" spans="1:22" x14ac:dyDescent="0.25">
      <c r="A101" s="297" t="str">
        <f>IPO監視一覧!H15</f>
        <v>D</v>
      </c>
      <c r="B101" s="297" t="str">
        <f>IPO監視一覧!B15</f>
        <v>フルテック</v>
      </c>
      <c r="C101" s="300">
        <f>IPO監視一覧!G15</f>
        <v>600</v>
      </c>
      <c r="D101" s="301">
        <v>600000</v>
      </c>
      <c r="E101" s="301">
        <v>519200</v>
      </c>
      <c r="F101" s="302">
        <f>IPO監視一覧!O15</f>
        <v>42816</v>
      </c>
      <c r="G101" s="300">
        <f>IPO監視一覧!P15</f>
        <v>1230</v>
      </c>
      <c r="H101" s="303">
        <f>(G101-C101)*100*0.79685</f>
        <v>50201.549999999996</v>
      </c>
      <c r="I101" s="61">
        <f ca="1">NETWORKDAYS(F101,TODAY())</f>
        <v>236</v>
      </c>
      <c r="J101" s="61" t="s">
        <v>132</v>
      </c>
      <c r="K101" s="66">
        <v>1004.6</v>
      </c>
      <c r="L101" s="66">
        <v>300</v>
      </c>
      <c r="M101" s="66">
        <v>1030</v>
      </c>
      <c r="N101" s="67">
        <f t="shared" si="77"/>
        <v>544</v>
      </c>
      <c r="O101" s="67">
        <f t="shared" si="77"/>
        <v>42</v>
      </c>
      <c r="P101" s="68">
        <f t="shared" si="1"/>
        <v>7033.9999999999927</v>
      </c>
      <c r="Q101" s="17">
        <v>42816</v>
      </c>
      <c r="R101" s="15">
        <v>272</v>
      </c>
      <c r="S101" s="15">
        <v>21</v>
      </c>
      <c r="T101" s="15">
        <v>272</v>
      </c>
      <c r="U101" s="15">
        <v>21</v>
      </c>
    </row>
    <row r="102" spans="1:22" x14ac:dyDescent="0.25">
      <c r="A102" s="297" t="str">
        <f>IPO監視一覧!H16</f>
        <v>D</v>
      </c>
      <c r="B102" s="297" t="str">
        <f>IPO監視一覧!B16</f>
        <v>マクロミル</v>
      </c>
      <c r="C102" s="300">
        <f>IPO監視一覧!G16</f>
        <v>1950</v>
      </c>
      <c r="D102" s="301">
        <v>487800</v>
      </c>
      <c r="E102" s="304">
        <v>25017200</v>
      </c>
      <c r="F102" s="302">
        <f>IPO監視一覧!O16</f>
        <v>42816</v>
      </c>
      <c r="G102" s="300">
        <f>IPO監視一覧!P16</f>
        <v>1867</v>
      </c>
      <c r="H102" s="303">
        <f>IF((G102-C102)&gt;0,(G102-C102)*100*0.79685,(G102-C102)*100)</f>
        <v>-8300</v>
      </c>
      <c r="I102" s="61">
        <f ca="1">NETWORKDAYS(F102,TODAY())</f>
        <v>236</v>
      </c>
      <c r="J102" s="105" t="s">
        <v>57</v>
      </c>
      <c r="K102" s="62">
        <v>1950</v>
      </c>
      <c r="L102" s="62">
        <v>100</v>
      </c>
      <c r="M102" s="62">
        <v>1725</v>
      </c>
      <c r="N102" s="62">
        <f t="shared" si="77"/>
        <v>1000</v>
      </c>
      <c r="O102" s="62">
        <f t="shared" si="77"/>
        <v>80</v>
      </c>
      <c r="P102" s="64">
        <f t="shared" si="1"/>
        <v>-23580</v>
      </c>
      <c r="Q102" s="17">
        <v>42816</v>
      </c>
      <c r="R102" s="15">
        <v>0</v>
      </c>
      <c r="S102" s="15">
        <v>0</v>
      </c>
      <c r="T102" s="15">
        <v>1000</v>
      </c>
      <c r="U102" s="15">
        <v>80</v>
      </c>
      <c r="V102" s="98"/>
    </row>
    <row r="103" spans="1:22" x14ac:dyDescent="0.25">
      <c r="A103" s="297" t="str">
        <f>IPO監視一覧!H17</f>
        <v>D</v>
      </c>
      <c r="B103" s="297" t="str">
        <f>IPO監視一覧!B17</f>
        <v>グリーンズ</v>
      </c>
      <c r="C103" s="300">
        <f>IPO監視一覧!G17</f>
        <v>1400</v>
      </c>
      <c r="D103" s="301">
        <v>2000000</v>
      </c>
      <c r="E103" s="301">
        <v>2400000</v>
      </c>
      <c r="F103" s="302">
        <f>IPO監視一覧!O17</f>
        <v>42817</v>
      </c>
      <c r="G103" s="300">
        <f>IPO監視一覧!P17</f>
        <v>1521</v>
      </c>
      <c r="H103" s="303">
        <f>IF((G103-C103)&gt;0,(G103-C103)*100*0.79685,(G103-C103)*100)</f>
        <v>9641.8850000000002</v>
      </c>
      <c r="I103" s="61">
        <f ca="1">NETWORKDAYS(F103,TODAY())</f>
        <v>235</v>
      </c>
      <c r="J103" s="105" t="s">
        <v>57</v>
      </c>
      <c r="K103" s="66">
        <v>1400</v>
      </c>
      <c r="L103" s="66">
        <v>100</v>
      </c>
      <c r="M103" s="66">
        <v>1521</v>
      </c>
      <c r="N103" s="66">
        <f t="shared" si="77"/>
        <v>1000</v>
      </c>
      <c r="O103" s="66">
        <f t="shared" si="77"/>
        <v>80</v>
      </c>
      <c r="P103" s="68">
        <f t="shared" si="1"/>
        <v>11020</v>
      </c>
      <c r="Q103" s="17">
        <v>42817</v>
      </c>
      <c r="R103" s="15">
        <v>0</v>
      </c>
      <c r="S103" s="15">
        <v>0</v>
      </c>
      <c r="T103" s="15">
        <v>1000</v>
      </c>
      <c r="U103" s="15">
        <v>80</v>
      </c>
    </row>
    <row r="104" spans="1:22" x14ac:dyDescent="0.25">
      <c r="A104" s="84" t="str">
        <f>IPO監視一覧!H18</f>
        <v>C</v>
      </c>
      <c r="B104" s="84" t="str">
        <f>IPO監視一覧!B18</f>
        <v>オロ</v>
      </c>
      <c r="C104" s="85">
        <f>IPO監視一覧!G18</f>
        <v>2070</v>
      </c>
      <c r="D104" s="86">
        <v>1000000</v>
      </c>
      <c r="E104" s="86">
        <v>0</v>
      </c>
      <c r="F104" s="87">
        <f>IPO監視一覧!O18</f>
        <v>42818</v>
      </c>
      <c r="G104" s="85">
        <f>IPO監視一覧!P18</f>
        <v>4750</v>
      </c>
      <c r="H104" s="88">
        <f>IF((G104-C104)&gt;0,(G104-C104)*100*0.79685,(G104-C104)*100)</f>
        <v>213555.8</v>
      </c>
      <c r="I104" s="89">
        <f ca="1">NETWORKDAYS(F104,TODAY())</f>
        <v>234</v>
      </c>
      <c r="J104" s="61" t="s">
        <v>132</v>
      </c>
      <c r="K104" s="66">
        <v>4110</v>
      </c>
      <c r="L104" s="66">
        <v>100</v>
      </c>
      <c r="M104" s="66">
        <v>4290</v>
      </c>
      <c r="N104" s="66">
        <f t="shared" si="77"/>
        <v>544</v>
      </c>
      <c r="O104" s="66">
        <f t="shared" si="77"/>
        <v>42</v>
      </c>
      <c r="P104" s="68">
        <f t="shared" si="1"/>
        <v>17414</v>
      </c>
      <c r="Q104" s="17">
        <v>42821</v>
      </c>
      <c r="R104" s="15">
        <v>272</v>
      </c>
      <c r="S104" s="15">
        <v>21</v>
      </c>
      <c r="T104" s="15">
        <v>272</v>
      </c>
      <c r="U104" s="15">
        <v>21</v>
      </c>
    </row>
    <row r="105" spans="1:22" x14ac:dyDescent="0.25">
      <c r="A105" s="84"/>
      <c r="B105" s="84"/>
      <c r="C105" s="85"/>
      <c r="D105" s="86"/>
      <c r="E105" s="86"/>
      <c r="F105" s="87"/>
      <c r="G105" s="85"/>
      <c r="H105" s="88"/>
      <c r="I105" s="89"/>
      <c r="J105" s="61" t="s">
        <v>132</v>
      </c>
      <c r="K105" s="66">
        <v>3720</v>
      </c>
      <c r="L105" s="66">
        <v>200</v>
      </c>
      <c r="M105" s="66">
        <v>3730</v>
      </c>
      <c r="N105" s="66">
        <f t="shared" si="77"/>
        <v>974</v>
      </c>
      <c r="O105" s="66">
        <f t="shared" si="77"/>
        <v>76</v>
      </c>
      <c r="P105" s="68">
        <f t="shared" si="1"/>
        <v>950</v>
      </c>
      <c r="Q105" s="17">
        <v>42823</v>
      </c>
      <c r="R105" s="15">
        <v>487</v>
      </c>
      <c r="S105" s="15">
        <v>38</v>
      </c>
      <c r="T105" s="15">
        <v>487</v>
      </c>
      <c r="U105" s="15">
        <v>38</v>
      </c>
    </row>
    <row r="106" spans="1:22" x14ac:dyDescent="0.25">
      <c r="A106" s="84" t="str">
        <f>IPO監視一覧!H19</f>
        <v>D</v>
      </c>
      <c r="B106" s="84" t="str">
        <f>IPO監視一覧!B19</f>
        <v>ソレイジア・ファーマ</v>
      </c>
      <c r="C106" s="85">
        <f>IPO監視一覧!G19</f>
        <v>185</v>
      </c>
      <c r="D106" s="86">
        <v>19437500</v>
      </c>
      <c r="E106" s="86">
        <v>0</v>
      </c>
      <c r="F106" s="87">
        <f>IPO監視一覧!O19</f>
        <v>42818</v>
      </c>
      <c r="G106" s="85">
        <f>IPO監視一覧!P19</f>
        <v>234</v>
      </c>
      <c r="H106" s="88">
        <f>IF((G106-C106)&gt;0,(G106-C106)*100*0.79685,(G106-C106)*100)</f>
        <v>3904.5649999999996</v>
      </c>
      <c r="I106" s="89">
        <f ca="1">NETWORKDAYS(F106,TODAY())</f>
        <v>234</v>
      </c>
      <c r="J106" s="61" t="s">
        <v>132</v>
      </c>
      <c r="K106" s="66">
        <v>273</v>
      </c>
      <c r="L106" s="66">
        <v>2000</v>
      </c>
      <c r="M106" s="66">
        <v>280</v>
      </c>
      <c r="N106" s="66">
        <f t="shared" si="77"/>
        <v>949</v>
      </c>
      <c r="O106" s="66">
        <f t="shared" si="77"/>
        <v>74</v>
      </c>
      <c r="P106" s="68">
        <f t="shared" si="1"/>
        <v>12977</v>
      </c>
      <c r="Q106" s="17">
        <v>42818</v>
      </c>
      <c r="R106" s="15">
        <v>487</v>
      </c>
      <c r="S106" s="15">
        <v>38</v>
      </c>
      <c r="T106" s="15">
        <v>462</v>
      </c>
      <c r="U106" s="15">
        <v>36</v>
      </c>
    </row>
    <row r="107" spans="1:22" x14ac:dyDescent="0.25">
      <c r="A107" s="84"/>
      <c r="B107" s="84"/>
      <c r="C107" s="85"/>
      <c r="D107" s="86"/>
      <c r="E107" s="86"/>
      <c r="F107" s="87"/>
      <c r="G107" s="85"/>
      <c r="H107" s="88"/>
      <c r="I107" s="89"/>
      <c r="J107" s="61" t="s">
        <v>132</v>
      </c>
      <c r="K107" s="62">
        <v>256</v>
      </c>
      <c r="L107" s="62">
        <v>2000</v>
      </c>
      <c r="M107" s="62">
        <v>231</v>
      </c>
      <c r="N107" s="62">
        <f t="shared" si="77"/>
        <v>759</v>
      </c>
      <c r="O107" s="62">
        <f t="shared" si="77"/>
        <v>59</v>
      </c>
      <c r="P107" s="64">
        <f t="shared" si="1"/>
        <v>-50818</v>
      </c>
      <c r="Q107" s="17">
        <v>42821</v>
      </c>
      <c r="R107" s="15">
        <v>487</v>
      </c>
      <c r="S107" s="15">
        <v>38</v>
      </c>
      <c r="T107" s="15">
        <v>272</v>
      </c>
      <c r="U107" s="15">
        <v>21</v>
      </c>
      <c r="V107" s="98"/>
    </row>
    <row r="108" spans="1:22" x14ac:dyDescent="0.25">
      <c r="A108" s="84"/>
      <c r="B108" s="84"/>
      <c r="C108" s="85"/>
      <c r="D108" s="86"/>
      <c r="E108" s="86"/>
      <c r="F108" s="87"/>
      <c r="G108" s="85"/>
      <c r="H108" s="88"/>
      <c r="I108" s="89"/>
      <c r="J108" s="61" t="s">
        <v>132</v>
      </c>
      <c r="K108" s="66">
        <v>320</v>
      </c>
      <c r="L108" s="66">
        <v>2000</v>
      </c>
      <c r="M108" s="66">
        <v>321</v>
      </c>
      <c r="N108" s="66">
        <f t="shared" si="77"/>
        <v>974</v>
      </c>
      <c r="O108" s="66">
        <f t="shared" si="77"/>
        <v>76</v>
      </c>
      <c r="P108" s="68">
        <f t="shared" si="1"/>
        <v>950</v>
      </c>
      <c r="Q108" s="17">
        <v>42832</v>
      </c>
      <c r="R108" s="15">
        <v>487</v>
      </c>
      <c r="S108" s="15">
        <v>38</v>
      </c>
      <c r="T108" s="15">
        <v>487</v>
      </c>
      <c r="U108" s="15">
        <v>38</v>
      </c>
      <c r="V108" s="98"/>
    </row>
    <row r="109" spans="1:22" x14ac:dyDescent="0.25">
      <c r="A109" s="84"/>
      <c r="B109" s="84"/>
      <c r="C109" s="85"/>
      <c r="D109" s="86"/>
      <c r="E109" s="86"/>
      <c r="F109" s="87"/>
      <c r="G109" s="85"/>
      <c r="H109" s="88"/>
      <c r="I109" s="89"/>
      <c r="J109" s="61" t="s">
        <v>132</v>
      </c>
      <c r="K109" s="66">
        <v>386</v>
      </c>
      <c r="L109" s="66">
        <v>2000</v>
      </c>
      <c r="M109" s="66">
        <v>388</v>
      </c>
      <c r="N109" s="66">
        <f t="shared" si="77"/>
        <v>974</v>
      </c>
      <c r="O109" s="66">
        <f t="shared" si="77"/>
        <v>76</v>
      </c>
      <c r="P109" s="68">
        <f t="shared" si="1"/>
        <v>2950</v>
      </c>
      <c r="Q109" s="17">
        <v>42836</v>
      </c>
      <c r="R109" s="15">
        <v>487</v>
      </c>
      <c r="S109" s="15">
        <v>38</v>
      </c>
      <c r="T109" s="15">
        <v>487</v>
      </c>
      <c r="U109" s="15">
        <v>38</v>
      </c>
      <c r="V109" s="98"/>
    </row>
    <row r="110" spans="1:22" x14ac:dyDescent="0.25">
      <c r="A110" s="84"/>
      <c r="B110" s="84"/>
      <c r="C110" s="85"/>
      <c r="D110" s="86"/>
      <c r="E110" s="86"/>
      <c r="F110" s="87"/>
      <c r="G110" s="85"/>
      <c r="H110" s="88"/>
      <c r="I110" s="89"/>
      <c r="J110" s="61" t="s">
        <v>132</v>
      </c>
      <c r="K110" s="66">
        <v>402</v>
      </c>
      <c r="L110" s="66">
        <v>2000</v>
      </c>
      <c r="M110" s="66">
        <v>405</v>
      </c>
      <c r="N110" s="66">
        <f t="shared" si="77"/>
        <v>974</v>
      </c>
      <c r="O110" s="66">
        <f t="shared" si="77"/>
        <v>76</v>
      </c>
      <c r="P110" s="68">
        <f t="shared" si="1"/>
        <v>4950</v>
      </c>
      <c r="Q110" s="17">
        <v>42837</v>
      </c>
      <c r="R110" s="15">
        <v>487</v>
      </c>
      <c r="S110" s="15">
        <v>38</v>
      </c>
      <c r="T110" s="15">
        <v>487</v>
      </c>
      <c r="U110" s="15">
        <v>38</v>
      </c>
      <c r="V110" s="98"/>
    </row>
    <row r="111" spans="1:22" x14ac:dyDescent="0.25">
      <c r="A111" s="84"/>
      <c r="B111" s="84"/>
      <c r="C111" s="85"/>
      <c r="D111" s="86"/>
      <c r="E111" s="86"/>
      <c r="F111" s="87"/>
      <c r="G111" s="85"/>
      <c r="H111" s="88"/>
      <c r="I111" s="89"/>
      <c r="J111" s="61" t="s">
        <v>132</v>
      </c>
      <c r="K111" s="66">
        <v>378</v>
      </c>
      <c r="L111" s="66">
        <v>2000</v>
      </c>
      <c r="M111" s="66">
        <v>384</v>
      </c>
      <c r="N111" s="66">
        <f t="shared" si="77"/>
        <v>974</v>
      </c>
      <c r="O111" s="66">
        <f t="shared" si="77"/>
        <v>76</v>
      </c>
      <c r="P111" s="68">
        <f t="shared" si="1"/>
        <v>10950</v>
      </c>
      <c r="Q111" s="17">
        <v>42838</v>
      </c>
      <c r="R111" s="15">
        <v>487</v>
      </c>
      <c r="S111" s="15">
        <v>38</v>
      </c>
      <c r="T111" s="15">
        <v>487</v>
      </c>
      <c r="U111" s="15">
        <v>38</v>
      </c>
      <c r="V111" s="98"/>
    </row>
    <row r="112" spans="1:22" x14ac:dyDescent="0.25">
      <c r="A112" s="84"/>
      <c r="B112" s="84"/>
      <c r="C112" s="85"/>
      <c r="D112" s="86"/>
      <c r="E112" s="86"/>
      <c r="F112" s="87"/>
      <c r="G112" s="85"/>
      <c r="H112" s="88"/>
      <c r="I112" s="89"/>
      <c r="J112" s="61" t="s">
        <v>132</v>
      </c>
      <c r="K112" s="66">
        <v>407</v>
      </c>
      <c r="L112" s="66">
        <v>2000</v>
      </c>
      <c r="M112" s="66">
        <v>417</v>
      </c>
      <c r="N112" s="66">
        <f t="shared" si="77"/>
        <v>974</v>
      </c>
      <c r="O112" s="66">
        <f t="shared" si="77"/>
        <v>76</v>
      </c>
      <c r="P112" s="68">
        <f t="shared" si="1"/>
        <v>18950</v>
      </c>
      <c r="Q112" s="17">
        <v>42839</v>
      </c>
      <c r="R112" s="15">
        <v>487</v>
      </c>
      <c r="S112" s="15">
        <v>38</v>
      </c>
      <c r="T112" s="15">
        <v>487</v>
      </c>
      <c r="U112" s="15">
        <v>38</v>
      </c>
      <c r="V112" s="98"/>
    </row>
    <row r="113" spans="1:22" x14ac:dyDescent="0.25">
      <c r="A113" s="84"/>
      <c r="B113" s="84"/>
      <c r="C113" s="85"/>
      <c r="D113" s="86"/>
      <c r="E113" s="86"/>
      <c r="F113" s="87"/>
      <c r="G113" s="85"/>
      <c r="H113" s="88"/>
      <c r="I113" s="89"/>
      <c r="J113" s="61" t="s">
        <v>132</v>
      </c>
      <c r="K113" s="66">
        <v>434</v>
      </c>
      <c r="L113" s="66">
        <v>2000</v>
      </c>
      <c r="M113" s="66">
        <v>437</v>
      </c>
      <c r="N113" s="66">
        <f t="shared" si="77"/>
        <v>974</v>
      </c>
      <c r="O113" s="66">
        <f t="shared" si="77"/>
        <v>76</v>
      </c>
      <c r="P113" s="68">
        <f t="shared" si="1"/>
        <v>4950</v>
      </c>
      <c r="Q113" s="17">
        <v>42843</v>
      </c>
      <c r="R113" s="15">
        <v>487</v>
      </c>
      <c r="S113" s="15">
        <v>38</v>
      </c>
      <c r="T113" s="15">
        <v>487</v>
      </c>
      <c r="U113" s="15">
        <v>38</v>
      </c>
      <c r="V113" s="98"/>
    </row>
    <row r="114" spans="1:22" x14ac:dyDescent="0.25">
      <c r="A114" s="84"/>
      <c r="B114" s="84"/>
      <c r="C114" s="85"/>
      <c r="D114" s="86"/>
      <c r="E114" s="86"/>
      <c r="F114" s="87"/>
      <c r="G114" s="85"/>
      <c r="H114" s="88"/>
      <c r="I114" s="89"/>
      <c r="J114" s="61" t="s">
        <v>132</v>
      </c>
      <c r="K114" s="66">
        <v>532</v>
      </c>
      <c r="L114" s="66">
        <v>600</v>
      </c>
      <c r="M114" s="66">
        <v>539</v>
      </c>
      <c r="N114" s="66">
        <f t="shared" si="77"/>
        <v>544</v>
      </c>
      <c r="O114" s="66">
        <f t="shared" si="77"/>
        <v>42</v>
      </c>
      <c r="P114" s="68">
        <f t="shared" si="1"/>
        <v>3614</v>
      </c>
      <c r="Q114" s="17">
        <v>42844</v>
      </c>
      <c r="R114" s="15">
        <v>272</v>
      </c>
      <c r="S114" s="15">
        <v>21</v>
      </c>
      <c r="T114" s="15">
        <v>272</v>
      </c>
      <c r="U114" s="15">
        <v>21</v>
      </c>
      <c r="V114" s="98"/>
    </row>
    <row r="115" spans="1:22" x14ac:dyDescent="0.25">
      <c r="A115" s="84"/>
      <c r="B115" s="84"/>
      <c r="C115" s="85"/>
      <c r="D115" s="86"/>
      <c r="E115" s="86"/>
      <c r="F115" s="87"/>
      <c r="G115" s="85"/>
      <c r="H115" s="88"/>
      <c r="I115" s="89"/>
      <c r="J115" s="65" t="s">
        <v>135</v>
      </c>
      <c r="K115" s="66">
        <v>615</v>
      </c>
      <c r="L115" s="66">
        <v>500</v>
      </c>
      <c r="M115" s="66">
        <v>626</v>
      </c>
      <c r="N115" s="66">
        <f t="shared" si="77"/>
        <v>700</v>
      </c>
      <c r="O115" s="66">
        <f t="shared" si="77"/>
        <v>56</v>
      </c>
      <c r="P115" s="68">
        <f t="shared" si="1"/>
        <v>4744</v>
      </c>
      <c r="Q115" s="17">
        <v>42845</v>
      </c>
      <c r="R115" s="15">
        <v>350</v>
      </c>
      <c r="S115" s="15">
        <v>28</v>
      </c>
      <c r="T115" s="15">
        <v>350</v>
      </c>
      <c r="U115" s="15">
        <v>28</v>
      </c>
      <c r="V115" s="98"/>
    </row>
    <row r="116" spans="1:22" x14ac:dyDescent="0.25">
      <c r="A116" s="84"/>
      <c r="B116" s="84"/>
      <c r="C116" s="85"/>
      <c r="D116" s="86"/>
      <c r="E116" s="86"/>
      <c r="F116" s="87"/>
      <c r="G116" s="85"/>
      <c r="H116" s="88"/>
      <c r="I116" s="89"/>
      <c r="J116" s="61" t="s">
        <v>132</v>
      </c>
      <c r="K116" s="66">
        <v>602</v>
      </c>
      <c r="L116" s="66">
        <v>2500</v>
      </c>
      <c r="M116" s="66">
        <v>618.4</v>
      </c>
      <c r="N116" s="66">
        <f t="shared" si="77"/>
        <v>1708</v>
      </c>
      <c r="O116" s="66">
        <f t="shared" si="77"/>
        <v>134</v>
      </c>
      <c r="P116" s="68">
        <f t="shared" si="1"/>
        <v>39157.999999999942</v>
      </c>
      <c r="Q116" s="17">
        <v>42845</v>
      </c>
      <c r="R116" s="15">
        <v>854</v>
      </c>
      <c r="S116" s="15">
        <v>67</v>
      </c>
      <c r="T116" s="15">
        <v>854</v>
      </c>
      <c r="U116" s="15">
        <v>67</v>
      </c>
      <c r="V116" s="98"/>
    </row>
    <row r="117" spans="1:22" x14ac:dyDescent="0.25">
      <c r="A117" s="84"/>
      <c r="B117" s="84"/>
      <c r="C117" s="85"/>
      <c r="D117" s="86"/>
      <c r="E117" s="86"/>
      <c r="F117" s="87"/>
      <c r="G117" s="85"/>
      <c r="H117" s="88"/>
      <c r="I117" s="89"/>
      <c r="J117" s="61" t="s">
        <v>132</v>
      </c>
      <c r="K117" s="66">
        <v>592.70000000000005</v>
      </c>
      <c r="L117" s="66">
        <v>2500</v>
      </c>
      <c r="M117" s="66">
        <v>606.79999999999995</v>
      </c>
      <c r="N117" s="66">
        <f t="shared" si="77"/>
        <v>1923</v>
      </c>
      <c r="O117" s="66">
        <f t="shared" si="77"/>
        <v>150</v>
      </c>
      <c r="P117" s="68">
        <f t="shared" si="1"/>
        <v>33176.999999999774</v>
      </c>
      <c r="Q117" s="17">
        <v>42846</v>
      </c>
      <c r="R117" s="15">
        <v>974</v>
      </c>
      <c r="S117" s="15">
        <v>76</v>
      </c>
      <c r="T117" s="15">
        <v>949</v>
      </c>
      <c r="U117" s="15">
        <v>74</v>
      </c>
      <c r="V117" s="98"/>
    </row>
    <row r="118" spans="1:22" x14ac:dyDescent="0.25">
      <c r="A118" s="84"/>
      <c r="B118" s="84"/>
      <c r="C118" s="85"/>
      <c r="D118" s="86"/>
      <c r="E118" s="86"/>
      <c r="F118" s="87"/>
      <c r="G118" s="85"/>
      <c r="H118" s="88"/>
      <c r="I118" s="89"/>
      <c r="J118" s="61" t="s">
        <v>132</v>
      </c>
      <c r="K118" s="66">
        <v>513</v>
      </c>
      <c r="L118" s="66">
        <v>1200</v>
      </c>
      <c r="M118" s="66">
        <v>523</v>
      </c>
      <c r="N118" s="66">
        <f t="shared" si="77"/>
        <v>974</v>
      </c>
      <c r="O118" s="66">
        <f t="shared" si="77"/>
        <v>76</v>
      </c>
      <c r="P118" s="68">
        <f t="shared" si="1"/>
        <v>10950</v>
      </c>
      <c r="Q118" s="17">
        <v>42850</v>
      </c>
      <c r="R118" s="15">
        <v>487</v>
      </c>
      <c r="S118" s="15">
        <v>38</v>
      </c>
      <c r="T118" s="15">
        <v>487</v>
      </c>
      <c r="U118" s="15">
        <v>38</v>
      </c>
      <c r="V118" s="98"/>
    </row>
    <row r="119" spans="1:22" x14ac:dyDescent="0.25">
      <c r="A119" s="84"/>
      <c r="B119" s="84"/>
      <c r="C119" s="85"/>
      <c r="D119" s="86"/>
      <c r="E119" s="86"/>
      <c r="F119" s="87"/>
      <c r="G119" s="85"/>
      <c r="H119" s="88"/>
      <c r="I119" s="89"/>
      <c r="J119" s="61" t="s">
        <v>132</v>
      </c>
      <c r="K119" s="66">
        <v>486</v>
      </c>
      <c r="L119" s="66">
        <v>2000</v>
      </c>
      <c r="M119" s="66">
        <v>492</v>
      </c>
      <c r="N119" s="66">
        <f t="shared" si="77"/>
        <v>974</v>
      </c>
      <c r="O119" s="66">
        <f t="shared" si="77"/>
        <v>76</v>
      </c>
      <c r="P119" s="68">
        <f t="shared" si="1"/>
        <v>10950</v>
      </c>
      <c r="Q119" s="17">
        <v>42850</v>
      </c>
      <c r="R119" s="15">
        <v>487</v>
      </c>
      <c r="S119" s="15">
        <v>38</v>
      </c>
      <c r="T119" s="15">
        <v>487</v>
      </c>
      <c r="U119" s="15">
        <v>38</v>
      </c>
      <c r="V119" s="98"/>
    </row>
    <row r="120" spans="1:22" x14ac:dyDescent="0.25">
      <c r="A120" s="84"/>
      <c r="B120" s="84"/>
      <c r="C120" s="85"/>
      <c r="D120" s="86"/>
      <c r="E120" s="86"/>
      <c r="F120" s="87"/>
      <c r="G120" s="85"/>
      <c r="H120" s="88"/>
      <c r="I120" s="89"/>
      <c r="J120" s="65" t="s">
        <v>135</v>
      </c>
      <c r="K120" s="66">
        <v>620</v>
      </c>
      <c r="L120" s="66">
        <v>400</v>
      </c>
      <c r="M120" s="66">
        <v>631</v>
      </c>
      <c r="N120" s="66">
        <f t="shared" si="77"/>
        <v>500</v>
      </c>
      <c r="O120" s="66">
        <f t="shared" si="77"/>
        <v>40</v>
      </c>
      <c r="P120" s="68">
        <f t="shared" si="1"/>
        <v>3860</v>
      </c>
      <c r="Q120" s="17">
        <v>42864</v>
      </c>
      <c r="R120" s="15">
        <v>250</v>
      </c>
      <c r="S120" s="15">
        <v>20</v>
      </c>
      <c r="T120" s="15">
        <v>250</v>
      </c>
      <c r="U120" s="15">
        <v>20</v>
      </c>
      <c r="V120" s="98"/>
    </row>
    <row r="121" spans="1:22" x14ac:dyDescent="0.25">
      <c r="A121" s="84"/>
      <c r="B121" s="84"/>
      <c r="C121" s="85"/>
      <c r="D121" s="86"/>
      <c r="E121" s="86"/>
      <c r="F121" s="87"/>
      <c r="G121" s="85"/>
      <c r="H121" s="88"/>
      <c r="I121" s="89"/>
      <c r="J121" s="61" t="s">
        <v>132</v>
      </c>
      <c r="K121" s="66">
        <v>558</v>
      </c>
      <c r="L121" s="66">
        <v>900</v>
      </c>
      <c r="M121" s="66">
        <v>580</v>
      </c>
      <c r="N121" s="66">
        <f t="shared" si="77"/>
        <v>949</v>
      </c>
      <c r="O121" s="66">
        <f t="shared" si="77"/>
        <v>74</v>
      </c>
      <c r="P121" s="68">
        <f t="shared" si="1"/>
        <v>18777</v>
      </c>
      <c r="Q121" s="17">
        <v>42864</v>
      </c>
      <c r="R121" s="15">
        <v>462</v>
      </c>
      <c r="S121" s="15">
        <v>36</v>
      </c>
      <c r="T121" s="15">
        <v>487</v>
      </c>
      <c r="U121" s="15">
        <v>38</v>
      </c>
      <c r="V121" s="98"/>
    </row>
    <row r="122" spans="1:22" x14ac:dyDescent="0.25">
      <c r="A122" s="84"/>
      <c r="B122" s="84"/>
      <c r="C122" s="85"/>
      <c r="D122" s="86"/>
      <c r="E122" s="86"/>
      <c r="F122" s="87"/>
      <c r="G122" s="85"/>
      <c r="H122" s="88"/>
      <c r="I122" s="89"/>
      <c r="J122" s="61" t="s">
        <v>132</v>
      </c>
      <c r="K122" s="62">
        <v>599</v>
      </c>
      <c r="L122" s="62">
        <v>2000</v>
      </c>
      <c r="M122" s="62">
        <v>580</v>
      </c>
      <c r="N122" s="62">
        <f t="shared" si="77"/>
        <v>1164</v>
      </c>
      <c r="O122" s="62">
        <f t="shared" si="77"/>
        <v>92</v>
      </c>
      <c r="P122" s="64">
        <f t="shared" si="1"/>
        <v>-39256</v>
      </c>
      <c r="Q122" s="17">
        <v>42866</v>
      </c>
      <c r="R122" s="15">
        <v>582</v>
      </c>
      <c r="S122" s="15">
        <v>46</v>
      </c>
      <c r="T122" s="15">
        <v>582</v>
      </c>
      <c r="U122" s="15">
        <v>46</v>
      </c>
      <c r="V122" s="98"/>
    </row>
    <row r="123" spans="1:22" x14ac:dyDescent="0.25">
      <c r="A123" s="84"/>
      <c r="B123" s="84"/>
      <c r="C123" s="85"/>
      <c r="D123" s="86"/>
      <c r="E123" s="86"/>
      <c r="F123" s="87"/>
      <c r="G123" s="85"/>
      <c r="H123" s="88"/>
      <c r="I123" s="89"/>
      <c r="J123" s="61" t="s">
        <v>132</v>
      </c>
      <c r="K123" s="62">
        <v>575</v>
      </c>
      <c r="L123" s="62">
        <v>1000</v>
      </c>
      <c r="M123" s="62">
        <v>551</v>
      </c>
      <c r="N123" s="62">
        <f t="shared" si="77"/>
        <v>924</v>
      </c>
      <c r="O123" s="62">
        <f t="shared" si="77"/>
        <v>72</v>
      </c>
      <c r="P123" s="64">
        <f t="shared" si="1"/>
        <v>-24996</v>
      </c>
      <c r="Q123" s="17">
        <v>42867</v>
      </c>
      <c r="R123" s="15">
        <v>462</v>
      </c>
      <c r="S123" s="15">
        <v>36</v>
      </c>
      <c r="T123" s="15">
        <v>462</v>
      </c>
      <c r="U123" s="15">
        <v>36</v>
      </c>
      <c r="V123" s="98"/>
    </row>
    <row r="124" spans="1:22" x14ac:dyDescent="0.25">
      <c r="A124" s="84"/>
      <c r="B124" s="84"/>
      <c r="C124" s="85"/>
      <c r="D124" s="86"/>
      <c r="E124" s="86"/>
      <c r="F124" s="87"/>
      <c r="G124" s="85"/>
      <c r="H124" s="88"/>
      <c r="I124" s="89"/>
      <c r="J124" s="61" t="s">
        <v>132</v>
      </c>
      <c r="K124" s="66">
        <v>625</v>
      </c>
      <c r="L124" s="66">
        <v>1000</v>
      </c>
      <c r="M124" s="66">
        <v>631</v>
      </c>
      <c r="N124" s="66">
        <f t="shared" si="77"/>
        <v>974</v>
      </c>
      <c r="O124" s="66">
        <f t="shared" si="77"/>
        <v>76</v>
      </c>
      <c r="P124" s="68">
        <f t="shared" si="1"/>
        <v>4950</v>
      </c>
      <c r="Q124" s="17">
        <v>42874</v>
      </c>
      <c r="R124" s="15">
        <v>487</v>
      </c>
      <c r="S124" s="15">
        <v>38</v>
      </c>
      <c r="T124" s="15">
        <v>487</v>
      </c>
      <c r="U124" s="15">
        <v>38</v>
      </c>
      <c r="V124" s="98"/>
    </row>
    <row r="125" spans="1:22" x14ac:dyDescent="0.25">
      <c r="A125" s="84"/>
      <c r="B125" s="84"/>
      <c r="C125" s="85"/>
      <c r="D125" s="86"/>
      <c r="E125" s="86"/>
      <c r="F125" s="87"/>
      <c r="G125" s="85"/>
      <c r="H125" s="88"/>
      <c r="I125" s="89"/>
      <c r="J125" s="61" t="s">
        <v>132</v>
      </c>
      <c r="K125" s="66">
        <v>579</v>
      </c>
      <c r="L125" s="66">
        <v>1000</v>
      </c>
      <c r="M125" s="66">
        <v>587</v>
      </c>
      <c r="N125" s="66">
        <f t="shared" ref="N125" si="107">R125+T125</f>
        <v>974</v>
      </c>
      <c r="O125" s="66">
        <f t="shared" ref="O125" si="108">S125+U125</f>
        <v>76</v>
      </c>
      <c r="P125" s="68">
        <f t="shared" ref="P125" si="109">(M125-K125)*L125-O125-N125</f>
        <v>6950</v>
      </c>
      <c r="Q125" s="17">
        <v>42878</v>
      </c>
      <c r="R125" s="15">
        <v>487</v>
      </c>
      <c r="S125" s="15">
        <v>38</v>
      </c>
      <c r="T125" s="15">
        <v>487</v>
      </c>
      <c r="U125" s="15">
        <v>38</v>
      </c>
      <c r="V125" s="98"/>
    </row>
    <row r="126" spans="1:22" x14ac:dyDescent="0.25">
      <c r="A126" s="84"/>
      <c r="B126" s="84"/>
      <c r="C126" s="85"/>
      <c r="D126" s="86"/>
      <c r="E126" s="86"/>
      <c r="F126" s="87"/>
      <c r="G126" s="85"/>
      <c r="H126" s="88"/>
      <c r="I126" s="89"/>
      <c r="J126" s="65" t="s">
        <v>135</v>
      </c>
      <c r="K126" s="62">
        <v>603</v>
      </c>
      <c r="L126" s="62">
        <v>500</v>
      </c>
      <c r="M126" s="62"/>
      <c r="N126" s="62"/>
      <c r="O126" s="62"/>
      <c r="P126" s="64"/>
      <c r="Q126" s="17">
        <v>42880</v>
      </c>
      <c r="R126" s="15">
        <v>350</v>
      </c>
      <c r="S126" s="15">
        <v>28</v>
      </c>
      <c r="V126" s="98"/>
    </row>
    <row r="127" spans="1:22" x14ac:dyDescent="0.25">
      <c r="A127" s="84"/>
      <c r="B127" s="84"/>
      <c r="C127" s="85"/>
      <c r="D127" s="86"/>
      <c r="E127" s="86"/>
      <c r="F127" s="87"/>
      <c r="G127" s="85"/>
      <c r="H127" s="88"/>
      <c r="I127" s="89"/>
      <c r="J127" s="61" t="s">
        <v>132</v>
      </c>
      <c r="K127" s="66">
        <f>(509*2+527*18)/20</f>
        <v>525.20000000000005</v>
      </c>
      <c r="L127" s="66">
        <v>2000</v>
      </c>
      <c r="M127" s="66">
        <v>548</v>
      </c>
      <c r="N127" s="66">
        <f t="shared" ref="N127" si="110">R127+T127</f>
        <v>1229</v>
      </c>
      <c r="O127" s="66">
        <f t="shared" ref="O127" si="111">S127+U127</f>
        <v>96</v>
      </c>
      <c r="P127" s="68">
        <f t="shared" ref="P127" si="112">(M127-K127)*L127-O127-N127</f>
        <v>44274.999999999913</v>
      </c>
      <c r="Q127" s="17">
        <v>42884</v>
      </c>
      <c r="R127" s="15">
        <f>185+462</f>
        <v>647</v>
      </c>
      <c r="S127" s="15">
        <f>14+36</f>
        <v>50</v>
      </c>
      <c r="T127" s="15">
        <v>582</v>
      </c>
      <c r="U127" s="15">
        <v>46</v>
      </c>
      <c r="V127" s="98"/>
    </row>
    <row r="128" spans="1:22" x14ac:dyDescent="0.25">
      <c r="A128" s="84"/>
      <c r="B128" s="84"/>
      <c r="C128" s="85"/>
      <c r="D128" s="86"/>
      <c r="E128" s="86"/>
      <c r="F128" s="87"/>
      <c r="G128" s="85"/>
      <c r="H128" s="88"/>
      <c r="I128" s="89"/>
      <c r="J128" s="61" t="s">
        <v>132</v>
      </c>
      <c r="K128" s="66">
        <f>(551*20+538*4)/24</f>
        <v>548.83333333333337</v>
      </c>
      <c r="L128" s="66">
        <v>2400</v>
      </c>
      <c r="M128" s="66">
        <v>550</v>
      </c>
      <c r="N128" s="66">
        <f t="shared" ref="N128" si="113">R128+T128</f>
        <v>1436</v>
      </c>
      <c r="O128" s="66">
        <f t="shared" ref="O128" si="114">S128+U128</f>
        <v>113</v>
      </c>
      <c r="P128" s="68">
        <f t="shared" ref="P128" si="115">(M128-K128)*L128-O128-N128</f>
        <v>1250.9999999999091</v>
      </c>
      <c r="Q128" s="17">
        <v>42891</v>
      </c>
      <c r="R128" s="15">
        <f>582+272</f>
        <v>854</v>
      </c>
      <c r="S128" s="15">
        <f>46+21</f>
        <v>67</v>
      </c>
      <c r="T128" s="15">
        <v>582</v>
      </c>
      <c r="U128" s="15">
        <v>46</v>
      </c>
      <c r="V128" s="98"/>
    </row>
    <row r="129" spans="1:22" x14ac:dyDescent="0.25">
      <c r="A129" s="84"/>
      <c r="B129" s="84"/>
      <c r="C129" s="85"/>
      <c r="D129" s="86"/>
      <c r="E129" s="86"/>
      <c r="F129" s="87"/>
      <c r="G129" s="85"/>
      <c r="H129" s="88"/>
      <c r="I129" s="89"/>
      <c r="J129" s="61" t="s">
        <v>479</v>
      </c>
      <c r="K129" s="66">
        <v>520</v>
      </c>
      <c r="L129" s="66">
        <v>2500</v>
      </c>
      <c r="M129" s="66">
        <v>523</v>
      </c>
      <c r="N129" s="66">
        <f t="shared" ref="N129" si="116">R129+T129</f>
        <v>1164</v>
      </c>
      <c r="O129" s="66">
        <f t="shared" ref="O129" si="117">S129+U129</f>
        <v>92</v>
      </c>
      <c r="P129" s="68">
        <f t="shared" ref="P129" si="118">(M129-K129)*L129-O129-N129</f>
        <v>6244</v>
      </c>
      <c r="Q129" s="17">
        <v>42902</v>
      </c>
      <c r="R129" s="15">
        <v>582</v>
      </c>
      <c r="S129" s="15">
        <v>46</v>
      </c>
      <c r="T129" s="15">
        <v>582</v>
      </c>
      <c r="U129" s="15">
        <v>46</v>
      </c>
      <c r="V129" s="98"/>
    </row>
    <row r="130" spans="1:22" x14ac:dyDescent="0.25">
      <c r="A130" s="84"/>
      <c r="B130" s="84"/>
      <c r="C130" s="85"/>
      <c r="D130" s="86"/>
      <c r="E130" s="86"/>
      <c r="F130" s="87"/>
      <c r="G130" s="85"/>
      <c r="H130" s="88"/>
      <c r="I130" s="89"/>
      <c r="J130" s="61" t="s">
        <v>132</v>
      </c>
      <c r="K130" s="66">
        <v>517</v>
      </c>
      <c r="L130" s="66">
        <v>2500</v>
      </c>
      <c r="M130" s="66">
        <v>539</v>
      </c>
      <c r="N130" s="66">
        <f t="shared" ref="N130:N132" si="119">R130+T130</f>
        <v>1135</v>
      </c>
      <c r="O130" s="66">
        <f t="shared" ref="O130:O132" si="120">S130+U130</f>
        <v>90</v>
      </c>
      <c r="P130" s="68">
        <f t="shared" ref="P130:P132" si="121">(M130-K130)*L130-O130-N130</f>
        <v>53775</v>
      </c>
      <c r="Q130" s="17">
        <v>42905</v>
      </c>
      <c r="R130" s="15">
        <v>582</v>
      </c>
      <c r="S130" s="15">
        <v>46</v>
      </c>
      <c r="T130" s="15">
        <v>553</v>
      </c>
      <c r="U130" s="15">
        <v>44</v>
      </c>
      <c r="V130" s="98"/>
    </row>
    <row r="131" spans="1:22" x14ac:dyDescent="0.25">
      <c r="A131" s="84"/>
      <c r="B131" s="84"/>
      <c r="C131" s="85"/>
      <c r="D131" s="86"/>
      <c r="E131" s="86"/>
      <c r="F131" s="87"/>
      <c r="G131" s="85"/>
      <c r="H131" s="88"/>
      <c r="I131" s="89"/>
      <c r="J131" s="61" t="s">
        <v>132</v>
      </c>
      <c r="K131" s="62">
        <v>506</v>
      </c>
      <c r="L131" s="62">
        <v>1000</v>
      </c>
      <c r="M131" s="62">
        <v>454</v>
      </c>
      <c r="N131" s="62">
        <f t="shared" si="119"/>
        <v>759</v>
      </c>
      <c r="O131" s="62">
        <f t="shared" si="120"/>
        <v>59</v>
      </c>
      <c r="P131" s="64">
        <f t="shared" si="121"/>
        <v>-52818</v>
      </c>
      <c r="Q131" s="17">
        <v>42907</v>
      </c>
      <c r="R131" s="15">
        <v>487</v>
      </c>
      <c r="S131" s="15">
        <v>38</v>
      </c>
      <c r="T131" s="15">
        <v>272</v>
      </c>
      <c r="U131" s="15">
        <v>21</v>
      </c>
      <c r="V131" s="98"/>
    </row>
    <row r="132" spans="1:22" x14ac:dyDescent="0.25">
      <c r="A132" s="84"/>
      <c r="B132" s="84"/>
      <c r="C132" s="85"/>
      <c r="D132" s="86"/>
      <c r="E132" s="86"/>
      <c r="F132" s="87"/>
      <c r="G132" s="85"/>
      <c r="H132" s="88"/>
      <c r="I132" s="89"/>
      <c r="J132" s="363" t="s">
        <v>50</v>
      </c>
      <c r="K132" s="66">
        <v>381</v>
      </c>
      <c r="L132" s="66">
        <v>1000</v>
      </c>
      <c r="M132" s="66">
        <v>454</v>
      </c>
      <c r="N132" s="66">
        <f t="shared" si="119"/>
        <v>800</v>
      </c>
      <c r="O132" s="66">
        <f t="shared" si="120"/>
        <v>64</v>
      </c>
      <c r="P132" s="68">
        <f t="shared" si="121"/>
        <v>72136</v>
      </c>
      <c r="Q132" s="17">
        <v>42916</v>
      </c>
      <c r="R132" s="15">
        <v>400</v>
      </c>
      <c r="S132" s="15">
        <v>32</v>
      </c>
      <c r="T132" s="15">
        <v>400</v>
      </c>
      <c r="U132" s="15">
        <v>32</v>
      </c>
      <c r="V132" s="98"/>
    </row>
    <row r="133" spans="1:22" x14ac:dyDescent="0.25">
      <c r="A133" s="84" t="str">
        <f>IPO監視一覧!H20</f>
        <v>D</v>
      </c>
      <c r="B133" s="84" t="str">
        <f>IPO監視一覧!B20</f>
        <v>ティーケーピー</v>
      </c>
      <c r="C133" s="85">
        <f>IPO監視一覧!G20</f>
        <v>6060</v>
      </c>
      <c r="D133" s="86">
        <v>310000</v>
      </c>
      <c r="E133" s="86">
        <v>199200</v>
      </c>
      <c r="F133" s="87">
        <f>IPO監視一覧!O20</f>
        <v>42821</v>
      </c>
      <c r="G133" s="85">
        <f>IPO監視一覧!P20</f>
        <v>10560</v>
      </c>
      <c r="H133" s="88">
        <f>IF((G133-C133)&gt;0,(G133-C133)*100*0.79685,(G133-C133)*100)</f>
        <v>358582.5</v>
      </c>
      <c r="I133" s="89">
        <f ca="1">NETWORKDAYS(F133,TODAY())</f>
        <v>233</v>
      </c>
      <c r="J133" s="61" t="s">
        <v>132</v>
      </c>
      <c r="K133" s="66">
        <v>12520</v>
      </c>
      <c r="L133" s="66">
        <v>100</v>
      </c>
      <c r="M133" s="66">
        <v>12600</v>
      </c>
      <c r="N133" s="66">
        <f t="shared" si="77"/>
        <v>1164</v>
      </c>
      <c r="O133" s="66">
        <f t="shared" si="77"/>
        <v>92</v>
      </c>
      <c r="P133" s="68">
        <f t="shared" si="1"/>
        <v>6744</v>
      </c>
      <c r="Q133" s="17">
        <v>42825</v>
      </c>
      <c r="R133" s="15">
        <v>582</v>
      </c>
      <c r="S133" s="15">
        <v>46</v>
      </c>
      <c r="T133" s="15">
        <v>582</v>
      </c>
      <c r="U133" s="15">
        <v>46</v>
      </c>
    </row>
    <row r="134" spans="1:22" x14ac:dyDescent="0.25">
      <c r="A134" s="84"/>
      <c r="B134" s="84"/>
      <c r="C134" s="85"/>
      <c r="D134" s="86"/>
      <c r="E134" s="86"/>
      <c r="F134" s="87"/>
      <c r="G134" s="85"/>
      <c r="H134" s="88"/>
      <c r="I134" s="89"/>
      <c r="J134" s="61" t="s">
        <v>132</v>
      </c>
      <c r="K134" s="66">
        <v>12160</v>
      </c>
      <c r="L134" s="66">
        <v>100</v>
      </c>
      <c r="M134" s="66">
        <v>12190</v>
      </c>
      <c r="N134" s="66">
        <f t="shared" si="77"/>
        <v>1164</v>
      </c>
      <c r="O134" s="66">
        <f t="shared" si="77"/>
        <v>92</v>
      </c>
      <c r="P134" s="68">
        <f t="shared" si="1"/>
        <v>1744</v>
      </c>
      <c r="Q134" s="17">
        <v>42844</v>
      </c>
      <c r="R134" s="15">
        <v>582</v>
      </c>
      <c r="S134" s="15">
        <v>46</v>
      </c>
      <c r="T134" s="15">
        <v>582</v>
      </c>
      <c r="U134" s="15">
        <v>46</v>
      </c>
    </row>
    <row r="135" spans="1:22" x14ac:dyDescent="0.25">
      <c r="A135" s="84"/>
      <c r="B135" s="84"/>
      <c r="C135" s="85"/>
      <c r="D135" s="86"/>
      <c r="E135" s="86"/>
      <c r="F135" s="87"/>
      <c r="G135" s="85"/>
      <c r="H135" s="88"/>
      <c r="I135" s="89"/>
      <c r="J135" s="61" t="s">
        <v>132</v>
      </c>
      <c r="K135" s="66">
        <v>11080</v>
      </c>
      <c r="L135" s="66">
        <v>100</v>
      </c>
      <c r="M135" s="66">
        <v>11350</v>
      </c>
      <c r="N135" s="66">
        <f t="shared" si="77"/>
        <v>1164</v>
      </c>
      <c r="O135" s="66">
        <f t="shared" si="77"/>
        <v>92</v>
      </c>
      <c r="P135" s="68">
        <f t="shared" si="1"/>
        <v>25744</v>
      </c>
      <c r="Q135" s="17">
        <v>42849</v>
      </c>
      <c r="R135" s="15">
        <v>582</v>
      </c>
      <c r="S135" s="15">
        <v>46</v>
      </c>
      <c r="T135" s="15">
        <v>582</v>
      </c>
      <c r="U135" s="15">
        <v>46</v>
      </c>
    </row>
    <row r="136" spans="1:22" x14ac:dyDescent="0.25">
      <c r="A136" s="84"/>
      <c r="B136" s="84"/>
      <c r="C136" s="85"/>
      <c r="D136" s="86"/>
      <c r="E136" s="86"/>
      <c r="F136" s="87"/>
      <c r="G136" s="85"/>
      <c r="H136" s="88"/>
      <c r="I136" s="89"/>
      <c r="J136" s="61" t="s">
        <v>132</v>
      </c>
      <c r="K136" s="66">
        <v>13740</v>
      </c>
      <c r="L136" s="66">
        <v>100</v>
      </c>
      <c r="M136" s="66">
        <v>13810</v>
      </c>
      <c r="N136" s="66">
        <f t="shared" si="77"/>
        <v>1164</v>
      </c>
      <c r="O136" s="66">
        <f t="shared" si="77"/>
        <v>92</v>
      </c>
      <c r="P136" s="68">
        <f t="shared" si="1"/>
        <v>5744</v>
      </c>
      <c r="Q136" s="17">
        <v>42867</v>
      </c>
      <c r="R136" s="15">
        <v>582</v>
      </c>
      <c r="S136" s="15">
        <v>46</v>
      </c>
      <c r="T136" s="15">
        <v>582</v>
      </c>
      <c r="U136" s="15">
        <v>46</v>
      </c>
    </row>
    <row r="137" spans="1:22" x14ac:dyDescent="0.25">
      <c r="A137" s="84"/>
      <c r="B137" s="84"/>
      <c r="C137" s="85"/>
      <c r="D137" s="86"/>
      <c r="E137" s="86"/>
      <c r="F137" s="87"/>
      <c r="G137" s="85"/>
      <c r="H137" s="88"/>
      <c r="I137" s="89"/>
      <c r="J137" s="61" t="s">
        <v>132</v>
      </c>
      <c r="K137" s="66">
        <v>13480</v>
      </c>
      <c r="L137" s="66">
        <v>100</v>
      </c>
      <c r="M137" s="66">
        <v>13720</v>
      </c>
      <c r="N137" s="66">
        <f t="shared" si="77"/>
        <v>1164</v>
      </c>
      <c r="O137" s="66">
        <f t="shared" si="77"/>
        <v>92</v>
      </c>
      <c r="P137" s="68">
        <f t="shared" si="1"/>
        <v>22744</v>
      </c>
      <c r="Q137" s="17">
        <v>42871</v>
      </c>
      <c r="R137" s="15">
        <v>582</v>
      </c>
      <c r="S137" s="15">
        <v>46</v>
      </c>
      <c r="T137" s="15">
        <v>582</v>
      </c>
      <c r="U137" s="15">
        <v>46</v>
      </c>
    </row>
    <row r="138" spans="1:22" x14ac:dyDescent="0.25">
      <c r="A138" s="84"/>
      <c r="B138" s="84"/>
      <c r="C138" s="85"/>
      <c r="D138" s="86"/>
      <c r="E138" s="86"/>
      <c r="F138" s="87"/>
      <c r="G138" s="85"/>
      <c r="H138" s="88"/>
      <c r="I138" s="89"/>
      <c r="J138" s="61" t="s">
        <v>132</v>
      </c>
      <c r="K138" s="66">
        <v>14790</v>
      </c>
      <c r="L138" s="66">
        <v>100</v>
      </c>
      <c r="M138" s="66">
        <v>14900</v>
      </c>
      <c r="N138" s="66">
        <f t="shared" si="77"/>
        <v>1164</v>
      </c>
      <c r="O138" s="66">
        <f t="shared" si="77"/>
        <v>92</v>
      </c>
      <c r="P138" s="68">
        <f t="shared" si="1"/>
        <v>9744</v>
      </c>
      <c r="Q138" s="17">
        <v>42874</v>
      </c>
      <c r="R138" s="15">
        <v>582</v>
      </c>
      <c r="S138" s="15">
        <v>46</v>
      </c>
      <c r="T138" s="15">
        <v>582</v>
      </c>
      <c r="U138" s="15">
        <v>46</v>
      </c>
    </row>
    <row r="139" spans="1:22" x14ac:dyDescent="0.25">
      <c r="A139" s="84" t="str">
        <f>IPO監視一覧!H21</f>
        <v>D</v>
      </c>
      <c r="B139" s="84" t="str">
        <f>IPO監視一覧!B21</f>
        <v>ズーム</v>
      </c>
      <c r="C139" s="85">
        <f>IPO監視一覧!G21</f>
        <v>1520</v>
      </c>
      <c r="D139" s="86">
        <v>210000</v>
      </c>
      <c r="E139" s="86">
        <v>421000</v>
      </c>
      <c r="F139" s="87">
        <f>IPO監視一覧!O21</f>
        <v>42822</v>
      </c>
      <c r="G139" s="85">
        <f>IPO監視一覧!P21</f>
        <v>2278</v>
      </c>
      <c r="H139" s="88">
        <f>IF((G139-C139)&gt;0,(G139-C139)*100*0.79685,(G139-C139)*100)</f>
        <v>60401.229999999996</v>
      </c>
      <c r="I139" s="89">
        <f ca="1">NETWORKDAYS(F139,TODAY())</f>
        <v>232</v>
      </c>
      <c r="J139" s="61" t="s">
        <v>132</v>
      </c>
      <c r="K139" s="66">
        <v>1835</v>
      </c>
      <c r="L139" s="66">
        <v>400</v>
      </c>
      <c r="M139" s="66">
        <v>1855</v>
      </c>
      <c r="N139" s="66">
        <f t="shared" si="77"/>
        <v>1031</v>
      </c>
      <c r="O139" s="66">
        <f t="shared" si="77"/>
        <v>80</v>
      </c>
      <c r="P139" s="68">
        <f t="shared" si="1"/>
        <v>6889</v>
      </c>
      <c r="Q139" s="17">
        <v>42823</v>
      </c>
      <c r="R139" s="15">
        <v>544</v>
      </c>
      <c r="S139" s="15">
        <v>42</v>
      </c>
      <c r="T139" s="15">
        <v>487</v>
      </c>
      <c r="U139" s="15">
        <v>38</v>
      </c>
    </row>
    <row r="140" spans="1:22" x14ac:dyDescent="0.25">
      <c r="A140" s="84" t="str">
        <f>IPO監視一覧!H22</f>
        <v>A</v>
      </c>
      <c r="B140" s="84" t="str">
        <f>IPO監視一覧!B22</f>
        <v>Ｎｏ．１</v>
      </c>
      <c r="C140" s="85">
        <f>IPO監視一覧!G22</f>
        <v>1570</v>
      </c>
      <c r="D140" s="86">
        <v>220000</v>
      </c>
      <c r="E140" s="86">
        <v>220000</v>
      </c>
      <c r="F140" s="87">
        <f>IPO監視一覧!O22</f>
        <v>42822</v>
      </c>
      <c r="G140" s="85">
        <f>IPO監視一覧!P22</f>
        <v>3460</v>
      </c>
      <c r="H140" s="88">
        <f>IF((G140-C140)&gt;0,(G140-C140)*100*0.79685,(G140-C140)*100)</f>
        <v>150604.65</v>
      </c>
      <c r="I140" s="89">
        <f ca="1">NETWORKDAYS(F140,TODAY())</f>
        <v>232</v>
      </c>
      <c r="J140" s="61" t="s">
        <v>132</v>
      </c>
      <c r="K140" s="66">
        <v>3943.3</v>
      </c>
      <c r="L140" s="66">
        <v>300</v>
      </c>
      <c r="M140" s="66">
        <v>3960</v>
      </c>
      <c r="N140" s="66">
        <f t="shared" si="77"/>
        <v>1341</v>
      </c>
      <c r="O140" s="66">
        <f t="shared" si="77"/>
        <v>105</v>
      </c>
      <c r="P140" s="68">
        <f t="shared" si="1"/>
        <v>3563.9999999999454</v>
      </c>
      <c r="Q140" s="17">
        <v>42824</v>
      </c>
      <c r="R140" s="15">
        <v>759</v>
      </c>
      <c r="S140" s="15">
        <v>59</v>
      </c>
      <c r="T140" s="15">
        <v>582</v>
      </c>
      <c r="U140" s="15">
        <v>46</v>
      </c>
    </row>
    <row r="141" spans="1:22" x14ac:dyDescent="0.25">
      <c r="A141" s="84"/>
      <c r="B141" s="84"/>
      <c r="C141" s="85"/>
      <c r="D141" s="86"/>
      <c r="E141" s="86"/>
      <c r="F141" s="87"/>
      <c r="G141" s="85"/>
      <c r="H141" s="88"/>
      <c r="I141" s="89"/>
      <c r="J141" s="61" t="s">
        <v>132</v>
      </c>
      <c r="K141" s="66">
        <v>3600</v>
      </c>
      <c r="L141" s="66">
        <v>300</v>
      </c>
      <c r="M141" s="66">
        <v>3740</v>
      </c>
      <c r="N141" s="66">
        <f t="shared" si="77"/>
        <v>1164</v>
      </c>
      <c r="O141" s="66">
        <f t="shared" si="77"/>
        <v>92</v>
      </c>
      <c r="P141" s="68">
        <f>(M141-K141)*L141-O141-N141</f>
        <v>40744</v>
      </c>
      <c r="Q141" s="17">
        <v>42825</v>
      </c>
      <c r="R141" s="15">
        <v>582</v>
      </c>
      <c r="S141" s="15">
        <v>46</v>
      </c>
      <c r="T141" s="15">
        <v>582</v>
      </c>
      <c r="U141" s="15">
        <v>46</v>
      </c>
    </row>
    <row r="142" spans="1:22" x14ac:dyDescent="0.25">
      <c r="A142" s="84"/>
      <c r="B142" s="84"/>
      <c r="C142" s="85"/>
      <c r="D142" s="86"/>
      <c r="E142" s="86"/>
      <c r="F142" s="87"/>
      <c r="G142" s="85"/>
      <c r="H142" s="88"/>
      <c r="I142" s="89"/>
      <c r="J142" s="61" t="s">
        <v>132</v>
      </c>
      <c r="K142" s="62">
        <v>3490</v>
      </c>
      <c r="L142" s="62">
        <v>100</v>
      </c>
      <c r="M142" s="62">
        <v>2815</v>
      </c>
      <c r="N142" s="62">
        <f t="shared" si="77"/>
        <v>544</v>
      </c>
      <c r="O142" s="62">
        <f t="shared" si="77"/>
        <v>42</v>
      </c>
      <c r="P142" s="64">
        <f>(M142-K142)*L142-O142-N142</f>
        <v>-68086</v>
      </c>
      <c r="Q142" s="17">
        <v>42829</v>
      </c>
      <c r="R142" s="15">
        <v>272</v>
      </c>
      <c r="S142" s="15">
        <v>21</v>
      </c>
      <c r="T142" s="15">
        <v>272</v>
      </c>
      <c r="U142" s="15">
        <v>21</v>
      </c>
    </row>
    <row r="143" spans="1:22" x14ac:dyDescent="0.25">
      <c r="A143" s="297" t="str">
        <f>IPO監視一覧!H23</f>
        <v>D</v>
      </c>
      <c r="B143" s="297" t="str">
        <f>IPO監視一覧!B23</f>
        <v>オークネット</v>
      </c>
      <c r="C143" s="300">
        <f>IPO監視一覧!G23</f>
        <v>1100</v>
      </c>
      <c r="D143" s="301">
        <v>2200000</v>
      </c>
      <c r="E143" s="301">
        <v>2620000</v>
      </c>
      <c r="F143" s="302">
        <f>IPO監視一覧!O23</f>
        <v>42823</v>
      </c>
      <c r="G143" s="300">
        <f>IPO監視一覧!P23</f>
        <v>1300</v>
      </c>
      <c r="H143" s="303">
        <f>IF((G143-C143)&gt;0,(G143-C143)*100*0.79685,(G143-C143)*100)</f>
        <v>15936.999999999998</v>
      </c>
      <c r="I143" s="61">
        <f ca="1">NETWORKDAYS(F143,TODAY())</f>
        <v>231</v>
      </c>
      <c r="J143" s="89"/>
      <c r="K143" s="106"/>
      <c r="L143" s="106"/>
      <c r="M143" s="106"/>
      <c r="N143" s="106"/>
      <c r="O143" s="106"/>
      <c r="P143" s="91">
        <f t="shared" si="1"/>
        <v>0</v>
      </c>
      <c r="Q143" s="17">
        <v>42835</v>
      </c>
    </row>
    <row r="144" spans="1:22" x14ac:dyDescent="0.25">
      <c r="A144" s="297" t="str">
        <f>IPO監視一覧!H24</f>
        <v>D</v>
      </c>
      <c r="B144" s="297" t="str">
        <f>IPO監視一覧!B24</f>
        <v>スシローグローバルHD</v>
      </c>
      <c r="C144" s="300">
        <f>IPO監視一覧!G24</f>
        <v>3600</v>
      </c>
      <c r="D144" s="301">
        <v>0</v>
      </c>
      <c r="E144" s="304">
        <v>19123100</v>
      </c>
      <c r="F144" s="302">
        <f>IPO監視一覧!O24</f>
        <v>42824</v>
      </c>
      <c r="G144" s="300">
        <f>IPO監視一覧!P24</f>
        <v>3430</v>
      </c>
      <c r="H144" s="303">
        <f>IF((G144-C144)&gt;0,(G144-C144)*100*0.79685,(G144-C144)*100)</f>
        <v>-17000</v>
      </c>
      <c r="I144" s="61">
        <f ca="1">NETWORKDAYS(F144,TODAY())</f>
        <v>230</v>
      </c>
      <c r="J144" s="105" t="s">
        <v>57</v>
      </c>
      <c r="K144" s="62">
        <v>3600</v>
      </c>
      <c r="L144" s="62">
        <v>100</v>
      </c>
      <c r="M144" s="62">
        <v>3430</v>
      </c>
      <c r="N144" s="62">
        <f t="shared" ref="N144:O159" si="122">R144+T144</f>
        <v>1183</v>
      </c>
      <c r="O144" s="62">
        <f t="shared" si="122"/>
        <v>95</v>
      </c>
      <c r="P144" s="64">
        <f>(M144-K144)*L144-O144-N144</f>
        <v>-18278</v>
      </c>
      <c r="Q144" s="17">
        <v>42824</v>
      </c>
      <c r="R144" s="15">
        <v>0</v>
      </c>
      <c r="S144" s="15">
        <v>0</v>
      </c>
      <c r="T144" s="15">
        <v>1183</v>
      </c>
      <c r="U144" s="15">
        <v>95</v>
      </c>
      <c r="V144" s="98"/>
    </row>
    <row r="145" spans="1:21" x14ac:dyDescent="0.25">
      <c r="A145" s="84" t="str">
        <f>IPO監視一覧!H25</f>
        <v>A</v>
      </c>
      <c r="B145" s="84" t="str">
        <f>IPO監視一覧!B25</f>
        <v>ユーザーローカル</v>
      </c>
      <c r="C145" s="85">
        <f>IPO監視一覧!G25</f>
        <v>2940</v>
      </c>
      <c r="D145" s="86">
        <v>205000</v>
      </c>
      <c r="E145" s="86">
        <v>200000</v>
      </c>
      <c r="F145" s="87">
        <f>IPO監視一覧!O25</f>
        <v>42824</v>
      </c>
      <c r="G145" s="85">
        <f>IPO監視一覧!P25</f>
        <v>12500</v>
      </c>
      <c r="H145" s="88">
        <f>IF((G145-C145)&gt;0,(G145-C145)*100*0.79685,(G145-C145)*100)</f>
        <v>761788.6</v>
      </c>
      <c r="I145" s="89">
        <f ca="1">NETWORKDAYS(F145,TODAY())</f>
        <v>230</v>
      </c>
      <c r="J145" s="61" t="s">
        <v>132</v>
      </c>
      <c r="K145" s="62">
        <v>9710</v>
      </c>
      <c r="L145" s="62">
        <v>100</v>
      </c>
      <c r="M145" s="62">
        <v>9230</v>
      </c>
      <c r="N145" s="62">
        <f t="shared" si="122"/>
        <v>974</v>
      </c>
      <c r="O145" s="62">
        <f t="shared" si="122"/>
        <v>76</v>
      </c>
      <c r="P145" s="64">
        <f>(M145-K145)*L145-O145-N145</f>
        <v>-49050</v>
      </c>
      <c r="Q145" s="17">
        <v>42835</v>
      </c>
      <c r="R145" s="15">
        <v>487</v>
      </c>
      <c r="S145" s="15">
        <v>38</v>
      </c>
      <c r="T145" s="15">
        <v>487</v>
      </c>
      <c r="U145" s="15">
        <v>38</v>
      </c>
    </row>
    <row r="146" spans="1:21" x14ac:dyDescent="0.25">
      <c r="A146" s="84" t="str">
        <f>IPO監視一覧!H26</f>
        <v>B</v>
      </c>
      <c r="B146" s="84" t="str">
        <f>IPO監視一覧!B26</f>
        <v>ネットマーケティング</v>
      </c>
      <c r="C146" s="85">
        <f>IPO監視一覧!G26</f>
        <v>1140</v>
      </c>
      <c r="D146" s="86">
        <v>280000</v>
      </c>
      <c r="E146" s="86">
        <v>680000</v>
      </c>
      <c r="F146" s="87">
        <f>IPO監視一覧!O26</f>
        <v>42825</v>
      </c>
      <c r="G146" s="85">
        <f>IPO監視一覧!P26</f>
        <v>1552</v>
      </c>
      <c r="H146" s="88">
        <f>IF((G146-C146)&gt;0,(G146-C146)*100*0.79685,(G146-C146)*100)</f>
        <v>32830.22</v>
      </c>
      <c r="I146" s="89">
        <f ca="1">NETWORKDAYS(F146,TODAY())</f>
        <v>229</v>
      </c>
      <c r="J146" s="61" t="s">
        <v>132</v>
      </c>
      <c r="K146" s="66">
        <v>1598.3</v>
      </c>
      <c r="L146" s="66">
        <v>600</v>
      </c>
      <c r="M146" s="66">
        <v>1615</v>
      </c>
      <c r="N146" s="66">
        <f t="shared" si="122"/>
        <v>974</v>
      </c>
      <c r="O146" s="66">
        <f t="shared" si="122"/>
        <v>76</v>
      </c>
      <c r="P146" s="68">
        <f t="shared" si="1"/>
        <v>8970.0000000000273</v>
      </c>
      <c r="Q146" s="17">
        <v>42825</v>
      </c>
      <c r="R146" s="15">
        <v>487</v>
      </c>
      <c r="S146" s="15">
        <v>38</v>
      </c>
      <c r="T146" s="15">
        <v>487</v>
      </c>
      <c r="U146" s="15">
        <v>38</v>
      </c>
    </row>
    <row r="147" spans="1:21" x14ac:dyDescent="0.25">
      <c r="A147" s="84"/>
      <c r="B147" s="84"/>
      <c r="C147" s="85"/>
      <c r="D147" s="86"/>
      <c r="E147" s="86"/>
      <c r="F147" s="87"/>
      <c r="G147" s="85"/>
      <c r="H147" s="88"/>
      <c r="I147" s="89"/>
      <c r="J147" s="61" t="s">
        <v>132</v>
      </c>
      <c r="K147" s="66">
        <v>1480</v>
      </c>
      <c r="L147" s="66">
        <v>400</v>
      </c>
      <c r="M147" s="66">
        <v>1501.5</v>
      </c>
      <c r="N147" s="66">
        <f t="shared" si="122"/>
        <v>974</v>
      </c>
      <c r="O147" s="66">
        <f t="shared" si="122"/>
        <v>76</v>
      </c>
      <c r="P147" s="68">
        <f t="shared" si="1"/>
        <v>7550</v>
      </c>
      <c r="Q147" s="17">
        <v>42842</v>
      </c>
      <c r="R147" s="15">
        <v>487</v>
      </c>
      <c r="S147" s="15">
        <v>38</v>
      </c>
      <c r="T147" s="15">
        <v>487</v>
      </c>
      <c r="U147" s="15">
        <v>38</v>
      </c>
    </row>
    <row r="148" spans="1:21" x14ac:dyDescent="0.25">
      <c r="A148" s="84"/>
      <c r="B148" s="84"/>
      <c r="C148" s="85"/>
      <c r="D148" s="86"/>
      <c r="E148" s="86"/>
      <c r="F148" s="87"/>
      <c r="G148" s="85"/>
      <c r="H148" s="88"/>
      <c r="I148" s="89"/>
      <c r="J148" s="61" t="s">
        <v>132</v>
      </c>
      <c r="K148" s="66">
        <v>1391</v>
      </c>
      <c r="L148" s="66">
        <v>400</v>
      </c>
      <c r="M148" s="66">
        <v>1395</v>
      </c>
      <c r="N148" s="66">
        <f t="shared" si="122"/>
        <v>974</v>
      </c>
      <c r="O148" s="66">
        <f t="shared" si="122"/>
        <v>76</v>
      </c>
      <c r="P148" s="68">
        <f t="shared" si="1"/>
        <v>550</v>
      </c>
      <c r="Q148" s="17">
        <v>42843</v>
      </c>
      <c r="R148" s="15">
        <v>487</v>
      </c>
      <c r="S148" s="15">
        <v>38</v>
      </c>
      <c r="T148" s="15">
        <v>487</v>
      </c>
      <c r="U148" s="15">
        <v>38</v>
      </c>
    </row>
    <row r="149" spans="1:21" x14ac:dyDescent="0.25">
      <c r="A149" s="84" t="str">
        <f>IPO監視一覧!H27</f>
        <v>A</v>
      </c>
      <c r="B149" s="84" t="str">
        <f>IPO監視一覧!B27</f>
        <v>テモナ</v>
      </c>
      <c r="C149" s="85">
        <f>IPO監視一覧!G27</f>
        <v>2550</v>
      </c>
      <c r="D149" s="86">
        <v>240000</v>
      </c>
      <c r="E149" s="86">
        <v>48800</v>
      </c>
      <c r="F149" s="87">
        <f>IPO監視一覧!O27</f>
        <v>42831</v>
      </c>
      <c r="G149" s="85">
        <f>IPO監視一覧!P27</f>
        <v>8050</v>
      </c>
      <c r="H149" s="88">
        <f>IF((G149-C149)&gt;0,(G149-C149)*100*0.79685,(G149-C149)*100)</f>
        <v>438267.5</v>
      </c>
      <c r="I149" s="89">
        <f ca="1">NETWORKDAYS(F149,TODAY())</f>
        <v>225</v>
      </c>
      <c r="J149" s="61" t="s">
        <v>132</v>
      </c>
      <c r="K149" s="66">
        <v>8050</v>
      </c>
      <c r="L149" s="66">
        <v>100</v>
      </c>
      <c r="M149" s="66">
        <v>8250</v>
      </c>
      <c r="N149" s="66">
        <f t="shared" si="122"/>
        <v>974</v>
      </c>
      <c r="O149" s="66">
        <f t="shared" si="122"/>
        <v>76</v>
      </c>
      <c r="P149" s="68">
        <f t="shared" si="1"/>
        <v>18950</v>
      </c>
      <c r="Q149" s="17">
        <v>42835</v>
      </c>
      <c r="R149" s="15">
        <v>487</v>
      </c>
      <c r="S149" s="15">
        <v>38</v>
      </c>
      <c r="T149" s="15">
        <v>487</v>
      </c>
      <c r="U149" s="15">
        <v>38</v>
      </c>
    </row>
    <row r="150" spans="1:21" x14ac:dyDescent="0.25">
      <c r="A150" s="84"/>
      <c r="B150" s="84"/>
      <c r="C150" s="85"/>
      <c r="D150" s="86"/>
      <c r="E150" s="86"/>
      <c r="F150" s="87"/>
      <c r="G150" s="85"/>
      <c r="H150" s="88"/>
      <c r="I150" s="89"/>
      <c r="J150" s="61" t="s">
        <v>132</v>
      </c>
      <c r="K150" s="66">
        <v>5900</v>
      </c>
      <c r="L150" s="66">
        <v>100</v>
      </c>
      <c r="M150" s="66">
        <v>5960</v>
      </c>
      <c r="N150" s="66">
        <f t="shared" si="122"/>
        <v>974</v>
      </c>
      <c r="O150" s="66">
        <f t="shared" si="122"/>
        <v>76</v>
      </c>
      <c r="P150" s="68">
        <f t="shared" si="1"/>
        <v>4950</v>
      </c>
      <c r="Q150" s="17">
        <v>42838</v>
      </c>
      <c r="R150" s="15">
        <v>487</v>
      </c>
      <c r="S150" s="15">
        <v>38</v>
      </c>
      <c r="T150" s="15">
        <v>487</v>
      </c>
      <c r="U150" s="15">
        <v>38</v>
      </c>
    </row>
    <row r="151" spans="1:21" x14ac:dyDescent="0.25">
      <c r="A151" s="84"/>
      <c r="B151" s="84"/>
      <c r="C151" s="85"/>
      <c r="D151" s="86"/>
      <c r="E151" s="86"/>
      <c r="F151" s="87"/>
      <c r="G151" s="85"/>
      <c r="H151" s="88"/>
      <c r="I151" s="89"/>
      <c r="J151" s="61" t="s">
        <v>132</v>
      </c>
      <c r="K151" s="66">
        <v>5900</v>
      </c>
      <c r="L151" s="66">
        <v>100</v>
      </c>
      <c r="M151" s="66">
        <v>6000</v>
      </c>
      <c r="N151" s="66">
        <f t="shared" si="122"/>
        <v>974</v>
      </c>
      <c r="O151" s="66">
        <f t="shared" si="122"/>
        <v>76</v>
      </c>
      <c r="P151" s="68">
        <f t="shared" si="1"/>
        <v>8950</v>
      </c>
      <c r="Q151" s="17">
        <v>42843</v>
      </c>
      <c r="R151" s="15">
        <v>487</v>
      </c>
      <c r="S151" s="15">
        <v>38</v>
      </c>
      <c r="T151" s="15">
        <v>487</v>
      </c>
      <c r="U151" s="15">
        <v>38</v>
      </c>
    </row>
    <row r="152" spans="1:21" x14ac:dyDescent="0.25">
      <c r="A152" s="84"/>
      <c r="B152" s="84"/>
      <c r="C152" s="85"/>
      <c r="D152" s="86"/>
      <c r="E152" s="86"/>
      <c r="F152" s="87"/>
      <c r="G152" s="85"/>
      <c r="H152" s="88"/>
      <c r="I152" s="89"/>
      <c r="J152" s="61" t="s">
        <v>132</v>
      </c>
      <c r="K152" s="66">
        <v>7450</v>
      </c>
      <c r="L152" s="66">
        <v>100</v>
      </c>
      <c r="M152" s="66">
        <v>7530</v>
      </c>
      <c r="N152" s="66">
        <f t="shared" si="122"/>
        <v>974</v>
      </c>
      <c r="O152" s="66">
        <f t="shared" si="122"/>
        <v>76</v>
      </c>
      <c r="P152" s="68">
        <f t="shared" si="1"/>
        <v>6950</v>
      </c>
      <c r="Q152" s="17">
        <v>42849</v>
      </c>
      <c r="R152" s="15">
        <v>487</v>
      </c>
      <c r="S152" s="15">
        <v>38</v>
      </c>
      <c r="T152" s="15">
        <v>487</v>
      </c>
      <c r="U152" s="15">
        <v>38</v>
      </c>
    </row>
    <row r="153" spans="1:21" x14ac:dyDescent="0.25">
      <c r="A153" s="84"/>
      <c r="B153" s="84"/>
      <c r="C153" s="85"/>
      <c r="D153" s="86"/>
      <c r="E153" s="86"/>
      <c r="F153" s="87"/>
      <c r="G153" s="85"/>
      <c r="H153" s="88"/>
      <c r="I153" s="89"/>
      <c r="J153" s="61" t="s">
        <v>132</v>
      </c>
      <c r="K153" s="62">
        <v>8570</v>
      </c>
      <c r="L153" s="62">
        <v>100</v>
      </c>
      <c r="M153" s="62">
        <v>8460</v>
      </c>
      <c r="N153" s="62">
        <f t="shared" si="122"/>
        <v>974</v>
      </c>
      <c r="O153" s="62">
        <f t="shared" si="122"/>
        <v>76</v>
      </c>
      <c r="P153" s="64">
        <f t="shared" si="1"/>
        <v>-12050</v>
      </c>
      <c r="Q153" s="17">
        <v>42851</v>
      </c>
      <c r="R153" s="15">
        <v>487</v>
      </c>
      <c r="S153" s="15">
        <v>38</v>
      </c>
      <c r="T153" s="15">
        <v>487</v>
      </c>
      <c r="U153" s="15">
        <v>38</v>
      </c>
    </row>
    <row r="154" spans="1:21" x14ac:dyDescent="0.25">
      <c r="A154" s="84"/>
      <c r="B154" s="84"/>
      <c r="C154" s="85"/>
      <c r="D154" s="86"/>
      <c r="E154" s="86"/>
      <c r="F154" s="87"/>
      <c r="G154" s="85"/>
      <c r="H154" s="88"/>
      <c r="I154" s="89"/>
      <c r="J154" s="61" t="s">
        <v>132</v>
      </c>
      <c r="K154" s="66">
        <v>8600</v>
      </c>
      <c r="L154" s="66">
        <v>100</v>
      </c>
      <c r="M154" s="66">
        <v>8820</v>
      </c>
      <c r="N154" s="66">
        <f t="shared" si="122"/>
        <v>974</v>
      </c>
      <c r="O154" s="66">
        <f t="shared" si="122"/>
        <v>76</v>
      </c>
      <c r="P154" s="68">
        <f t="shared" si="1"/>
        <v>20950</v>
      </c>
      <c r="Q154" s="17">
        <v>42864</v>
      </c>
      <c r="R154" s="15">
        <v>487</v>
      </c>
      <c r="S154" s="15">
        <v>38</v>
      </c>
      <c r="T154" s="15">
        <v>487</v>
      </c>
      <c r="U154" s="15">
        <v>38</v>
      </c>
    </row>
    <row r="155" spans="1:21" x14ac:dyDescent="0.25">
      <c r="A155" s="84"/>
      <c r="B155" s="84"/>
      <c r="C155" s="85"/>
      <c r="D155" s="86"/>
      <c r="E155" s="86"/>
      <c r="F155" s="87"/>
      <c r="G155" s="85"/>
      <c r="H155" s="88"/>
      <c r="I155" s="89"/>
      <c r="J155" s="61" t="s">
        <v>132</v>
      </c>
      <c r="K155" s="66">
        <v>8000</v>
      </c>
      <c r="L155" s="66">
        <v>100</v>
      </c>
      <c r="M155" s="66">
        <v>8130</v>
      </c>
      <c r="N155" s="66">
        <f t="shared" si="122"/>
        <v>974</v>
      </c>
      <c r="O155" s="66">
        <f t="shared" si="122"/>
        <v>76</v>
      </c>
      <c r="P155" s="68">
        <f t="shared" si="1"/>
        <v>11950</v>
      </c>
      <c r="Q155" s="17">
        <v>42865</v>
      </c>
      <c r="R155" s="15">
        <v>487</v>
      </c>
      <c r="S155" s="15">
        <v>38</v>
      </c>
      <c r="T155" s="15">
        <v>487</v>
      </c>
      <c r="U155" s="15">
        <v>38</v>
      </c>
    </row>
    <row r="156" spans="1:21" x14ac:dyDescent="0.25">
      <c r="A156" s="84"/>
      <c r="B156" s="84"/>
      <c r="C156" s="85"/>
      <c r="D156" s="86"/>
      <c r="E156" s="86"/>
      <c r="F156" s="87"/>
      <c r="G156" s="85"/>
      <c r="H156" s="88"/>
      <c r="I156" s="89"/>
      <c r="J156" s="61" t="s">
        <v>132</v>
      </c>
      <c r="K156" s="66">
        <v>8270</v>
      </c>
      <c r="L156" s="66">
        <v>100</v>
      </c>
      <c r="M156" s="66">
        <v>8300</v>
      </c>
      <c r="N156" s="66">
        <f t="shared" si="122"/>
        <v>949</v>
      </c>
      <c r="O156" s="66">
        <f t="shared" si="122"/>
        <v>74</v>
      </c>
      <c r="P156" s="68">
        <f t="shared" si="1"/>
        <v>1977</v>
      </c>
      <c r="Q156" s="17">
        <v>42870</v>
      </c>
      <c r="R156" s="15">
        <v>487</v>
      </c>
      <c r="S156" s="15">
        <v>38</v>
      </c>
      <c r="T156" s="15">
        <v>462</v>
      </c>
      <c r="U156" s="15">
        <v>36</v>
      </c>
    </row>
    <row r="157" spans="1:21" x14ac:dyDescent="0.25">
      <c r="A157" s="84"/>
      <c r="B157" s="84"/>
      <c r="C157" s="85"/>
      <c r="D157" s="86"/>
      <c r="E157" s="86"/>
      <c r="F157" s="87"/>
      <c r="G157" s="85"/>
      <c r="H157" s="88"/>
      <c r="I157" s="89"/>
      <c r="J157" s="61" t="s">
        <v>132</v>
      </c>
      <c r="K157" s="66">
        <v>7990</v>
      </c>
      <c r="L157" s="66">
        <v>100</v>
      </c>
      <c r="M157" s="66">
        <v>8050</v>
      </c>
      <c r="N157" s="66">
        <f t="shared" si="122"/>
        <v>974</v>
      </c>
      <c r="O157" s="66">
        <f t="shared" si="122"/>
        <v>76</v>
      </c>
      <c r="P157" s="68">
        <f t="shared" si="1"/>
        <v>4950</v>
      </c>
      <c r="Q157" s="17">
        <v>42871</v>
      </c>
      <c r="R157" s="15">
        <v>487</v>
      </c>
      <c r="S157" s="15">
        <v>38</v>
      </c>
      <c r="T157" s="15">
        <v>487</v>
      </c>
      <c r="U157" s="15">
        <v>38</v>
      </c>
    </row>
    <row r="158" spans="1:21" x14ac:dyDescent="0.25">
      <c r="A158" s="84"/>
      <c r="B158" s="84"/>
      <c r="C158" s="85"/>
      <c r="D158" s="86"/>
      <c r="E158" s="86"/>
      <c r="F158" s="87"/>
      <c r="G158" s="85"/>
      <c r="H158" s="88"/>
      <c r="I158" s="89"/>
      <c r="J158" s="61" t="s">
        <v>132</v>
      </c>
      <c r="K158" s="66">
        <v>8110</v>
      </c>
      <c r="L158" s="66">
        <v>100</v>
      </c>
      <c r="M158" s="66">
        <v>8130</v>
      </c>
      <c r="N158" s="66">
        <f t="shared" si="122"/>
        <v>974</v>
      </c>
      <c r="O158" s="66">
        <f t="shared" si="122"/>
        <v>76</v>
      </c>
      <c r="P158" s="68">
        <f t="shared" si="1"/>
        <v>950</v>
      </c>
      <c r="Q158" s="17">
        <v>42872</v>
      </c>
      <c r="R158" s="15">
        <v>487</v>
      </c>
      <c r="S158" s="15">
        <v>38</v>
      </c>
      <c r="T158" s="15">
        <v>487</v>
      </c>
      <c r="U158" s="15">
        <v>38</v>
      </c>
    </row>
    <row r="159" spans="1:21" x14ac:dyDescent="0.25">
      <c r="A159" s="297" t="str">
        <f>IPO監視一覧!H28</f>
        <v>D</v>
      </c>
      <c r="B159" s="297" t="str">
        <f>IPO監視一覧!B28</f>
        <v>ウェーブロックHD</v>
      </c>
      <c r="C159" s="300">
        <f>IPO監視一覧!G28</f>
        <v>750</v>
      </c>
      <c r="D159" s="301">
        <v>0</v>
      </c>
      <c r="E159" s="305">
        <v>5266500</v>
      </c>
      <c r="F159" s="302">
        <f>IPO監視一覧!O28</f>
        <v>42835</v>
      </c>
      <c r="G159" s="300">
        <f>IPO監視一覧!P28</f>
        <v>721</v>
      </c>
      <c r="H159" s="303">
        <f>IF((G159-C159)&gt;0,(G159-C159)*100*0.79685,(G159-C159)*100)</f>
        <v>-2900</v>
      </c>
      <c r="I159" s="61">
        <f ca="1">NETWORKDAYS(F159,TODAY())</f>
        <v>223</v>
      </c>
      <c r="J159" s="61" t="s">
        <v>132</v>
      </c>
      <c r="K159" s="66">
        <v>1187</v>
      </c>
      <c r="L159" s="66">
        <v>300</v>
      </c>
      <c r="M159" s="66">
        <v>1208</v>
      </c>
      <c r="N159" s="66">
        <f t="shared" si="122"/>
        <v>544</v>
      </c>
      <c r="O159" s="66">
        <f t="shared" si="122"/>
        <v>42</v>
      </c>
      <c r="P159" s="68">
        <f t="shared" si="1"/>
        <v>5714</v>
      </c>
      <c r="Q159" s="17">
        <v>42886</v>
      </c>
      <c r="R159" s="15">
        <v>272</v>
      </c>
      <c r="S159" s="15">
        <v>21</v>
      </c>
      <c r="T159" s="15">
        <v>272</v>
      </c>
      <c r="U159" s="15">
        <v>21</v>
      </c>
    </row>
    <row r="160" spans="1:21" x14ac:dyDescent="0.25">
      <c r="A160" s="297"/>
      <c r="B160" s="297"/>
      <c r="C160" s="300"/>
      <c r="D160" s="301"/>
      <c r="E160" s="305"/>
      <c r="F160" s="302"/>
      <c r="G160" s="300"/>
      <c r="H160" s="303"/>
      <c r="I160" s="61"/>
      <c r="J160" s="61" t="s">
        <v>132</v>
      </c>
      <c r="K160" s="62">
        <v>1179</v>
      </c>
      <c r="L160" s="62">
        <v>100</v>
      </c>
      <c r="M160" s="62">
        <v>1182</v>
      </c>
      <c r="N160" s="62">
        <f t="shared" ref="N160" si="123">R160+T160</f>
        <v>370</v>
      </c>
      <c r="O160" s="62">
        <f t="shared" ref="O160" si="124">S160+U160</f>
        <v>28</v>
      </c>
      <c r="P160" s="64">
        <f t="shared" ref="P160" si="125">(M160-K160)*L160-O160-N160</f>
        <v>-98</v>
      </c>
      <c r="Q160" s="17">
        <v>42887</v>
      </c>
      <c r="R160" s="15">
        <v>185</v>
      </c>
      <c r="S160" s="15">
        <v>14</v>
      </c>
      <c r="T160" s="15">
        <v>185</v>
      </c>
      <c r="U160" s="15">
        <v>14</v>
      </c>
    </row>
    <row r="161" spans="1:21" x14ac:dyDescent="0.25">
      <c r="A161" s="297" t="str">
        <f>IPO監視一覧!H29</f>
        <v>D</v>
      </c>
      <c r="B161" s="297" t="str">
        <f>IPO監視一覧!B29</f>
        <v>LIXILビバ</v>
      </c>
      <c r="C161" s="300">
        <f>IPO監視一覧!G29</f>
        <v>2050</v>
      </c>
      <c r="D161" s="301">
        <v>4720000</v>
      </c>
      <c r="E161" s="305">
        <v>14903800</v>
      </c>
      <c r="F161" s="302">
        <f>IPO監視一覧!O29</f>
        <v>42837</v>
      </c>
      <c r="G161" s="300">
        <f>IPO監視一覧!P29</f>
        <v>1947</v>
      </c>
      <c r="H161" s="303">
        <f>IF((G161-C161)&gt;0,(G161-C161)*100*0.79685,(G161-C161)*100)</f>
        <v>-10300</v>
      </c>
      <c r="I161" s="61">
        <f ca="1">NETWORKDAYS(F161,TODAY())</f>
        <v>221</v>
      </c>
      <c r="J161" s="89"/>
      <c r="K161" s="106"/>
      <c r="L161" s="106"/>
      <c r="M161" s="106"/>
      <c r="N161" s="106">
        <f t="shared" ref="N161:O172" si="126">R161+T161</f>
        <v>0</v>
      </c>
      <c r="O161" s="106">
        <f t="shared" si="126"/>
        <v>0</v>
      </c>
      <c r="P161" s="91">
        <f t="shared" si="1"/>
        <v>0</v>
      </c>
    </row>
    <row r="162" spans="1:21" x14ac:dyDescent="0.25">
      <c r="A162" s="84" t="str">
        <f>IPO監視一覧!H30</f>
        <v>B</v>
      </c>
      <c r="B162" s="84" t="str">
        <f>IPO監視一覧!B30</f>
        <v>旅工房</v>
      </c>
      <c r="C162" s="85">
        <f>IPO監視一覧!G30</f>
        <v>1370</v>
      </c>
      <c r="D162" s="86">
        <v>450000</v>
      </c>
      <c r="E162" s="86">
        <v>110000</v>
      </c>
      <c r="F162" s="87">
        <f>IPO監視一覧!O30</f>
        <v>42843</v>
      </c>
      <c r="G162" s="85">
        <f>IPO監視一覧!P30</f>
        <v>3750</v>
      </c>
      <c r="H162" s="88">
        <f>IF((G162-C162)&gt;0,(G162-C162)*100*0.79685,(G162-C162)*100)</f>
        <v>189650.3</v>
      </c>
      <c r="I162" s="89">
        <f ca="1">NETWORKDAYS(F162,TODAY())</f>
        <v>217</v>
      </c>
      <c r="J162" s="61" t="s">
        <v>132</v>
      </c>
      <c r="K162" s="62">
        <v>5030</v>
      </c>
      <c r="L162" s="62">
        <v>100</v>
      </c>
      <c r="M162" s="62">
        <v>4670</v>
      </c>
      <c r="N162" s="62">
        <f t="shared" si="126"/>
        <v>758</v>
      </c>
      <c r="O162" s="62">
        <f t="shared" si="126"/>
        <v>59</v>
      </c>
      <c r="P162" s="64">
        <f t="shared" si="1"/>
        <v>-36817</v>
      </c>
      <c r="Q162" s="17">
        <v>42846</v>
      </c>
      <c r="R162" s="15">
        <v>487</v>
      </c>
      <c r="S162" s="15">
        <v>38</v>
      </c>
      <c r="T162" s="15">
        <v>271</v>
      </c>
      <c r="U162" s="15">
        <v>21</v>
      </c>
    </row>
    <row r="163" spans="1:21" x14ac:dyDescent="0.25">
      <c r="A163" s="84"/>
      <c r="B163" s="84"/>
      <c r="C163" s="85"/>
      <c r="D163" s="86"/>
      <c r="E163" s="86"/>
      <c r="F163" s="87"/>
      <c r="G163" s="85"/>
      <c r="H163" s="88"/>
      <c r="I163" s="89"/>
      <c r="J163" s="61" t="s">
        <v>132</v>
      </c>
      <c r="K163" s="66">
        <v>4310</v>
      </c>
      <c r="L163" s="66">
        <v>100</v>
      </c>
      <c r="M163" s="66">
        <v>4345</v>
      </c>
      <c r="N163" s="66">
        <f t="shared" si="126"/>
        <v>542</v>
      </c>
      <c r="O163" s="66">
        <f t="shared" si="126"/>
        <v>42</v>
      </c>
      <c r="P163" s="68">
        <f t="shared" si="1"/>
        <v>2916</v>
      </c>
      <c r="Q163" s="17">
        <v>42849</v>
      </c>
      <c r="R163" s="15">
        <v>271</v>
      </c>
      <c r="S163" s="15">
        <v>21</v>
      </c>
      <c r="T163" s="15">
        <v>271</v>
      </c>
      <c r="U163" s="15">
        <v>21</v>
      </c>
    </row>
    <row r="164" spans="1:21" x14ac:dyDescent="0.25">
      <c r="A164" s="84"/>
      <c r="B164" s="84"/>
      <c r="C164" s="85"/>
      <c r="D164" s="86"/>
      <c r="E164" s="86"/>
      <c r="F164" s="87"/>
      <c r="G164" s="85"/>
      <c r="H164" s="88"/>
      <c r="I164" s="89"/>
      <c r="J164" s="61" t="s">
        <v>132</v>
      </c>
      <c r="K164" s="66">
        <v>4385</v>
      </c>
      <c r="L164" s="66">
        <v>100</v>
      </c>
      <c r="M164" s="66">
        <v>4410</v>
      </c>
      <c r="N164" s="66">
        <f t="shared" si="126"/>
        <v>542</v>
      </c>
      <c r="O164" s="66">
        <f t="shared" si="126"/>
        <v>42</v>
      </c>
      <c r="P164" s="68">
        <f t="shared" si="1"/>
        <v>1916</v>
      </c>
      <c r="Q164" s="17">
        <v>42850</v>
      </c>
      <c r="R164" s="15">
        <v>271</v>
      </c>
      <c r="S164" s="15">
        <v>21</v>
      </c>
      <c r="T164" s="15">
        <v>271</v>
      </c>
      <c r="U164" s="15">
        <v>21</v>
      </c>
    </row>
    <row r="165" spans="1:21" x14ac:dyDescent="0.25">
      <c r="A165" s="84"/>
      <c r="B165" s="84"/>
      <c r="C165" s="85"/>
      <c r="D165" s="86"/>
      <c r="E165" s="86"/>
      <c r="F165" s="87"/>
      <c r="G165" s="85"/>
      <c r="H165" s="88"/>
      <c r="I165" s="89"/>
      <c r="J165" s="61" t="s">
        <v>132</v>
      </c>
      <c r="K165" s="62">
        <v>5510</v>
      </c>
      <c r="L165" s="62">
        <v>300</v>
      </c>
      <c r="M165" s="62">
        <v>4620</v>
      </c>
      <c r="N165" s="62">
        <f t="shared" si="126"/>
        <v>1503</v>
      </c>
      <c r="O165" s="62">
        <f t="shared" si="126"/>
        <v>119</v>
      </c>
      <c r="P165" s="64">
        <f t="shared" si="1"/>
        <v>-268622</v>
      </c>
      <c r="Q165" s="17">
        <v>42851</v>
      </c>
      <c r="R165" s="15">
        <v>921</v>
      </c>
      <c r="S165" s="15">
        <v>73</v>
      </c>
      <c r="T165" s="15">
        <v>582</v>
      </c>
      <c r="U165" s="15">
        <v>46</v>
      </c>
    </row>
    <row r="166" spans="1:21" x14ac:dyDescent="0.25">
      <c r="A166" s="84"/>
      <c r="B166" s="84"/>
      <c r="C166" s="85"/>
      <c r="D166" s="86"/>
      <c r="E166" s="86"/>
      <c r="F166" s="87"/>
      <c r="G166" s="85"/>
      <c r="H166" s="88"/>
      <c r="I166" s="89"/>
      <c r="J166" s="61" t="s">
        <v>132</v>
      </c>
      <c r="K166" s="66">
        <v>4235</v>
      </c>
      <c r="L166" s="66">
        <v>100</v>
      </c>
      <c r="M166" s="66">
        <v>4305</v>
      </c>
      <c r="N166" s="66">
        <f t="shared" si="126"/>
        <v>542</v>
      </c>
      <c r="O166" s="66">
        <f t="shared" si="126"/>
        <v>42</v>
      </c>
      <c r="P166" s="68">
        <f t="shared" si="1"/>
        <v>6416</v>
      </c>
      <c r="Q166" s="17">
        <v>42870</v>
      </c>
      <c r="R166" s="15">
        <v>271</v>
      </c>
      <c r="S166" s="15">
        <v>21</v>
      </c>
      <c r="T166" s="15">
        <v>271</v>
      </c>
      <c r="U166" s="15">
        <v>21</v>
      </c>
    </row>
    <row r="167" spans="1:21" x14ac:dyDescent="0.25">
      <c r="A167" s="84" t="str">
        <f>IPO監視一覧!H31</f>
        <v>A</v>
      </c>
      <c r="B167" s="84" t="str">
        <f>IPO監視一覧!B31</f>
        <v>アセンテック</v>
      </c>
      <c r="C167" s="85">
        <f>IPO監視一覧!G31</f>
        <v>2000</v>
      </c>
      <c r="D167" s="86">
        <v>120000</v>
      </c>
      <c r="E167" s="86">
        <v>290000</v>
      </c>
      <c r="F167" s="87">
        <f>IPO監視一覧!O31</f>
        <v>42850</v>
      </c>
      <c r="G167" s="85">
        <f>IPO監視一覧!P31</f>
        <v>5950</v>
      </c>
      <c r="H167" s="88">
        <f>IF((G167-C167)&gt;0,(G167-C167)*100*0.79685,(G167-C167)*100)</f>
        <v>314755.75</v>
      </c>
      <c r="I167" s="89">
        <f ca="1">NETWORKDAYS(F167,TODAY())</f>
        <v>212</v>
      </c>
      <c r="J167" s="61" t="s">
        <v>132</v>
      </c>
      <c r="K167" s="62">
        <f>(6990+6680)/2</f>
        <v>6835</v>
      </c>
      <c r="L167" s="62">
        <v>200</v>
      </c>
      <c r="M167" s="62">
        <v>6800</v>
      </c>
      <c r="N167" s="62">
        <f t="shared" si="126"/>
        <v>1556</v>
      </c>
      <c r="O167" s="62">
        <f t="shared" si="126"/>
        <v>122</v>
      </c>
      <c r="P167" s="64">
        <f t="shared" si="1"/>
        <v>-8678</v>
      </c>
      <c r="Q167" s="17">
        <v>42857</v>
      </c>
      <c r="R167" s="15">
        <f>487*2</f>
        <v>974</v>
      </c>
      <c r="S167" s="15">
        <f>38*2</f>
        <v>76</v>
      </c>
      <c r="T167" s="15">
        <v>582</v>
      </c>
      <c r="U167" s="15">
        <v>46</v>
      </c>
    </row>
    <row r="168" spans="1:21" x14ac:dyDescent="0.25">
      <c r="A168" s="84"/>
      <c r="B168" s="84"/>
      <c r="C168" s="85"/>
      <c r="D168" s="86"/>
      <c r="E168" s="86"/>
      <c r="F168" s="87"/>
      <c r="G168" s="85"/>
      <c r="H168" s="88"/>
      <c r="I168" s="89"/>
      <c r="J168" s="61" t="s">
        <v>132</v>
      </c>
      <c r="K168" s="66">
        <v>6820</v>
      </c>
      <c r="L168" s="66">
        <v>100</v>
      </c>
      <c r="M168" s="66">
        <v>6850</v>
      </c>
      <c r="N168" s="66">
        <f t="shared" si="126"/>
        <v>974</v>
      </c>
      <c r="O168" s="66">
        <f t="shared" si="126"/>
        <v>76</v>
      </c>
      <c r="P168" s="68">
        <f t="shared" ref="P168:P173" si="127">(M168-K168)*L168-O168-N168</f>
        <v>1950</v>
      </c>
      <c r="Q168" s="17">
        <v>42865</v>
      </c>
      <c r="R168" s="15">
        <v>487</v>
      </c>
      <c r="S168" s="15">
        <v>38</v>
      </c>
      <c r="T168" s="15">
        <v>487</v>
      </c>
      <c r="U168" s="15">
        <v>38</v>
      </c>
    </row>
    <row r="169" spans="1:21" x14ac:dyDescent="0.25">
      <c r="A169" s="84"/>
      <c r="B169" s="84"/>
      <c r="C169" s="85"/>
      <c r="D169" s="86"/>
      <c r="E169" s="86"/>
      <c r="F169" s="87"/>
      <c r="G169" s="85"/>
      <c r="H169" s="88"/>
      <c r="I169" s="89"/>
      <c r="J169" s="61" t="s">
        <v>132</v>
      </c>
      <c r="K169" s="66">
        <v>8160</v>
      </c>
      <c r="L169" s="66">
        <v>100</v>
      </c>
      <c r="M169" s="66">
        <v>8220</v>
      </c>
      <c r="N169" s="66">
        <f t="shared" si="126"/>
        <v>974</v>
      </c>
      <c r="O169" s="66">
        <f t="shared" si="126"/>
        <v>76</v>
      </c>
      <c r="P169" s="68">
        <f t="shared" si="127"/>
        <v>4950</v>
      </c>
      <c r="Q169" s="17">
        <v>42870</v>
      </c>
      <c r="R169" s="15">
        <v>487</v>
      </c>
      <c r="S169" s="15">
        <v>38</v>
      </c>
      <c r="T169" s="15">
        <v>487</v>
      </c>
      <c r="U169" s="15">
        <v>38</v>
      </c>
    </row>
    <row r="170" spans="1:21" x14ac:dyDescent="0.25">
      <c r="A170" s="84"/>
      <c r="B170" s="84"/>
      <c r="C170" s="85"/>
      <c r="D170" s="86"/>
      <c r="E170" s="86"/>
      <c r="F170" s="87"/>
      <c r="G170" s="85"/>
      <c r="H170" s="88"/>
      <c r="I170" s="89"/>
      <c r="J170" s="61" t="s">
        <v>132</v>
      </c>
      <c r="K170" s="66">
        <v>7630</v>
      </c>
      <c r="L170" s="66">
        <v>100</v>
      </c>
      <c r="M170" s="66">
        <v>7690</v>
      </c>
      <c r="N170" s="66">
        <f t="shared" si="126"/>
        <v>974</v>
      </c>
      <c r="O170" s="66">
        <f t="shared" si="126"/>
        <v>76</v>
      </c>
      <c r="P170" s="68">
        <f t="shared" si="127"/>
        <v>4950</v>
      </c>
      <c r="Q170" s="17">
        <v>42871</v>
      </c>
      <c r="R170" s="15">
        <v>487</v>
      </c>
      <c r="S170" s="15">
        <v>38</v>
      </c>
      <c r="T170" s="15">
        <v>487</v>
      </c>
      <c r="U170" s="15">
        <v>38</v>
      </c>
    </row>
    <row r="171" spans="1:21" x14ac:dyDescent="0.25">
      <c r="A171" s="84"/>
      <c r="B171" s="84"/>
      <c r="C171" s="85"/>
      <c r="D171" s="86"/>
      <c r="E171" s="86"/>
      <c r="F171" s="87"/>
      <c r="G171" s="85"/>
      <c r="H171" s="88"/>
      <c r="I171" s="89"/>
      <c r="J171" s="61" t="s">
        <v>132</v>
      </c>
      <c r="K171" s="66">
        <v>7640</v>
      </c>
      <c r="L171" s="66">
        <v>100</v>
      </c>
      <c r="M171" s="66">
        <v>7660</v>
      </c>
      <c r="N171" s="66">
        <f t="shared" si="126"/>
        <v>974</v>
      </c>
      <c r="O171" s="66">
        <f t="shared" si="126"/>
        <v>76</v>
      </c>
      <c r="P171" s="68">
        <f t="shared" si="127"/>
        <v>950</v>
      </c>
      <c r="Q171" s="17">
        <v>42872</v>
      </c>
      <c r="R171" s="15">
        <v>487</v>
      </c>
      <c r="S171" s="15">
        <v>38</v>
      </c>
      <c r="T171" s="15">
        <v>487</v>
      </c>
      <c r="U171" s="15">
        <v>38</v>
      </c>
    </row>
    <row r="172" spans="1:21" x14ac:dyDescent="0.25">
      <c r="A172" s="84"/>
      <c r="B172" s="84"/>
      <c r="C172" s="85"/>
      <c r="D172" s="86"/>
      <c r="E172" s="86"/>
      <c r="F172" s="87"/>
      <c r="G172" s="85"/>
      <c r="H172" s="88"/>
      <c r="I172" s="89"/>
      <c r="J172" s="61" t="s">
        <v>132</v>
      </c>
      <c r="K172" s="66">
        <v>7020</v>
      </c>
      <c r="L172" s="66">
        <v>100</v>
      </c>
      <c r="M172" s="66">
        <v>7050</v>
      </c>
      <c r="N172" s="66">
        <f t="shared" si="126"/>
        <v>974</v>
      </c>
      <c r="O172" s="66">
        <f t="shared" si="126"/>
        <v>76</v>
      </c>
      <c r="P172" s="68">
        <f t="shared" si="127"/>
        <v>1950</v>
      </c>
      <c r="Q172" s="17">
        <v>42873</v>
      </c>
      <c r="R172" s="15">
        <v>487</v>
      </c>
      <c r="S172" s="15">
        <v>38</v>
      </c>
      <c r="T172" s="15">
        <v>487</v>
      </c>
      <c r="U172" s="15">
        <v>38</v>
      </c>
    </row>
    <row r="173" spans="1:21" x14ac:dyDescent="0.25">
      <c r="A173" s="84" t="str">
        <f>IPO監視一覧!H32</f>
        <v>A</v>
      </c>
      <c r="B173" s="84" t="str">
        <f>IPO監視一覧!B32</f>
        <v>ビーブレイクシステムズ</v>
      </c>
      <c r="C173" s="85">
        <f>IPO監視一覧!G32</f>
        <v>1670</v>
      </c>
      <c r="D173" s="86">
        <v>250000</v>
      </c>
      <c r="E173" s="86">
        <v>62000</v>
      </c>
      <c r="F173" s="87">
        <f>IPO監視一覧!O32</f>
        <v>42901</v>
      </c>
      <c r="G173" s="85">
        <f>IPO監視一覧!P32</f>
        <v>7700</v>
      </c>
      <c r="H173" s="88">
        <f t="shared" ref="H173:H208" si="128">IF((G173-C173)&gt;0,(G173-C173)*100*0.79685,(G173-C173)*100)</f>
        <v>480500.55</v>
      </c>
      <c r="I173" s="89">
        <f t="shared" ref="I173:I208" ca="1" si="129">NETWORKDAYS(F173,TODAY())</f>
        <v>175</v>
      </c>
      <c r="J173" s="61" t="s">
        <v>132</v>
      </c>
      <c r="K173" s="62">
        <v>7160</v>
      </c>
      <c r="L173" s="62">
        <v>100</v>
      </c>
      <c r="M173" s="62">
        <v>6770</v>
      </c>
      <c r="N173" s="62">
        <f t="shared" ref="N173" si="130">R173+T173</f>
        <v>974</v>
      </c>
      <c r="O173" s="62">
        <f t="shared" ref="O173" si="131">S173+U173</f>
        <v>76</v>
      </c>
      <c r="P173" s="64">
        <f t="shared" si="127"/>
        <v>-40050</v>
      </c>
      <c r="Q173" s="17">
        <v>42905</v>
      </c>
      <c r="R173" s="15">
        <v>487</v>
      </c>
      <c r="S173" s="15">
        <v>38</v>
      </c>
      <c r="T173" s="15">
        <v>487</v>
      </c>
      <c r="U173" s="15">
        <v>38</v>
      </c>
    </row>
    <row r="174" spans="1:21" x14ac:dyDescent="0.25">
      <c r="A174" s="84" t="str">
        <f>IPO監視一覧!H33</f>
        <v>A</v>
      </c>
      <c r="B174" s="84" t="str">
        <f>IPO監視一覧!B33</f>
        <v>ディーエムソリューションズ</v>
      </c>
      <c r="C174" s="85">
        <f>IPO監視一覧!G33</f>
        <v>2500</v>
      </c>
      <c r="D174" s="86">
        <v>100000</v>
      </c>
      <c r="E174" s="86">
        <v>97000</v>
      </c>
      <c r="F174" s="87">
        <f>IPO監視一覧!O33</f>
        <v>42906</v>
      </c>
      <c r="G174" s="85">
        <f>IPO監視一覧!P33</f>
        <v>7100</v>
      </c>
      <c r="H174" s="88">
        <f t="shared" si="128"/>
        <v>366551</v>
      </c>
      <c r="I174" s="89">
        <f t="shared" ca="1" si="129"/>
        <v>172</v>
      </c>
      <c r="J174" s="89"/>
      <c r="K174" s="106"/>
      <c r="L174" s="106"/>
      <c r="M174" s="106"/>
      <c r="N174" s="106"/>
      <c r="O174" s="106"/>
      <c r="P174" s="91">
        <f>(M174-K174)*L174-O174-N174</f>
        <v>0</v>
      </c>
    </row>
    <row r="175" spans="1:21" x14ac:dyDescent="0.25">
      <c r="A175" s="84" t="str">
        <f>IPO監視一覧!H34</f>
        <v>A</v>
      </c>
      <c r="B175" s="84" t="str">
        <f>IPO監視一覧!B34</f>
        <v>エコモット</v>
      </c>
      <c r="C175" s="85">
        <f>IPO監視一覧!G34</f>
        <v>2730</v>
      </c>
      <c r="D175" s="86">
        <v>12000</v>
      </c>
      <c r="E175" s="350">
        <v>150000</v>
      </c>
      <c r="F175" s="87">
        <f>IPO監視一覧!O34</f>
        <v>42907</v>
      </c>
      <c r="G175" s="85">
        <f>IPO監視一覧!P34</f>
        <v>4195</v>
      </c>
      <c r="H175" s="88">
        <f t="shared" si="128"/>
        <v>116738.52499999999</v>
      </c>
      <c r="I175" s="89">
        <f t="shared" ca="1" si="129"/>
        <v>171</v>
      </c>
      <c r="J175" s="89"/>
      <c r="K175" s="106"/>
      <c r="L175" s="106"/>
      <c r="M175" s="106"/>
      <c r="N175" s="106"/>
      <c r="O175" s="106"/>
      <c r="P175" s="91">
        <f>(M175-K175)*L175-O175-N175</f>
        <v>0</v>
      </c>
      <c r="Q175" s="53"/>
      <c r="R175" s="53"/>
      <c r="S175" s="53"/>
      <c r="T175" s="53"/>
      <c r="U175" s="53"/>
    </row>
    <row r="176" spans="1:21" x14ac:dyDescent="0.25">
      <c r="A176" s="84" t="str">
        <f>IPO監視一覧!H35</f>
        <v>B</v>
      </c>
      <c r="B176" s="84" t="str">
        <f>IPO監視一覧!B35</f>
        <v>Fringe81</v>
      </c>
      <c r="C176" s="85">
        <f>IPO監視一覧!G35</f>
        <v>2600</v>
      </c>
      <c r="D176" s="86">
        <v>108800</v>
      </c>
      <c r="E176" s="86">
        <v>151300</v>
      </c>
      <c r="F176" s="87">
        <f>IPO監視一覧!O35</f>
        <v>42913</v>
      </c>
      <c r="G176" s="85">
        <f>IPO監視一覧!P35</f>
        <v>6060</v>
      </c>
      <c r="H176" s="88">
        <f t="shared" si="128"/>
        <v>275710.09999999998</v>
      </c>
      <c r="I176" s="89">
        <f t="shared" ca="1" si="129"/>
        <v>167</v>
      </c>
      <c r="J176" s="89"/>
      <c r="K176" s="106"/>
      <c r="L176" s="106"/>
      <c r="M176" s="106"/>
      <c r="N176" s="106"/>
      <c r="O176" s="106"/>
      <c r="P176" s="91">
        <f t="shared" ref="P176:P177" si="132">(M176-K176)*L176-O176-N176</f>
        <v>0</v>
      </c>
      <c r="Q176" s="53"/>
      <c r="R176" s="53"/>
      <c r="S176" s="53"/>
      <c r="T176" s="53"/>
      <c r="U176" s="53"/>
    </row>
    <row r="177" spans="1:21" x14ac:dyDescent="0.25">
      <c r="A177" s="84" t="str">
        <f>IPO監視一覧!H36</f>
        <v>B</v>
      </c>
      <c r="B177" s="84" t="str">
        <f>IPO監視一覧!B36</f>
        <v>ツナグ・ソリューションズ</v>
      </c>
      <c r="C177" s="85">
        <f>IPO監視一覧!G36</f>
        <v>2130</v>
      </c>
      <c r="D177" s="86">
        <v>270000</v>
      </c>
      <c r="E177" s="86">
        <v>180000</v>
      </c>
      <c r="F177" s="87">
        <f>IPO監視一覧!O36</f>
        <v>42916</v>
      </c>
      <c r="G177" s="85">
        <f>IPO監視一覧!P36</f>
        <v>4515</v>
      </c>
      <c r="H177" s="88">
        <f t="shared" si="128"/>
        <v>190048.72499999998</v>
      </c>
      <c r="I177" s="89">
        <f t="shared" ca="1" si="129"/>
        <v>164</v>
      </c>
      <c r="J177" s="89"/>
      <c r="K177" s="106"/>
      <c r="L177" s="106"/>
      <c r="M177" s="106"/>
      <c r="N177" s="106"/>
      <c r="O177" s="106"/>
      <c r="P177" s="91">
        <f t="shared" si="132"/>
        <v>0</v>
      </c>
      <c r="Q177" s="53"/>
      <c r="R177" s="53"/>
      <c r="S177" s="53"/>
      <c r="T177" s="53"/>
      <c r="U177" s="53"/>
    </row>
    <row r="178" spans="1:21" x14ac:dyDescent="0.25">
      <c r="A178" s="84" t="str">
        <f>IPO監視一覧!H37</f>
        <v>B</v>
      </c>
      <c r="B178" s="84" t="str">
        <f>IPO監視一覧!B37</f>
        <v>ＳＹＳホールディングス</v>
      </c>
      <c r="C178" s="85">
        <f>IPO監視一覧!G37</f>
        <v>2560</v>
      </c>
      <c r="D178" s="86">
        <v>200000</v>
      </c>
      <c r="E178" s="86">
        <v>100000</v>
      </c>
      <c r="F178" s="87">
        <f>IPO監視一覧!O37</f>
        <v>42916</v>
      </c>
      <c r="G178" s="85">
        <f>IPO監視一覧!P37</f>
        <v>5530</v>
      </c>
      <c r="H178" s="88">
        <f t="shared" si="128"/>
        <v>236664.44999999998</v>
      </c>
      <c r="I178" s="89">
        <f t="shared" ca="1" si="129"/>
        <v>164</v>
      </c>
      <c r="J178" s="89"/>
      <c r="K178" s="106"/>
      <c r="L178" s="106"/>
      <c r="M178" s="106"/>
      <c r="N178" s="106"/>
      <c r="O178" s="106"/>
      <c r="P178" s="91">
        <f t="shared" ref="P178:P181" si="133">(M178-K178)*L178-O178-N178</f>
        <v>0</v>
      </c>
      <c r="Q178" s="53"/>
      <c r="R178" s="53"/>
      <c r="S178" s="53"/>
      <c r="T178" s="53"/>
      <c r="U178" s="53"/>
    </row>
    <row r="179" spans="1:21" x14ac:dyDescent="0.25">
      <c r="A179" s="84" t="str">
        <f>IPO監視一覧!H38</f>
        <v>B</v>
      </c>
      <c r="B179" s="84" t="str">
        <f>IPO監視一覧!B38</f>
        <v>GameWith</v>
      </c>
      <c r="C179" s="85">
        <f>IPO監視一覧!G38</f>
        <v>1920</v>
      </c>
      <c r="D179" s="86">
        <v>50000</v>
      </c>
      <c r="E179" s="86">
        <v>683400</v>
      </c>
      <c r="F179" s="87">
        <f>IPO監視一覧!O38</f>
        <v>42916</v>
      </c>
      <c r="G179" s="85">
        <f>IPO監視一覧!P38</f>
        <v>4490</v>
      </c>
      <c r="H179" s="88">
        <f t="shared" si="128"/>
        <v>204790.44999999998</v>
      </c>
      <c r="I179" s="89">
        <f t="shared" ca="1" si="129"/>
        <v>164</v>
      </c>
      <c r="J179" s="89"/>
      <c r="K179" s="106"/>
      <c r="L179" s="106"/>
      <c r="M179" s="106"/>
      <c r="N179" s="106"/>
      <c r="O179" s="106"/>
      <c r="P179" s="91">
        <f t="shared" si="133"/>
        <v>0</v>
      </c>
      <c r="Q179" s="53"/>
      <c r="R179" s="53"/>
      <c r="S179" s="53"/>
      <c r="T179" s="53"/>
      <c r="U179" s="53"/>
    </row>
    <row r="180" spans="1:21" x14ac:dyDescent="0.25">
      <c r="A180" s="84" t="str">
        <f>IPO監視一覧!H39</f>
        <v>B</v>
      </c>
      <c r="B180" s="84" t="str">
        <f>IPO監視一覧!B39</f>
        <v>ソウルドアウト</v>
      </c>
      <c r="C180" s="85">
        <f>IPO監視一覧!G39</f>
        <v>1200</v>
      </c>
      <c r="D180" s="86">
        <v>410000</v>
      </c>
      <c r="E180" s="86">
        <v>1914000</v>
      </c>
      <c r="F180" s="87">
        <f>IPO監視一覧!O39</f>
        <v>42928</v>
      </c>
      <c r="G180" s="85">
        <f>IPO監視一覧!P39</f>
        <v>2123</v>
      </c>
      <c r="H180" s="88">
        <f t="shared" si="128"/>
        <v>73549.25499999999</v>
      </c>
      <c r="I180" s="89">
        <f t="shared" ca="1" si="129"/>
        <v>156</v>
      </c>
      <c r="J180" s="89"/>
      <c r="K180" s="106"/>
      <c r="L180" s="106"/>
      <c r="M180" s="106"/>
      <c r="N180" s="106"/>
      <c r="O180" s="106"/>
      <c r="P180" s="91">
        <f t="shared" si="133"/>
        <v>0</v>
      </c>
      <c r="Q180" s="53"/>
      <c r="R180" s="53"/>
      <c r="S180" s="53"/>
      <c r="T180" s="53"/>
      <c r="U180" s="53"/>
    </row>
    <row r="181" spans="1:21" x14ac:dyDescent="0.25">
      <c r="A181" s="84" t="str">
        <f>IPO監視一覧!H40</f>
        <v>B</v>
      </c>
      <c r="B181" s="84" t="str">
        <f>IPO監視一覧!B40</f>
        <v>ユニフォームネクスト</v>
      </c>
      <c r="C181" s="85">
        <f>IPO監視一覧!G40</f>
        <v>2800</v>
      </c>
      <c r="D181" s="86">
        <v>200000</v>
      </c>
      <c r="E181" s="86">
        <v>0</v>
      </c>
      <c r="F181" s="87">
        <f>IPO監視一覧!O40</f>
        <v>42935</v>
      </c>
      <c r="G181" s="85">
        <f>IPO監視一覧!P40</f>
        <v>6640</v>
      </c>
      <c r="H181" s="88">
        <f t="shared" si="128"/>
        <v>305990.39999999997</v>
      </c>
      <c r="I181" s="89">
        <f t="shared" ca="1" si="129"/>
        <v>151</v>
      </c>
      <c r="J181" s="89"/>
      <c r="K181" s="106"/>
      <c r="L181" s="106"/>
      <c r="M181" s="106"/>
      <c r="N181" s="106"/>
      <c r="O181" s="106"/>
      <c r="P181" s="91">
        <f t="shared" si="133"/>
        <v>0</v>
      </c>
      <c r="Q181" s="53"/>
      <c r="R181" s="53"/>
      <c r="S181" s="53"/>
      <c r="T181" s="53"/>
      <c r="U181" s="53"/>
    </row>
    <row r="182" spans="1:21" x14ac:dyDescent="0.25">
      <c r="A182" s="381" t="str">
        <f>IPO監視一覧!H41</f>
        <v>D</v>
      </c>
      <c r="B182" s="381" t="str">
        <f>IPO監視一覧!B41</f>
        <v>ジェイ・エス・ビー</v>
      </c>
      <c r="C182" s="382">
        <f>IPO監視一覧!G41</f>
        <v>3200</v>
      </c>
      <c r="D182" s="383">
        <v>333500</v>
      </c>
      <c r="E182" s="383">
        <v>117200</v>
      </c>
      <c r="F182" s="384">
        <f>IPO監視一覧!O41</f>
        <v>42936</v>
      </c>
      <c r="G182" s="382">
        <f>IPO監視一覧!P41</f>
        <v>4280</v>
      </c>
      <c r="H182" s="385">
        <f t="shared" si="128"/>
        <v>86059.799999999988</v>
      </c>
      <c r="I182" s="386">
        <f t="shared" ca="1" si="129"/>
        <v>150</v>
      </c>
      <c r="J182" s="89"/>
      <c r="K182" s="106"/>
      <c r="L182" s="106"/>
      <c r="M182" s="106"/>
      <c r="N182" s="106"/>
      <c r="O182" s="106"/>
      <c r="P182" s="91">
        <f t="shared" ref="P182:P185" si="134">(M182-K182)*L182-O182-N182</f>
        <v>0</v>
      </c>
      <c r="Q182" s="53"/>
      <c r="R182" s="53"/>
      <c r="S182" s="53"/>
      <c r="T182" s="53"/>
      <c r="U182" s="53"/>
    </row>
    <row r="183" spans="1:21" x14ac:dyDescent="0.25">
      <c r="A183" s="84" t="str">
        <f>IPO監視一覧!H42</f>
        <v>C</v>
      </c>
      <c r="B183" s="84" t="str">
        <f>IPO監視一覧!B42</f>
        <v>クロスフォー</v>
      </c>
      <c r="C183" s="85">
        <f>IPO監視一覧!G42</f>
        <v>730</v>
      </c>
      <c r="D183" s="86">
        <v>1500000</v>
      </c>
      <c r="E183" s="86">
        <v>0</v>
      </c>
      <c r="F183" s="87">
        <f>IPO監視一覧!O42</f>
        <v>42936</v>
      </c>
      <c r="G183" s="85">
        <f>IPO監視一覧!P42</f>
        <v>1051</v>
      </c>
      <c r="H183" s="88">
        <f t="shared" si="128"/>
        <v>25578.884999999998</v>
      </c>
      <c r="I183" s="89">
        <f t="shared" ca="1" si="129"/>
        <v>150</v>
      </c>
      <c r="J183" s="89"/>
      <c r="K183" s="106"/>
      <c r="L183" s="106"/>
      <c r="M183" s="106"/>
      <c r="N183" s="106"/>
      <c r="O183" s="106"/>
      <c r="P183" s="91">
        <f t="shared" si="134"/>
        <v>0</v>
      </c>
      <c r="Q183" s="53"/>
      <c r="R183" s="53"/>
      <c r="S183" s="53"/>
      <c r="T183" s="53"/>
      <c r="U183" s="53"/>
    </row>
    <row r="184" spans="1:21" x14ac:dyDescent="0.25">
      <c r="A184" s="84" t="str">
        <f>IPO監視一覧!H43</f>
        <v>A</v>
      </c>
      <c r="B184" s="84" t="str">
        <f>IPO監視一覧!B43</f>
        <v>シェアリングテクノロジー</v>
      </c>
      <c r="C184" s="85">
        <f>IPO監視一覧!G43</f>
        <v>1600</v>
      </c>
      <c r="D184" s="86">
        <v>600000</v>
      </c>
      <c r="E184" s="86">
        <v>600000</v>
      </c>
      <c r="F184" s="87">
        <f>IPO監視一覧!O43</f>
        <v>42950</v>
      </c>
      <c r="G184" s="85">
        <f>IPO監視一覧!P43</f>
        <v>2990</v>
      </c>
      <c r="H184" s="88">
        <f t="shared" si="128"/>
        <v>110762.15</v>
      </c>
      <c r="I184" s="89">
        <f t="shared" ca="1" si="129"/>
        <v>140</v>
      </c>
      <c r="J184" s="89"/>
      <c r="K184" s="106"/>
      <c r="L184" s="106"/>
      <c r="M184" s="106"/>
      <c r="N184" s="106"/>
      <c r="O184" s="106"/>
      <c r="P184" s="91">
        <f t="shared" si="134"/>
        <v>0</v>
      </c>
      <c r="Q184" s="53"/>
      <c r="R184" s="53"/>
      <c r="S184" s="53"/>
      <c r="T184" s="53"/>
      <c r="U184" s="53"/>
    </row>
    <row r="185" spans="1:21" x14ac:dyDescent="0.25">
      <c r="A185" s="84" t="str">
        <f>IPO監視一覧!H44</f>
        <v>A</v>
      </c>
      <c r="B185" s="84" t="str">
        <f>IPO監視一覧!B44</f>
        <v>トランザス</v>
      </c>
      <c r="C185" s="85">
        <f>IPO監視一覧!G44</f>
        <v>1300</v>
      </c>
      <c r="D185" s="86">
        <v>380000</v>
      </c>
      <c r="E185" s="86">
        <v>360000</v>
      </c>
      <c r="F185" s="87">
        <f>IPO監視一覧!O44</f>
        <v>42956</v>
      </c>
      <c r="G185" s="85">
        <f>IPO監視一覧!P44</f>
        <v>3510</v>
      </c>
      <c r="H185" s="88">
        <f t="shared" si="128"/>
        <v>176103.84999999998</v>
      </c>
      <c r="I185" s="89">
        <f t="shared" ca="1" si="129"/>
        <v>136</v>
      </c>
      <c r="J185" s="89"/>
      <c r="K185" s="106"/>
      <c r="L185" s="106"/>
      <c r="M185" s="106"/>
      <c r="N185" s="106"/>
      <c r="O185" s="106"/>
      <c r="P185" s="91">
        <f t="shared" si="134"/>
        <v>0</v>
      </c>
      <c r="Q185" s="53"/>
      <c r="R185" s="53"/>
      <c r="S185" s="53"/>
      <c r="T185" s="53"/>
      <c r="U185" s="53"/>
    </row>
    <row r="186" spans="1:21" x14ac:dyDescent="0.25">
      <c r="A186" s="84" t="str">
        <f>IPO監視一覧!H45</f>
        <v>A</v>
      </c>
      <c r="B186" s="84" t="str">
        <f>IPO監視一覧!B45</f>
        <v>ＵＵＵＭ</v>
      </c>
      <c r="C186" s="85">
        <f>IPO監視一覧!G45</f>
        <v>2050</v>
      </c>
      <c r="D186" s="86">
        <v>302000</v>
      </c>
      <c r="E186" s="86">
        <v>214800</v>
      </c>
      <c r="F186" s="87">
        <f>IPO監視一覧!O45</f>
        <v>42977</v>
      </c>
      <c r="G186" s="85">
        <f>IPO監視一覧!P45</f>
        <v>6700</v>
      </c>
      <c r="H186" s="88">
        <f t="shared" si="128"/>
        <v>370535.25</v>
      </c>
      <c r="I186" s="89">
        <f t="shared" ca="1" si="129"/>
        <v>121</v>
      </c>
      <c r="J186" s="89"/>
      <c r="K186" s="106"/>
      <c r="L186" s="106"/>
      <c r="M186" s="106"/>
      <c r="N186" s="106"/>
      <c r="O186" s="106"/>
      <c r="P186" s="91">
        <f t="shared" ref="P186:P192" si="135">(M186-K186)*L186-O186-N186</f>
        <v>0</v>
      </c>
      <c r="Q186" s="53"/>
      <c r="R186" s="53"/>
      <c r="S186" s="53"/>
      <c r="T186" s="53"/>
      <c r="U186" s="53"/>
    </row>
    <row r="187" spans="1:21" x14ac:dyDescent="0.25">
      <c r="A187" s="84" t="str">
        <f>IPO監視一覧!H46</f>
        <v>A</v>
      </c>
      <c r="B187" s="84" t="str">
        <f>IPO監視一覧!B46</f>
        <v>エスユーエス</v>
      </c>
      <c r="C187" s="85">
        <f>IPO監視一覧!G46</f>
        <v>2300</v>
      </c>
      <c r="D187" s="86">
        <v>323000</v>
      </c>
      <c r="E187" s="86">
        <v>31000</v>
      </c>
      <c r="F187" s="87">
        <f>IPO監視一覧!O46</f>
        <v>42991</v>
      </c>
      <c r="G187" s="85">
        <f>IPO監視一覧!P46</f>
        <v>4970</v>
      </c>
      <c r="H187" s="88">
        <f t="shared" si="128"/>
        <v>212758.94999999998</v>
      </c>
      <c r="I187" s="89">
        <f t="shared" ca="1" si="129"/>
        <v>111</v>
      </c>
      <c r="J187" s="89"/>
      <c r="K187" s="106"/>
      <c r="L187" s="106"/>
      <c r="M187" s="106"/>
      <c r="N187" s="106"/>
      <c r="O187" s="106"/>
      <c r="P187" s="91">
        <f t="shared" si="135"/>
        <v>0</v>
      </c>
      <c r="Q187" s="53"/>
      <c r="R187" s="53"/>
      <c r="S187" s="53"/>
      <c r="T187" s="53"/>
      <c r="U187" s="53"/>
    </row>
    <row r="188" spans="1:21" x14ac:dyDescent="0.25">
      <c r="A188" s="84" t="str">
        <f>IPO監視一覧!H47</f>
        <v>A</v>
      </c>
      <c r="B188" s="84" t="str">
        <f>IPO監視一覧!B47</f>
        <v>ウォンテッドリー</v>
      </c>
      <c r="C188" s="85">
        <f>IPO監視一覧!G47</f>
        <v>1000</v>
      </c>
      <c r="D188" s="86">
        <v>50000</v>
      </c>
      <c r="E188" s="86">
        <v>80000</v>
      </c>
      <c r="F188" s="87">
        <f>IPO監視一覧!O47</f>
        <v>42992</v>
      </c>
      <c r="G188" s="85">
        <f>IPO監視一覧!P47</f>
        <v>5010</v>
      </c>
      <c r="H188" s="88">
        <f t="shared" si="128"/>
        <v>319536.84999999998</v>
      </c>
      <c r="I188" s="89">
        <f t="shared" ca="1" si="129"/>
        <v>110</v>
      </c>
      <c r="J188" s="89"/>
      <c r="K188" s="106"/>
      <c r="L188" s="106"/>
      <c r="M188" s="106"/>
      <c r="N188" s="106"/>
      <c r="O188" s="106"/>
      <c r="P188" s="91">
        <f t="shared" si="135"/>
        <v>0</v>
      </c>
      <c r="Q188" s="53"/>
      <c r="R188" s="53"/>
      <c r="S188" s="53"/>
      <c r="T188" s="53"/>
      <c r="U188" s="53"/>
    </row>
    <row r="189" spans="1:21" x14ac:dyDescent="0.25">
      <c r="A189" s="84" t="str">
        <f>IPO監視一覧!H48</f>
        <v>A</v>
      </c>
      <c r="B189" s="84" t="str">
        <f>IPO監視一覧!B48</f>
        <v>ニーズウェル</v>
      </c>
      <c r="C189" s="85">
        <f>IPO監視一覧!G48</f>
        <v>1670</v>
      </c>
      <c r="D189" s="86">
        <v>200000</v>
      </c>
      <c r="E189" s="86">
        <v>150000</v>
      </c>
      <c r="F189" s="87">
        <f>IPO監視一覧!O48</f>
        <v>42998</v>
      </c>
      <c r="G189" s="85">
        <f>IPO監視一覧!P48</f>
        <v>3850</v>
      </c>
      <c r="H189" s="88">
        <f t="shared" si="128"/>
        <v>173713.3</v>
      </c>
      <c r="I189" s="89">
        <f t="shared" ca="1" si="129"/>
        <v>106</v>
      </c>
      <c r="J189" s="89"/>
      <c r="K189" s="106"/>
      <c r="L189" s="106"/>
      <c r="M189" s="106"/>
      <c r="N189" s="106"/>
      <c r="O189" s="106"/>
      <c r="P189" s="91">
        <f t="shared" si="135"/>
        <v>0</v>
      </c>
      <c r="Q189" s="53"/>
      <c r="R189" s="53"/>
      <c r="S189" s="53"/>
      <c r="T189" s="53"/>
      <c r="U189" s="53"/>
    </row>
    <row r="190" spans="1:21" x14ac:dyDescent="0.25">
      <c r="A190" s="84" t="str">
        <f>IPO監視一覧!H49</f>
        <v>A</v>
      </c>
      <c r="B190" s="84" t="str">
        <f>IPO監視一覧!B49</f>
        <v>PKSHA Technology</v>
      </c>
      <c r="C190" s="85">
        <f>IPO監視一覧!G49</f>
        <v>2400</v>
      </c>
      <c r="D190" s="86">
        <v>2570400</v>
      </c>
      <c r="E190" s="86">
        <v>0</v>
      </c>
      <c r="F190" s="87">
        <f>IPO監視一覧!O49</f>
        <v>43000</v>
      </c>
      <c r="G190" s="85">
        <f>IPO監視一覧!P49</f>
        <v>5480</v>
      </c>
      <c r="H190" s="88">
        <f t="shared" si="128"/>
        <v>245429.8</v>
      </c>
      <c r="I190" s="89">
        <f t="shared" ca="1" si="129"/>
        <v>104</v>
      </c>
      <c r="J190" s="89"/>
      <c r="K190" s="106"/>
      <c r="L190" s="106"/>
      <c r="M190" s="106"/>
      <c r="N190" s="106"/>
      <c r="O190" s="106"/>
      <c r="P190" s="91">
        <f t="shared" si="135"/>
        <v>0</v>
      </c>
      <c r="Q190" s="53"/>
      <c r="R190" s="53"/>
      <c r="S190" s="53"/>
      <c r="T190" s="53"/>
      <c r="U190" s="53"/>
    </row>
    <row r="191" spans="1:21" x14ac:dyDescent="0.25">
      <c r="A191" s="84" t="str">
        <f>IPO監視一覧!H50</f>
        <v>C</v>
      </c>
      <c r="B191" s="84" t="str">
        <f>IPO監視一覧!B50</f>
        <v>壽屋</v>
      </c>
      <c r="C191" s="85">
        <f>IPO監視一覧!G50</f>
        <v>2000</v>
      </c>
      <c r="D191" s="86">
        <v>300000</v>
      </c>
      <c r="E191" s="86">
        <v>300000</v>
      </c>
      <c r="F191" s="87">
        <f>IPO監視一覧!O50</f>
        <v>43004</v>
      </c>
      <c r="G191" s="85">
        <f>IPO監視一覧!P50</f>
        <v>2650</v>
      </c>
      <c r="H191" s="88">
        <f t="shared" si="128"/>
        <v>51795.25</v>
      </c>
      <c r="I191" s="89">
        <f t="shared" ca="1" si="129"/>
        <v>102</v>
      </c>
      <c r="J191" s="89"/>
      <c r="K191" s="106"/>
      <c r="L191" s="106"/>
      <c r="M191" s="106"/>
      <c r="N191" s="106"/>
      <c r="O191" s="106"/>
      <c r="P191" s="91">
        <f t="shared" si="135"/>
        <v>0</v>
      </c>
      <c r="Q191" s="53"/>
      <c r="R191" s="53"/>
      <c r="S191" s="53"/>
      <c r="T191" s="53"/>
      <c r="U191" s="53"/>
    </row>
    <row r="192" spans="1:21" x14ac:dyDescent="0.25">
      <c r="A192" s="84" t="str">
        <f>IPO監視一覧!H51</f>
        <v>C</v>
      </c>
      <c r="B192" s="84" t="str">
        <f>IPO監視一覧!B51</f>
        <v>ロードスターキャピタル</v>
      </c>
      <c r="C192" s="85">
        <f>IPO監視一覧!G51</f>
        <v>1820</v>
      </c>
      <c r="D192" s="86">
        <v>740000</v>
      </c>
      <c r="E192" s="86">
        <v>360000</v>
      </c>
      <c r="F192" s="87">
        <f>IPO監視一覧!O51</f>
        <v>43006</v>
      </c>
      <c r="G192" s="85">
        <f>IPO監視一覧!P51</f>
        <v>2501</v>
      </c>
      <c r="H192" s="88">
        <f t="shared" si="128"/>
        <v>54265.484999999993</v>
      </c>
      <c r="I192" s="89">
        <f t="shared" ca="1" si="129"/>
        <v>100</v>
      </c>
      <c r="J192" s="89"/>
      <c r="K192" s="106"/>
      <c r="L192" s="106"/>
      <c r="M192" s="106"/>
      <c r="N192" s="106"/>
      <c r="O192" s="106"/>
      <c r="P192" s="91">
        <f t="shared" si="135"/>
        <v>0</v>
      </c>
      <c r="Q192" s="53"/>
      <c r="R192" s="53"/>
      <c r="S192" s="53"/>
      <c r="T192" s="53"/>
      <c r="U192" s="53"/>
    </row>
    <row r="193" spans="1:21" x14ac:dyDescent="0.25">
      <c r="A193" s="297" t="str">
        <f>IPO監視一覧!H52</f>
        <v>D</v>
      </c>
      <c r="B193" s="297" t="str">
        <f>IPO監視一覧!B52</f>
        <v>西本WismettacHD</v>
      </c>
      <c r="C193" s="300">
        <f>IPO監視一覧!G52</f>
        <v>4750</v>
      </c>
      <c r="D193" s="301">
        <v>1850000</v>
      </c>
      <c r="E193" s="301">
        <v>1850000</v>
      </c>
      <c r="F193" s="302">
        <f>IPO監視一覧!O52</f>
        <v>43007</v>
      </c>
      <c r="G193" s="300">
        <f>IPO監視一覧!P52</f>
        <v>4465</v>
      </c>
      <c r="H193" s="303">
        <f t="shared" si="128"/>
        <v>-28500</v>
      </c>
      <c r="I193" s="61">
        <f t="shared" ca="1" si="129"/>
        <v>99</v>
      </c>
      <c r="J193" s="89"/>
      <c r="K193" s="106"/>
      <c r="L193" s="106"/>
      <c r="M193" s="106"/>
      <c r="N193" s="106"/>
      <c r="O193" s="106"/>
      <c r="P193" s="91">
        <f t="shared" ref="P193:P203" si="136">(M193-K193)*L193-O193-N193</f>
        <v>0</v>
      </c>
      <c r="Q193" s="53"/>
      <c r="R193" s="53"/>
      <c r="S193" s="53"/>
      <c r="T193" s="53"/>
      <c r="U193" s="53"/>
    </row>
    <row r="194" spans="1:21" x14ac:dyDescent="0.25">
      <c r="A194" s="84" t="str">
        <f>IPO監視一覧!H53</f>
        <v>C</v>
      </c>
      <c r="B194" s="84" t="str">
        <f>IPO監視一覧!B53</f>
        <v>マネーフォワード</v>
      </c>
      <c r="C194" s="85">
        <f>IPO監視一覧!G53</f>
        <v>1550</v>
      </c>
      <c r="D194" s="86">
        <v>1617700</v>
      </c>
      <c r="E194" s="86">
        <v>931000</v>
      </c>
      <c r="F194" s="87">
        <f>IPO監視一覧!O53</f>
        <v>43007</v>
      </c>
      <c r="G194" s="85">
        <f>IPO監視一覧!P53</f>
        <v>3000</v>
      </c>
      <c r="H194" s="88">
        <f t="shared" si="128"/>
        <v>115543.24999999999</v>
      </c>
      <c r="I194" s="89">
        <f t="shared" ca="1" si="129"/>
        <v>99</v>
      </c>
      <c r="J194" s="89"/>
      <c r="K194" s="106"/>
      <c r="L194" s="106"/>
      <c r="M194" s="106"/>
      <c r="N194" s="106"/>
      <c r="O194" s="106"/>
      <c r="P194" s="91">
        <f t="shared" si="136"/>
        <v>0</v>
      </c>
      <c r="Q194" s="53"/>
      <c r="R194" s="53"/>
      <c r="S194" s="53"/>
      <c r="T194" s="53"/>
      <c r="U194" s="53"/>
    </row>
    <row r="195" spans="1:21" x14ac:dyDescent="0.25">
      <c r="A195" s="84" t="str">
        <f>IPO監視一覧!H54</f>
        <v>C</v>
      </c>
      <c r="B195" s="84" t="str">
        <f>IPO監視一覧!B54</f>
        <v>テックポイント・インク</v>
      </c>
      <c r="C195" s="85">
        <f>IPO監視一覧!G54</f>
        <v>650</v>
      </c>
      <c r="D195" s="86">
        <v>1520000</v>
      </c>
      <c r="E195" s="86">
        <v>0</v>
      </c>
      <c r="F195" s="87">
        <f>IPO監視一覧!O54</f>
        <v>43007</v>
      </c>
      <c r="G195" s="85">
        <f>IPO監視一覧!P54</f>
        <v>1072</v>
      </c>
      <c r="H195" s="88">
        <f t="shared" si="128"/>
        <v>33627.07</v>
      </c>
      <c r="I195" s="89">
        <f t="shared" ca="1" si="129"/>
        <v>99</v>
      </c>
      <c r="J195" s="89"/>
      <c r="K195" s="106"/>
      <c r="L195" s="106"/>
      <c r="M195" s="106"/>
      <c r="N195" s="106"/>
      <c r="O195" s="106"/>
      <c r="P195" s="91">
        <f t="shared" si="136"/>
        <v>0</v>
      </c>
      <c r="Q195" s="53"/>
      <c r="R195" s="53"/>
      <c r="S195" s="53"/>
      <c r="T195" s="53"/>
      <c r="U195" s="53"/>
    </row>
    <row r="196" spans="1:21" x14ac:dyDescent="0.25">
      <c r="A196" s="84" t="str">
        <f>IPO監視一覧!H55</f>
        <v>D</v>
      </c>
      <c r="B196" s="84" t="str">
        <f>IPO監視一覧!B55</f>
        <v>MS&amp;Consulting</v>
      </c>
      <c r="C196" s="85">
        <f>IPO監視一覧!G55</f>
        <v>1280</v>
      </c>
      <c r="D196" s="86">
        <v>50000</v>
      </c>
      <c r="E196" s="350">
        <v>3732700</v>
      </c>
      <c r="F196" s="87">
        <f>IPO監視一覧!O55</f>
        <v>43013</v>
      </c>
      <c r="G196" s="85">
        <f>IPO監視一覧!P55</f>
        <v>1250</v>
      </c>
      <c r="H196" s="88">
        <f t="shared" si="128"/>
        <v>-3000</v>
      </c>
      <c r="I196" s="89">
        <f t="shared" ca="1" si="129"/>
        <v>95</v>
      </c>
      <c r="J196" s="89"/>
      <c r="K196" s="106"/>
      <c r="L196" s="106"/>
      <c r="M196" s="106"/>
      <c r="N196" s="106"/>
      <c r="O196" s="106"/>
      <c r="P196" s="91">
        <f t="shared" si="136"/>
        <v>0</v>
      </c>
      <c r="Q196" s="53"/>
      <c r="R196" s="53"/>
      <c r="S196" s="53"/>
      <c r="T196" s="53"/>
      <c r="U196" s="53"/>
    </row>
    <row r="197" spans="1:21" x14ac:dyDescent="0.25">
      <c r="A197" s="84" t="str">
        <f>IPO監視一覧!H56</f>
        <v>D</v>
      </c>
      <c r="B197" s="84" t="str">
        <f>IPO監視一覧!B56</f>
        <v>大阪油化工業</v>
      </c>
      <c r="C197" s="85">
        <f>IPO監視一覧!G56</f>
        <v>1860</v>
      </c>
      <c r="D197" s="86">
        <v>270000</v>
      </c>
      <c r="E197" s="86">
        <v>260000</v>
      </c>
      <c r="F197" s="87">
        <f>IPO監視一覧!O56</f>
        <v>43013</v>
      </c>
      <c r="G197" s="85">
        <f>IPO監視一覧!P56</f>
        <v>3100</v>
      </c>
      <c r="H197" s="88">
        <f t="shared" si="128"/>
        <v>98809.4</v>
      </c>
      <c r="I197" s="89">
        <f t="shared" ca="1" si="129"/>
        <v>95</v>
      </c>
      <c r="J197" s="89"/>
      <c r="K197" s="106"/>
      <c r="L197" s="106"/>
      <c r="M197" s="106"/>
      <c r="N197" s="106"/>
      <c r="O197" s="106"/>
      <c r="P197" s="91">
        <f t="shared" si="136"/>
        <v>0</v>
      </c>
      <c r="Q197" s="53"/>
      <c r="R197" s="53"/>
      <c r="S197" s="53"/>
      <c r="T197" s="53"/>
      <c r="U197" s="53"/>
    </row>
    <row r="198" spans="1:21" x14ac:dyDescent="0.25">
      <c r="A198" s="84" t="str">
        <f>IPO監視一覧!H57</f>
        <v>D</v>
      </c>
      <c r="B198" s="84" t="str">
        <f>IPO監視一覧!B57</f>
        <v>ウェルビー</v>
      </c>
      <c r="C198" s="85">
        <f>IPO監視一覧!G57</f>
        <v>2580</v>
      </c>
      <c r="D198" s="86">
        <v>250000</v>
      </c>
      <c r="E198" s="350">
        <v>1660000</v>
      </c>
      <c r="F198" s="87">
        <f>IPO監視一覧!O57</f>
        <v>43013</v>
      </c>
      <c r="G198" s="85">
        <f>IPO監視一覧!P57</f>
        <v>3305</v>
      </c>
      <c r="H198" s="88">
        <f t="shared" si="128"/>
        <v>57771.624999999993</v>
      </c>
      <c r="I198" s="89">
        <f t="shared" ca="1" si="129"/>
        <v>95</v>
      </c>
      <c r="J198" s="89"/>
      <c r="K198" s="106"/>
      <c r="L198" s="106"/>
      <c r="M198" s="106"/>
      <c r="N198" s="106"/>
      <c r="O198" s="106"/>
      <c r="P198" s="91">
        <f t="shared" si="136"/>
        <v>0</v>
      </c>
      <c r="Q198" s="53"/>
      <c r="R198" s="53"/>
      <c r="S198" s="53"/>
      <c r="T198" s="53"/>
      <c r="U198" s="53"/>
    </row>
    <row r="199" spans="1:21" x14ac:dyDescent="0.25">
      <c r="A199" s="84" t="str">
        <f>IPO監視一覧!H58</f>
        <v>B</v>
      </c>
      <c r="B199" s="84" t="str">
        <f>IPO監視一覧!B58</f>
        <v>シルバーライフ</v>
      </c>
      <c r="C199" s="85">
        <f>IPO監視一覧!G58</f>
        <v>2500</v>
      </c>
      <c r="D199" s="86">
        <v>500000</v>
      </c>
      <c r="E199" s="86">
        <v>150000</v>
      </c>
      <c r="F199" s="87">
        <f>IPO監視一覧!O58</f>
        <v>43033</v>
      </c>
      <c r="G199" s="85">
        <f>IPO監視一覧!P58</f>
        <v>4630</v>
      </c>
      <c r="H199" s="88">
        <f t="shared" si="128"/>
        <v>169729.05</v>
      </c>
      <c r="I199" s="89">
        <f t="shared" ca="1" si="129"/>
        <v>81</v>
      </c>
      <c r="J199" s="89"/>
      <c r="K199" s="106"/>
      <c r="L199" s="106"/>
      <c r="M199" s="106"/>
      <c r="N199" s="106"/>
      <c r="O199" s="106"/>
      <c r="P199" s="91">
        <f t="shared" si="136"/>
        <v>0</v>
      </c>
      <c r="Q199" s="53"/>
      <c r="R199" s="53"/>
      <c r="S199" s="53"/>
      <c r="T199" s="53"/>
      <c r="U199" s="53"/>
    </row>
    <row r="200" spans="1:21" x14ac:dyDescent="0.25">
      <c r="A200" s="84" t="str">
        <f>IPO監視一覧!H59</f>
        <v>A</v>
      </c>
      <c r="B200" s="84" t="str">
        <f>IPO監視一覧!B59</f>
        <v>テンポイノベーション</v>
      </c>
      <c r="C200" s="85">
        <f>IPO監視一覧!G59</f>
        <v>3100</v>
      </c>
      <c r="D200" s="86">
        <v>50000</v>
      </c>
      <c r="E200" s="86">
        <v>324400</v>
      </c>
      <c r="F200" s="87">
        <f>IPO監視一覧!O59</f>
        <v>43033</v>
      </c>
      <c r="G200" s="85">
        <f>IPO監視一覧!P59</f>
        <v>6000</v>
      </c>
      <c r="H200" s="88">
        <f t="shared" si="128"/>
        <v>231086.49999999997</v>
      </c>
      <c r="I200" s="89">
        <f t="shared" ca="1" si="129"/>
        <v>81</v>
      </c>
      <c r="J200" s="89"/>
      <c r="K200" s="106"/>
      <c r="L200" s="106"/>
      <c r="M200" s="106"/>
      <c r="N200" s="106"/>
      <c r="O200" s="106"/>
      <c r="P200" s="91">
        <f t="shared" si="136"/>
        <v>0</v>
      </c>
      <c r="Q200" s="53"/>
      <c r="R200" s="53"/>
      <c r="S200" s="53"/>
      <c r="T200" s="53"/>
      <c r="U200" s="53"/>
    </row>
    <row r="201" spans="1:21" x14ac:dyDescent="0.25">
      <c r="A201" s="84" t="str">
        <f>IPO監視一覧!H60</f>
        <v>A</v>
      </c>
      <c r="B201" s="84" t="str">
        <f>IPO監視一覧!B60</f>
        <v>SKIYAKI</v>
      </c>
      <c r="C201" s="85">
        <f>IPO監視一覧!G60</f>
        <v>3400</v>
      </c>
      <c r="D201" s="86">
        <v>160000</v>
      </c>
      <c r="E201" s="86">
        <v>272600</v>
      </c>
      <c r="F201" s="87">
        <f>IPO監視一覧!O60</f>
        <v>43034</v>
      </c>
      <c r="G201" s="85">
        <f>IPO監視一覧!P60</f>
        <v>8400</v>
      </c>
      <c r="H201" s="88">
        <f t="shared" si="128"/>
        <v>398425</v>
      </c>
      <c r="I201" s="89">
        <f t="shared" ca="1" si="129"/>
        <v>80</v>
      </c>
      <c r="J201" s="89"/>
      <c r="K201" s="106"/>
      <c r="L201" s="106"/>
      <c r="M201" s="106"/>
      <c r="N201" s="106"/>
      <c r="O201" s="106"/>
      <c r="P201" s="91">
        <f t="shared" si="136"/>
        <v>0</v>
      </c>
      <c r="Q201" s="53"/>
      <c r="R201" s="53"/>
      <c r="S201" s="53"/>
      <c r="T201" s="53"/>
      <c r="U201" s="53"/>
    </row>
    <row r="202" spans="1:21" x14ac:dyDescent="0.25">
      <c r="A202" s="297" t="str">
        <f>IPO監視一覧!H61</f>
        <v>D</v>
      </c>
      <c r="B202" s="297" t="str">
        <f>IPO監視一覧!B61</f>
        <v>Casa</v>
      </c>
      <c r="C202" s="300">
        <f>IPO監視一覧!G61</f>
        <v>2270</v>
      </c>
      <c r="D202" s="301">
        <v>220000</v>
      </c>
      <c r="E202" s="305">
        <v>3015000</v>
      </c>
      <c r="F202" s="302">
        <f>IPO監視一覧!O61</f>
        <v>43039</v>
      </c>
      <c r="G202" s="300">
        <f>IPO監視一覧!P61</f>
        <v>2331</v>
      </c>
      <c r="H202" s="303">
        <f t="shared" si="128"/>
        <v>4860.7849999999999</v>
      </c>
      <c r="I202" s="61">
        <f t="shared" ca="1" si="129"/>
        <v>77</v>
      </c>
      <c r="J202" s="89"/>
      <c r="K202" s="106"/>
      <c r="L202" s="106"/>
      <c r="M202" s="106"/>
      <c r="N202" s="106"/>
      <c r="O202" s="106"/>
      <c r="P202" s="91">
        <f t="shared" si="136"/>
        <v>0</v>
      </c>
      <c r="Q202" s="53"/>
      <c r="R202" s="53"/>
      <c r="S202" s="53"/>
      <c r="T202" s="53"/>
      <c r="U202" s="53"/>
    </row>
    <row r="203" spans="1:21" x14ac:dyDescent="0.25">
      <c r="A203" s="84" t="str">
        <f>IPO監視一覧!H62</f>
        <v>C</v>
      </c>
      <c r="B203" s="84" t="str">
        <f>IPO監視一覧!B62</f>
        <v>シー・エス・ランバー</v>
      </c>
      <c r="C203" s="85">
        <f>IPO監視一覧!G62</f>
        <v>1480</v>
      </c>
      <c r="D203" s="86">
        <v>237000</v>
      </c>
      <c r="E203" s="86">
        <v>193000</v>
      </c>
      <c r="F203" s="87">
        <f>IPO監視一覧!O62</f>
        <v>43054</v>
      </c>
      <c r="G203" s="85">
        <f>IPO監視一覧!P62</f>
        <v>2724</v>
      </c>
      <c r="H203" s="88">
        <f t="shared" si="128"/>
        <v>99128.14</v>
      </c>
      <c r="I203" s="89">
        <f t="shared" ca="1" si="129"/>
        <v>66</v>
      </c>
      <c r="J203" s="89"/>
      <c r="K203" s="106"/>
      <c r="L203" s="106"/>
      <c r="M203" s="106"/>
      <c r="N203" s="106"/>
      <c r="O203" s="106"/>
      <c r="P203" s="91">
        <f t="shared" si="136"/>
        <v>0</v>
      </c>
      <c r="Q203" s="53"/>
      <c r="R203" s="53"/>
      <c r="S203" s="53"/>
      <c r="T203" s="53"/>
      <c r="U203" s="53"/>
    </row>
    <row r="204" spans="1:21" x14ac:dyDescent="0.25">
      <c r="A204" s="84" t="str">
        <f>IPO監視一覧!H63</f>
        <v>A</v>
      </c>
      <c r="B204" s="84" t="str">
        <f>IPO監視一覧!B63</f>
        <v>サインポスト</v>
      </c>
      <c r="C204" s="85">
        <f>IPO監視一覧!G63</f>
        <v>2200</v>
      </c>
      <c r="D204" s="86">
        <v>190000</v>
      </c>
      <c r="E204" s="86">
        <v>120000</v>
      </c>
      <c r="F204" s="87">
        <f>IPO監視一覧!O63</f>
        <v>43060</v>
      </c>
      <c r="G204" s="85">
        <f>IPO監視一覧!P63</f>
        <v>8530</v>
      </c>
      <c r="H204" s="88">
        <f t="shared" si="128"/>
        <v>504406.05</v>
      </c>
      <c r="I204" s="89">
        <f t="shared" ca="1" si="129"/>
        <v>62</v>
      </c>
      <c r="J204" s="89"/>
      <c r="K204" s="106"/>
      <c r="L204" s="106"/>
      <c r="M204" s="106"/>
      <c r="N204" s="106"/>
      <c r="O204" s="106"/>
      <c r="P204" s="91">
        <f t="shared" ref="P204:P210" si="137">(M204-K204)*L204-O204-N204</f>
        <v>0</v>
      </c>
      <c r="Q204" s="53"/>
      <c r="R204" s="53"/>
      <c r="S204" s="53"/>
      <c r="T204" s="53"/>
      <c r="U204" s="53"/>
    </row>
    <row r="205" spans="1:21" x14ac:dyDescent="0.25">
      <c r="A205" s="84" t="str">
        <f>IPO監視一覧!H64</f>
        <v>B</v>
      </c>
      <c r="B205" s="84" t="str">
        <f>IPO監視一覧!B64</f>
        <v>ポエック</v>
      </c>
      <c r="C205" s="85">
        <f>IPO監視一覧!G64</f>
        <v>750</v>
      </c>
      <c r="D205" s="86">
        <v>320000</v>
      </c>
      <c r="E205" s="86">
        <v>142000</v>
      </c>
      <c r="F205" s="87">
        <f>IPO監視一覧!O64</f>
        <v>43067</v>
      </c>
      <c r="G205" s="85">
        <f>IPO監視一覧!P64</f>
        <v>3280</v>
      </c>
      <c r="H205" s="88">
        <f t="shared" si="128"/>
        <v>201603.05</v>
      </c>
      <c r="I205" s="89">
        <f t="shared" ca="1" si="129"/>
        <v>57</v>
      </c>
      <c r="J205" s="89"/>
      <c r="K205" s="106"/>
      <c r="L205" s="106"/>
      <c r="M205" s="106"/>
      <c r="N205" s="106"/>
      <c r="O205" s="106"/>
      <c r="P205" s="91">
        <f t="shared" si="137"/>
        <v>0</v>
      </c>
      <c r="Q205" s="53"/>
      <c r="R205" s="53"/>
      <c r="S205" s="53"/>
      <c r="T205" s="53"/>
      <c r="U205" s="53"/>
    </row>
    <row r="206" spans="1:21" x14ac:dyDescent="0.25">
      <c r="A206" s="84" t="str">
        <f>IPO監視一覧!H65</f>
        <v>B</v>
      </c>
      <c r="B206" s="84" t="str">
        <f>IPO監視一覧!B65</f>
        <v>幸和製作所</v>
      </c>
      <c r="C206" s="85">
        <f>IPO監視一覧!G65</f>
        <v>3250</v>
      </c>
      <c r="D206" s="86">
        <v>150000</v>
      </c>
      <c r="E206" s="86">
        <v>108200</v>
      </c>
      <c r="F206" s="87">
        <f>IPO監視一覧!O65</f>
        <v>43067</v>
      </c>
      <c r="G206" s="85">
        <f>IPO監視一覧!P65</f>
        <v>7980</v>
      </c>
      <c r="H206" s="88">
        <f t="shared" si="128"/>
        <v>376910.05</v>
      </c>
      <c r="I206" s="89">
        <f t="shared" ca="1" si="129"/>
        <v>57</v>
      </c>
      <c r="J206" s="89"/>
      <c r="K206" s="106"/>
      <c r="L206" s="106"/>
      <c r="M206" s="106"/>
      <c r="N206" s="106"/>
      <c r="O206" s="106"/>
      <c r="P206" s="91">
        <f t="shared" si="137"/>
        <v>0</v>
      </c>
      <c r="Q206" s="53"/>
      <c r="R206" s="53"/>
      <c r="S206" s="53"/>
      <c r="T206" s="53"/>
      <c r="U206" s="53"/>
    </row>
    <row r="207" spans="1:21" x14ac:dyDescent="0.25">
      <c r="A207" s="84" t="str">
        <f>IPO監視一覧!H66</f>
        <v>A</v>
      </c>
      <c r="B207" s="84" t="str">
        <f>IPO監視一覧!B66</f>
        <v>クックビズ</v>
      </c>
      <c r="C207" s="85">
        <f>IPO監視一覧!G66</f>
        <v>2250</v>
      </c>
      <c r="D207" s="86">
        <v>300000</v>
      </c>
      <c r="E207" s="86">
        <v>122800</v>
      </c>
      <c r="F207" s="87">
        <f>IPO監視一覧!O66</f>
        <v>43067</v>
      </c>
      <c r="G207" s="85">
        <f>IPO監視一覧!P66</f>
        <v>5280</v>
      </c>
      <c r="H207" s="88">
        <f t="shared" si="128"/>
        <v>241445.55</v>
      </c>
      <c r="I207" s="89">
        <f t="shared" ca="1" si="129"/>
        <v>57</v>
      </c>
      <c r="J207" s="89"/>
      <c r="K207" s="106"/>
      <c r="L207" s="106"/>
      <c r="M207" s="106"/>
      <c r="N207" s="106"/>
      <c r="O207" s="106"/>
      <c r="P207" s="91">
        <f t="shared" si="137"/>
        <v>0</v>
      </c>
      <c r="Q207" s="53"/>
      <c r="R207" s="53"/>
      <c r="S207" s="53"/>
      <c r="T207" s="53"/>
      <c r="U207" s="53"/>
    </row>
    <row r="208" spans="1:21" x14ac:dyDescent="0.25">
      <c r="A208" s="84" t="str">
        <f>IPO監視一覧!H67</f>
        <v>A</v>
      </c>
      <c r="B208" s="84" t="str">
        <f>IPO監視一覧!B67</f>
        <v>トレードワークス</v>
      </c>
      <c r="C208" s="85">
        <f>IPO監視一覧!G67</f>
        <v>2200</v>
      </c>
      <c r="D208" s="86">
        <v>200000</v>
      </c>
      <c r="E208" s="86">
        <v>10000</v>
      </c>
      <c r="F208" s="87">
        <f>IPO監視一覧!O67</f>
        <v>43068</v>
      </c>
      <c r="G208" s="85">
        <f>IPO監視一覧!P67</f>
        <v>13600</v>
      </c>
      <c r="H208" s="88">
        <f t="shared" si="128"/>
        <v>908408.99999999988</v>
      </c>
      <c r="I208" s="89">
        <f t="shared" ca="1" si="129"/>
        <v>56</v>
      </c>
      <c r="J208" s="89"/>
      <c r="K208" s="106"/>
      <c r="L208" s="106"/>
      <c r="M208" s="106"/>
      <c r="N208" s="106"/>
      <c r="O208" s="106"/>
      <c r="P208" s="91">
        <f t="shared" si="137"/>
        <v>0</v>
      </c>
      <c r="Q208" s="53"/>
      <c r="R208" s="53"/>
      <c r="S208" s="53"/>
      <c r="T208" s="53"/>
      <c r="U208" s="53"/>
    </row>
    <row r="209" spans="1:21" x14ac:dyDescent="0.25">
      <c r="A209" s="47" t="str">
        <f>IPO監視一覧!H68</f>
        <v>A</v>
      </c>
      <c r="B209" s="47" t="str">
        <f>IPO監視一覧!B68</f>
        <v>アトリエはるか</v>
      </c>
      <c r="C209" s="435">
        <f>IPO監視一覧!G68</f>
        <v>1400</v>
      </c>
      <c r="D209" s="436">
        <v>16000</v>
      </c>
      <c r="E209" s="436">
        <v>35000</v>
      </c>
      <c r="F209" s="437">
        <f>IPO監視一覧!O68</f>
        <v>43076</v>
      </c>
      <c r="G209" s="435" t="str">
        <f>IPO監視一覧!P68</f>
        <v>-</v>
      </c>
      <c r="H209" s="438" t="s">
        <v>731</v>
      </c>
      <c r="I209" s="439" t="s">
        <v>731</v>
      </c>
      <c r="J209" s="439"/>
      <c r="K209" s="440"/>
      <c r="L209" s="440"/>
      <c r="M209" s="440"/>
      <c r="N209" s="440"/>
      <c r="O209" s="440"/>
      <c r="P209" s="441">
        <f t="shared" si="137"/>
        <v>0</v>
      </c>
      <c r="Q209" s="53"/>
      <c r="R209" s="53"/>
      <c r="S209" s="53"/>
      <c r="T209" s="53"/>
      <c r="U209" s="53"/>
    </row>
    <row r="210" spans="1:21" x14ac:dyDescent="0.25">
      <c r="A210" s="84" t="str">
        <f>IPO監視一覧!H69</f>
        <v>B</v>
      </c>
      <c r="B210" s="84" t="str">
        <f>IPO監視一覧!B69</f>
        <v>一家ダイニングプロジェクト</v>
      </c>
      <c r="C210" s="85">
        <f>IPO監視一覧!G69</f>
        <v>2450</v>
      </c>
      <c r="D210" s="86">
        <v>159000</v>
      </c>
      <c r="E210" s="86">
        <v>93000</v>
      </c>
      <c r="F210" s="87">
        <f>IPO監視一覧!O69</f>
        <v>43081</v>
      </c>
      <c r="G210" s="85">
        <f>IPO監視一覧!P69</f>
        <v>6700</v>
      </c>
      <c r="H210" s="88">
        <f t="shared" ref="H210:H240" si="138">IF((G210-C210)&gt;0,(G210-C210)*100*0.79685,(G210-C210)*100)</f>
        <v>338661.25</v>
      </c>
      <c r="I210" s="89">
        <f t="shared" ref="I210:I240" ca="1" si="139">NETWORKDAYS(F210,TODAY())</f>
        <v>47</v>
      </c>
      <c r="J210" s="89"/>
      <c r="K210" s="106"/>
      <c r="L210" s="106"/>
      <c r="M210" s="106"/>
      <c r="N210" s="106"/>
      <c r="O210" s="106"/>
      <c r="P210" s="91">
        <f t="shared" si="137"/>
        <v>0</v>
      </c>
      <c r="Q210" s="53"/>
      <c r="R210" s="53"/>
      <c r="S210" s="53"/>
      <c r="T210" s="53"/>
      <c r="U210" s="53"/>
    </row>
    <row r="211" spans="1:21" x14ac:dyDescent="0.25">
      <c r="A211" s="297" t="str">
        <f>IPO監視一覧!H70</f>
        <v>D</v>
      </c>
      <c r="B211" s="297" t="str">
        <f>IPO監視一覧!B70</f>
        <v>カチタス</v>
      </c>
      <c r="C211" s="300">
        <f>IPO監視一覧!G70</f>
        <v>1640</v>
      </c>
      <c r="D211" s="301">
        <v>0</v>
      </c>
      <c r="E211" s="305">
        <v>21056300</v>
      </c>
      <c r="F211" s="302">
        <f>IPO監視一覧!O70</f>
        <v>43081</v>
      </c>
      <c r="G211" s="300">
        <f>IPO監視一覧!P70</f>
        <v>1665</v>
      </c>
      <c r="H211" s="303">
        <f t="shared" si="138"/>
        <v>1992.1249999999998</v>
      </c>
      <c r="I211" s="61">
        <f t="shared" ca="1" si="139"/>
        <v>47</v>
      </c>
      <c r="J211" s="89"/>
      <c r="K211" s="106"/>
      <c r="L211" s="106"/>
      <c r="M211" s="106"/>
      <c r="N211" s="106"/>
      <c r="O211" s="106"/>
      <c r="P211" s="91">
        <f t="shared" ref="P211:P215" si="140">(M211-K211)*L211-O211-N211</f>
        <v>0</v>
      </c>
      <c r="Q211" s="53"/>
      <c r="R211" s="53"/>
      <c r="S211" s="53"/>
      <c r="T211" s="53"/>
      <c r="U211" s="53"/>
    </row>
    <row r="212" spans="1:21" x14ac:dyDescent="0.25">
      <c r="A212" s="297" t="str">
        <f>IPO監視一覧!H71</f>
        <v>D</v>
      </c>
      <c r="B212" s="297" t="str">
        <f>IPO監視一覧!B71</f>
        <v>ＳＧホールディングス</v>
      </c>
      <c r="C212" s="300">
        <f>IPO監視一覧!G71</f>
        <v>1620</v>
      </c>
      <c r="D212" s="301">
        <v>0</v>
      </c>
      <c r="E212" s="305">
        <v>71582900</v>
      </c>
      <c r="F212" s="302">
        <f>IPO監視一覧!O71</f>
        <v>43082</v>
      </c>
      <c r="G212" s="300">
        <f>IPO監視一覧!P71</f>
        <v>1900</v>
      </c>
      <c r="H212" s="303">
        <f t="shared" si="138"/>
        <v>22311.8</v>
      </c>
      <c r="I212" s="61">
        <f t="shared" ca="1" si="139"/>
        <v>46</v>
      </c>
      <c r="J212" s="105" t="s">
        <v>57</v>
      </c>
      <c r="K212" s="66">
        <v>1620</v>
      </c>
      <c r="L212" s="66">
        <v>100</v>
      </c>
      <c r="M212" s="66">
        <v>1900</v>
      </c>
      <c r="N212" s="66">
        <f t="shared" ref="N212" si="141">R212+T212</f>
        <v>1000</v>
      </c>
      <c r="O212" s="66">
        <f t="shared" ref="O212" si="142">S212+U212</f>
        <v>80</v>
      </c>
      <c r="P212" s="68">
        <f t="shared" si="140"/>
        <v>26920</v>
      </c>
      <c r="Q212" s="448">
        <v>43082</v>
      </c>
      <c r="R212" s="53">
        <v>0</v>
      </c>
      <c r="S212" s="53">
        <v>0</v>
      </c>
      <c r="T212" s="53">
        <v>1000</v>
      </c>
      <c r="U212" s="53">
        <v>80</v>
      </c>
    </row>
    <row r="213" spans="1:21" x14ac:dyDescent="0.25">
      <c r="A213" s="84" t="str">
        <f>IPO監視一覧!H72</f>
        <v>B</v>
      </c>
      <c r="B213" s="84" t="str">
        <f>IPO監視一覧!B72</f>
        <v>グローバル・リンク・マネジメント</v>
      </c>
      <c r="C213" s="85">
        <f>IPO監視一覧!G72</f>
        <v>2620</v>
      </c>
      <c r="D213" s="86">
        <v>184000</v>
      </c>
      <c r="E213" s="86">
        <v>184000</v>
      </c>
      <c r="F213" s="87">
        <f>IPO監視一覧!O72</f>
        <v>43082</v>
      </c>
      <c r="G213" s="85">
        <f>IPO監視一覧!P72</f>
        <v>6130</v>
      </c>
      <c r="H213" s="88">
        <f t="shared" si="138"/>
        <v>279694.34999999998</v>
      </c>
      <c r="I213" s="89">
        <f t="shared" ca="1" si="139"/>
        <v>46</v>
      </c>
      <c r="J213" s="89"/>
      <c r="K213" s="106"/>
      <c r="L213" s="106"/>
      <c r="M213" s="106"/>
      <c r="N213" s="106"/>
      <c r="O213" s="106"/>
      <c r="P213" s="91">
        <f t="shared" si="140"/>
        <v>0</v>
      </c>
      <c r="Q213" s="53"/>
      <c r="R213" s="53"/>
      <c r="S213" s="53"/>
      <c r="T213" s="53"/>
      <c r="U213" s="53"/>
    </row>
    <row r="214" spans="1:21" x14ac:dyDescent="0.25">
      <c r="A214" s="297" t="str">
        <f>IPO監視一覧!H73</f>
        <v>D</v>
      </c>
      <c r="B214" s="297" t="str">
        <f>IPO監視一覧!B73</f>
        <v>マツオカコーポレーション</v>
      </c>
      <c r="C214" s="300">
        <f>IPO監視一覧!G73</f>
        <v>2600</v>
      </c>
      <c r="D214" s="301">
        <v>1195000</v>
      </c>
      <c r="E214" s="301">
        <v>450000</v>
      </c>
      <c r="F214" s="302">
        <f>IPO監視一覧!O73</f>
        <v>43082</v>
      </c>
      <c r="G214" s="300">
        <f>IPO監視一覧!P73</f>
        <v>3600</v>
      </c>
      <c r="H214" s="303">
        <f t="shared" si="138"/>
        <v>79685</v>
      </c>
      <c r="I214" s="61">
        <f t="shared" ca="1" si="139"/>
        <v>46</v>
      </c>
      <c r="J214" s="89"/>
      <c r="K214" s="106"/>
      <c r="L214" s="106"/>
      <c r="M214" s="106"/>
      <c r="N214" s="106"/>
      <c r="O214" s="106"/>
      <c r="P214" s="91">
        <f t="shared" si="140"/>
        <v>0</v>
      </c>
      <c r="Q214" s="53"/>
      <c r="R214" s="53"/>
      <c r="S214" s="53"/>
      <c r="T214" s="53"/>
      <c r="U214" s="53"/>
    </row>
    <row r="215" spans="1:21" x14ac:dyDescent="0.25">
      <c r="A215" s="84" t="str">
        <f>IPO監視一覧!H74</f>
        <v>B</v>
      </c>
      <c r="B215" s="84" t="str">
        <f>IPO監視一覧!B74</f>
        <v>ヴィスコ・テクノロジーズ</v>
      </c>
      <c r="C215" s="85">
        <f>IPO監視一覧!G74</f>
        <v>4920</v>
      </c>
      <c r="D215" s="86">
        <v>85000</v>
      </c>
      <c r="E215" s="86">
        <v>113800</v>
      </c>
      <c r="F215" s="87">
        <f>IPO監視一覧!O74</f>
        <v>43082</v>
      </c>
      <c r="G215" s="85">
        <f>IPO監視一覧!P74</f>
        <v>15000</v>
      </c>
      <c r="H215" s="88">
        <f t="shared" si="138"/>
        <v>803224.79999999993</v>
      </c>
      <c r="I215" s="89">
        <f t="shared" ca="1" si="139"/>
        <v>46</v>
      </c>
      <c r="J215" s="89"/>
      <c r="K215" s="106"/>
      <c r="L215" s="106"/>
      <c r="M215" s="106"/>
      <c r="N215" s="106"/>
      <c r="O215" s="106"/>
      <c r="P215" s="91">
        <f t="shared" si="140"/>
        <v>0</v>
      </c>
      <c r="Q215" s="53"/>
      <c r="R215" s="53"/>
      <c r="S215" s="53"/>
      <c r="T215" s="53"/>
      <c r="U215" s="53"/>
    </row>
    <row r="216" spans="1:21" x14ac:dyDescent="0.25">
      <c r="A216" s="297" t="str">
        <f>IPO監視一覧!H75</f>
        <v>D</v>
      </c>
      <c r="B216" s="297" t="str">
        <f>IPO監視一覧!B75</f>
        <v>アルヒ</v>
      </c>
      <c r="C216" s="300">
        <f>IPO監視一覧!G75</f>
        <v>1300</v>
      </c>
      <c r="D216" s="301">
        <v>0</v>
      </c>
      <c r="E216" s="305">
        <v>18040300</v>
      </c>
      <c r="F216" s="302">
        <f>IPO監視一覧!O75</f>
        <v>43083</v>
      </c>
      <c r="G216" s="300">
        <f>IPO監視一覧!P75</f>
        <v>1270</v>
      </c>
      <c r="H216" s="303">
        <f t="shared" si="138"/>
        <v>-3000</v>
      </c>
      <c r="I216" s="61">
        <f t="shared" ca="1" si="139"/>
        <v>45</v>
      </c>
      <c r="J216" s="89"/>
      <c r="K216" s="106"/>
      <c r="L216" s="106"/>
      <c r="M216" s="106"/>
      <c r="N216" s="106"/>
      <c r="O216" s="106"/>
      <c r="P216" s="91">
        <f t="shared" ref="P216:P221" si="143">(M216-K216)*L216-O216-N216</f>
        <v>0</v>
      </c>
      <c r="Q216" s="53"/>
      <c r="R216" s="53"/>
      <c r="S216" s="53"/>
      <c r="T216" s="53"/>
      <c r="U216" s="53"/>
    </row>
    <row r="217" spans="1:21" x14ac:dyDescent="0.25">
      <c r="A217" s="84" t="str">
        <f>IPO監視一覧!H76</f>
        <v>A</v>
      </c>
      <c r="B217" s="84" t="str">
        <f>IPO監視一覧!B76</f>
        <v>エル・ティー・エス</v>
      </c>
      <c r="C217" s="85">
        <f>IPO監視一覧!G76</f>
        <v>680</v>
      </c>
      <c r="D217" s="86">
        <v>500000</v>
      </c>
      <c r="E217" s="86">
        <v>150000</v>
      </c>
      <c r="F217" s="87">
        <f>IPO監視一覧!O76</f>
        <v>43083</v>
      </c>
      <c r="G217" s="85">
        <f>IPO監視一覧!P76</f>
        <v>2810</v>
      </c>
      <c r="H217" s="88">
        <f t="shared" si="138"/>
        <v>169729.05</v>
      </c>
      <c r="I217" s="89">
        <f t="shared" ca="1" si="139"/>
        <v>45</v>
      </c>
      <c r="J217" s="89"/>
      <c r="K217" s="106"/>
      <c r="L217" s="106"/>
      <c r="M217" s="106"/>
      <c r="N217" s="106"/>
      <c r="O217" s="106"/>
      <c r="P217" s="91">
        <f t="shared" si="143"/>
        <v>0</v>
      </c>
      <c r="Q217" s="53"/>
      <c r="R217" s="53"/>
      <c r="S217" s="53"/>
      <c r="T217" s="53"/>
      <c r="U217" s="53"/>
    </row>
    <row r="218" spans="1:21" x14ac:dyDescent="0.25">
      <c r="A218" s="84" t="str">
        <f>IPO監視一覧!H77</f>
        <v>A</v>
      </c>
      <c r="B218" s="107" t="str">
        <f>IPO監視一覧!B77</f>
        <v>イオレ</v>
      </c>
      <c r="C218" s="108">
        <f>IPO監視一覧!G77</f>
        <v>1890</v>
      </c>
      <c r="D218" s="109">
        <v>140000</v>
      </c>
      <c r="E218" s="109">
        <v>115000</v>
      </c>
      <c r="F218" s="110">
        <f>IPO監視一覧!O77</f>
        <v>43084</v>
      </c>
      <c r="G218" s="108">
        <f>IPO監視一覧!P77</f>
        <v>5100</v>
      </c>
      <c r="H218" s="111">
        <f t="shared" si="138"/>
        <v>255788.84999999998</v>
      </c>
      <c r="I218" s="112">
        <f t="shared" ca="1" si="139"/>
        <v>44</v>
      </c>
      <c r="J218" s="112"/>
      <c r="K218" s="113"/>
      <c r="L218" s="113"/>
      <c r="M218" s="113"/>
      <c r="N218" s="113"/>
      <c r="O218" s="113"/>
      <c r="P218" s="91">
        <f t="shared" si="143"/>
        <v>0</v>
      </c>
      <c r="Q218" s="53"/>
      <c r="R218" s="53"/>
      <c r="S218" s="53"/>
      <c r="T218" s="53"/>
      <c r="U218" s="53"/>
    </row>
    <row r="219" spans="1:21" x14ac:dyDescent="0.25">
      <c r="A219" s="84" t="str">
        <f>IPO監視一覧!H78</f>
        <v>D</v>
      </c>
      <c r="B219" s="107" t="str">
        <f>IPO監視一覧!B78</f>
        <v>HANATOUR JAPAN</v>
      </c>
      <c r="C219" s="108">
        <f>IPO監視一覧!G78</f>
        <v>2000</v>
      </c>
      <c r="D219" s="109">
        <v>1000000</v>
      </c>
      <c r="E219" s="109">
        <v>1550000</v>
      </c>
      <c r="F219" s="110">
        <f>IPO監視一覧!O78</f>
        <v>43084</v>
      </c>
      <c r="G219" s="108">
        <f>IPO監視一覧!P78</f>
        <v>2200</v>
      </c>
      <c r="H219" s="111">
        <f t="shared" si="138"/>
        <v>15936.999999999998</v>
      </c>
      <c r="I219" s="112">
        <f t="shared" ca="1" si="139"/>
        <v>44</v>
      </c>
      <c r="J219" s="112"/>
      <c r="K219" s="113"/>
      <c r="L219" s="113"/>
      <c r="M219" s="113"/>
      <c r="N219" s="113"/>
      <c r="O219" s="113"/>
      <c r="P219" s="91">
        <f t="shared" si="143"/>
        <v>0</v>
      </c>
      <c r="Q219" s="53"/>
      <c r="R219" s="53"/>
      <c r="S219" s="53"/>
      <c r="T219" s="53"/>
      <c r="U219" s="53"/>
    </row>
    <row r="220" spans="1:21" x14ac:dyDescent="0.25">
      <c r="A220" s="84" t="str">
        <f>IPO監視一覧!H79</f>
        <v>A</v>
      </c>
      <c r="B220" s="107" t="str">
        <f>IPO監視一覧!B79</f>
        <v>ナレッジスイート</v>
      </c>
      <c r="C220" s="108">
        <f>IPO監視一覧!G79</f>
        <v>2000</v>
      </c>
      <c r="D220" s="109">
        <v>240000</v>
      </c>
      <c r="E220" s="109">
        <v>55000</v>
      </c>
      <c r="F220" s="110">
        <f>IPO監視一覧!O79</f>
        <v>43087</v>
      </c>
      <c r="G220" s="108">
        <f>IPO監視一覧!P79</f>
        <v>5010</v>
      </c>
      <c r="H220" s="111">
        <f t="shared" si="138"/>
        <v>239851.84999999998</v>
      </c>
      <c r="I220" s="112">
        <f t="shared" ca="1" si="139"/>
        <v>43</v>
      </c>
      <c r="J220" s="112"/>
      <c r="K220" s="113"/>
      <c r="L220" s="113"/>
      <c r="M220" s="113"/>
      <c r="N220" s="113"/>
      <c r="O220" s="113"/>
      <c r="P220" s="91">
        <f t="shared" si="143"/>
        <v>0</v>
      </c>
      <c r="Q220" s="53"/>
      <c r="R220" s="53"/>
      <c r="S220" s="53"/>
      <c r="T220" s="53"/>
      <c r="U220" s="53"/>
    </row>
    <row r="221" spans="1:21" x14ac:dyDescent="0.25">
      <c r="A221" s="84" t="str">
        <f>IPO監視一覧!H80</f>
        <v>A</v>
      </c>
      <c r="B221" s="107" t="str">
        <f>IPO監視一覧!B80</f>
        <v>すららネット</v>
      </c>
      <c r="C221" s="108">
        <f>IPO監視一覧!G80</f>
        <v>2040</v>
      </c>
      <c r="D221" s="109">
        <v>110000</v>
      </c>
      <c r="E221" s="109">
        <v>115000</v>
      </c>
      <c r="F221" s="110">
        <f>IPO監視一覧!O80</f>
        <v>43087</v>
      </c>
      <c r="G221" s="108">
        <f>IPO監視一覧!P80</f>
        <v>4345</v>
      </c>
      <c r="H221" s="111">
        <f t="shared" si="138"/>
        <v>183673.92499999999</v>
      </c>
      <c r="I221" s="112">
        <f t="shared" ca="1" si="139"/>
        <v>43</v>
      </c>
      <c r="J221" s="112"/>
      <c r="K221" s="113"/>
      <c r="L221" s="113"/>
      <c r="M221" s="113"/>
      <c r="N221" s="113"/>
      <c r="O221" s="113"/>
      <c r="P221" s="91">
        <f t="shared" si="143"/>
        <v>0</v>
      </c>
      <c r="Q221" s="53"/>
      <c r="R221" s="53"/>
      <c r="S221" s="53"/>
      <c r="T221" s="53"/>
      <c r="U221" s="53"/>
    </row>
    <row r="222" spans="1:21" x14ac:dyDescent="0.25">
      <c r="A222" s="84" t="str">
        <f>IPO監視一覧!H81</f>
        <v>B</v>
      </c>
      <c r="B222" s="107" t="str">
        <f>IPO監視一覧!B81</f>
        <v>ジーニー</v>
      </c>
      <c r="C222" s="108">
        <f>IPO監視一覧!G81</f>
        <v>1350</v>
      </c>
      <c r="D222" s="109">
        <v>1023000</v>
      </c>
      <c r="E222" s="109">
        <v>1023000</v>
      </c>
      <c r="F222" s="110">
        <f>IPO監視一覧!O81</f>
        <v>43087</v>
      </c>
      <c r="G222" s="108">
        <f>IPO監視一覧!P81</f>
        <v>2674</v>
      </c>
      <c r="H222" s="111">
        <f t="shared" si="138"/>
        <v>105502.93999999999</v>
      </c>
      <c r="I222" s="112">
        <f t="shared" ca="1" si="139"/>
        <v>43</v>
      </c>
      <c r="J222" s="112"/>
      <c r="K222" s="113"/>
      <c r="L222" s="113"/>
      <c r="M222" s="113"/>
      <c r="N222" s="113"/>
      <c r="O222" s="113"/>
      <c r="P222" s="91">
        <f t="shared" ref="P222:P233" si="144">(M222-K222)*L222-O222-N222</f>
        <v>0</v>
      </c>
      <c r="Q222" s="53"/>
      <c r="R222" s="53"/>
      <c r="S222" s="53"/>
      <c r="T222" s="53"/>
      <c r="U222" s="53"/>
    </row>
    <row r="223" spans="1:21" x14ac:dyDescent="0.25">
      <c r="A223" s="84" t="str">
        <f>IPO監視一覧!H82</f>
        <v>D</v>
      </c>
      <c r="B223" s="107" t="str">
        <f>IPO監視一覧!B82</f>
        <v>歯愛メディカル</v>
      </c>
      <c r="C223" s="108">
        <f>IPO監視一覧!G82</f>
        <v>3300</v>
      </c>
      <c r="D223" s="109">
        <v>0</v>
      </c>
      <c r="E223" s="427">
        <v>1000000</v>
      </c>
      <c r="F223" s="110">
        <f>IPO監視一覧!O82</f>
        <v>43087</v>
      </c>
      <c r="G223" s="108">
        <f>IPO監視一覧!P82</f>
        <v>4030</v>
      </c>
      <c r="H223" s="111">
        <f t="shared" si="138"/>
        <v>58170.049999999996</v>
      </c>
      <c r="I223" s="112">
        <f t="shared" ca="1" si="139"/>
        <v>43</v>
      </c>
      <c r="J223" s="112"/>
      <c r="K223" s="113"/>
      <c r="L223" s="113"/>
      <c r="M223" s="113"/>
      <c r="N223" s="113"/>
      <c r="O223" s="113"/>
      <c r="P223" s="91">
        <f t="shared" si="144"/>
        <v>0</v>
      </c>
      <c r="Q223" s="53"/>
      <c r="R223" s="53"/>
      <c r="S223" s="53"/>
      <c r="T223" s="53"/>
      <c r="U223" s="53"/>
    </row>
    <row r="224" spans="1:21" x14ac:dyDescent="0.25">
      <c r="A224" s="84" t="str">
        <f>IPO監視一覧!H83</f>
        <v>A</v>
      </c>
      <c r="B224" s="107" t="str">
        <f>IPO監視一覧!B83</f>
        <v>みらいワークス</v>
      </c>
      <c r="C224" s="108">
        <f>IPO監視一覧!G83</f>
        <v>1840</v>
      </c>
      <c r="D224" s="109">
        <v>170000</v>
      </c>
      <c r="E224" s="109">
        <v>44000</v>
      </c>
      <c r="F224" s="110">
        <f>IPO監視一覧!O83</f>
        <v>43088</v>
      </c>
      <c r="G224" s="108">
        <f>IPO監視一覧!P83</f>
        <v>6080</v>
      </c>
      <c r="H224" s="111">
        <f t="shared" si="138"/>
        <v>337864.39999999997</v>
      </c>
      <c r="I224" s="112">
        <f t="shared" ca="1" si="139"/>
        <v>42</v>
      </c>
      <c r="J224" s="112"/>
      <c r="K224" s="113"/>
      <c r="L224" s="113"/>
      <c r="M224" s="113"/>
      <c r="N224" s="113"/>
      <c r="O224" s="113"/>
      <c r="P224" s="91">
        <f t="shared" si="144"/>
        <v>0</v>
      </c>
      <c r="Q224" s="53"/>
      <c r="R224" s="53"/>
      <c r="S224" s="53"/>
      <c r="T224" s="53"/>
      <c r="U224" s="53"/>
    </row>
    <row r="225" spans="1:21" x14ac:dyDescent="0.25">
      <c r="A225" s="84" t="str">
        <f>IPO監視一覧!H84</f>
        <v>D</v>
      </c>
      <c r="B225" s="107" t="str">
        <f>IPO監視一覧!B84</f>
        <v>オプトラン</v>
      </c>
      <c r="C225" s="108">
        <f>IPO監視一覧!G84</f>
        <v>1460</v>
      </c>
      <c r="D225" s="109">
        <v>4200000</v>
      </c>
      <c r="E225" s="109">
        <v>3000000</v>
      </c>
      <c r="F225" s="110">
        <f>IPO監視一覧!O84</f>
        <v>43089</v>
      </c>
      <c r="G225" s="108">
        <f>IPO監視一覧!P84</f>
        <v>2436</v>
      </c>
      <c r="H225" s="111">
        <f t="shared" si="138"/>
        <v>77772.56</v>
      </c>
      <c r="I225" s="112">
        <f t="shared" ca="1" si="139"/>
        <v>41</v>
      </c>
      <c r="J225" s="112"/>
      <c r="K225" s="113"/>
      <c r="L225" s="113"/>
      <c r="M225" s="113"/>
      <c r="N225" s="113"/>
      <c r="O225" s="113"/>
      <c r="P225" s="91">
        <f t="shared" si="144"/>
        <v>0</v>
      </c>
      <c r="Q225" s="53"/>
      <c r="R225" s="53"/>
      <c r="S225" s="53"/>
      <c r="T225" s="53"/>
      <c r="U225" s="53"/>
    </row>
    <row r="226" spans="1:21" x14ac:dyDescent="0.25">
      <c r="A226" s="84" t="str">
        <f>IPO監視一覧!H85</f>
        <v>D</v>
      </c>
      <c r="B226" s="107" t="str">
        <f>IPO監視一覧!B85</f>
        <v>森六ホールディングス</v>
      </c>
      <c r="C226" s="108">
        <f>IPO監視一覧!G85</f>
        <v>2700</v>
      </c>
      <c r="D226" s="109">
        <v>1228000</v>
      </c>
      <c r="E226" s="109">
        <v>2172000</v>
      </c>
      <c r="F226" s="110">
        <f>IPO監視一覧!O85</f>
        <v>43089</v>
      </c>
      <c r="G226" s="108">
        <f>IPO監視一覧!P85</f>
        <v>2975</v>
      </c>
      <c r="H226" s="111">
        <f t="shared" si="138"/>
        <v>21913.375</v>
      </c>
      <c r="I226" s="112">
        <f t="shared" ca="1" si="139"/>
        <v>41</v>
      </c>
      <c r="J226" s="112"/>
      <c r="K226" s="113"/>
      <c r="L226" s="113"/>
      <c r="M226" s="113"/>
      <c r="N226" s="113"/>
      <c r="O226" s="113"/>
      <c r="P226" s="91">
        <f t="shared" si="144"/>
        <v>0</v>
      </c>
      <c r="Q226" s="53"/>
      <c r="R226" s="53"/>
      <c r="S226" s="53"/>
      <c r="T226" s="53"/>
      <c r="U226" s="53"/>
    </row>
    <row r="227" spans="1:21" x14ac:dyDescent="0.25">
      <c r="A227" s="84" t="str">
        <f>IPO監視一覧!H86</f>
        <v>D</v>
      </c>
      <c r="B227" s="107" t="str">
        <f>IPO監視一覧!B86</f>
        <v>プレミアグループ</v>
      </c>
      <c r="C227" s="108">
        <f>IPO監視一覧!G86</f>
        <v>2320</v>
      </c>
      <c r="D227" s="109">
        <v>60000</v>
      </c>
      <c r="E227" s="109">
        <v>4780000</v>
      </c>
      <c r="F227" s="110">
        <f>IPO監視一覧!O86</f>
        <v>43090</v>
      </c>
      <c r="G227" s="108">
        <f>IPO監視一覧!P86</f>
        <v>2220</v>
      </c>
      <c r="H227" s="111">
        <f t="shared" si="138"/>
        <v>-10000</v>
      </c>
      <c r="I227" s="112">
        <f t="shared" ca="1" si="139"/>
        <v>40</v>
      </c>
      <c r="J227" s="112"/>
      <c r="K227" s="113"/>
      <c r="L227" s="113"/>
      <c r="M227" s="113"/>
      <c r="N227" s="113"/>
      <c r="O227" s="113"/>
      <c r="P227" s="91">
        <f t="shared" si="144"/>
        <v>0</v>
      </c>
      <c r="Q227" s="53"/>
      <c r="R227" s="53"/>
      <c r="S227" s="53"/>
      <c r="T227" s="53"/>
      <c r="U227" s="53"/>
    </row>
    <row r="228" spans="1:21" x14ac:dyDescent="0.25">
      <c r="A228" s="84" t="str">
        <f>IPO監視一覧!H87</f>
        <v>C</v>
      </c>
      <c r="B228" s="107" t="str">
        <f>IPO監視一覧!B87</f>
        <v>ミダック</v>
      </c>
      <c r="C228" s="108">
        <f>IPO監視一覧!G87</f>
        <v>1300</v>
      </c>
      <c r="D228" s="109">
        <v>182000</v>
      </c>
      <c r="E228" s="109">
        <v>150000</v>
      </c>
      <c r="F228" s="110">
        <f>IPO監視一覧!O87</f>
        <v>43091</v>
      </c>
      <c r="G228" s="108">
        <f>IPO監視一覧!P87</f>
        <v>2000</v>
      </c>
      <c r="H228" s="111">
        <f t="shared" si="138"/>
        <v>55779.499999999993</v>
      </c>
      <c r="I228" s="112">
        <f t="shared" ca="1" si="139"/>
        <v>39</v>
      </c>
      <c r="J228" s="112"/>
      <c r="K228" s="113"/>
      <c r="L228" s="113"/>
      <c r="M228" s="113"/>
      <c r="N228" s="113"/>
      <c r="O228" s="113"/>
      <c r="P228" s="91">
        <f t="shared" si="144"/>
        <v>0</v>
      </c>
      <c r="Q228" s="53"/>
      <c r="R228" s="53"/>
      <c r="S228" s="53"/>
      <c r="T228" s="53"/>
      <c r="U228" s="53"/>
    </row>
    <row r="229" spans="1:21" x14ac:dyDescent="0.25">
      <c r="A229" s="84" t="str">
        <f>IPO監視一覧!H88</f>
        <v>D</v>
      </c>
      <c r="B229" s="107" t="str">
        <f>IPO監視一覧!B88</f>
        <v>要興業</v>
      </c>
      <c r="C229" s="108">
        <f>IPO監視一覧!G88</f>
        <v>750</v>
      </c>
      <c r="D229" s="109">
        <v>2000000</v>
      </c>
      <c r="E229" s="109">
        <v>2476300</v>
      </c>
      <c r="F229" s="110">
        <f>IPO監視一覧!O88</f>
        <v>43094</v>
      </c>
      <c r="G229" s="108">
        <f>IPO監視一覧!P88</f>
        <v>950</v>
      </c>
      <c r="H229" s="111">
        <f t="shared" si="138"/>
        <v>15936.999999999998</v>
      </c>
      <c r="I229" s="112">
        <f t="shared" ca="1" si="139"/>
        <v>38</v>
      </c>
      <c r="J229" s="112"/>
      <c r="K229" s="113"/>
      <c r="L229" s="113"/>
      <c r="M229" s="113"/>
      <c r="N229" s="113"/>
      <c r="O229" s="113"/>
      <c r="P229" s="91">
        <f t="shared" si="144"/>
        <v>0</v>
      </c>
      <c r="Q229" s="53"/>
      <c r="R229" s="53"/>
      <c r="S229" s="53"/>
      <c r="T229" s="53"/>
      <c r="U229" s="53"/>
    </row>
    <row r="230" spans="1:21" x14ac:dyDescent="0.25">
      <c r="A230" s="84" t="str">
        <f>IPO監視一覧!H89</f>
        <v>C</v>
      </c>
      <c r="B230" s="107" t="str">
        <f>IPO監視一覧!B89</f>
        <v>ＡＢホテル</v>
      </c>
      <c r="C230" s="108">
        <f>IPO監視一覧!G89</f>
        <v>1500</v>
      </c>
      <c r="D230" s="109">
        <v>260000</v>
      </c>
      <c r="E230" s="109">
        <v>460000</v>
      </c>
      <c r="F230" s="110">
        <f>IPO監視一覧!O89</f>
        <v>43094</v>
      </c>
      <c r="G230" s="108">
        <f>IPO監視一覧!P89</f>
        <v>3060</v>
      </c>
      <c r="H230" s="111">
        <f t="shared" si="138"/>
        <v>124308.59999999999</v>
      </c>
      <c r="I230" s="112">
        <f t="shared" ca="1" si="139"/>
        <v>38</v>
      </c>
      <c r="J230" s="112"/>
      <c r="K230" s="113"/>
      <c r="L230" s="113"/>
      <c r="M230" s="113"/>
      <c r="N230" s="113"/>
      <c r="O230" s="113"/>
      <c r="P230" s="91">
        <f t="shared" si="144"/>
        <v>0</v>
      </c>
      <c r="Q230" s="53"/>
      <c r="R230" s="53"/>
      <c r="S230" s="53"/>
      <c r="T230" s="53"/>
      <c r="U230" s="53"/>
    </row>
    <row r="231" spans="1:21" x14ac:dyDescent="0.25">
      <c r="A231" s="84" t="str">
        <f>IPO監視一覧!H90</f>
        <v>D</v>
      </c>
      <c r="B231" s="107" t="str">
        <f>IPO監視一覧!B90</f>
        <v>オプティマスグループ</v>
      </c>
      <c r="C231" s="108">
        <f>IPO監視一覧!G90</f>
        <v>1800</v>
      </c>
      <c r="D231" s="109">
        <v>270600</v>
      </c>
      <c r="E231" s="427">
        <v>1340600</v>
      </c>
      <c r="F231" s="110">
        <f>IPO監視一覧!O90</f>
        <v>43095</v>
      </c>
      <c r="G231" s="108">
        <f>IPO監視一覧!P90</f>
        <v>2001</v>
      </c>
      <c r="H231" s="111">
        <f t="shared" si="138"/>
        <v>16016.684999999999</v>
      </c>
      <c r="I231" s="112">
        <f t="shared" ca="1" si="139"/>
        <v>37</v>
      </c>
      <c r="J231" s="112"/>
      <c r="K231" s="113"/>
      <c r="L231" s="113"/>
      <c r="M231" s="113"/>
      <c r="N231" s="113"/>
      <c r="O231" s="113"/>
      <c r="P231" s="91">
        <f t="shared" si="144"/>
        <v>0</v>
      </c>
      <c r="Q231" s="53"/>
      <c r="R231" s="53"/>
      <c r="S231" s="53"/>
      <c r="T231" s="53"/>
      <c r="U231" s="53"/>
    </row>
    <row r="232" spans="1:21" x14ac:dyDescent="0.25">
      <c r="A232" s="84">
        <f>IPO監視一覧!H91</f>
        <v>0</v>
      </c>
      <c r="B232" s="107">
        <f>IPO監視一覧!B91</f>
        <v>0</v>
      </c>
      <c r="C232" s="108">
        <f>IPO監視一覧!G91</f>
        <v>0</v>
      </c>
      <c r="D232" s="109">
        <v>260200</v>
      </c>
      <c r="E232" s="109">
        <v>195200</v>
      </c>
      <c r="F232" s="110">
        <f>IPO監視一覧!O91</f>
        <v>0</v>
      </c>
      <c r="G232" s="108">
        <f>IPO監視一覧!P91</f>
        <v>0</v>
      </c>
      <c r="H232" s="111">
        <f t="shared" si="138"/>
        <v>0</v>
      </c>
      <c r="I232" s="112">
        <f t="shared" ca="1" si="139"/>
        <v>30818</v>
      </c>
      <c r="J232" s="112"/>
      <c r="K232" s="113"/>
      <c r="L232" s="113"/>
      <c r="M232" s="113"/>
      <c r="N232" s="113"/>
      <c r="O232" s="113"/>
      <c r="P232" s="91">
        <f t="shared" si="144"/>
        <v>0</v>
      </c>
      <c r="Q232" s="53"/>
      <c r="R232" s="53"/>
      <c r="S232" s="53"/>
      <c r="T232" s="53"/>
      <c r="U232" s="53"/>
    </row>
    <row r="233" spans="1:21" x14ac:dyDescent="0.25">
      <c r="A233" s="84">
        <f>IPO監視一覧!H92</f>
        <v>0</v>
      </c>
      <c r="B233" s="107">
        <f>IPO監視一覧!B92</f>
        <v>0</v>
      </c>
      <c r="C233" s="108">
        <f>IPO監視一覧!G92</f>
        <v>0</v>
      </c>
      <c r="D233" s="109"/>
      <c r="E233" s="109"/>
      <c r="F233" s="110">
        <f>IPO監視一覧!O92</f>
        <v>0</v>
      </c>
      <c r="G233" s="108">
        <f>IPO監視一覧!P92</f>
        <v>0</v>
      </c>
      <c r="H233" s="111">
        <f t="shared" si="138"/>
        <v>0</v>
      </c>
      <c r="I233" s="112">
        <f t="shared" ca="1" si="139"/>
        <v>30818</v>
      </c>
      <c r="J233" s="112"/>
      <c r="K233" s="113"/>
      <c r="L233" s="113"/>
      <c r="M233" s="113"/>
      <c r="N233" s="113"/>
      <c r="O233" s="113"/>
      <c r="P233" s="91">
        <f t="shared" si="144"/>
        <v>0</v>
      </c>
      <c r="Q233" s="53"/>
      <c r="R233" s="53"/>
      <c r="S233" s="53"/>
      <c r="T233" s="53"/>
      <c r="U233" s="53"/>
    </row>
    <row r="234" spans="1:21" x14ac:dyDescent="0.25">
      <c r="A234" s="84">
        <f>IPO監視一覧!H93</f>
        <v>0</v>
      </c>
      <c r="B234" s="107">
        <f>IPO監視一覧!B93</f>
        <v>0</v>
      </c>
      <c r="C234" s="108">
        <f>IPO監視一覧!G93</f>
        <v>0</v>
      </c>
      <c r="D234" s="109"/>
      <c r="E234" s="109"/>
      <c r="F234" s="110">
        <f>IPO監視一覧!O93</f>
        <v>0</v>
      </c>
      <c r="G234" s="108">
        <f>IPO監視一覧!P93</f>
        <v>0</v>
      </c>
      <c r="H234" s="111">
        <f t="shared" si="138"/>
        <v>0</v>
      </c>
      <c r="I234" s="112">
        <f t="shared" ca="1" si="139"/>
        <v>30818</v>
      </c>
      <c r="J234" s="112"/>
      <c r="K234" s="113"/>
      <c r="L234" s="113"/>
      <c r="M234" s="113"/>
      <c r="N234" s="113"/>
      <c r="O234" s="113"/>
      <c r="P234" s="91">
        <f t="shared" ref="P234:P240" si="145">(M234-K234)*L234-O234-N234</f>
        <v>0</v>
      </c>
      <c r="Q234" s="53"/>
      <c r="R234" s="53"/>
      <c r="S234" s="53"/>
      <c r="T234" s="53"/>
      <c r="U234" s="53"/>
    </row>
    <row r="235" spans="1:21" x14ac:dyDescent="0.25">
      <c r="A235" s="84">
        <f>IPO監視一覧!H94</f>
        <v>0</v>
      </c>
      <c r="B235" s="107">
        <f>IPO監視一覧!B94</f>
        <v>0</v>
      </c>
      <c r="C235" s="108">
        <f>IPO監視一覧!G94</f>
        <v>0</v>
      </c>
      <c r="D235" s="109"/>
      <c r="E235" s="109"/>
      <c r="F235" s="110">
        <f>IPO監視一覧!O94</f>
        <v>0</v>
      </c>
      <c r="G235" s="108">
        <f>IPO監視一覧!P94</f>
        <v>0</v>
      </c>
      <c r="H235" s="111">
        <f t="shared" si="138"/>
        <v>0</v>
      </c>
      <c r="I235" s="112">
        <f t="shared" ca="1" si="139"/>
        <v>30818</v>
      </c>
      <c r="J235" s="112"/>
      <c r="K235" s="113"/>
      <c r="L235" s="113"/>
      <c r="M235" s="113"/>
      <c r="N235" s="113"/>
      <c r="O235" s="113"/>
      <c r="P235" s="91">
        <f t="shared" si="145"/>
        <v>0</v>
      </c>
      <c r="Q235" s="53"/>
      <c r="R235" s="53"/>
      <c r="S235" s="53"/>
      <c r="T235" s="53"/>
      <c r="U235" s="53"/>
    </row>
    <row r="236" spans="1:21" x14ac:dyDescent="0.25">
      <c r="A236" s="84">
        <f>IPO監視一覧!H95</f>
        <v>0</v>
      </c>
      <c r="B236" s="107">
        <f>IPO監視一覧!B95</f>
        <v>0</v>
      </c>
      <c r="C236" s="108">
        <f>IPO監視一覧!G95</f>
        <v>0</v>
      </c>
      <c r="D236" s="109"/>
      <c r="E236" s="109"/>
      <c r="F236" s="110">
        <f>IPO監視一覧!O95</f>
        <v>0</v>
      </c>
      <c r="G236" s="108">
        <f>IPO監視一覧!P95</f>
        <v>0</v>
      </c>
      <c r="H236" s="111">
        <f t="shared" si="138"/>
        <v>0</v>
      </c>
      <c r="I236" s="112">
        <f t="shared" ca="1" si="139"/>
        <v>30818</v>
      </c>
      <c r="J236" s="112"/>
      <c r="K236" s="113"/>
      <c r="L236" s="113"/>
      <c r="M236" s="113"/>
      <c r="N236" s="113"/>
      <c r="O236" s="113"/>
      <c r="P236" s="91">
        <f t="shared" si="145"/>
        <v>0</v>
      </c>
      <c r="Q236" s="53"/>
      <c r="R236" s="53"/>
      <c r="S236" s="53"/>
      <c r="T236" s="53"/>
      <c r="U236" s="53"/>
    </row>
    <row r="237" spans="1:21" x14ac:dyDescent="0.25">
      <c r="A237" s="84">
        <f>IPO監視一覧!H96</f>
        <v>0</v>
      </c>
      <c r="B237" s="107">
        <f>IPO監視一覧!B96</f>
        <v>0</v>
      </c>
      <c r="C237" s="108">
        <f>IPO監視一覧!G96</f>
        <v>0</v>
      </c>
      <c r="D237" s="109"/>
      <c r="E237" s="109"/>
      <c r="F237" s="110">
        <f>IPO監視一覧!O96</f>
        <v>0</v>
      </c>
      <c r="G237" s="108">
        <f>IPO監視一覧!P96</f>
        <v>0</v>
      </c>
      <c r="H237" s="111">
        <f t="shared" si="138"/>
        <v>0</v>
      </c>
      <c r="I237" s="112">
        <f t="shared" ca="1" si="139"/>
        <v>30818</v>
      </c>
      <c r="J237" s="112"/>
      <c r="K237" s="113"/>
      <c r="L237" s="113"/>
      <c r="M237" s="113"/>
      <c r="N237" s="113"/>
      <c r="O237" s="113"/>
      <c r="P237" s="91">
        <f t="shared" si="145"/>
        <v>0</v>
      </c>
      <c r="Q237" s="53"/>
      <c r="R237" s="53"/>
      <c r="S237" s="53"/>
      <c r="T237" s="53"/>
      <c r="U237" s="53"/>
    </row>
    <row r="238" spans="1:21" x14ac:dyDescent="0.25">
      <c r="A238" s="84">
        <f>IPO監視一覧!H97</f>
        <v>0</v>
      </c>
      <c r="B238" s="107">
        <f>IPO監視一覧!B97</f>
        <v>0</v>
      </c>
      <c r="C238" s="108">
        <f>IPO監視一覧!G97</f>
        <v>0</v>
      </c>
      <c r="D238" s="109"/>
      <c r="E238" s="109"/>
      <c r="F238" s="110">
        <f>IPO監視一覧!O97</f>
        <v>0</v>
      </c>
      <c r="G238" s="108">
        <f>IPO監視一覧!P97</f>
        <v>0</v>
      </c>
      <c r="H238" s="111">
        <f t="shared" si="138"/>
        <v>0</v>
      </c>
      <c r="I238" s="112">
        <f t="shared" ca="1" si="139"/>
        <v>30818</v>
      </c>
      <c r="J238" s="112"/>
      <c r="K238" s="113"/>
      <c r="L238" s="113"/>
      <c r="M238" s="113"/>
      <c r="N238" s="113"/>
      <c r="O238" s="113"/>
      <c r="P238" s="91">
        <f t="shared" si="145"/>
        <v>0</v>
      </c>
      <c r="Q238" s="53"/>
      <c r="R238" s="53"/>
      <c r="S238" s="53"/>
      <c r="T238" s="53"/>
      <c r="U238" s="53"/>
    </row>
    <row r="239" spans="1:21" x14ac:dyDescent="0.25">
      <c r="A239" s="84">
        <f>IPO監視一覧!H98</f>
        <v>0</v>
      </c>
      <c r="B239" s="107">
        <f>IPO監視一覧!B98</f>
        <v>0</v>
      </c>
      <c r="C239" s="108">
        <f>IPO監視一覧!G98</f>
        <v>0</v>
      </c>
      <c r="D239" s="109"/>
      <c r="E239" s="109"/>
      <c r="F239" s="110">
        <f>IPO監視一覧!O98</f>
        <v>0</v>
      </c>
      <c r="G239" s="108">
        <f>IPO監視一覧!P98</f>
        <v>0</v>
      </c>
      <c r="H239" s="111">
        <f t="shared" si="138"/>
        <v>0</v>
      </c>
      <c r="I239" s="112">
        <f t="shared" ca="1" si="139"/>
        <v>30818</v>
      </c>
      <c r="J239" s="112"/>
      <c r="K239" s="113"/>
      <c r="L239" s="113"/>
      <c r="M239" s="113"/>
      <c r="N239" s="113"/>
      <c r="O239" s="113"/>
      <c r="P239" s="91">
        <f t="shared" si="145"/>
        <v>0</v>
      </c>
      <c r="Q239" s="53"/>
      <c r="R239" s="53"/>
      <c r="S239" s="53"/>
      <c r="T239" s="53"/>
      <c r="U239" s="53"/>
    </row>
    <row r="240" spans="1:21" x14ac:dyDescent="0.25">
      <c r="A240" s="84">
        <f>IPO監視一覧!H99</f>
        <v>0</v>
      </c>
      <c r="B240" s="107">
        <f>IPO監視一覧!B99</f>
        <v>0</v>
      </c>
      <c r="C240" s="108">
        <f>IPO監視一覧!G99</f>
        <v>0</v>
      </c>
      <c r="D240" s="109"/>
      <c r="E240" s="109"/>
      <c r="F240" s="110">
        <f>IPO監視一覧!O99</f>
        <v>0</v>
      </c>
      <c r="G240" s="108">
        <f>IPO監視一覧!P99</f>
        <v>0</v>
      </c>
      <c r="H240" s="111">
        <f t="shared" si="138"/>
        <v>0</v>
      </c>
      <c r="I240" s="112">
        <f t="shared" ca="1" si="139"/>
        <v>30818</v>
      </c>
      <c r="J240" s="112"/>
      <c r="K240" s="113"/>
      <c r="L240" s="113"/>
      <c r="M240" s="113"/>
      <c r="N240" s="113"/>
      <c r="O240" s="113"/>
      <c r="P240" s="91">
        <f t="shared" si="145"/>
        <v>0</v>
      </c>
      <c r="Q240" s="53"/>
      <c r="R240" s="53"/>
      <c r="S240" s="53"/>
      <c r="T240" s="53"/>
      <c r="U240" s="53"/>
    </row>
  </sheetData>
  <mergeCells count="1">
    <mergeCell ref="A1:B1"/>
  </mergeCells>
  <phoneticPr fontId="2"/>
  <dataValidations disablePrompts="1" count="1">
    <dataValidation type="list" allowBlank="1" showInputMessage="1" showErrorMessage="1" sqref="J37 J39">
      <formula1>$Y$3:$Y$6</formula1>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IPO監視一覧!$X$3:$X$6</xm:f>
          </x14:formula1>
          <xm:sqref>J48:J240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59999389629810485"/>
  </sheetPr>
  <dimension ref="A1:AB129"/>
  <sheetViews>
    <sheetView zoomScale="85" zoomScaleNormal="85" workbookViewId="0">
      <pane ySplit="2" topLeftCell="A90" activePane="bottomLeft" state="frozen"/>
      <selection activeCell="F62" sqref="F62"/>
      <selection pane="bottomLeft" activeCell="B89" sqref="B89"/>
    </sheetView>
  </sheetViews>
  <sheetFormatPr defaultColWidth="8" defaultRowHeight="15.75" x14ac:dyDescent="0.25"/>
  <cols>
    <col min="1" max="1" width="3.21875" style="53" customWidth="1"/>
    <col min="2" max="2" width="26.21875" style="53" bestFit="1" customWidth="1"/>
    <col min="3" max="3" width="12.6640625" style="117" bestFit="1" customWidth="1"/>
    <col min="4" max="7" width="8.109375" style="15" bestFit="1" customWidth="1"/>
    <col min="8" max="8" width="1.77734375" style="53" customWidth="1"/>
    <col min="9" max="10" width="8.88671875" style="118" bestFit="1" customWidth="1"/>
    <col min="11" max="11" width="8.88671875" style="119" bestFit="1" customWidth="1"/>
    <col min="12" max="12" width="1.77734375" style="12" customWidth="1"/>
    <col min="13" max="14" width="9.77734375" style="12" hidden="1" customWidth="1"/>
    <col min="15" max="15" width="8" style="53"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53" customWidth="1"/>
    <col min="23" max="23" width="8" style="53"/>
    <col min="24" max="24" width="8.77734375" style="12" bestFit="1" customWidth="1"/>
    <col min="25" max="26" width="8" style="53"/>
    <col min="27" max="27" width="9.77734375" style="53" bestFit="1" customWidth="1"/>
    <col min="28" max="16384" width="8" style="53"/>
  </cols>
  <sheetData>
    <row r="1" spans="1:28" ht="16.5" thickBot="1" x14ac:dyDescent="0.3">
      <c r="A1" s="53" t="s">
        <v>140</v>
      </c>
      <c r="F1" s="15" t="s">
        <v>141</v>
      </c>
      <c r="I1" s="454" t="s">
        <v>142</v>
      </c>
      <c r="J1" s="454"/>
      <c r="K1" s="454"/>
      <c r="M1" s="455" t="s">
        <v>143</v>
      </c>
      <c r="N1" s="455"/>
      <c r="P1" s="54" t="s">
        <v>144</v>
      </c>
      <c r="Y1" s="12" t="s">
        <v>551</v>
      </c>
      <c r="Z1" s="412" t="s">
        <v>553</v>
      </c>
      <c r="AA1" s="413" t="s">
        <v>554</v>
      </c>
      <c r="AB1" s="414" t="s">
        <v>555</v>
      </c>
    </row>
    <row r="2" spans="1:28" ht="16.5" thickBot="1" x14ac:dyDescent="0.3">
      <c r="B2" s="306" t="s">
        <v>17</v>
      </c>
      <c r="C2" s="308" t="s">
        <v>117</v>
      </c>
      <c r="D2" s="314" t="s">
        <v>145</v>
      </c>
      <c r="E2" s="314" t="s">
        <v>146</v>
      </c>
      <c r="F2" s="314" t="s">
        <v>147</v>
      </c>
      <c r="G2" s="314" t="s">
        <v>148</v>
      </c>
      <c r="I2" s="315" t="s">
        <v>144</v>
      </c>
      <c r="J2" s="315" t="s">
        <v>149</v>
      </c>
      <c r="K2" s="316" t="s">
        <v>150</v>
      </c>
      <c r="M2" s="315" t="s">
        <v>144</v>
      </c>
      <c r="N2" s="315" t="s">
        <v>149</v>
      </c>
      <c r="O2" s="119"/>
      <c r="Q2" s="344" t="s">
        <v>552</v>
      </c>
      <c r="R2" s="344" t="s">
        <v>449</v>
      </c>
      <c r="T2" s="344" t="s">
        <v>450</v>
      </c>
      <c r="W2" s="344" t="s">
        <v>446</v>
      </c>
      <c r="Z2" s="415">
        <f ca="1">COUNTIF($Q:$Q,Z1)/(COUNTIF($Q:$Q,Z1)+COUNTIF($Q:$Q,AA1)+(COUNTIF($Q:$Q,AB1)-COUNTIF(C:C,0)))</f>
        <v>0.35820895522388058</v>
      </c>
      <c r="AA2" s="416">
        <f ca="1">1-Z2-AB2</f>
        <v>0.16417910447761203</v>
      </c>
      <c r="AB2" s="417">
        <f ca="1">(COUNTIF($Q:$Q,AB1)-COUNTIF(C:C,0))/(COUNTIF($Q:$Q,Z1)+COUNTIF($Q:$Q,AA1)+(COUNTIF($Q:$Q,AB1)-COUNTIF(C:C,0)))</f>
        <v>0.47761194029850745</v>
      </c>
    </row>
    <row r="3" spans="1:28" ht="16.5" thickTop="1" x14ac:dyDescent="0.25">
      <c r="B3" s="291" t="str">
        <f>IPO監視一覧!B3</f>
        <v>日宣</v>
      </c>
      <c r="C3" s="292">
        <f>株価一覧!H2</f>
        <v>700</v>
      </c>
      <c r="D3" s="293">
        <f ca="1">OFFSET(終値履歴!A3,0,COUNTA(終値履歴!G3:'終値履歴'!XFD3)+2,1,-1)</f>
        <v>2286</v>
      </c>
      <c r="E3" s="293">
        <f ca="1">OFFSET(終値履歴!A3,0,COUNTA(終値履歴!G3:'終値履歴'!XFD3)+3,1,-1)</f>
        <v>2289</v>
      </c>
      <c r="F3" s="293">
        <f ca="1">OFFSET(終値履歴!A3,0,COUNTA(終値履歴!G3:'終値履歴'!XFD3)+4,1,-1)</f>
        <v>2291</v>
      </c>
      <c r="G3" s="293">
        <f ca="1">OFFSET(終値履歴!A3,0,COUNTA(終値履歴!G3:'終値履歴'!XFD3)+5,1,-1)</f>
        <v>2295</v>
      </c>
      <c r="I3" s="118">
        <f ca="1">(G3-F3)/F3</f>
        <v>1.7459624618070711E-3</v>
      </c>
      <c r="J3" s="118">
        <f ca="1">(G3-E3)/E3</f>
        <v>2.6212319790301442E-3</v>
      </c>
      <c r="K3" s="118">
        <f ca="1">(G3-D3)/D3</f>
        <v>3.937007874015748E-3</v>
      </c>
      <c r="M3" s="118">
        <f ca="1">(F3-E3)/E3</f>
        <v>8.7374399301004806E-4</v>
      </c>
      <c r="N3" s="118">
        <f ca="1">(F3-D3)/D3</f>
        <v>2.1872265966754157E-3</v>
      </c>
      <c r="P3" s="115" t="str">
        <f ca="1">IF(G3-F3 &gt; 0,CONCATENATE("＋",G3-F3),G3-F3)</f>
        <v>＋4</v>
      </c>
      <c r="Q3" s="12" t="str">
        <f t="shared" ref="Q3:Q9" ca="1" si="0">IF(AND(G3&lt;=T3,G3&lt;=R3),"割安",IF(AND(G3&gt;T3,G3&lt;=R3),"普通",IF(AND(G3&lt;=T3,G3&gt;R3),"普通","割高")))</f>
        <v>割高</v>
      </c>
      <c r="R3" s="322">
        <f ca="1">終値履歴!D3</f>
        <v>2292.1999999999998</v>
      </c>
      <c r="S3" s="325">
        <f t="shared" ref="S3:S5" ca="1" si="1">(G3-R3)/E3</f>
        <v>1.2232415902141468E-3</v>
      </c>
      <c r="T3" s="322">
        <f ca="1">終値履歴!E3</f>
        <v>2289.3000000000002</v>
      </c>
      <c r="U3" s="325">
        <f t="shared" ref="U3:U42" ca="1" si="2">(G3-T3)/G3</f>
        <v>2.4836601307188749E-3</v>
      </c>
      <c r="W3" s="324">
        <f ca="1">終値履歴!F3</f>
        <v>2270</v>
      </c>
      <c r="X3" s="325">
        <f t="shared" ref="X3:X42" ca="1" si="3">(G3-W3)/G3</f>
        <v>1.0893246187363835E-2</v>
      </c>
    </row>
    <row r="4" spans="1:28" x14ac:dyDescent="0.25">
      <c r="B4" s="47" t="str">
        <f>IPO監視一覧!B4</f>
        <v>レノバ </v>
      </c>
      <c r="C4" s="345">
        <f>株価一覧!H3</f>
        <v>301400</v>
      </c>
      <c r="D4" s="346">
        <f ca="1">OFFSET(終値履歴!A4,0,COUNTA(終値履歴!G4:'終値履歴'!XFD4)+2,1,-1)</f>
        <v>1215</v>
      </c>
      <c r="E4" s="346">
        <f ca="1">OFFSET(終値履歴!A4,0,COUNTA(終値履歴!G4:'終値履歴'!XFD4)+3,1,-1)</f>
        <v>1229</v>
      </c>
      <c r="F4" s="346">
        <f ca="1">OFFSET(終値履歴!A4,0,COUNTA(終値履歴!G4:'終値履歴'!XFD4)+4,1,-1)</f>
        <v>1284</v>
      </c>
      <c r="G4" s="346">
        <f ca="1">OFFSET(終値履歴!A4,0,COUNTA(終値履歴!G4:'終値履歴'!XFD4)+5,1,-1)</f>
        <v>1297</v>
      </c>
      <c r="I4" s="118">
        <f t="shared" ref="I4:I41" ca="1" si="4">(G4-F4)/F4</f>
        <v>1.0124610591900311E-2</v>
      </c>
      <c r="J4" s="118">
        <f t="shared" ref="J4:J42" ca="1" si="5">(G4-E4)/E4</f>
        <v>5.5329536208299432E-2</v>
      </c>
      <c r="K4" s="118">
        <f t="shared" ref="K4:K42" ca="1" si="6">(G4-D4)/D4</f>
        <v>6.7489711934156385E-2</v>
      </c>
      <c r="M4" s="118">
        <f t="shared" ref="M4:M42" ca="1" si="7">(F4-E4)/E4</f>
        <v>4.4751830756712775E-2</v>
      </c>
      <c r="N4" s="118">
        <f t="shared" ref="N4:N42" ca="1" si="8">(F4-D4)/D4</f>
        <v>5.6790123456790124E-2</v>
      </c>
      <c r="P4" s="115" t="str">
        <f t="shared" ref="P4:P42" ca="1" si="9">IF(G4-F4 &gt; 0,CONCATENATE("＋",G4-F4),G4-F4)</f>
        <v>＋13</v>
      </c>
      <c r="Q4" s="12" t="str">
        <f t="shared" ca="1" si="0"/>
        <v>割高</v>
      </c>
      <c r="R4" s="322">
        <f ca="1">終値履歴!D4</f>
        <v>1256.4000000000001</v>
      </c>
      <c r="S4" s="325">
        <f t="shared" ca="1" si="1"/>
        <v>3.3034987794955173E-2</v>
      </c>
      <c r="T4" s="322">
        <f ca="1">終値履歴!E4</f>
        <v>1242.9000000000001</v>
      </c>
      <c r="U4" s="325">
        <f t="shared" ca="1" si="2"/>
        <v>4.1711642251349199E-2</v>
      </c>
      <c r="W4" s="324">
        <f ca="1">終値履歴!F4</f>
        <v>1201</v>
      </c>
      <c r="X4" s="325">
        <f t="shared" ca="1" si="3"/>
        <v>7.4016962220508867E-2</v>
      </c>
    </row>
    <row r="5" spans="1:28" x14ac:dyDescent="0.25">
      <c r="B5" s="294" t="str">
        <f>IPO監視一覧!B5</f>
        <v>ユナイテッド＆コレクティブ</v>
      </c>
      <c r="C5" s="295">
        <f>株価一覧!H4</f>
        <v>19200</v>
      </c>
      <c r="D5" s="296">
        <f ca="1">OFFSET(終値履歴!A5,0,COUNTA(終値履歴!G5:'終値履歴'!XFD5)+2,1,-1)</f>
        <v>4685</v>
      </c>
      <c r="E5" s="296">
        <f ca="1">OFFSET(終値履歴!A5,0,COUNTA(終値履歴!G5:'終値履歴'!XFD5)+3,1,-1)</f>
        <v>4760</v>
      </c>
      <c r="F5" s="296">
        <f ca="1">OFFSET(終値履歴!A5,0,COUNTA(終値履歴!G5:'終値履歴'!XFD5)+4,1,-1)</f>
        <v>5100</v>
      </c>
      <c r="G5" s="296">
        <f ca="1">OFFSET(終値履歴!A5,0,COUNTA(終値履歴!G5:'終値履歴'!XFD5)+5,1,-1)</f>
        <v>5150</v>
      </c>
      <c r="I5" s="118">
        <f t="shared" ca="1" si="4"/>
        <v>9.8039215686274508E-3</v>
      </c>
      <c r="J5" s="118">
        <f t="shared" ca="1" si="5"/>
        <v>8.1932773109243698E-2</v>
      </c>
      <c r="K5" s="118">
        <f t="shared" ca="1" si="6"/>
        <v>9.9252934898612588E-2</v>
      </c>
      <c r="M5" s="118">
        <f t="shared" ca="1" si="7"/>
        <v>7.1428571428571425E-2</v>
      </c>
      <c r="N5" s="118">
        <f t="shared" ca="1" si="8"/>
        <v>8.8580576307363934E-2</v>
      </c>
      <c r="P5" s="115" t="str">
        <f t="shared" ca="1" si="9"/>
        <v>＋50</v>
      </c>
      <c r="Q5" s="12" t="str">
        <f t="shared" ca="1" si="0"/>
        <v>割高</v>
      </c>
      <c r="R5" s="322">
        <f ca="1">終値履歴!D5</f>
        <v>4890</v>
      </c>
      <c r="S5" s="325">
        <f t="shared" ca="1" si="1"/>
        <v>5.4621848739495799E-2</v>
      </c>
      <c r="T5" s="322">
        <f ca="1">終値履歴!E5</f>
        <v>4724.5</v>
      </c>
      <c r="U5" s="325">
        <f t="shared" ca="1" si="2"/>
        <v>8.2621359223300966E-2</v>
      </c>
      <c r="W5" s="324">
        <f ca="1">終値履歴!F5</f>
        <v>4455</v>
      </c>
      <c r="X5" s="325">
        <f t="shared" ca="1" si="3"/>
        <v>0.13495145631067962</v>
      </c>
    </row>
    <row r="6" spans="1:28" x14ac:dyDescent="0.25">
      <c r="B6" s="294" t="str">
        <f>IPO監視一覧!B6</f>
        <v>ロコンド</v>
      </c>
      <c r="C6" s="295">
        <f>株価一覧!H5</f>
        <v>34500</v>
      </c>
      <c r="D6" s="296">
        <f ca="1">OFFSET(終値履歴!A6,0,COUNTA(終値履歴!G6:'終値履歴'!XFD6)+2,1,-1)</f>
        <v>1890</v>
      </c>
      <c r="E6" s="296">
        <f ca="1">OFFSET(終値履歴!A6,0,COUNTA(終値履歴!G6:'終値履歴'!XFD6)+3,1,-1)</f>
        <v>1883</v>
      </c>
      <c r="F6" s="296">
        <f ca="1">OFFSET(終値履歴!A6,0,COUNTA(終値履歴!G6:'終値履歴'!XFD6)+4,1,-1)</f>
        <v>1898</v>
      </c>
      <c r="G6" s="296">
        <f ca="1">OFFSET(終値履歴!A6,0,COUNTA(終値履歴!G6:'終値履歴'!XFD6)+5,1,-1)</f>
        <v>1912</v>
      </c>
      <c r="I6" s="118">
        <f t="shared" ca="1" si="4"/>
        <v>7.3761854583772393E-3</v>
      </c>
      <c r="J6" s="118">
        <f t="shared" ca="1" si="5"/>
        <v>1.5400955921402018E-2</v>
      </c>
      <c r="K6" s="118">
        <f t="shared" ca="1" si="6"/>
        <v>1.164021164021164E-2</v>
      </c>
      <c r="M6" s="118">
        <f t="shared" ca="1" si="7"/>
        <v>7.9660116834838028E-3</v>
      </c>
      <c r="N6" s="118">
        <f t="shared" ca="1" si="8"/>
        <v>4.2328042328042331E-3</v>
      </c>
      <c r="P6" s="115" t="str">
        <f t="shared" ca="1" si="9"/>
        <v>＋14</v>
      </c>
      <c r="Q6" s="12" t="str">
        <f t="shared" ca="1" si="0"/>
        <v>割安</v>
      </c>
      <c r="R6" s="322">
        <f ca="1">終値履歴!D6</f>
        <v>1913.6</v>
      </c>
      <c r="S6" s="325">
        <f ca="1">(G6-R6)/E6</f>
        <v>-8.4970791290489068E-4</v>
      </c>
      <c r="T6" s="322">
        <f ca="1">終値履歴!E6</f>
        <v>1946.9</v>
      </c>
      <c r="U6" s="325">
        <f t="shared" ca="1" si="2"/>
        <v>-1.8253138075313854E-2</v>
      </c>
      <c r="W6" s="324">
        <f ca="1">終値履歴!F6</f>
        <v>1883</v>
      </c>
      <c r="X6" s="325">
        <f t="shared" ca="1" si="3"/>
        <v>1.5167364016736401E-2</v>
      </c>
    </row>
    <row r="7" spans="1:28" x14ac:dyDescent="0.25">
      <c r="B7" s="294" t="str">
        <f>IPO監視一覧!B7</f>
        <v>ピーバンドットコム</v>
      </c>
      <c r="C7" s="295">
        <f>株価一覧!H6</f>
        <v>4500</v>
      </c>
      <c r="D7" s="296">
        <f ca="1">OFFSET(終値履歴!A7,0,COUNTA(終値履歴!G7:'終値履歴'!XFD7)+2,1,-1)</f>
        <v>1810</v>
      </c>
      <c r="E7" s="296">
        <f ca="1">OFFSET(終値履歴!A7,0,COUNTA(終値履歴!G7:'終値履歴'!XFD7)+3,1,-1)</f>
        <v>1810</v>
      </c>
      <c r="F7" s="296">
        <f ca="1">OFFSET(終値履歴!A7,0,COUNTA(終値履歴!G7:'終値履歴'!XFD7)+4,1,-1)</f>
        <v>1811</v>
      </c>
      <c r="G7" s="296">
        <f ca="1">OFFSET(終値履歴!A7,0,COUNTA(終値履歴!G7:'終値履歴'!XFD7)+5,1,-1)</f>
        <v>1792</v>
      </c>
      <c r="I7" s="118">
        <f t="shared" ca="1" si="4"/>
        <v>-1.0491441192711209E-2</v>
      </c>
      <c r="J7" s="118">
        <f t="shared" ca="1" si="5"/>
        <v>-9.9447513812154689E-3</v>
      </c>
      <c r="K7" s="118">
        <f t="shared" ca="1" si="6"/>
        <v>-9.9447513812154689E-3</v>
      </c>
      <c r="M7" s="118">
        <f t="shared" ca="1" si="7"/>
        <v>5.5248618784530391E-4</v>
      </c>
      <c r="N7" s="118">
        <f t="shared" ca="1" si="8"/>
        <v>5.5248618784530391E-4</v>
      </c>
      <c r="P7" s="115">
        <f t="shared" ca="1" si="9"/>
        <v>-19</v>
      </c>
      <c r="Q7" s="12" t="str">
        <f t="shared" ca="1" si="0"/>
        <v>割安</v>
      </c>
      <c r="R7" s="322">
        <f ca="1">終値履歴!D7</f>
        <v>1814.6</v>
      </c>
      <c r="S7" s="325">
        <f t="shared" ref="S7:S43" ca="1" si="10">(G7-R7)/E7</f>
        <v>-1.2486187845303818E-2</v>
      </c>
      <c r="T7" s="322">
        <f ca="1">終値履歴!E7</f>
        <v>1846.5</v>
      </c>
      <c r="U7" s="325">
        <f t="shared" ca="1" si="2"/>
        <v>-3.0412946428571428E-2</v>
      </c>
      <c r="W7" s="324">
        <f ca="1">終値履歴!F7</f>
        <v>1792</v>
      </c>
      <c r="X7" s="325">
        <f t="shared" ca="1" si="3"/>
        <v>0</v>
      </c>
    </row>
    <row r="8" spans="1:28" x14ac:dyDescent="0.25">
      <c r="B8" s="47" t="str">
        <f>IPO監視一覧!B8</f>
        <v>ファイズ</v>
      </c>
      <c r="C8" s="345">
        <f>株価一覧!H7</f>
        <v>9400</v>
      </c>
      <c r="D8" s="346">
        <f ca="1">OFFSET(終値履歴!A8,0,COUNTA(終値履歴!G8:'終値履歴'!XFD8)+2,1,-1)</f>
        <v>2602</v>
      </c>
      <c r="E8" s="346">
        <f ca="1">OFFSET(終値履歴!A8,0,COUNTA(終値履歴!G8:'終値履歴'!XFD8)+3,1,-1)</f>
        <v>2607</v>
      </c>
      <c r="F8" s="346">
        <f ca="1">OFFSET(終値履歴!A8,0,COUNTA(終値履歴!G8:'終値履歴'!XFD8)+4,1,-1)</f>
        <v>2650</v>
      </c>
      <c r="G8" s="346">
        <f ca="1">OFFSET(終値履歴!A8,0,COUNTA(終値履歴!G8:'終値履歴'!XFD8)+5,1,-1)</f>
        <v>2620</v>
      </c>
      <c r="I8" s="118">
        <f t="shared" ca="1" si="4"/>
        <v>-1.1320754716981131E-2</v>
      </c>
      <c r="J8" s="118">
        <f t="shared" ca="1" si="5"/>
        <v>4.9865746068277718E-3</v>
      </c>
      <c r="K8" s="118">
        <f t="shared" ca="1" si="6"/>
        <v>6.9177555726364333E-3</v>
      </c>
      <c r="M8" s="118">
        <f t="shared" ca="1" si="7"/>
        <v>1.6494054468738015E-2</v>
      </c>
      <c r="N8" s="118">
        <f t="shared" ca="1" si="8"/>
        <v>1.8447348193697154E-2</v>
      </c>
      <c r="P8" s="115">
        <f t="shared" ca="1" si="9"/>
        <v>-30</v>
      </c>
      <c r="Q8" s="12" t="str">
        <f t="shared" ca="1" si="0"/>
        <v>割安</v>
      </c>
      <c r="R8" s="322">
        <f ca="1">終値履歴!D8</f>
        <v>2649.6</v>
      </c>
      <c r="S8" s="325">
        <f t="shared" ca="1" si="10"/>
        <v>-1.1354046797084736E-2</v>
      </c>
      <c r="T8" s="322">
        <f ca="1">終値履歴!E8</f>
        <v>2743</v>
      </c>
      <c r="U8" s="325">
        <f t="shared" ca="1" si="2"/>
        <v>-4.6946564885496186E-2</v>
      </c>
      <c r="W8" s="324">
        <f ca="1">終値履歴!F8</f>
        <v>2602</v>
      </c>
      <c r="X8" s="325">
        <f t="shared" ca="1" si="3"/>
        <v>6.8702290076335876E-3</v>
      </c>
    </row>
    <row r="9" spans="1:28" x14ac:dyDescent="0.25">
      <c r="B9" s="47" t="str">
        <f>IPO監視一覧!B9</f>
        <v>うるる</v>
      </c>
      <c r="C9" s="345">
        <f>株価一覧!H8</f>
        <v>36200</v>
      </c>
      <c r="D9" s="346">
        <f ca="1">OFFSET(終値履歴!A9,0,COUNTA(終値履歴!G9:'終値履歴'!XFD9)+2,1,-1)</f>
        <v>3705</v>
      </c>
      <c r="E9" s="346">
        <f ca="1">OFFSET(終値履歴!A9,0,COUNTA(終値履歴!G9:'終値履歴'!XFD9)+3,1,-1)</f>
        <v>3675</v>
      </c>
      <c r="F9" s="346">
        <f ca="1">OFFSET(終値履歴!A9,0,COUNTA(終値履歴!G9:'終値履歴'!XFD9)+4,1,-1)</f>
        <v>3630</v>
      </c>
      <c r="G9" s="346">
        <f ca="1">OFFSET(終値履歴!A9,0,COUNTA(終値履歴!G9:'終値履歴'!XFD9)+5,1,-1)</f>
        <v>3725</v>
      </c>
      <c r="I9" s="118">
        <f t="shared" ca="1" si="4"/>
        <v>2.6170798898071626E-2</v>
      </c>
      <c r="J9" s="118">
        <f t="shared" ca="1" si="5"/>
        <v>1.3605442176870748E-2</v>
      </c>
      <c r="K9" s="118">
        <f t="shared" ca="1" si="6"/>
        <v>5.3981106612685558E-3</v>
      </c>
      <c r="M9" s="118">
        <f t="shared" ca="1" si="7"/>
        <v>-1.2244897959183673E-2</v>
      </c>
      <c r="N9" s="118">
        <f t="shared" ca="1" si="8"/>
        <v>-2.0242914979757085E-2</v>
      </c>
      <c r="P9" s="115" t="str">
        <f t="shared" ca="1" si="9"/>
        <v>＋95</v>
      </c>
      <c r="Q9" s="12" t="str">
        <f t="shared" ca="1" si="0"/>
        <v>普通</v>
      </c>
      <c r="R9" s="322">
        <f ca="1">終値履歴!D9</f>
        <v>3718</v>
      </c>
      <c r="S9" s="325">
        <f t="shared" ca="1" si="10"/>
        <v>1.9047619047619048E-3</v>
      </c>
      <c r="T9" s="322">
        <f ca="1">終値履歴!E9</f>
        <v>3729</v>
      </c>
      <c r="U9" s="325">
        <f t="shared" ca="1" si="2"/>
        <v>-1.0738255033557046E-3</v>
      </c>
      <c r="W9" s="324">
        <f ca="1">終値履歴!F9</f>
        <v>3630</v>
      </c>
      <c r="X9" s="325">
        <f t="shared" ca="1" si="3"/>
        <v>2.5503355704697986E-2</v>
      </c>
    </row>
    <row r="10" spans="1:28" x14ac:dyDescent="0.25">
      <c r="B10" s="294" t="str">
        <f>IPO監視一覧!B10</f>
        <v>ほぼ日</v>
      </c>
      <c r="C10" s="295">
        <f>株価一覧!H9</f>
        <v>1500</v>
      </c>
      <c r="D10" s="296">
        <f ca="1">OFFSET(終値履歴!A10,0,COUNTA(終値履歴!G10:'終値履歴'!XFD10)+2,1,-1)</f>
        <v>5310</v>
      </c>
      <c r="E10" s="296">
        <f ca="1">OFFSET(終値履歴!A10,0,COUNTA(終値履歴!G10:'終値履歴'!XFD10)+3,1,-1)</f>
        <v>5280</v>
      </c>
      <c r="F10" s="296">
        <f ca="1">OFFSET(終値履歴!A10,0,COUNTA(終値履歴!G10:'終値履歴'!XFD10)+4,1,-1)</f>
        <v>5310</v>
      </c>
      <c r="G10" s="296">
        <f ca="1">OFFSET(終値履歴!A10,0,COUNTA(終値履歴!G10:'終値履歴'!XFD10)+5,1,-1)</f>
        <v>5300</v>
      </c>
      <c r="I10" s="118">
        <f t="shared" ca="1" si="4"/>
        <v>-1.8832391713747645E-3</v>
      </c>
      <c r="J10" s="118">
        <f t="shared" ca="1" si="5"/>
        <v>3.787878787878788E-3</v>
      </c>
      <c r="K10" s="118">
        <f t="shared" ca="1" si="6"/>
        <v>-1.8832391713747645E-3</v>
      </c>
      <c r="M10" s="118">
        <f t="shared" ca="1" si="7"/>
        <v>5.681818181818182E-3</v>
      </c>
      <c r="N10" s="118">
        <f t="shared" ca="1" si="8"/>
        <v>0</v>
      </c>
      <c r="P10" s="115">
        <f t="shared" ca="1" si="9"/>
        <v>-10</v>
      </c>
      <c r="Q10" s="12" t="str">
        <f ca="1">IF(AND(G10&lt;=T10,G10&lt;=R10),"割安",IF(AND(G10&gt;T10,G10&lt;=R10),"普通",IF(AND(G10&lt;=T10,G10&gt;R10),"普通","割高")))</f>
        <v>割安</v>
      </c>
      <c r="R10" s="322">
        <f ca="1">終値履歴!D10</f>
        <v>5300</v>
      </c>
      <c r="S10" s="325">
        <f t="shared" ca="1" si="10"/>
        <v>0</v>
      </c>
      <c r="T10" s="322">
        <f ca="1">終値履歴!E10</f>
        <v>5321</v>
      </c>
      <c r="U10" s="325">
        <f t="shared" ca="1" si="2"/>
        <v>-3.9622641509433959E-3</v>
      </c>
      <c r="W10" s="324">
        <f ca="1">終値履歴!F10</f>
        <v>5280</v>
      </c>
      <c r="X10" s="325">
        <f t="shared" ca="1" si="3"/>
        <v>3.7735849056603774E-3</v>
      </c>
    </row>
    <row r="11" spans="1:28" x14ac:dyDescent="0.25">
      <c r="B11" s="47" t="str">
        <f>IPO監視一覧!B11</f>
        <v>ジャパンエレベーターサービスHD</v>
      </c>
      <c r="C11" s="345">
        <f>株価一覧!H10</f>
        <v>109700</v>
      </c>
      <c r="D11" s="346">
        <f ca="1">OFFSET(終値履歴!A11,0,COUNTA(終値履歴!G11:'終値履歴'!XFD11)+2,1,-1)</f>
        <v>1098</v>
      </c>
      <c r="E11" s="346">
        <f ca="1">OFFSET(終値履歴!A11,0,COUNTA(終値履歴!G11:'終値履歴'!XFD11)+3,1,-1)</f>
        <v>1145</v>
      </c>
      <c r="F11" s="346">
        <f ca="1">OFFSET(終値履歴!A11,0,COUNTA(終値履歴!G11:'終値履歴'!XFD11)+4,1,-1)</f>
        <v>1180</v>
      </c>
      <c r="G11" s="346">
        <f ca="1">OFFSET(終値履歴!A11,0,COUNTA(終値履歴!G11:'終値履歴'!XFD11)+5,1,-1)</f>
        <v>1175</v>
      </c>
      <c r="I11" s="118">
        <f t="shared" ca="1" si="4"/>
        <v>-4.2372881355932203E-3</v>
      </c>
      <c r="J11" s="118">
        <f t="shared" ca="1" si="5"/>
        <v>2.6200873362445413E-2</v>
      </c>
      <c r="K11" s="118">
        <f t="shared" ca="1" si="6"/>
        <v>7.0127504553734066E-2</v>
      </c>
      <c r="M11" s="118">
        <f t="shared" ca="1" si="7"/>
        <v>3.0567685589519649E-2</v>
      </c>
      <c r="N11" s="118">
        <f t="shared" ca="1" si="8"/>
        <v>7.4681238615664849E-2</v>
      </c>
      <c r="P11" s="115">
        <f t="shared" ca="1" si="9"/>
        <v>-5</v>
      </c>
      <c r="Q11" s="12" t="str">
        <f t="shared" ref="Q11:Q42" ca="1" si="11">IF(AND(G11&lt;=T11,G11&lt;=R11),"割安",IF(AND(G11&gt;T11,G11&lt;=R11),"普通",IF(AND(G11&lt;=T11,G11&gt;R11),"普通","割高")))</f>
        <v>割高</v>
      </c>
      <c r="R11" s="322">
        <f ca="1">終値履歴!D11</f>
        <v>1146</v>
      </c>
      <c r="S11" s="325">
        <f t="shared" ca="1" si="10"/>
        <v>2.5327510917030567E-2</v>
      </c>
      <c r="T11" s="322">
        <f ca="1">終値履歴!E11</f>
        <v>1130.2</v>
      </c>
      <c r="U11" s="325">
        <f t="shared" ca="1" si="2"/>
        <v>3.8127659574468044E-2</v>
      </c>
      <c r="W11" s="324">
        <f ca="1">終値履歴!F11</f>
        <v>1067</v>
      </c>
      <c r="X11" s="325">
        <f t="shared" ca="1" si="3"/>
        <v>9.1914893617021279E-2</v>
      </c>
    </row>
    <row r="12" spans="1:28" x14ac:dyDescent="0.25">
      <c r="B12" s="47" t="str">
        <f>IPO監視一覧!B12</f>
        <v>ビーグリー</v>
      </c>
      <c r="C12" s="345">
        <f>株価一覧!H11</f>
        <v>60300</v>
      </c>
      <c r="D12" s="346">
        <f ca="1">OFFSET(終値履歴!A12,0,COUNTA(終値履歴!G12:'終値履歴'!XFD12)+2,1,-1)</f>
        <v>1704</v>
      </c>
      <c r="E12" s="346">
        <f ca="1">OFFSET(終値履歴!A12,0,COUNTA(終値履歴!G12:'終値履歴'!XFD12)+3,1,-1)</f>
        <v>1710</v>
      </c>
      <c r="F12" s="346">
        <f ca="1">OFFSET(終値履歴!A12,0,COUNTA(終値履歴!G12:'終値履歴'!XFD12)+4,1,-1)</f>
        <v>1694</v>
      </c>
      <c r="G12" s="346">
        <f ca="1">OFFSET(終値履歴!A12,0,COUNTA(終値履歴!G12:'終値履歴'!XFD12)+5,1,-1)</f>
        <v>1694</v>
      </c>
      <c r="I12" s="118">
        <f t="shared" ca="1" si="4"/>
        <v>0</v>
      </c>
      <c r="J12" s="118">
        <f t="shared" ca="1" si="5"/>
        <v>-9.3567251461988306E-3</v>
      </c>
      <c r="K12" s="118">
        <f t="shared" ca="1" si="6"/>
        <v>-5.8685446009389668E-3</v>
      </c>
      <c r="M12" s="118">
        <f t="shared" ca="1" si="7"/>
        <v>-9.3567251461988306E-3</v>
      </c>
      <c r="N12" s="118">
        <f t="shared" ca="1" si="8"/>
        <v>-5.8685446009389668E-3</v>
      </c>
      <c r="P12" s="115">
        <f t="shared" ca="1" si="9"/>
        <v>0</v>
      </c>
      <c r="Q12" s="12" t="str">
        <f t="shared" ca="1" si="11"/>
        <v>割安</v>
      </c>
      <c r="R12" s="322">
        <f ca="1">終値履歴!D12</f>
        <v>1705.8</v>
      </c>
      <c r="S12" s="325">
        <f t="shared" ca="1" si="10"/>
        <v>-6.9005847953216111E-3</v>
      </c>
      <c r="T12" s="322">
        <f ca="1">終値履歴!E12</f>
        <v>1727.9</v>
      </c>
      <c r="U12" s="325">
        <f t="shared" ca="1" si="2"/>
        <v>-2.0011806375442791E-2</v>
      </c>
      <c r="W12" s="324">
        <f ca="1">終値履歴!F12</f>
        <v>1694</v>
      </c>
      <c r="X12" s="325">
        <f t="shared" ca="1" si="3"/>
        <v>0</v>
      </c>
    </row>
    <row r="13" spans="1:28" x14ac:dyDescent="0.25">
      <c r="B13" s="294" t="str">
        <f>IPO監視一覧!B13</f>
        <v>力の源HD</v>
      </c>
      <c r="C13" s="295">
        <f>株価一覧!H12</f>
        <v>36000</v>
      </c>
      <c r="D13" s="296">
        <f ca="1">OFFSET(終値履歴!A13,0,COUNTA(終値履歴!G13:'終値履歴'!XFD13)+2,1,-1)</f>
        <v>1140</v>
      </c>
      <c r="E13" s="296">
        <f ca="1">OFFSET(終値履歴!A13,0,COUNTA(終値履歴!G13:'終値履歴'!XFD13)+3,1,-1)</f>
        <v>1111</v>
      </c>
      <c r="F13" s="296">
        <f ca="1">OFFSET(終値履歴!A13,0,COUNTA(終値履歴!G13:'終値履歴'!XFD13)+4,1,-1)</f>
        <v>1128</v>
      </c>
      <c r="G13" s="296">
        <f ca="1">OFFSET(終値履歴!A13,0,COUNTA(終値履歴!G13:'終値履歴'!XFD13)+5,1,-1)</f>
        <v>1128</v>
      </c>
      <c r="I13" s="118">
        <f t="shared" ca="1" si="4"/>
        <v>0</v>
      </c>
      <c r="J13" s="118">
        <f t="shared" ca="1" si="5"/>
        <v>1.5301530153015301E-2</v>
      </c>
      <c r="K13" s="118">
        <f t="shared" ca="1" si="6"/>
        <v>-1.0526315789473684E-2</v>
      </c>
      <c r="M13" s="118">
        <f t="shared" ca="1" si="7"/>
        <v>1.5301530153015301E-2</v>
      </c>
      <c r="N13" s="118">
        <f t="shared" ca="1" si="8"/>
        <v>-1.0526315789473684E-2</v>
      </c>
      <c r="P13" s="115">
        <f t="shared" ca="1" si="9"/>
        <v>0</v>
      </c>
      <c r="Q13" s="12" t="str">
        <f t="shared" ca="1" si="11"/>
        <v>割安</v>
      </c>
      <c r="R13" s="322">
        <f ca="1">終値履歴!D13</f>
        <v>1128.8</v>
      </c>
      <c r="S13" s="325">
        <f t="shared" ca="1" si="10"/>
        <v>-7.2007200720067917E-4</v>
      </c>
      <c r="T13" s="322">
        <f ca="1">終値履歴!E13</f>
        <v>1147.4000000000001</v>
      </c>
      <c r="U13" s="325">
        <f t="shared" ca="1" si="2"/>
        <v>-1.7198581560283768E-2</v>
      </c>
      <c r="W13" s="324">
        <f ca="1">終値履歴!F13</f>
        <v>1111</v>
      </c>
      <c r="X13" s="325">
        <f t="shared" ca="1" si="3"/>
        <v>1.5070921985815602E-2</v>
      </c>
    </row>
    <row r="14" spans="1:28" x14ac:dyDescent="0.25">
      <c r="B14" s="47" t="str">
        <f>IPO監視一覧!B14</f>
        <v>インターネットインフィニティー</v>
      </c>
      <c r="C14" s="345">
        <f>株価一覧!H13</f>
        <v>47200</v>
      </c>
      <c r="D14" s="346">
        <f ca="1">OFFSET(終値履歴!A14,0,COUNTA(終値履歴!G14:'終値履歴'!XFD14)+2,1,-1)</f>
        <v>1880</v>
      </c>
      <c r="E14" s="346">
        <f ca="1">OFFSET(終値履歴!A14,0,COUNTA(終値履歴!G14:'終値履歴'!XFD14)+3,1,-1)</f>
        <v>1839</v>
      </c>
      <c r="F14" s="346">
        <f ca="1">OFFSET(終値履歴!A14,0,COUNTA(終値履歴!G14:'終値履歴'!XFD14)+4,1,-1)</f>
        <v>1870</v>
      </c>
      <c r="G14" s="346">
        <f ca="1">OFFSET(終値履歴!A14,0,COUNTA(終値履歴!G14:'終値履歴'!XFD14)+5,1,-1)</f>
        <v>1808</v>
      </c>
      <c r="I14" s="118">
        <f t="shared" ca="1" si="4"/>
        <v>-3.3155080213903745E-2</v>
      </c>
      <c r="J14" s="118">
        <f t="shared" ca="1" si="5"/>
        <v>-1.6856987493202826E-2</v>
      </c>
      <c r="K14" s="118">
        <f t="shared" ca="1" si="6"/>
        <v>-3.8297872340425532E-2</v>
      </c>
      <c r="M14" s="118">
        <f t="shared" ca="1" si="7"/>
        <v>1.6856987493202826E-2</v>
      </c>
      <c r="N14" s="118">
        <f t="shared" ca="1" si="8"/>
        <v>-5.3191489361702126E-3</v>
      </c>
      <c r="P14" s="115">
        <f t="shared" ca="1" si="9"/>
        <v>-62</v>
      </c>
      <c r="Q14" s="12" t="str">
        <f t="shared" ca="1" si="11"/>
        <v>割安</v>
      </c>
      <c r="R14" s="322">
        <f ca="1">終値履歴!D14</f>
        <v>1869</v>
      </c>
      <c r="S14" s="325">
        <f t="shared" ca="1" si="10"/>
        <v>-3.3170201196302339E-2</v>
      </c>
      <c r="T14" s="322">
        <f ca="1">終値履歴!E14</f>
        <v>1947.7</v>
      </c>
      <c r="U14" s="325">
        <f t="shared" ca="1" si="2"/>
        <v>-7.7267699115044275E-2</v>
      </c>
      <c r="W14" s="324">
        <f ca="1">終値履歴!F14</f>
        <v>1808</v>
      </c>
      <c r="X14" s="325">
        <f t="shared" ca="1" si="3"/>
        <v>0</v>
      </c>
    </row>
    <row r="15" spans="1:28" x14ac:dyDescent="0.25">
      <c r="B15" s="297" t="str">
        <f>IPO監視一覧!B15</f>
        <v>フルテック</v>
      </c>
      <c r="C15" s="298">
        <f>株価一覧!H14</f>
        <v>11700</v>
      </c>
      <c r="D15" s="299">
        <f ca="1">OFFSET(終値履歴!A15,0,COUNTA(終値履歴!G15:'終値履歴'!XFD15)+2,1,-1)</f>
        <v>1055</v>
      </c>
      <c r="E15" s="299">
        <f ca="1">OFFSET(終値履歴!A15,0,COUNTA(終値履歴!G15:'終値履歴'!XFD15)+3,1,-1)</f>
        <v>1050</v>
      </c>
      <c r="F15" s="299">
        <f ca="1">OFFSET(終値履歴!A15,0,COUNTA(終値履歴!G15:'終値履歴'!XFD15)+4,1,-1)</f>
        <v>1050</v>
      </c>
      <c r="G15" s="299">
        <f ca="1">OFFSET(終値履歴!A15,0,COUNTA(終値履歴!G15:'終値履歴'!XFD15)+5,1,-1)</f>
        <v>1041</v>
      </c>
      <c r="I15" s="118">
        <f t="shared" ca="1" si="4"/>
        <v>-8.5714285714285719E-3</v>
      </c>
      <c r="J15" s="118">
        <f t="shared" ca="1" si="5"/>
        <v>-8.5714285714285719E-3</v>
      </c>
      <c r="K15" s="118">
        <f t="shared" ca="1" si="6"/>
        <v>-1.3270142180094787E-2</v>
      </c>
      <c r="M15" s="118">
        <f t="shared" ca="1" si="7"/>
        <v>0</v>
      </c>
      <c r="N15" s="118">
        <f t="shared" ca="1" si="8"/>
        <v>-4.7393364928909956E-3</v>
      </c>
      <c r="P15" s="115">
        <f t="shared" ca="1" si="9"/>
        <v>-9</v>
      </c>
      <c r="Q15" s="12" t="str">
        <f t="shared" ca="1" si="11"/>
        <v>割安</v>
      </c>
      <c r="R15" s="322">
        <f ca="1">終値履歴!D15</f>
        <v>1050.4000000000001</v>
      </c>
      <c r="S15" s="325">
        <f t="shared" ca="1" si="10"/>
        <v>-8.9523809523810397E-3</v>
      </c>
      <c r="T15" s="322">
        <f ca="1">終値履歴!E15</f>
        <v>1062.0999999999999</v>
      </c>
      <c r="U15" s="325">
        <f t="shared" ca="1" si="2"/>
        <v>-2.0268972142170903E-2</v>
      </c>
      <c r="W15" s="324">
        <f ca="1">終値履歴!F15</f>
        <v>1041</v>
      </c>
      <c r="X15" s="325">
        <f t="shared" ca="1" si="3"/>
        <v>0</v>
      </c>
    </row>
    <row r="16" spans="1:28" x14ac:dyDescent="0.25">
      <c r="B16" s="297" t="str">
        <f>IPO監視一覧!B16</f>
        <v>マクロミル</v>
      </c>
      <c r="C16" s="298">
        <f>株価一覧!H15</f>
        <v>536900</v>
      </c>
      <c r="D16" s="299">
        <f ca="1">OFFSET(終値履歴!A16,0,COUNTA(終値履歴!G16:'終値履歴'!XFD16)+2,1,-1)</f>
        <v>2691</v>
      </c>
      <c r="E16" s="299">
        <f ca="1">OFFSET(終値履歴!A16,0,COUNTA(終値履歴!G16:'終値履歴'!XFD16)+3,1,-1)</f>
        <v>2702</v>
      </c>
      <c r="F16" s="299">
        <f ca="1">OFFSET(終値履歴!A16,0,COUNTA(終値履歴!G16:'終値履歴'!XFD16)+4,1,-1)</f>
        <v>2805</v>
      </c>
      <c r="G16" s="299">
        <f ca="1">OFFSET(終値履歴!A16,0,COUNTA(終値履歴!G16:'終値履歴'!XFD16)+5,1,-1)</f>
        <v>2895</v>
      </c>
      <c r="I16" s="118">
        <f t="shared" ca="1" si="4"/>
        <v>3.2085561497326207E-2</v>
      </c>
      <c r="J16" s="118">
        <f t="shared" ca="1" si="5"/>
        <v>7.1428571428571425E-2</v>
      </c>
      <c r="K16" s="118">
        <f t="shared" ca="1" si="6"/>
        <v>7.58082497212932E-2</v>
      </c>
      <c r="M16" s="118">
        <f t="shared" ca="1" si="7"/>
        <v>3.8119911176905996E-2</v>
      </c>
      <c r="N16" s="118">
        <f t="shared" ca="1" si="8"/>
        <v>4.2363433667781496E-2</v>
      </c>
      <c r="P16" s="115" t="str">
        <f t="shared" ca="1" si="9"/>
        <v>＋90</v>
      </c>
      <c r="Q16" s="12" t="str">
        <f t="shared" ca="1" si="11"/>
        <v>割高</v>
      </c>
      <c r="R16" s="322">
        <f ca="1">終値履歴!D16</f>
        <v>2771.8</v>
      </c>
      <c r="S16" s="325">
        <f t="shared" ca="1" si="10"/>
        <v>4.5595854922279723E-2</v>
      </c>
      <c r="T16" s="322">
        <f ca="1">終値履歴!E16</f>
        <v>2674.5</v>
      </c>
      <c r="U16" s="325">
        <f t="shared" ca="1" si="2"/>
        <v>7.6165803108808286E-2</v>
      </c>
      <c r="W16" s="324">
        <f ca="1">終値履歴!F16</f>
        <v>2551</v>
      </c>
      <c r="X16" s="325">
        <f t="shared" ca="1" si="3"/>
        <v>0.11882556131260795</v>
      </c>
    </row>
    <row r="17" spans="1:24" x14ac:dyDescent="0.25">
      <c r="B17" s="297" t="str">
        <f>IPO監視一覧!B17</f>
        <v>グリーンズ</v>
      </c>
      <c r="C17" s="298">
        <f>株価一覧!H16</f>
        <v>8400</v>
      </c>
      <c r="D17" s="299">
        <f ca="1">OFFSET(終値履歴!A17,0,COUNTA(終値履歴!G17:'終値履歴'!XFD17)+2,1,-1)</f>
        <v>1400</v>
      </c>
      <c r="E17" s="299">
        <f ca="1">OFFSET(終値履歴!A17,0,COUNTA(終値履歴!G17:'終値履歴'!XFD17)+3,1,-1)</f>
        <v>1408</v>
      </c>
      <c r="F17" s="299">
        <f ca="1">OFFSET(終値履歴!A17,0,COUNTA(終値履歴!G17:'終値履歴'!XFD17)+4,1,-1)</f>
        <v>1409</v>
      </c>
      <c r="G17" s="299">
        <f ca="1">OFFSET(終値履歴!A17,0,COUNTA(終値履歴!G17:'終値履歴'!XFD17)+5,1,-1)</f>
        <v>1406</v>
      </c>
      <c r="I17" s="118">
        <f t="shared" ca="1" si="4"/>
        <v>-2.1291696238466998E-3</v>
      </c>
      <c r="J17" s="118">
        <f t="shared" ca="1" si="5"/>
        <v>-1.4204545454545455E-3</v>
      </c>
      <c r="K17" s="118">
        <f t="shared" ca="1" si="6"/>
        <v>4.2857142857142859E-3</v>
      </c>
      <c r="M17" s="118">
        <f t="shared" ca="1" si="7"/>
        <v>7.1022727272727275E-4</v>
      </c>
      <c r="N17" s="118">
        <f t="shared" ca="1" si="8"/>
        <v>6.4285714285714285E-3</v>
      </c>
      <c r="P17" s="115">
        <f t="shared" ca="1" si="9"/>
        <v>-3</v>
      </c>
      <c r="Q17" s="12" t="str">
        <f t="shared" ca="1" si="11"/>
        <v>普通</v>
      </c>
      <c r="R17" s="322">
        <f ca="1">終値履歴!D17</f>
        <v>1406.2</v>
      </c>
      <c r="S17" s="325">
        <f t="shared" ca="1" si="10"/>
        <v>-1.4204545454548685E-4</v>
      </c>
      <c r="T17" s="322">
        <f ca="1">終値履歴!E17</f>
        <v>1405.4</v>
      </c>
      <c r="U17" s="325">
        <f t="shared" ca="1" si="2"/>
        <v>4.2674253200562524E-4</v>
      </c>
      <c r="W17" s="324">
        <f ca="1">終値履歴!F17</f>
        <v>1380</v>
      </c>
      <c r="X17" s="325">
        <f t="shared" ca="1" si="3"/>
        <v>1.849217638691323E-2</v>
      </c>
    </row>
    <row r="18" spans="1:24" x14ac:dyDescent="0.25">
      <c r="B18" s="294" t="str">
        <f>IPO監視一覧!B18</f>
        <v>オロ</v>
      </c>
      <c r="C18" s="295">
        <f>株価一覧!H17</f>
        <v>149000</v>
      </c>
      <c r="D18" s="296">
        <f ca="1">OFFSET(終値履歴!A18,0,COUNTA(終値履歴!G18:'終値履歴'!XFD18)+2,1,-1)</f>
        <v>1764</v>
      </c>
      <c r="E18" s="296">
        <f ca="1">OFFSET(終値履歴!A18,0,COUNTA(終値履歴!G18:'終値履歴'!XFD18)+3,1,-1)</f>
        <v>1777</v>
      </c>
      <c r="F18" s="296">
        <f ca="1">OFFSET(終値履歴!A18,0,COUNTA(終値履歴!G18:'終値履歴'!XFD18)+4,1,-1)</f>
        <v>1799</v>
      </c>
      <c r="G18" s="296">
        <f ca="1">OFFSET(終値履歴!A18,0,COUNTA(終値履歴!G18:'終値履歴'!XFD18)+5,1,-1)</f>
        <v>1791</v>
      </c>
      <c r="I18" s="118">
        <f t="shared" ca="1" si="4"/>
        <v>-4.4469149527515284E-3</v>
      </c>
      <c r="J18" s="118">
        <f t="shared" ca="1" si="5"/>
        <v>7.878446820483961E-3</v>
      </c>
      <c r="K18" s="118">
        <f t="shared" ca="1" si="6"/>
        <v>1.5306122448979591E-2</v>
      </c>
      <c r="M18" s="118">
        <f t="shared" ca="1" si="7"/>
        <v>1.2380416432189083E-2</v>
      </c>
      <c r="N18" s="118">
        <f t="shared" ca="1" si="8"/>
        <v>1.984126984126984E-2</v>
      </c>
      <c r="P18" s="115">
        <f t="shared" ca="1" si="9"/>
        <v>-8</v>
      </c>
      <c r="Q18" s="12" t="str">
        <f t="shared" ca="1" si="11"/>
        <v>割高</v>
      </c>
      <c r="R18" s="322">
        <f ca="1">終値履歴!D18</f>
        <v>1757.6</v>
      </c>
      <c r="S18" s="325">
        <f t="shared" ca="1" si="10"/>
        <v>1.879572312886893E-2</v>
      </c>
      <c r="T18" s="322">
        <f ca="1">終値履歴!E18</f>
        <v>1711.4</v>
      </c>
      <c r="U18" s="325">
        <f t="shared" ca="1" si="2"/>
        <v>4.4444444444444391E-2</v>
      </c>
      <c r="W18" s="324">
        <f ca="1">終値履歴!F18</f>
        <v>1643</v>
      </c>
      <c r="X18" s="325">
        <f t="shared" ca="1" si="3"/>
        <v>8.2635399218313796E-2</v>
      </c>
    </row>
    <row r="19" spans="1:24" x14ac:dyDescent="0.25">
      <c r="B19" s="84" t="str">
        <f>IPO監視一覧!B19</f>
        <v>ソレイジア・ファーマ</v>
      </c>
      <c r="C19" s="120">
        <f>株価一覧!H18</f>
        <v>901600</v>
      </c>
      <c r="D19" s="121">
        <f ca="1">OFFSET(終値履歴!A19,0,COUNTA(終値履歴!G19:'終値履歴'!XFD19)+2,1,-1)</f>
        <v>334</v>
      </c>
      <c r="E19" s="121">
        <f ca="1">OFFSET(終値履歴!A19,0,COUNTA(終値履歴!G19:'終値履歴'!XFD19)+3,1,-1)</f>
        <v>332</v>
      </c>
      <c r="F19" s="121">
        <f ca="1">OFFSET(終値履歴!A19,0,COUNTA(終値履歴!G19:'終値履歴'!XFD19)+4,1,-1)</f>
        <v>334</v>
      </c>
      <c r="G19" s="121">
        <f ca="1">OFFSET(終値履歴!A19,0,COUNTA(終値履歴!G19:'終値履歴'!XFD19)+5,1,-1)</f>
        <v>331</v>
      </c>
      <c r="I19" s="118">
        <f t="shared" ca="1" si="4"/>
        <v>-8.9820359281437123E-3</v>
      </c>
      <c r="J19" s="118">
        <f t="shared" ca="1" si="5"/>
        <v>-3.0120481927710845E-3</v>
      </c>
      <c r="K19" s="118">
        <f t="shared" ca="1" si="6"/>
        <v>-8.9820359281437123E-3</v>
      </c>
      <c r="M19" s="118">
        <f t="shared" ca="1" si="7"/>
        <v>6.024096385542169E-3</v>
      </c>
      <c r="N19" s="118">
        <f t="shared" ca="1" si="8"/>
        <v>0</v>
      </c>
      <c r="P19" s="115">
        <f t="shared" ca="1" si="9"/>
        <v>-3</v>
      </c>
      <c r="Q19" s="12" t="str">
        <f t="shared" ca="1" si="11"/>
        <v>割安</v>
      </c>
      <c r="R19" s="322">
        <f ca="1">終値履歴!D19</f>
        <v>331.6</v>
      </c>
      <c r="S19" s="325">
        <f t="shared" ca="1" si="10"/>
        <v>-1.8072289156627192E-3</v>
      </c>
      <c r="T19" s="322">
        <f ca="1">終値履歴!E19</f>
        <v>331</v>
      </c>
      <c r="U19" s="325">
        <f t="shared" ca="1" si="2"/>
        <v>0</v>
      </c>
      <c r="W19" s="324">
        <f ca="1">終値履歴!F19</f>
        <v>324</v>
      </c>
      <c r="X19" s="325">
        <f t="shared" ca="1" si="3"/>
        <v>2.1148036253776436E-2</v>
      </c>
    </row>
    <row r="20" spans="1:24" x14ac:dyDescent="0.25">
      <c r="B20" s="47" t="str">
        <f>IPO監視一覧!B20</f>
        <v>ティーケーピー</v>
      </c>
      <c r="C20" s="345">
        <f>株価一覧!H19</f>
        <v>95900</v>
      </c>
      <c r="D20" s="346">
        <f ca="1">OFFSET(終値履歴!A20,0,COUNTA(終値履歴!G20:'終値履歴'!XFD20)+2,1,-1)</f>
        <v>2381</v>
      </c>
      <c r="E20" s="346">
        <f ca="1">OFFSET(終値履歴!A20,0,COUNTA(終値履歴!G20:'終値履歴'!XFD20)+3,1,-1)</f>
        <v>2459</v>
      </c>
      <c r="F20" s="346">
        <f ca="1">OFFSET(終値履歴!A20,0,COUNTA(終値履歴!G20:'終値履歴'!XFD20)+4,1,-1)</f>
        <v>2478</v>
      </c>
      <c r="G20" s="346">
        <f ca="1">OFFSET(終値履歴!A20,0,COUNTA(終値履歴!G20:'終値履歴'!XFD20)+5,1,-1)</f>
        <v>2451</v>
      </c>
      <c r="I20" s="118">
        <f t="shared" ca="1" si="4"/>
        <v>-1.0895883777239709E-2</v>
      </c>
      <c r="J20" s="118">
        <f t="shared" ca="1" si="5"/>
        <v>-3.2533550223668157E-3</v>
      </c>
      <c r="K20" s="118">
        <f t="shared" ca="1" si="6"/>
        <v>2.9399412011759767E-2</v>
      </c>
      <c r="M20" s="118">
        <f t="shared" ca="1" si="7"/>
        <v>7.7267181781211875E-3</v>
      </c>
      <c r="N20" s="118">
        <f t="shared" ca="1" si="8"/>
        <v>4.0739185216295673E-2</v>
      </c>
      <c r="P20" s="115">
        <f t="shared" ca="1" si="9"/>
        <v>-27</v>
      </c>
      <c r="Q20" s="12" t="str">
        <f t="shared" ca="1" si="11"/>
        <v>割高</v>
      </c>
      <c r="R20" s="322">
        <f ca="1">終値履歴!D20</f>
        <v>2449.8000000000002</v>
      </c>
      <c r="S20" s="325">
        <f t="shared" ca="1" si="10"/>
        <v>4.8800325335494839E-4</v>
      </c>
      <c r="T20" s="322">
        <f ca="1">終値履歴!E20</f>
        <v>2444.1999999999998</v>
      </c>
      <c r="U20" s="325">
        <f t="shared" ca="1" si="2"/>
        <v>2.7743778049776342E-3</v>
      </c>
      <c r="W20" s="324">
        <f ca="1">終値履歴!F20</f>
        <v>2381</v>
      </c>
      <c r="X20" s="325">
        <f t="shared" ca="1" si="3"/>
        <v>2.8559771521827825E-2</v>
      </c>
    </row>
    <row r="21" spans="1:24" x14ac:dyDescent="0.25">
      <c r="B21" s="294" t="str">
        <f>IPO監視一覧!B21</f>
        <v>ズーム</v>
      </c>
      <c r="C21" s="295">
        <f>株価一覧!H20</f>
        <v>21400</v>
      </c>
      <c r="D21" s="296">
        <f ca="1">OFFSET(終値履歴!A21,0,COUNTA(終値履歴!G21:'終値履歴'!XFD21)+2,1,-1)</f>
        <v>1913</v>
      </c>
      <c r="E21" s="296">
        <f ca="1">OFFSET(終値履歴!A21,0,COUNTA(終値履歴!G21:'終値履歴'!XFD21)+3,1,-1)</f>
        <v>1949</v>
      </c>
      <c r="F21" s="296">
        <f ca="1">OFFSET(終値履歴!A21,0,COUNTA(終値履歴!G21:'終値履歴'!XFD21)+4,1,-1)</f>
        <v>2006</v>
      </c>
      <c r="G21" s="296">
        <f ca="1">OFFSET(終値履歴!A21,0,COUNTA(終値履歴!G21:'終値履歴'!XFD21)+5,1,-1)</f>
        <v>2024</v>
      </c>
      <c r="I21" s="118">
        <f t="shared" ca="1" si="4"/>
        <v>8.9730807577268201E-3</v>
      </c>
      <c r="J21" s="118">
        <f t="shared" ca="1" si="5"/>
        <v>3.8481272447408926E-2</v>
      </c>
      <c r="K21" s="118">
        <f t="shared" ca="1" si="6"/>
        <v>5.8024046001045479E-2</v>
      </c>
      <c r="M21" s="118">
        <f t="shared" ca="1" si="7"/>
        <v>2.9245767060030785E-2</v>
      </c>
      <c r="N21" s="118">
        <f t="shared" ca="1" si="8"/>
        <v>4.8614741244119186E-2</v>
      </c>
      <c r="P21" s="115" t="str">
        <f t="shared" ca="1" si="9"/>
        <v>＋18</v>
      </c>
      <c r="Q21" s="12" t="str">
        <f t="shared" ca="1" si="11"/>
        <v>割高</v>
      </c>
      <c r="R21" s="322">
        <f ca="1">終値履歴!D21</f>
        <v>1972.6</v>
      </c>
      <c r="S21" s="325">
        <f t="shared" ca="1" si="10"/>
        <v>2.6372498717290964E-2</v>
      </c>
      <c r="T21" s="322">
        <f ca="1">終値履歴!E21</f>
        <v>1963.9</v>
      </c>
      <c r="U21" s="325">
        <f t="shared" ca="1" si="2"/>
        <v>2.9693675889328017E-2</v>
      </c>
      <c r="W21" s="324">
        <f ca="1">終値履歴!F21</f>
        <v>1913</v>
      </c>
      <c r="X21" s="325">
        <f t="shared" ca="1" si="3"/>
        <v>5.4841897233201584E-2</v>
      </c>
    </row>
    <row r="22" spans="1:24" x14ac:dyDescent="0.25">
      <c r="B22" s="294" t="str">
        <f>IPO監視一覧!B22</f>
        <v>Ｎｏ．１</v>
      </c>
      <c r="C22" s="295">
        <f>株価一覧!H21</f>
        <v>6800</v>
      </c>
      <c r="D22" s="296">
        <f ca="1">OFFSET(終値履歴!A22,0,COUNTA(終値履歴!G22:'終値履歴'!XFD22)+2,1,-1)</f>
        <v>2101</v>
      </c>
      <c r="E22" s="296">
        <f ca="1">OFFSET(終値履歴!A22,0,COUNTA(終値履歴!G22:'終値履歴'!XFD22)+3,1,-1)</f>
        <v>2195</v>
      </c>
      <c r="F22" s="296">
        <f ca="1">OFFSET(終値履歴!A22,0,COUNTA(終値履歴!G22:'終値履歴'!XFD22)+4,1,-1)</f>
        <v>2245</v>
      </c>
      <c r="G22" s="296">
        <f ca="1">OFFSET(終値履歴!A22,0,COUNTA(終値履歴!G22:'終値履歴'!XFD22)+5,1,-1)</f>
        <v>2217</v>
      </c>
      <c r="I22" s="118">
        <f t="shared" ca="1" si="4"/>
        <v>-1.2472160356347439E-2</v>
      </c>
      <c r="J22" s="118">
        <f t="shared" ca="1" si="5"/>
        <v>1.0022779043280182E-2</v>
      </c>
      <c r="K22" s="118">
        <f t="shared" ca="1" si="6"/>
        <v>5.5211803902903381E-2</v>
      </c>
      <c r="M22" s="118">
        <f t="shared" ca="1" si="7"/>
        <v>2.2779043280182234E-2</v>
      </c>
      <c r="N22" s="118">
        <f t="shared" ca="1" si="8"/>
        <v>6.8538791051880057E-2</v>
      </c>
      <c r="P22" s="115">
        <f t="shared" ca="1" si="9"/>
        <v>-28</v>
      </c>
      <c r="Q22" s="12" t="str">
        <f t="shared" ca="1" si="11"/>
        <v>割高</v>
      </c>
      <c r="R22" s="322">
        <f ca="1">終値履歴!D22</f>
        <v>2205.6</v>
      </c>
      <c r="S22" s="325">
        <f t="shared" ca="1" si="10"/>
        <v>5.1936218678815902E-3</v>
      </c>
      <c r="T22" s="322">
        <f ca="1">終値履歴!E22</f>
        <v>2101.6</v>
      </c>
      <c r="U22" s="325">
        <f t="shared" ca="1" si="2"/>
        <v>5.2052322958953581E-2</v>
      </c>
      <c r="W22" s="324">
        <f ca="1">終値履歴!F22</f>
        <v>1988</v>
      </c>
      <c r="X22" s="325">
        <f t="shared" ca="1" si="3"/>
        <v>0.10329273793414524</v>
      </c>
    </row>
    <row r="23" spans="1:24" x14ac:dyDescent="0.25">
      <c r="B23" s="297" t="str">
        <f>IPO監視一覧!B23</f>
        <v>オークネット</v>
      </c>
      <c r="C23" s="298">
        <f>株価一覧!H22</f>
        <v>5000</v>
      </c>
      <c r="D23" s="299">
        <f ca="1">OFFSET(終値履歴!A23,0,COUNTA(終値履歴!G23:'終値履歴'!XFD23)+2,1,-1)</f>
        <v>1431</v>
      </c>
      <c r="E23" s="299">
        <f ca="1">OFFSET(終値履歴!A23,0,COUNTA(終値履歴!G23:'終値履歴'!XFD23)+3,1,-1)</f>
        <v>1432</v>
      </c>
      <c r="F23" s="299">
        <f ca="1">OFFSET(終値履歴!A23,0,COUNTA(終値履歴!G23:'終値履歴'!XFD23)+4,1,-1)</f>
        <v>1451</v>
      </c>
      <c r="G23" s="299">
        <f ca="1">OFFSET(終値履歴!A23,0,COUNTA(終値履歴!G23:'終値履歴'!XFD23)+5,1,-1)</f>
        <v>1426</v>
      </c>
      <c r="I23" s="118">
        <f t="shared" ca="1" si="4"/>
        <v>-1.722949689869056E-2</v>
      </c>
      <c r="J23" s="118">
        <f t="shared" ca="1" si="5"/>
        <v>-4.1899441340782122E-3</v>
      </c>
      <c r="K23" s="118">
        <f t="shared" ca="1" si="6"/>
        <v>-3.4940600978336828E-3</v>
      </c>
      <c r="M23" s="118">
        <f t="shared" ca="1" si="7"/>
        <v>1.3268156424581005E-2</v>
      </c>
      <c r="N23" s="118">
        <f t="shared" ca="1" si="8"/>
        <v>1.3976240391334731E-2</v>
      </c>
      <c r="P23" s="115">
        <f t="shared" ca="1" si="9"/>
        <v>-25</v>
      </c>
      <c r="Q23" s="12" t="str">
        <f t="shared" ca="1" si="11"/>
        <v>割安</v>
      </c>
      <c r="R23" s="322">
        <f ca="1">終値履歴!D23</f>
        <v>1437.2</v>
      </c>
      <c r="S23" s="325">
        <f t="shared" ca="1" si="10"/>
        <v>-7.8212290502793613E-3</v>
      </c>
      <c r="T23" s="322">
        <f ca="1">終値履歴!E23</f>
        <v>1436.4</v>
      </c>
      <c r="U23" s="325">
        <f t="shared" ca="1" si="2"/>
        <v>-7.2931276297335838E-3</v>
      </c>
      <c r="W23" s="324">
        <f ca="1">終値履歴!F23</f>
        <v>1426</v>
      </c>
      <c r="X23" s="325">
        <f t="shared" ca="1" si="3"/>
        <v>0</v>
      </c>
    </row>
    <row r="24" spans="1:24" x14ac:dyDescent="0.25">
      <c r="B24" s="297" t="str">
        <f>IPO監視一覧!B24</f>
        <v>スシローグローバルHD</v>
      </c>
      <c r="C24" s="298">
        <f>株価一覧!H23</f>
        <v>94900</v>
      </c>
      <c r="D24" s="299">
        <f ca="1">OFFSET(終値履歴!A24,0,COUNTA(終値履歴!G24:'終値履歴'!XFD24)+2,1,-1)</f>
        <v>3630</v>
      </c>
      <c r="E24" s="299">
        <f ca="1">OFFSET(終値履歴!A24,0,COUNTA(終値履歴!G24:'終値履歴'!XFD24)+3,1,-1)</f>
        <v>3570</v>
      </c>
      <c r="F24" s="299">
        <f ca="1">OFFSET(終値履歴!A24,0,COUNTA(終値履歴!G24:'終値履歴'!XFD24)+4,1,-1)</f>
        <v>3605</v>
      </c>
      <c r="G24" s="299">
        <f ca="1">OFFSET(終値履歴!A24,0,COUNTA(終値履歴!G24:'終値履歴'!XFD24)+5,1,-1)</f>
        <v>3625</v>
      </c>
      <c r="I24" s="118">
        <f t="shared" ca="1" si="4"/>
        <v>5.5478502080443829E-3</v>
      </c>
      <c r="J24" s="118">
        <f t="shared" ca="1" si="5"/>
        <v>1.5406162464985995E-2</v>
      </c>
      <c r="K24" s="118">
        <f t="shared" ca="1" si="6"/>
        <v>-1.3774104683195593E-3</v>
      </c>
      <c r="M24" s="118">
        <f t="shared" ca="1" si="7"/>
        <v>9.8039215686274508E-3</v>
      </c>
      <c r="N24" s="118">
        <f t="shared" ca="1" si="8"/>
        <v>-6.8870523415977963E-3</v>
      </c>
      <c r="P24" s="115" t="str">
        <f t="shared" ca="1" si="9"/>
        <v>＋20</v>
      </c>
      <c r="Q24" s="12" t="str">
        <f t="shared" ca="1" si="11"/>
        <v>割高</v>
      </c>
      <c r="R24" s="322">
        <f ca="1">終値履歴!D24</f>
        <v>3614</v>
      </c>
      <c r="S24" s="325">
        <f t="shared" ca="1" si="10"/>
        <v>3.0812324929971988E-3</v>
      </c>
      <c r="T24" s="322">
        <f ca="1">終値履歴!E24</f>
        <v>3584.5</v>
      </c>
      <c r="U24" s="325">
        <f t="shared" ca="1" si="2"/>
        <v>1.1172413793103448E-2</v>
      </c>
      <c r="W24" s="324">
        <f ca="1">終値履歴!F24</f>
        <v>3470</v>
      </c>
      <c r="X24" s="325">
        <f t="shared" ca="1" si="3"/>
        <v>4.275862068965517E-2</v>
      </c>
    </row>
    <row r="25" spans="1:24" x14ac:dyDescent="0.25">
      <c r="B25" s="294" t="str">
        <f>IPO監視一覧!B25</f>
        <v>ユーザーローカル</v>
      </c>
      <c r="C25" s="295">
        <f>株価一覧!H24</f>
        <v>3500</v>
      </c>
      <c r="D25" s="296">
        <f ca="1">OFFSET(終値履歴!A25,0,COUNTA(終値履歴!G25:'終値履歴'!XFD25)+2,1,-1)</f>
        <v>6380</v>
      </c>
      <c r="E25" s="296">
        <f ca="1">OFFSET(終値履歴!A25,0,COUNTA(終値履歴!G25:'終値履歴'!XFD25)+3,1,-1)</f>
        <v>6160</v>
      </c>
      <c r="F25" s="296">
        <f ca="1">OFFSET(終値履歴!A25,0,COUNTA(終値履歴!G25:'終値履歴'!XFD25)+4,1,-1)</f>
        <v>6270</v>
      </c>
      <c r="G25" s="296">
        <f ca="1">OFFSET(終値履歴!A25,0,COUNTA(終値履歴!G25:'終値履歴'!XFD25)+5,1,-1)</f>
        <v>6280</v>
      </c>
      <c r="I25" s="118">
        <f t="shared" ca="1" si="4"/>
        <v>1.594896331738437E-3</v>
      </c>
      <c r="J25" s="118">
        <f t="shared" ca="1" si="5"/>
        <v>1.948051948051948E-2</v>
      </c>
      <c r="K25" s="118">
        <f t="shared" ca="1" si="6"/>
        <v>-1.5673981191222569E-2</v>
      </c>
      <c r="M25" s="118">
        <f t="shared" ca="1" si="7"/>
        <v>1.7857142857142856E-2</v>
      </c>
      <c r="N25" s="118">
        <f t="shared" ca="1" si="8"/>
        <v>-1.7241379310344827E-2</v>
      </c>
      <c r="P25" s="115" t="str">
        <f t="shared" ca="1" si="9"/>
        <v>＋10</v>
      </c>
      <c r="Q25" s="12" t="str">
        <f t="shared" ca="1" si="11"/>
        <v>普通</v>
      </c>
      <c r="R25" s="322">
        <f ca="1">終値履歴!D25</f>
        <v>6272</v>
      </c>
      <c r="S25" s="325">
        <f t="shared" ca="1" si="10"/>
        <v>1.2987012987012987E-3</v>
      </c>
      <c r="T25" s="322">
        <f ca="1">終値履歴!E25</f>
        <v>6430</v>
      </c>
      <c r="U25" s="325">
        <f t="shared" ca="1" si="2"/>
        <v>-2.3885350318471339E-2</v>
      </c>
      <c r="W25" s="324">
        <f ca="1">終値履歴!F25</f>
        <v>6160</v>
      </c>
      <c r="X25" s="325">
        <f t="shared" ca="1" si="3"/>
        <v>1.9108280254777069E-2</v>
      </c>
    </row>
    <row r="26" spans="1:24" x14ac:dyDescent="0.25">
      <c r="B26" s="47" t="str">
        <f>IPO監視一覧!B26</f>
        <v>ネットマーケティング</v>
      </c>
      <c r="C26" s="345">
        <f>株価一覧!H25</f>
        <v>17500</v>
      </c>
      <c r="D26" s="346">
        <f ca="1">OFFSET(終値履歴!A26,0,COUNTA(終値履歴!G26:'終値履歴'!XFD26)+2,1,-1)</f>
        <v>1379</v>
      </c>
      <c r="E26" s="346">
        <f ca="1">OFFSET(終値履歴!A26,0,COUNTA(終値履歴!G26:'終値履歴'!XFD26)+3,1,-1)</f>
        <v>1381</v>
      </c>
      <c r="F26" s="346">
        <f ca="1">OFFSET(終値履歴!A26,0,COUNTA(終値履歴!G26:'終値履歴'!XFD26)+4,1,-1)</f>
        <v>1406</v>
      </c>
      <c r="G26" s="346">
        <f ca="1">OFFSET(終値履歴!A26,0,COUNTA(終値履歴!G26:'終値履歴'!XFD26)+5,1,-1)</f>
        <v>1405</v>
      </c>
      <c r="I26" s="118">
        <f ca="1">(G26-F26)/F26</f>
        <v>-7.1123755334281653E-4</v>
      </c>
      <c r="J26" s="118">
        <f ca="1">(G26-E26)/E26</f>
        <v>1.7378711078928313E-2</v>
      </c>
      <c r="K26" s="118">
        <f ca="1">(G26-D26)/D26</f>
        <v>1.8854242204496011E-2</v>
      </c>
      <c r="M26" s="118">
        <f ca="1">(F26-E26)/E26</f>
        <v>1.8102824040550327E-2</v>
      </c>
      <c r="N26" s="118">
        <f ca="1">(F26-D26)/D26</f>
        <v>1.9579405366207395E-2</v>
      </c>
      <c r="P26" s="115">
        <f t="shared" ca="1" si="9"/>
        <v>-1</v>
      </c>
      <c r="Q26" s="12" t="str">
        <f t="shared" ca="1" si="11"/>
        <v>普通</v>
      </c>
      <c r="R26" s="322">
        <f ca="1">終値履歴!D26</f>
        <v>1398.2</v>
      </c>
      <c r="S26" s="325">
        <f t="shared" ca="1" si="10"/>
        <v>4.9239681390296558E-3</v>
      </c>
      <c r="T26" s="322">
        <f ca="1">終値履歴!E26</f>
        <v>1409.9</v>
      </c>
      <c r="U26" s="325">
        <f t="shared" ca="1" si="2"/>
        <v>-3.4875444839858297E-3</v>
      </c>
      <c r="W26" s="324">
        <f ca="1">終値履歴!F26</f>
        <v>1379</v>
      </c>
      <c r="X26" s="325">
        <f t="shared" ca="1" si="3"/>
        <v>1.8505338078291814E-2</v>
      </c>
    </row>
    <row r="27" spans="1:24" x14ac:dyDescent="0.25">
      <c r="B27" s="294" t="str">
        <f>IPO監視一覧!B27</f>
        <v>テモナ</v>
      </c>
      <c r="C27" s="295">
        <f>株価一覧!H26</f>
        <v>3400</v>
      </c>
      <c r="D27" s="296">
        <f ca="1">OFFSET(終値履歴!A27,0,COUNTA(終値履歴!G27:'終値履歴'!XFD27)+2,1,-1)</f>
        <v>5850</v>
      </c>
      <c r="E27" s="296">
        <f ca="1">OFFSET(終値履歴!A27,0,COUNTA(終値履歴!G27:'終値履歴'!XFD27)+3,1,-1)</f>
        <v>5690</v>
      </c>
      <c r="F27" s="296">
        <f ca="1">OFFSET(終値履歴!A27,0,COUNTA(終値履歴!G27:'終値履歴'!XFD27)+4,1,-1)</f>
        <v>5570</v>
      </c>
      <c r="G27" s="296">
        <f ca="1">OFFSET(終値履歴!A27,0,COUNTA(終値履歴!G27:'終値履歴'!XFD27)+5,1,-1)</f>
        <v>5530</v>
      </c>
      <c r="I27" s="118">
        <f t="shared" ca="1" si="4"/>
        <v>-7.1813285457809697E-3</v>
      </c>
      <c r="J27" s="118">
        <f t="shared" ca="1" si="5"/>
        <v>-2.8119507908611598E-2</v>
      </c>
      <c r="K27" s="118">
        <f t="shared" ca="1" si="6"/>
        <v>-5.4700854700854701E-2</v>
      </c>
      <c r="M27" s="118">
        <f t="shared" ca="1" si="7"/>
        <v>-2.10896309314587E-2</v>
      </c>
      <c r="N27" s="118">
        <f t="shared" ca="1" si="8"/>
        <v>-4.7863247863247867E-2</v>
      </c>
      <c r="P27" s="115">
        <f t="shared" ca="1" si="9"/>
        <v>-40</v>
      </c>
      <c r="Q27" s="12" t="str">
        <f t="shared" ca="1" si="11"/>
        <v>割安</v>
      </c>
      <c r="R27" s="322">
        <f ca="1">終値履歴!D27</f>
        <v>5698</v>
      </c>
      <c r="S27" s="325">
        <f t="shared" ca="1" si="10"/>
        <v>-2.9525483304042179E-2</v>
      </c>
      <c r="T27" s="322">
        <f ca="1">終値履歴!E27</f>
        <v>5767</v>
      </c>
      <c r="U27" s="325">
        <f t="shared" ca="1" si="2"/>
        <v>-4.2857142857142858E-2</v>
      </c>
      <c r="W27" s="324">
        <f ca="1">終値履歴!F27</f>
        <v>5530</v>
      </c>
      <c r="X27" s="325">
        <f t="shared" ca="1" si="3"/>
        <v>0</v>
      </c>
    </row>
    <row r="28" spans="1:24" x14ac:dyDescent="0.25">
      <c r="B28" s="297" t="str">
        <f>IPO監視一覧!B28</f>
        <v>ウェーブロックHD</v>
      </c>
      <c r="C28" s="298">
        <f>株価一覧!H27</f>
        <v>79000</v>
      </c>
      <c r="D28" s="299">
        <f ca="1">OFFSET(終値履歴!A28,0,COUNTA(終値履歴!G28:'終値履歴'!XFD28)+2,1,-1)</f>
        <v>1339</v>
      </c>
      <c r="E28" s="299">
        <f ca="1">OFFSET(終値履歴!A28,0,COUNTA(終値履歴!G28:'終値履歴'!XFD28)+3,1,-1)</f>
        <v>1360</v>
      </c>
      <c r="F28" s="299">
        <f ca="1">OFFSET(終値履歴!A28,0,COUNTA(終値履歴!G28:'終値履歴'!XFD28)+4,1,-1)</f>
        <v>1369</v>
      </c>
      <c r="G28" s="299">
        <f ca="1">OFFSET(終値履歴!A28,0,COUNTA(終値履歴!G28:'終値履歴'!XFD28)+5,1,-1)</f>
        <v>1355</v>
      </c>
      <c r="I28" s="118">
        <f t="shared" ca="1" si="4"/>
        <v>-1.0226442658875092E-2</v>
      </c>
      <c r="J28" s="118">
        <f t="shared" ca="1" si="5"/>
        <v>-3.6764705882352941E-3</v>
      </c>
      <c r="K28" s="118">
        <f t="shared" ca="1" si="6"/>
        <v>1.1949215832710979E-2</v>
      </c>
      <c r="M28" s="118">
        <f t="shared" ca="1" si="7"/>
        <v>6.6176470588235293E-3</v>
      </c>
      <c r="N28" s="118">
        <f t="shared" ca="1" si="8"/>
        <v>2.2404779686333084E-2</v>
      </c>
      <c r="P28" s="115">
        <f t="shared" ca="1" si="9"/>
        <v>-14</v>
      </c>
      <c r="Q28" s="12" t="str">
        <f t="shared" ca="1" si="11"/>
        <v>割安</v>
      </c>
      <c r="R28" s="322">
        <f ca="1">終値履歴!D28</f>
        <v>1360.4</v>
      </c>
      <c r="S28" s="325">
        <f t="shared" ca="1" si="10"/>
        <v>-3.9705882352941849E-3</v>
      </c>
      <c r="T28" s="322">
        <f ca="1">終値履歴!E28</f>
        <v>1380.1</v>
      </c>
      <c r="U28" s="325">
        <f t="shared" ca="1" si="2"/>
        <v>-1.8523985239852332E-2</v>
      </c>
      <c r="W28" s="324">
        <f ca="1">終値履歴!F28</f>
        <v>1339</v>
      </c>
      <c r="X28" s="325">
        <f t="shared" ca="1" si="3"/>
        <v>1.1808118081180811E-2</v>
      </c>
    </row>
    <row r="29" spans="1:24" x14ac:dyDescent="0.25">
      <c r="B29" s="297" t="str">
        <f>IPO監視一覧!B29</f>
        <v>LIXILビバ</v>
      </c>
      <c r="C29" s="298">
        <f>株価一覧!H28</f>
        <v>119100</v>
      </c>
      <c r="D29" s="299">
        <f ca="1">OFFSET(終値履歴!A29,0,COUNTA(終値履歴!G29:'終値履歴'!XFD29)+2,1,-1)</f>
        <v>1850</v>
      </c>
      <c r="E29" s="299">
        <f ca="1">OFFSET(終値履歴!A29,0,COUNTA(終値履歴!G29:'終値履歴'!XFD29)+3,1,-1)</f>
        <v>1850</v>
      </c>
      <c r="F29" s="299">
        <f ca="1">OFFSET(終値履歴!A29,0,COUNTA(終値履歴!G29:'終値履歴'!XFD29)+4,1,-1)</f>
        <v>1832</v>
      </c>
      <c r="G29" s="299">
        <f ca="1">OFFSET(終値履歴!A29,0,COUNTA(終値履歴!G29:'終値履歴'!XFD29)+5,1,-1)</f>
        <v>1831</v>
      </c>
      <c r="I29" s="118">
        <f t="shared" ca="1" si="4"/>
        <v>-5.4585152838427945E-4</v>
      </c>
      <c r="J29" s="118">
        <f t="shared" ca="1" si="5"/>
        <v>-1.0270270270270269E-2</v>
      </c>
      <c r="K29" s="118">
        <f t="shared" ca="1" si="6"/>
        <v>-1.0270270270270269E-2</v>
      </c>
      <c r="M29" s="118">
        <f t="shared" ca="1" si="7"/>
        <v>-9.7297297297297292E-3</v>
      </c>
      <c r="N29" s="118">
        <f t="shared" ca="1" si="8"/>
        <v>-9.7297297297297292E-3</v>
      </c>
      <c r="P29" s="115">
        <f t="shared" ca="1" si="9"/>
        <v>-1</v>
      </c>
      <c r="Q29" s="12" t="str">
        <f t="shared" ca="1" si="11"/>
        <v>割安</v>
      </c>
      <c r="R29" s="322">
        <f ca="1">終値履歴!D29</f>
        <v>1846</v>
      </c>
      <c r="S29" s="325">
        <f t="shared" ca="1" si="10"/>
        <v>-8.1081081081081086E-3</v>
      </c>
      <c r="T29" s="322">
        <f ca="1">終値履歴!E29</f>
        <v>1865.9</v>
      </c>
      <c r="U29" s="325">
        <f t="shared" ca="1" si="2"/>
        <v>-1.9060622610595351E-2</v>
      </c>
      <c r="W29" s="324">
        <f ca="1">終値履歴!F29</f>
        <v>1831</v>
      </c>
      <c r="X29" s="325">
        <f t="shared" ca="1" si="3"/>
        <v>0</v>
      </c>
    </row>
    <row r="30" spans="1:24" x14ac:dyDescent="0.25">
      <c r="B30" s="294" t="str">
        <f>IPO監視一覧!B30</f>
        <v>旅工房</v>
      </c>
      <c r="C30" s="295">
        <f>株価一覧!H29</f>
        <v>27000</v>
      </c>
      <c r="D30" s="296">
        <f ca="1">OFFSET(終値履歴!A30,0,COUNTA(終値履歴!G30:'終値履歴'!XFD30)+2,1,-1)</f>
        <v>1422</v>
      </c>
      <c r="E30" s="296">
        <f ca="1">OFFSET(終値履歴!A30,0,COUNTA(終値履歴!G30:'終値履歴'!XFD30)+3,1,-1)</f>
        <v>1363</v>
      </c>
      <c r="F30" s="296">
        <f ca="1">OFFSET(終値履歴!A30,0,COUNTA(終値履歴!G30:'終値履歴'!XFD30)+4,1,-1)</f>
        <v>1329</v>
      </c>
      <c r="G30" s="296">
        <f ca="1">OFFSET(終値履歴!A30,0,COUNTA(終値履歴!G30:'終値履歴'!XFD30)+5,1,-1)</f>
        <v>1295</v>
      </c>
      <c r="I30" s="118">
        <f t="shared" ca="1" si="4"/>
        <v>-2.5583145221971408E-2</v>
      </c>
      <c r="J30" s="118">
        <f t="shared" ca="1" si="5"/>
        <v>-4.9889948642699924E-2</v>
      </c>
      <c r="K30" s="118">
        <f t="shared" ca="1" si="6"/>
        <v>-8.9310829817158932E-2</v>
      </c>
      <c r="M30" s="118">
        <f t="shared" ca="1" si="7"/>
        <v>-2.4944974321349962E-2</v>
      </c>
      <c r="N30" s="118">
        <f t="shared" ca="1" si="8"/>
        <v>-6.5400843881856546E-2</v>
      </c>
      <c r="P30" s="115">
        <f t="shared" ca="1" si="9"/>
        <v>-34</v>
      </c>
      <c r="Q30" s="12" t="str">
        <f t="shared" ca="1" si="11"/>
        <v>割安</v>
      </c>
      <c r="R30" s="322">
        <f ca="1">終値履歴!D30</f>
        <v>1377.2</v>
      </c>
      <c r="S30" s="325">
        <f t="shared" ca="1" si="10"/>
        <v>-6.0308143800440236E-2</v>
      </c>
      <c r="T30" s="322">
        <f ca="1">終値履歴!E30</f>
        <v>1345.2</v>
      </c>
      <c r="U30" s="325">
        <f t="shared" ca="1" si="2"/>
        <v>-3.8764478764478798E-2</v>
      </c>
      <c r="W30" s="324">
        <f ca="1">終値履歴!F30</f>
        <v>1275</v>
      </c>
      <c r="X30" s="325">
        <f t="shared" ca="1" si="3"/>
        <v>1.5444015444015444E-2</v>
      </c>
    </row>
    <row r="31" spans="1:24" x14ac:dyDescent="0.25">
      <c r="B31" s="47" t="str">
        <f>IPO監視一覧!B31</f>
        <v>アセンテック</v>
      </c>
      <c r="C31" s="345">
        <f>株価一覧!H30</f>
        <v>50500</v>
      </c>
      <c r="D31" s="426">
        <f ca="1">OFFSET(終値履歴!A31,0,COUNTA(終値履歴!G31:'終値履歴'!XFD31)+2,1,-1)</f>
        <v>3985</v>
      </c>
      <c r="E31" s="426">
        <f ca="1">OFFSET(終値履歴!A31,0,COUNTA(終値履歴!G31:'終値履歴'!XFD31)+3,1,-1)</f>
        <v>4065</v>
      </c>
      <c r="F31" s="426">
        <f ca="1">OFFSET(終値履歴!A31,0,COUNTA(終値履歴!G31:'終値履歴'!XFD31)+4,1,-1)</f>
        <v>4135</v>
      </c>
      <c r="G31" s="426">
        <f ca="1">OFFSET(終値履歴!A31,0,COUNTA(終値履歴!G31:'終値履歴'!XFD31)+5,1,-1)</f>
        <v>4070</v>
      </c>
      <c r="I31" s="118">
        <f t="shared" ca="1" si="4"/>
        <v>-1.5719467956469165E-2</v>
      </c>
      <c r="J31" s="118">
        <f t="shared" ca="1" si="5"/>
        <v>1.2300123001230013E-3</v>
      </c>
      <c r="K31" s="118">
        <f t="shared" ca="1" si="6"/>
        <v>2.1329987452948559E-2</v>
      </c>
      <c r="M31" s="118">
        <f t="shared" ca="1" si="7"/>
        <v>1.7220172201722016E-2</v>
      </c>
      <c r="N31" s="118">
        <f t="shared" ca="1" si="8"/>
        <v>3.7641154328732745E-2</v>
      </c>
      <c r="P31" s="115">
        <f t="shared" ca="1" si="9"/>
        <v>-65</v>
      </c>
      <c r="Q31" s="12" t="str">
        <f t="shared" ca="1" si="11"/>
        <v>普通</v>
      </c>
      <c r="R31" s="322">
        <f ca="1">終値履歴!D31</f>
        <v>4069</v>
      </c>
      <c r="S31" s="325">
        <f t="shared" ca="1" si="10"/>
        <v>2.4600246002460022E-4</v>
      </c>
      <c r="T31" s="322">
        <f ca="1">終値履歴!E31</f>
        <v>4255.5</v>
      </c>
      <c r="U31" s="325">
        <f t="shared" ca="1" si="2"/>
        <v>-4.5577395577395576E-2</v>
      </c>
      <c r="W31" s="324">
        <f ca="1">終値履歴!F31</f>
        <v>3985</v>
      </c>
      <c r="X31" s="325">
        <f t="shared" ca="1" si="3"/>
        <v>2.0884520884520884E-2</v>
      </c>
    </row>
    <row r="32" spans="1:24" x14ac:dyDescent="0.25">
      <c r="A32" s="12" t="s">
        <v>463</v>
      </c>
      <c r="B32" s="84" t="str">
        <f>'セカンダリ投資分析(SBI証券)'!B6</f>
        <v>アエリア</v>
      </c>
      <c r="C32" s="122">
        <f>株価一覧!H31</f>
        <v>1020800</v>
      </c>
      <c r="D32" s="320">
        <f ca="1">OFFSET(終値履歴!A32,0,COUNTA(終値履歴!G32:'終値履歴'!XFD32)+2,1,-1)</f>
        <v>2001</v>
      </c>
      <c r="E32" s="320">
        <f ca="1">OFFSET(終値履歴!A32,0,COUNTA(終値履歴!G32:'終値履歴'!XFD32)+3,1,-1)</f>
        <v>2078</v>
      </c>
      <c r="F32" s="320">
        <f ca="1">OFFSET(終値履歴!A32,0,COUNTA(終値履歴!G32:'終値履歴'!XFD32)+4,1,-1)</f>
        <v>1970</v>
      </c>
      <c r="G32" s="122">
        <f ca="1">OFFSET(終値履歴!A32,0,COUNTA(終値履歴!G32:'終値履歴'!XFD32)+5,1,-1)</f>
        <v>2000</v>
      </c>
      <c r="I32" s="118">
        <f t="shared" ref="I32:I35" ca="1" si="12">(G32-F32)/F32</f>
        <v>1.5228426395939087E-2</v>
      </c>
      <c r="J32" s="118">
        <f t="shared" ref="J32:J35" ca="1" si="13">(G32-E32)/E32</f>
        <v>-3.7536092396535131E-2</v>
      </c>
      <c r="K32" s="118">
        <f t="shared" ref="K32:K35" ca="1" si="14">(G32-D32)/D32</f>
        <v>-4.9975012493753122E-4</v>
      </c>
      <c r="M32" s="118">
        <f ca="1">(F32-E32)/E32</f>
        <v>-5.19730510105871E-2</v>
      </c>
      <c r="N32" s="118">
        <f t="shared" ref="N32:N35" ca="1" si="15">(F32-D32)/D32</f>
        <v>-1.5492253873063468E-2</v>
      </c>
      <c r="P32" s="115" t="str">
        <f t="shared" ref="P32:P35" ca="1" si="16">IF(G32-F32 &gt; 0,CONCATENATE("＋",G32-F32),G32-F32)</f>
        <v>＋30</v>
      </c>
      <c r="Q32" s="12" t="str">
        <f t="shared" ca="1" si="11"/>
        <v>割安</v>
      </c>
      <c r="R32" s="322">
        <f ca="1">終値履歴!D32</f>
        <v>2023.8</v>
      </c>
      <c r="S32" s="325">
        <f t="shared" ca="1" si="10"/>
        <v>-1.145332050048121E-2</v>
      </c>
      <c r="T32" s="322">
        <f ca="1">終値履歴!E32</f>
        <v>2059.8000000000002</v>
      </c>
      <c r="U32" s="325">
        <f t="shared" ca="1" si="2"/>
        <v>-2.990000000000009E-2</v>
      </c>
      <c r="W32" s="322">
        <f ca="1">終値履歴!F32</f>
        <v>1970</v>
      </c>
      <c r="X32" s="325">
        <f t="shared" ca="1" si="3"/>
        <v>1.4999999999999999E-2</v>
      </c>
    </row>
    <row r="33" spans="1:24" x14ac:dyDescent="0.25">
      <c r="A33" s="12" t="s">
        <v>463</v>
      </c>
      <c r="B33" s="84" t="str">
        <f>'セカンダリ投資分析(SBI証券)'!B10</f>
        <v>アカツキ</v>
      </c>
      <c r="C33" s="122">
        <f>株価一覧!H32</f>
        <v>292700</v>
      </c>
      <c r="D33" s="320">
        <f ca="1">OFFSET(終値履歴!A33,0,COUNTA(終値履歴!G33:'終値履歴'!XFD33)+2,1,-1)</f>
        <v>7990</v>
      </c>
      <c r="E33" s="320">
        <f ca="1">OFFSET(終値履歴!A33,0,COUNTA(終値履歴!G33:'終値履歴'!XFD33)+3,1,-1)</f>
        <v>8080</v>
      </c>
      <c r="F33" s="320">
        <f ca="1">OFFSET(終値履歴!A33,0,COUNTA(終値履歴!G33:'終値履歴'!XFD33)+4,1,-1)</f>
        <v>8470</v>
      </c>
      <c r="G33" s="320">
        <f ca="1">OFFSET(終値履歴!A33,0,COUNTA(終値履歴!G33:'終値履歴'!XFD33)+5,1,-1)</f>
        <v>8500</v>
      </c>
      <c r="I33" s="118">
        <f t="shared" ca="1" si="12"/>
        <v>3.5419126328217238E-3</v>
      </c>
      <c r="J33" s="118">
        <f t="shared" ca="1" si="13"/>
        <v>5.1980198019801978E-2</v>
      </c>
      <c r="K33" s="118">
        <f t="shared" ca="1" si="14"/>
        <v>6.3829787234042548E-2</v>
      </c>
      <c r="M33" s="118">
        <f t="shared" ref="M33:M35" ca="1" si="17">(F33-E33)/E33</f>
        <v>4.8267326732673269E-2</v>
      </c>
      <c r="N33" s="118">
        <f t="shared" ca="1" si="15"/>
        <v>6.0075093867334166E-2</v>
      </c>
      <c r="P33" s="115" t="str">
        <f t="shared" ca="1" si="16"/>
        <v>＋30</v>
      </c>
      <c r="Q33" s="12" t="str">
        <f t="shared" ca="1" si="11"/>
        <v>普通</v>
      </c>
      <c r="R33" s="322">
        <f ca="1">終値履歴!D33</f>
        <v>8324</v>
      </c>
      <c r="S33" s="325">
        <f t="shared" ca="1" si="10"/>
        <v>2.1782178217821781E-2</v>
      </c>
      <c r="T33" s="322">
        <f ca="1">終値履歴!E33</f>
        <v>8631</v>
      </c>
      <c r="U33" s="325">
        <f t="shared" ca="1" si="2"/>
        <v>-1.5411764705882352E-2</v>
      </c>
      <c r="W33" s="322">
        <f ca="1">終値履歴!F33</f>
        <v>7990</v>
      </c>
      <c r="X33" s="325">
        <f t="shared" ca="1" si="3"/>
        <v>0.06</v>
      </c>
    </row>
    <row r="34" spans="1:24" x14ac:dyDescent="0.25">
      <c r="A34" s="12" t="s">
        <v>463</v>
      </c>
      <c r="B34" s="84" t="str">
        <f>'セカンダリ投資分析(SBI証券)'!B14</f>
        <v>メイコー</v>
      </c>
      <c r="C34" s="122">
        <f>株価一覧!H33</f>
        <v>316000</v>
      </c>
      <c r="D34" s="320">
        <f ca="1">OFFSET(終値履歴!A34,0,COUNTA(終値履歴!G34:'終値履歴'!XFD34)+2,1,-1)</f>
        <v>2016</v>
      </c>
      <c r="E34" s="320">
        <f ca="1">OFFSET(終値履歴!A34,0,COUNTA(終値履歴!G34:'終値履歴'!XFD34)+3,1,-1)</f>
        <v>2021</v>
      </c>
      <c r="F34" s="320">
        <f ca="1">OFFSET(終値履歴!A34,0,COUNTA(終値履歴!G34:'終値履歴'!XFD34)+4,1,-1)</f>
        <v>2031</v>
      </c>
      <c r="G34" s="320">
        <f ca="1">OFFSET(終値履歴!A34,0,COUNTA(終値履歴!G34:'終値履歴'!XFD34)+5,1,-1)</f>
        <v>1975</v>
      </c>
      <c r="I34" s="118">
        <f t="shared" ca="1" si="12"/>
        <v>-2.7572624322993598E-2</v>
      </c>
      <c r="J34" s="118">
        <f t="shared" ca="1" si="13"/>
        <v>-2.2761009401286492E-2</v>
      </c>
      <c r="K34" s="118">
        <f t="shared" ca="1" si="14"/>
        <v>-2.0337301587301588E-2</v>
      </c>
      <c r="M34" s="118">
        <f t="shared" ca="1" si="17"/>
        <v>4.9480455220188022E-3</v>
      </c>
      <c r="N34" s="118">
        <f t="shared" ca="1" si="15"/>
        <v>7.4404761904761901E-3</v>
      </c>
      <c r="P34" s="115">
        <f t="shared" ca="1" si="16"/>
        <v>-56</v>
      </c>
      <c r="Q34" s="12" t="str">
        <f t="shared" ca="1" si="11"/>
        <v>割安</v>
      </c>
      <c r="R34" s="322">
        <f ca="1">終値履歴!D34</f>
        <v>2020.6</v>
      </c>
      <c r="S34" s="325">
        <f t="shared" ca="1" si="10"/>
        <v>-2.2563087580405695E-2</v>
      </c>
      <c r="T34" s="322">
        <f ca="1">終値履歴!E34</f>
        <v>2072.1</v>
      </c>
      <c r="U34" s="325">
        <f t="shared" ca="1" si="2"/>
        <v>-4.916455696202527E-2</v>
      </c>
      <c r="W34" s="322">
        <f ca="1">終値履歴!F34</f>
        <v>1975</v>
      </c>
      <c r="X34" s="325">
        <f t="shared" ca="1" si="3"/>
        <v>0</v>
      </c>
    </row>
    <row r="35" spans="1:24" x14ac:dyDescent="0.25">
      <c r="A35" s="12" t="s">
        <v>463</v>
      </c>
      <c r="B35" s="47" t="str">
        <f>'セカンダリ投資分析(SBI証券)'!B9</f>
        <v>クルーズ</v>
      </c>
      <c r="C35" s="364">
        <f>株価一覧!H34</f>
        <v>95700</v>
      </c>
      <c r="D35" s="364">
        <f ca="1">OFFSET(終値履歴!A35,0,COUNTA(終値履歴!G35:'終値履歴'!XFD35)+2,1,-1)</f>
        <v>2323</v>
      </c>
      <c r="E35" s="364">
        <f ca="1">OFFSET(終値履歴!A35,0,COUNTA(終値履歴!G35:'終値履歴'!XFD35)+3,1,-1)</f>
        <v>2383</v>
      </c>
      <c r="F35" s="364">
        <f ca="1">OFFSET(終値履歴!A35,0,COUNTA(終値履歴!G35:'終値履歴'!XFD35)+4,1,-1)</f>
        <v>2378</v>
      </c>
      <c r="G35" s="364">
        <f ca="1">OFFSET(終値履歴!A35,0,COUNTA(終値履歴!G35:'終値履歴'!XFD35)+5,1,-1)</f>
        <v>2434</v>
      </c>
      <c r="I35" s="118">
        <f t="shared" ca="1" si="12"/>
        <v>2.3549201009251473E-2</v>
      </c>
      <c r="J35" s="118">
        <f t="shared" ca="1" si="13"/>
        <v>2.1401594628619389E-2</v>
      </c>
      <c r="K35" s="118">
        <f t="shared" ca="1" si="14"/>
        <v>4.7783039173482568E-2</v>
      </c>
      <c r="M35" s="118">
        <f t="shared" ca="1" si="17"/>
        <v>-2.0981955518254302E-3</v>
      </c>
      <c r="N35" s="118">
        <f t="shared" ca="1" si="15"/>
        <v>2.3676280671545414E-2</v>
      </c>
      <c r="P35" s="115" t="str">
        <f t="shared" ca="1" si="16"/>
        <v>＋56</v>
      </c>
      <c r="Q35" s="12" t="str">
        <f t="shared" ca="1" si="11"/>
        <v>割高</v>
      </c>
      <c r="R35" s="322">
        <f ca="1">終値履歴!D35</f>
        <v>2386.8000000000002</v>
      </c>
      <c r="S35" s="325">
        <f t="shared" ca="1" si="10"/>
        <v>1.9806966009231985E-2</v>
      </c>
      <c r="T35" s="322">
        <f ca="1">終値履歴!E35</f>
        <v>2383.6999999999998</v>
      </c>
      <c r="U35" s="325">
        <f t="shared" ca="1" si="2"/>
        <v>2.0665571076417494E-2</v>
      </c>
      <c r="W35" s="322">
        <f ca="1">終値履歴!F35</f>
        <v>2323</v>
      </c>
      <c r="X35" s="325">
        <f t="shared" ca="1" si="3"/>
        <v>4.5603944124897287E-2</v>
      </c>
    </row>
    <row r="36" spans="1:24" x14ac:dyDescent="0.25">
      <c r="A36" s="12" t="s">
        <v>463</v>
      </c>
      <c r="B36" s="84" t="str">
        <f>'セカンダリ投資分析(SBI証券)'!B22</f>
        <v>サイバーステップ</v>
      </c>
      <c r="C36" s="122">
        <f>株価一覧!H35</f>
        <v>952500</v>
      </c>
      <c r="D36" s="320">
        <f ca="1">OFFSET(終値履歴!A36,0,COUNTA(終値履歴!G36:'終値履歴'!XFD36)+2,1,-1)</f>
        <v>3130</v>
      </c>
      <c r="E36" s="320">
        <f ca="1">OFFSET(終値履歴!A36,0,COUNTA(終値履歴!G36:'終値履歴'!XFD36)+3,1,-1)</f>
        <v>2937</v>
      </c>
      <c r="F36" s="320">
        <f ca="1">OFFSET(終値履歴!A36,0,COUNTA(終値履歴!G36:'終値履歴'!XFD36)+4,1,-1)</f>
        <v>2661</v>
      </c>
      <c r="G36" s="320">
        <f ca="1">OFFSET(終値履歴!A36,0,COUNTA(終値履歴!G36:'終値履歴'!XFD36)+5,1,-1)</f>
        <v>2671</v>
      </c>
      <c r="I36" s="118">
        <f t="shared" ref="I36" ca="1" si="18">(G36-F36)/F36</f>
        <v>3.7579857196542651E-3</v>
      </c>
      <c r="J36" s="118">
        <f t="shared" ref="J36" ca="1" si="19">(G36-E36)/E36</f>
        <v>-9.0568607422540012E-2</v>
      </c>
      <c r="K36" s="118">
        <f t="shared" ref="K36" ca="1" si="20">(G36-D36)/D36</f>
        <v>-0.14664536741214057</v>
      </c>
      <c r="M36" s="118">
        <f t="shared" ref="M36" ca="1" si="21">(F36-E36)/E36</f>
        <v>-9.3973442288049033E-2</v>
      </c>
      <c r="N36" s="118">
        <f t="shared" ref="N36" ca="1" si="22">(F36-D36)/D36</f>
        <v>-0.14984025559105432</v>
      </c>
      <c r="P36" s="115" t="str">
        <f t="shared" ref="P36" ca="1" si="23">IF(G36-F36 &gt; 0,CONCATENATE("＋",G36-F36),G36-F36)</f>
        <v>＋10</v>
      </c>
      <c r="Q36" s="12" t="str">
        <f t="shared" ca="1" si="11"/>
        <v>割安</v>
      </c>
      <c r="R36" s="322">
        <f ca="1">終値履歴!D36</f>
        <v>2942.8</v>
      </c>
      <c r="S36" s="325">
        <f t="shared" ca="1" si="10"/>
        <v>-9.2543411644535306E-2</v>
      </c>
      <c r="T36" s="322">
        <f ca="1">終値履歴!E36</f>
        <v>2921.9</v>
      </c>
      <c r="U36" s="325">
        <f t="shared" ca="1" si="2"/>
        <v>-9.3934855859228783E-2</v>
      </c>
      <c r="W36" s="322">
        <f ca="1">終値履歴!F36</f>
        <v>2661</v>
      </c>
      <c r="X36" s="325">
        <f t="shared" ca="1" si="3"/>
        <v>3.7439161362785474E-3</v>
      </c>
    </row>
    <row r="37" spans="1:24" x14ac:dyDescent="0.25">
      <c r="A37" s="12" t="s">
        <v>463</v>
      </c>
      <c r="B37" s="47" t="str">
        <f>'セカンダリ投資分析(SBI証券)'!B28</f>
        <v>アズジェント</v>
      </c>
      <c r="C37" s="364">
        <f>株価一覧!H36</f>
        <v>60200</v>
      </c>
      <c r="D37" s="364">
        <f ca="1">OFFSET(終値履歴!A37,0,COUNTA(終値履歴!G37:'終値履歴'!XFD37)+2,1,-1)</f>
        <v>2641</v>
      </c>
      <c r="E37" s="364">
        <f ca="1">OFFSET(終値履歴!A37,0,COUNTA(終値履歴!G37:'終値履歴'!XFD37)+3,1,-1)</f>
        <v>2731</v>
      </c>
      <c r="F37" s="364">
        <f ca="1">OFFSET(終値履歴!A37,0,COUNTA(終値履歴!G37:'終値履歴'!XFD37)+4,1,-1)</f>
        <v>2766</v>
      </c>
      <c r="G37" s="364">
        <f ca="1">OFFSET(終値履歴!A37,0,COUNTA(終値履歴!G37:'終値履歴'!XFD37)+5,1,-1)</f>
        <v>2769</v>
      </c>
      <c r="I37" s="118">
        <f t="shared" ref="I37" ca="1" si="24">(G37-F37)/F37</f>
        <v>1.0845986984815619E-3</v>
      </c>
      <c r="J37" s="118">
        <f t="shared" ref="J37" ca="1" si="25">(G37-E37)/E37</f>
        <v>1.3914317099963384E-2</v>
      </c>
      <c r="K37" s="118">
        <f t="shared" ref="K37" ca="1" si="26">(G37-D37)/D37</f>
        <v>4.8466489965921997E-2</v>
      </c>
      <c r="M37" s="118">
        <f t="shared" ref="M37" ca="1" si="27">(F37-E37)/E37</f>
        <v>1.2815818381545222E-2</v>
      </c>
      <c r="N37" s="118">
        <f t="shared" ref="N37" ca="1" si="28">(F37-D37)/D37</f>
        <v>4.7330556607345704E-2</v>
      </c>
      <c r="P37" s="115" t="str">
        <f t="shared" ref="P37" ca="1" si="29">IF(G37-F37 &gt; 0,CONCATENATE("＋",G37-F37),G37-F37)</f>
        <v>＋3</v>
      </c>
      <c r="Q37" s="12" t="str">
        <f t="shared" ref="Q37" ca="1" si="30">IF(AND(G37&lt;=T37,G37&lt;=R37),"割安",IF(AND(G37&gt;T37,G37&lt;=R37),"普通",IF(AND(G37&lt;=T37,G37&gt;R37),"普通","割高")))</f>
        <v>普通</v>
      </c>
      <c r="R37" s="322">
        <f ca="1">終値履歴!D37</f>
        <v>2729.4</v>
      </c>
      <c r="S37" s="325">
        <f t="shared" ref="S37" ca="1" si="31">(G37-R37)/E37</f>
        <v>1.4500183083119704E-2</v>
      </c>
      <c r="T37" s="322">
        <f ca="1">終値履歴!E37</f>
        <v>2812.5</v>
      </c>
      <c r="U37" s="325">
        <f t="shared" ref="U37" ca="1" si="32">(G37-T37)/G37</f>
        <v>-1.5709642470205849E-2</v>
      </c>
      <c r="W37" s="322">
        <f ca="1">終値履歴!F37</f>
        <v>2641</v>
      </c>
      <c r="X37" s="325">
        <f t="shared" ref="X37" ca="1" si="33">(G37-W37)/G37</f>
        <v>4.6226074395088482E-2</v>
      </c>
    </row>
    <row r="38" spans="1:24" x14ac:dyDescent="0.25">
      <c r="A38" s="12" t="s">
        <v>463</v>
      </c>
      <c r="B38" s="84" t="str">
        <f>'セカンダリ投資分析(SBI証券)'!B30</f>
        <v>リミックスポイント</v>
      </c>
      <c r="C38" s="122">
        <f>株価一覧!H37</f>
        <v>2089900</v>
      </c>
      <c r="D38" s="320">
        <f ca="1">OFFSET(終値履歴!A38,0,COUNTA(終値履歴!G38:'終値履歴'!XFD38)+2,1,-1)</f>
        <v>1027</v>
      </c>
      <c r="E38" s="320">
        <f ca="1">OFFSET(終値履歴!A38,0,COUNTA(終値履歴!G38:'終値履歴'!XFD38)+3,1,-1)</f>
        <v>1024</v>
      </c>
      <c r="F38" s="320">
        <f ca="1">OFFSET(終値履歴!A38,0,COUNTA(終値履歴!G38:'終値履歴'!XFD38)+4,1,-1)</f>
        <v>1005</v>
      </c>
      <c r="G38" s="320">
        <f ca="1">OFFSET(終値履歴!A38,0,COUNTA(終値履歴!G38:'終値履歴'!XFD38)+5,1,-1)</f>
        <v>1006</v>
      </c>
      <c r="I38" s="118">
        <f t="shared" ref="I38" ca="1" si="34">(G38-F38)/F38</f>
        <v>9.9502487562189048E-4</v>
      </c>
      <c r="J38" s="118">
        <f t="shared" ref="J38" ca="1" si="35">(G38-E38)/E38</f>
        <v>-1.7578125E-2</v>
      </c>
      <c r="K38" s="118">
        <f t="shared" ref="K38" ca="1" si="36">(G38-D38)/D38</f>
        <v>-2.0447906523855891E-2</v>
      </c>
      <c r="M38" s="118">
        <f t="shared" ref="M38" ca="1" si="37">(F38-E38)/E38</f>
        <v>-1.85546875E-2</v>
      </c>
      <c r="N38" s="118">
        <f t="shared" ref="N38" ca="1" si="38">(F38-D38)/D38</f>
        <v>-2.1421616358325218E-2</v>
      </c>
      <c r="P38" s="115" t="str">
        <f t="shared" ref="P38" ca="1" si="39">IF(G38-F38 &gt; 0,CONCATENATE("＋",G38-F38),G38-F38)</f>
        <v>＋1</v>
      </c>
      <c r="Q38" s="12" t="str">
        <f t="shared" ref="Q38" ca="1" si="40">IF(AND(G38&lt;=T38,G38&lt;=R38),"割安",IF(AND(G38&gt;T38,G38&lt;=R38),"普通",IF(AND(G38&lt;=T38,G38&gt;R38),"普通","割高")))</f>
        <v>割安</v>
      </c>
      <c r="R38" s="322">
        <f ca="1">終値履歴!D38</f>
        <v>1030.5999999999999</v>
      </c>
      <c r="S38" s="325">
        <f t="shared" ref="S38" ca="1" si="41">(G38-R38)/E38</f>
        <v>-2.4023437499999911E-2</v>
      </c>
      <c r="T38" s="322">
        <f ca="1">終値履歴!E38</f>
        <v>1092.9000000000001</v>
      </c>
      <c r="U38" s="325">
        <f t="shared" ref="U38" ca="1" si="42">(G38-T38)/G38</f>
        <v>-8.638170974155078E-2</v>
      </c>
      <c r="W38" s="322">
        <f ca="1">終値履歴!F38</f>
        <v>1005</v>
      </c>
      <c r="X38" s="325">
        <f t="shared" ref="X38" ca="1" si="43">(G38-W38)/G38</f>
        <v>9.9403578528827028E-4</v>
      </c>
    </row>
    <row r="39" spans="1:24" x14ac:dyDescent="0.25">
      <c r="A39" s="12" t="s">
        <v>463</v>
      </c>
      <c r="B39" s="84" t="str">
        <f>'セカンダリ投資分析(SBI証券)'!B40</f>
        <v>エムアップ</v>
      </c>
      <c r="C39" s="122">
        <f>株価一覧!H38</f>
        <v>141700</v>
      </c>
      <c r="D39" s="320">
        <f ca="1">OFFSET(終値履歴!A39,0,COUNTA(終値履歴!G39:'終値履歴'!XFD39)+2,1,-1)</f>
        <v>1354</v>
      </c>
      <c r="E39" s="320">
        <f ca="1">OFFSET(終値履歴!A39,0,COUNTA(終値履歴!G39:'終値履歴'!XFD39)+3,1,-1)</f>
        <v>1322</v>
      </c>
      <c r="F39" s="320">
        <f ca="1">OFFSET(終値履歴!A39,0,COUNTA(終値履歴!G39:'終値履歴'!XFD39)+4,1,-1)</f>
        <v>1356</v>
      </c>
      <c r="G39" s="320">
        <f ca="1">OFFSET(終値履歴!A39,0,COUNTA(終値履歴!G39:'終値履歴'!XFD39)+5,1,-1)</f>
        <v>1332</v>
      </c>
      <c r="I39" s="118">
        <f t="shared" ref="I39" ca="1" si="44">(G39-F39)/F39</f>
        <v>-1.7699115044247787E-2</v>
      </c>
      <c r="J39" s="118">
        <f t="shared" ref="J39" ca="1" si="45">(G39-E39)/E39</f>
        <v>7.5642965204236008E-3</v>
      </c>
      <c r="K39" s="118">
        <f t="shared" ref="K39" ca="1" si="46">(G39-D39)/D39</f>
        <v>-1.6248153618906941E-2</v>
      </c>
      <c r="M39" s="118">
        <f t="shared" ref="M39" ca="1" si="47">(F39-E39)/E39</f>
        <v>2.5718608169440244E-2</v>
      </c>
      <c r="N39" s="118">
        <f t="shared" ref="N39" ca="1" si="48">(F39-D39)/D39</f>
        <v>1.4771048744460858E-3</v>
      </c>
      <c r="P39" s="115">
        <f t="shared" ref="P39" ca="1" si="49">IF(G39-F39 &gt; 0,CONCATENATE("＋",G39-F39),G39-F39)</f>
        <v>-24</v>
      </c>
      <c r="Q39" s="12" t="str">
        <f t="shared" ref="Q39" ca="1" si="50">IF(AND(G39&lt;=T39,G39&lt;=R39),"割安",IF(AND(G39&gt;T39,G39&lt;=R39),"普通",IF(AND(G39&lt;=T39,G39&gt;R39),"普通","割高")))</f>
        <v>割安</v>
      </c>
      <c r="R39" s="322">
        <f ca="1">終値履歴!D39</f>
        <v>1346</v>
      </c>
      <c r="S39" s="325">
        <f t="shared" ref="S39" ca="1" si="51">(G39-R39)/E39</f>
        <v>-1.059001512859304E-2</v>
      </c>
      <c r="T39" s="322">
        <f ca="1">終値履歴!E39</f>
        <v>1362.7</v>
      </c>
      <c r="U39" s="325">
        <f t="shared" ref="U39" ca="1" si="52">(G39-T39)/G39</f>
        <v>-2.3048048048048081E-2</v>
      </c>
      <c r="W39" s="322">
        <f ca="1">終値履歴!F39</f>
        <v>1322</v>
      </c>
      <c r="X39" s="325">
        <f t="shared" ref="X39" ca="1" si="53">(G39-W39)/G39</f>
        <v>7.5075075075075074E-3</v>
      </c>
    </row>
    <row r="40" spans="1:24" x14ac:dyDescent="0.25">
      <c r="B40" s="47" t="str">
        <f>IPO監視一覧!B32</f>
        <v>ビーブレイクシステムズ</v>
      </c>
      <c r="C40" s="364">
        <f>株価一覧!H39</f>
        <v>3600</v>
      </c>
      <c r="D40" s="365">
        <f ca="1">OFFSET(終値履歴!A40,0,COUNTA(終値履歴!G40:'終値履歴'!XFD40)+2,1,-1)</f>
        <v>4030</v>
      </c>
      <c r="E40" s="365">
        <f ca="1">OFFSET(終値履歴!A40,0,COUNTA(終値履歴!G40:'終値履歴'!XFD40)+3,1,-1)</f>
        <v>4020</v>
      </c>
      <c r="F40" s="365">
        <f ca="1">OFFSET(終値履歴!A40,0,COUNTA(終値履歴!G40:'終値履歴'!XFD40)+4,1,-1)</f>
        <v>4050</v>
      </c>
      <c r="G40" s="365">
        <f ca="1">OFFSET(終値履歴!A40,0,COUNTA(終値履歴!G40:'終値履歴'!XFD40)+5,1,-1)</f>
        <v>4080</v>
      </c>
      <c r="I40" s="118">
        <f t="shared" ca="1" si="4"/>
        <v>7.4074074074074077E-3</v>
      </c>
      <c r="J40" s="118">
        <f t="shared" ca="1" si="5"/>
        <v>1.4925373134328358E-2</v>
      </c>
      <c r="K40" s="118">
        <f t="shared" ca="1" si="6"/>
        <v>1.2406947890818859E-2</v>
      </c>
      <c r="M40" s="118">
        <f t="shared" ca="1" si="7"/>
        <v>7.462686567164179E-3</v>
      </c>
      <c r="N40" s="118">
        <f t="shared" ca="1" si="8"/>
        <v>4.9627791563275434E-3</v>
      </c>
      <c r="P40" s="115" t="str">
        <f t="shared" ca="1" si="9"/>
        <v>＋30</v>
      </c>
      <c r="Q40" s="12" t="str">
        <f t="shared" ca="1" si="11"/>
        <v>普通</v>
      </c>
      <c r="R40" s="322">
        <f ca="1">終値履歴!D40</f>
        <v>4074</v>
      </c>
      <c r="S40" s="325">
        <f t="shared" ca="1" si="10"/>
        <v>1.4925373134328358E-3</v>
      </c>
      <c r="T40" s="322">
        <f ca="1">終値履歴!E40</f>
        <v>4139.5</v>
      </c>
      <c r="U40" s="325">
        <f t="shared" ca="1" si="2"/>
        <v>-1.4583333333333334E-2</v>
      </c>
      <c r="W40" s="322">
        <f ca="1">終値履歴!F40</f>
        <v>4020</v>
      </c>
      <c r="X40" s="325">
        <f t="shared" ca="1" si="3"/>
        <v>1.4705882352941176E-2</v>
      </c>
    </row>
    <row r="41" spans="1:24" x14ac:dyDescent="0.25">
      <c r="B41" s="47" t="str">
        <f>IPO監視一覧!B33</f>
        <v>ディーエムソリューションズ</v>
      </c>
      <c r="C41" s="364">
        <f>株価一覧!H40</f>
        <v>2300</v>
      </c>
      <c r="D41" s="365">
        <f ca="1">OFFSET(終値履歴!A41,0,COUNTA(終値履歴!G41:'終値履歴'!XFD41)+2,1,-1)</f>
        <v>2420</v>
      </c>
      <c r="E41" s="365">
        <f ca="1">OFFSET(終値履歴!A41,0,COUNTA(終値履歴!G41:'終値履歴'!XFD41)+3,1,-1)</f>
        <v>2377</v>
      </c>
      <c r="F41" s="365">
        <f ca="1">OFFSET(終値履歴!A41,0,COUNTA(終値履歴!G41:'終値履歴'!XFD41)+4,1,-1)</f>
        <v>2355</v>
      </c>
      <c r="G41" s="365">
        <f ca="1">OFFSET(終値履歴!A41,0,COUNTA(終値履歴!G41:'終値履歴'!XFD41)+5,1,-1)</f>
        <v>2365</v>
      </c>
      <c r="I41" s="118">
        <f t="shared" ca="1" si="4"/>
        <v>4.246284501061571E-3</v>
      </c>
      <c r="J41" s="118">
        <f t="shared" ca="1" si="5"/>
        <v>-5.0483803113167856E-3</v>
      </c>
      <c r="K41" s="118">
        <f t="shared" ca="1" si="6"/>
        <v>-2.2727272727272728E-2</v>
      </c>
      <c r="M41" s="118">
        <f t="shared" ca="1" si="7"/>
        <v>-9.2553639040807746E-3</v>
      </c>
      <c r="N41" s="118">
        <f t="shared" ca="1" si="8"/>
        <v>-2.6859504132231406E-2</v>
      </c>
      <c r="P41" s="115" t="str">
        <f t="shared" ca="1" si="9"/>
        <v>＋10</v>
      </c>
      <c r="Q41" s="12" t="str">
        <f t="shared" ca="1" si="11"/>
        <v>割安</v>
      </c>
      <c r="R41" s="322">
        <f ca="1">終値履歴!D41</f>
        <v>2407.8000000000002</v>
      </c>
      <c r="S41" s="325">
        <f t="shared" ca="1" si="10"/>
        <v>-1.8005889777029944E-2</v>
      </c>
      <c r="T41" s="322">
        <f ca="1">終値履歴!E41</f>
        <v>2473.4</v>
      </c>
      <c r="U41" s="325">
        <f t="shared" ca="1" si="2"/>
        <v>-4.5835095137420755E-2</v>
      </c>
      <c r="W41" s="322">
        <f ca="1">終値履歴!F41</f>
        <v>2355</v>
      </c>
      <c r="X41" s="325">
        <f t="shared" ca="1" si="3"/>
        <v>4.2283298097251587E-3</v>
      </c>
    </row>
    <row r="42" spans="1:24" x14ac:dyDescent="0.25">
      <c r="B42" s="47" t="str">
        <f>IPO監視一覧!B34</f>
        <v>エコモット</v>
      </c>
      <c r="C42" s="364">
        <f>株価一覧!H41</f>
        <v>1400</v>
      </c>
      <c r="D42" s="365">
        <f ca="1">OFFSET(終値履歴!A42,0,COUNTA(終値履歴!G42:'終値履歴'!XFD42)+2,1,-1)</f>
        <v>1819</v>
      </c>
      <c r="E42" s="365">
        <f ca="1">OFFSET(終値履歴!A42,0,COUNTA(終値履歴!G42:'終値履歴'!XFD42)+3,1,-1)</f>
        <v>1820</v>
      </c>
      <c r="F42" s="365">
        <f ca="1">OFFSET(終値履歴!A42,0,COUNTA(終値履歴!G42:'終値履歴'!XFD42)+4,1,-1)</f>
        <v>1822</v>
      </c>
      <c r="G42" s="365">
        <f ca="1">OFFSET(終値履歴!A42,0,COUNTA(終値履歴!G42:'終値履歴'!XFD42)+5,1,-1)</f>
        <v>1830</v>
      </c>
      <c r="I42" s="118">
        <f ca="1">(G42-F42)/F42</f>
        <v>4.3907793633369925E-3</v>
      </c>
      <c r="J42" s="118">
        <f t="shared" ca="1" si="5"/>
        <v>5.4945054945054949E-3</v>
      </c>
      <c r="K42" s="118">
        <f t="shared" ca="1" si="6"/>
        <v>6.0472787245739413E-3</v>
      </c>
      <c r="M42" s="118">
        <f t="shared" ca="1" si="7"/>
        <v>1.0989010989010989E-3</v>
      </c>
      <c r="N42" s="118">
        <f t="shared" ca="1" si="8"/>
        <v>1.6492578339747114E-3</v>
      </c>
      <c r="P42" s="115" t="str">
        <f t="shared" ca="1" si="9"/>
        <v>＋8</v>
      </c>
      <c r="Q42" s="12" t="str">
        <f t="shared" ca="1" si="11"/>
        <v>割高</v>
      </c>
      <c r="R42" s="322">
        <f ca="1">終値履歴!D42</f>
        <v>1823.8</v>
      </c>
      <c r="S42" s="325">
        <f t="shared" ca="1" si="10"/>
        <v>3.4065934065934315E-3</v>
      </c>
      <c r="T42" s="322">
        <f ca="1">終値履歴!E42</f>
        <v>1819.8</v>
      </c>
      <c r="U42" s="325">
        <f t="shared" ca="1" si="2"/>
        <v>5.5737704918033034E-3</v>
      </c>
      <c r="W42" s="322">
        <f ca="1">終値履歴!F42</f>
        <v>1800</v>
      </c>
      <c r="X42" s="325">
        <f t="shared" ca="1" si="3"/>
        <v>1.6393442622950821E-2</v>
      </c>
    </row>
    <row r="43" spans="1:24" x14ac:dyDescent="0.25">
      <c r="B43" s="47" t="str">
        <f>IPO監視一覧!B35</f>
        <v>Fringe81</v>
      </c>
      <c r="C43" s="364">
        <f>株価一覧!H42</f>
        <v>7200</v>
      </c>
      <c r="D43" s="365">
        <f ca="1">OFFSET(終値履歴!A43,0,COUNTA(終値履歴!G43:'終値履歴'!XFD43)+2,1,-1)</f>
        <v>4125</v>
      </c>
      <c r="E43" s="365">
        <f ca="1">OFFSET(終値履歴!A43,0,COUNTA(終値履歴!G43:'終値履歴'!XFD43)+3,1,-1)</f>
        <v>4130</v>
      </c>
      <c r="F43" s="365">
        <f ca="1">OFFSET(終値履歴!A43,0,COUNTA(終値履歴!G43:'終値履歴'!XFD43)+4,1,-1)</f>
        <v>4270</v>
      </c>
      <c r="G43" s="365">
        <f ca="1">OFFSET(終値履歴!A43,0,COUNTA(終値履歴!G43:'終値履歴'!XFD43)+5,1,-1)</f>
        <v>4360</v>
      </c>
      <c r="I43" s="118">
        <f ca="1">(G43-F43)/F43</f>
        <v>2.1077283372365339E-2</v>
      </c>
      <c r="J43" s="118">
        <f t="shared" ref="J43" ca="1" si="54">(G43-E43)/E43</f>
        <v>5.569007263922518E-2</v>
      </c>
      <c r="K43" s="118">
        <f t="shared" ref="K43" ca="1" si="55">(G43-D43)/D43</f>
        <v>5.6969696969696969E-2</v>
      </c>
      <c r="M43" s="118">
        <f t="shared" ref="M43" ca="1" si="56">(F43-E43)/E43</f>
        <v>3.3898305084745763E-2</v>
      </c>
      <c r="N43" s="118">
        <f t="shared" ref="N43" ca="1" si="57">(F43-D43)/D43</f>
        <v>3.5151515151515149E-2</v>
      </c>
      <c r="P43" s="115" t="str">
        <f t="shared" ref="P43" ca="1" si="58">IF(G43-F43 &gt; 0,CONCATENATE("＋",G43-F43),G43-F43)</f>
        <v>＋90</v>
      </c>
      <c r="Q43" s="12" t="str">
        <f t="shared" ref="Q43:Q48" ca="1" si="59">IF(AND(G43&lt;=T43,G43&lt;=R43),"割安",IF(AND(G43&gt;T43,G43&lt;=R43),"普通",IF(AND(G43&lt;=T43,G43&gt;R43),"普通","割高")))</f>
        <v>割高</v>
      </c>
      <c r="R43" s="322">
        <f ca="1">終値履歴!D43</f>
        <v>4251</v>
      </c>
      <c r="S43" s="325">
        <f t="shared" ca="1" si="10"/>
        <v>2.6392251815980629E-2</v>
      </c>
      <c r="T43" s="322">
        <f ca="1">終値履歴!E43</f>
        <v>4332</v>
      </c>
      <c r="U43" s="325">
        <f t="shared" ref="U43" ca="1" si="60">(G43-T43)/G43</f>
        <v>6.4220183486238536E-3</v>
      </c>
      <c r="W43" s="322">
        <f ca="1">終値履歴!F43</f>
        <v>4125</v>
      </c>
      <c r="X43" s="325">
        <f t="shared" ref="X43" ca="1" si="61">(G43-W43)/G43</f>
        <v>5.3899082568807342E-2</v>
      </c>
    </row>
    <row r="44" spans="1:24" x14ac:dyDescent="0.25">
      <c r="A44" s="12" t="s">
        <v>463</v>
      </c>
      <c r="B44" s="84" t="str">
        <f>'セカンダリ投資分析(SBI証券)'!B42</f>
        <v>インフォテリア</v>
      </c>
      <c r="C44" s="122">
        <f>株価一覧!H43</f>
        <v>976100</v>
      </c>
      <c r="D44" s="15">
        <f ca="1">OFFSET(終値履歴!A44,0,COUNTA(終値履歴!G44:'終値履歴'!XFD44)+2,1,-1)</f>
        <v>1262</v>
      </c>
      <c r="E44" s="15">
        <f ca="1">OFFSET(終値履歴!A44,0,COUNTA(終値履歴!G44:'終値履歴'!XFD44)+3,1,-1)</f>
        <v>1264</v>
      </c>
      <c r="F44" s="15">
        <f ca="1">OFFSET(終値履歴!A44,0,COUNTA(終値履歴!G44:'終値履歴'!XFD44)+4,1,-1)</f>
        <v>1274</v>
      </c>
      <c r="G44" s="15">
        <f ca="1">OFFSET(終値履歴!A44,0,COUNTA(終値履歴!G44:'終値履歴'!XFD44)+5,1,-1)</f>
        <v>1256</v>
      </c>
      <c r="I44" s="118">
        <f t="shared" ref="I44:I48" ca="1" si="62">(G44-F44)/F44</f>
        <v>-1.4128728414442701E-2</v>
      </c>
      <c r="J44" s="118">
        <f t="shared" ref="J44:J48" ca="1" si="63">(G44-E44)/E44</f>
        <v>-6.3291139240506328E-3</v>
      </c>
      <c r="K44" s="118">
        <f t="shared" ref="K44:K48" ca="1" si="64">(G44-D44)/D44</f>
        <v>-4.7543581616481777E-3</v>
      </c>
      <c r="M44" s="118"/>
      <c r="N44" s="118"/>
      <c r="P44" s="115"/>
      <c r="Q44" s="12" t="str">
        <f t="shared" ca="1" si="59"/>
        <v>割安</v>
      </c>
      <c r="R44" s="322">
        <f ca="1">終値履歴!D44</f>
        <v>1280.2</v>
      </c>
      <c r="S44" s="325">
        <f t="shared" ref="S44:S48" ca="1" si="65">(G44-R44)/E44</f>
        <v>-1.9145569620253201E-2</v>
      </c>
      <c r="T44" s="322">
        <f ca="1">終値履歴!E44</f>
        <v>1320.6</v>
      </c>
      <c r="U44" s="325">
        <f t="shared" ref="U44:U48" ca="1" si="66">(G44-T44)/G44</f>
        <v>-5.1433121019108206E-2</v>
      </c>
      <c r="W44" s="322">
        <f ca="1">終値履歴!F44</f>
        <v>1256</v>
      </c>
      <c r="X44" s="325">
        <f t="shared" ref="X44:X48" ca="1" si="67">(G44-W44)/G44</f>
        <v>0</v>
      </c>
    </row>
    <row r="45" spans="1:24" x14ac:dyDescent="0.25">
      <c r="A45" s="12" t="s">
        <v>463</v>
      </c>
      <c r="B45" s="84" t="str">
        <f>'セカンダリ投資分析(SBI証券)'!B44</f>
        <v>GNIグループ</v>
      </c>
      <c r="C45" s="122">
        <f>株価一覧!H44</f>
        <v>3552000</v>
      </c>
      <c r="D45" s="15">
        <f ca="1">OFFSET(終値履歴!A45,0,COUNTA(終値履歴!G45:'終値履歴'!XFD45)+2,1,-1)</f>
        <v>441</v>
      </c>
      <c r="E45" s="15">
        <f ca="1">OFFSET(終値履歴!A45,0,COUNTA(終値履歴!G45:'終値履歴'!XFD45)+3,1,-1)</f>
        <v>418</v>
      </c>
      <c r="F45" s="15">
        <f ca="1">OFFSET(終値履歴!A45,0,COUNTA(終値履歴!G45:'終値履歴'!XFD45)+4,1,-1)</f>
        <v>412</v>
      </c>
      <c r="G45" s="15">
        <f ca="1">OFFSET(終値履歴!A45,0,COUNTA(終値履歴!G45:'終値履歴'!XFD45)+5,1,-1)</f>
        <v>407</v>
      </c>
      <c r="I45" s="118">
        <f t="shared" ca="1" si="62"/>
        <v>-1.2135922330097087E-2</v>
      </c>
      <c r="J45" s="118">
        <f t="shared" ca="1" si="63"/>
        <v>-2.6315789473684209E-2</v>
      </c>
      <c r="K45" s="118">
        <f t="shared" ca="1" si="64"/>
        <v>-7.7097505668934238E-2</v>
      </c>
      <c r="M45" s="118"/>
      <c r="N45" s="118"/>
      <c r="P45" s="115"/>
      <c r="Q45" s="12" t="str">
        <f t="shared" ca="1" si="59"/>
        <v>割安</v>
      </c>
      <c r="R45" s="322">
        <f ca="1">終値履歴!D45</f>
        <v>424.8</v>
      </c>
      <c r="S45" s="325">
        <f t="shared" ca="1" si="65"/>
        <v>-4.2583732057416293E-2</v>
      </c>
      <c r="T45" s="322">
        <f ca="1">終値履歴!E45</f>
        <v>440.6</v>
      </c>
      <c r="U45" s="325">
        <f t="shared" ca="1" si="66"/>
        <v>-8.2555282555282605E-2</v>
      </c>
      <c r="W45" s="322">
        <f ca="1">終値履歴!F45</f>
        <v>405</v>
      </c>
      <c r="X45" s="325">
        <f t="shared" ca="1" si="67"/>
        <v>4.9140049140049139E-3</v>
      </c>
    </row>
    <row r="46" spans="1:24" x14ac:dyDescent="0.25">
      <c r="B46" s="47" t="str">
        <f>IPO監視一覧!B36</f>
        <v>ツナグ・ソリューションズ</v>
      </c>
      <c r="C46" s="364">
        <f>株価一覧!H45</f>
        <v>4900</v>
      </c>
      <c r="D46" s="365">
        <f ca="1">OFFSET(終値履歴!A46,0,COUNTA(終値履歴!G46:'終値履歴'!XFD46)+2,1,-1)</f>
        <v>4885</v>
      </c>
      <c r="E46" s="365">
        <f ca="1">OFFSET(終値履歴!A46,0,COUNTA(終値履歴!G46:'終値履歴'!XFD46)+3,1,-1)</f>
        <v>4965</v>
      </c>
      <c r="F46" s="365">
        <f ca="1">OFFSET(終値履歴!A46,0,COUNTA(終値履歴!G46:'終値履歴'!XFD46)+4,1,-1)</f>
        <v>4865</v>
      </c>
      <c r="G46" s="365">
        <f ca="1">OFFSET(終値履歴!A46,0,COUNTA(終値履歴!G46:'終値履歴'!XFD46)+5,1,-1)</f>
        <v>4850</v>
      </c>
      <c r="I46" s="118">
        <f t="shared" ca="1" si="62"/>
        <v>-3.0832476875642342E-3</v>
      </c>
      <c r="J46" s="118">
        <f t="shared" ca="1" si="63"/>
        <v>-2.3162134944612285E-2</v>
      </c>
      <c r="K46" s="118">
        <f t="shared" ca="1" si="64"/>
        <v>-7.164790174002047E-3</v>
      </c>
      <c r="M46" s="118">
        <f t="shared" ref="M46:M48" ca="1" si="68">(F46-E46)/E46</f>
        <v>-2.014098690835851E-2</v>
      </c>
      <c r="N46" s="118">
        <f t="shared" ref="N46:N48" ca="1" si="69">(F46-D46)/D46</f>
        <v>-4.0941658137154556E-3</v>
      </c>
      <c r="P46" s="115">
        <f t="shared" ref="P46:P48" ca="1" si="70">IF(G46-F46 &gt; 0,CONCATENATE("＋",G46-F46),G46-F46)</f>
        <v>-15</v>
      </c>
      <c r="Q46" s="12" t="str">
        <f t="shared" ca="1" si="59"/>
        <v>割安</v>
      </c>
      <c r="R46" s="322">
        <f ca="1">終値履歴!D46</f>
        <v>4894</v>
      </c>
      <c r="S46" s="325">
        <f t="shared" ca="1" si="65"/>
        <v>-8.8620342396777442E-3</v>
      </c>
      <c r="T46" s="322">
        <f ca="1">終値履歴!E46</f>
        <v>4941</v>
      </c>
      <c r="U46" s="325">
        <f t="shared" ca="1" si="66"/>
        <v>-1.8762886597938143E-2</v>
      </c>
      <c r="W46" s="322">
        <f ca="1">終値履歴!F46</f>
        <v>4850</v>
      </c>
      <c r="X46" s="325">
        <f t="shared" ca="1" si="67"/>
        <v>0</v>
      </c>
    </row>
    <row r="47" spans="1:24" x14ac:dyDescent="0.25">
      <c r="B47" s="47" t="str">
        <f>IPO監視一覧!B37</f>
        <v>ＳＹＳホールディングス</v>
      </c>
      <c r="C47" s="364">
        <f>株価一覧!H46</f>
        <v>1300</v>
      </c>
      <c r="D47" s="365">
        <f ca="1">OFFSET(終値履歴!A47,0,COUNTA(終値履歴!G47:'終値履歴'!XFD47)+2,1,-1)</f>
        <v>3535</v>
      </c>
      <c r="E47" s="365">
        <f ca="1">OFFSET(終値履歴!A47,0,COUNTA(終値履歴!G47:'終値履歴'!XFD47)+3,1,-1)</f>
        <v>3500</v>
      </c>
      <c r="F47" s="365">
        <f ca="1">OFFSET(終値履歴!A47,0,COUNTA(終値履歴!G47:'終値履歴'!XFD47)+4,1,-1)</f>
        <v>3515</v>
      </c>
      <c r="G47" s="365">
        <f ca="1">OFFSET(終値履歴!A47,0,COUNTA(終値履歴!G47:'終値履歴'!XFD47)+5,1,-1)</f>
        <v>3535</v>
      </c>
      <c r="I47" s="118">
        <f t="shared" ca="1" si="62"/>
        <v>5.6899004267425323E-3</v>
      </c>
      <c r="J47" s="118">
        <f t="shared" ca="1" si="63"/>
        <v>0.01</v>
      </c>
      <c r="K47" s="118">
        <f t="shared" ca="1" si="64"/>
        <v>0</v>
      </c>
      <c r="M47" s="118">
        <f t="shared" ca="1" si="68"/>
        <v>4.2857142857142859E-3</v>
      </c>
      <c r="N47" s="118">
        <f t="shared" ca="1" si="69"/>
        <v>-5.6577086280056579E-3</v>
      </c>
      <c r="P47" s="115" t="str">
        <f t="shared" ca="1" si="70"/>
        <v>＋20</v>
      </c>
      <c r="Q47" s="12" t="str">
        <f t="shared" ca="1" si="59"/>
        <v>割安</v>
      </c>
      <c r="R47" s="322">
        <f ca="1">終値履歴!D47</f>
        <v>3548</v>
      </c>
      <c r="S47" s="325">
        <f t="shared" ca="1" si="65"/>
        <v>-3.7142857142857142E-3</v>
      </c>
      <c r="T47" s="322">
        <f ca="1">終値履歴!E47</f>
        <v>3636.5</v>
      </c>
      <c r="U47" s="325">
        <f t="shared" ca="1" si="66"/>
        <v>-2.8712871287128714E-2</v>
      </c>
      <c r="W47" s="322">
        <f ca="1">終値履歴!F47</f>
        <v>3500</v>
      </c>
      <c r="X47" s="325">
        <f t="shared" ca="1" si="67"/>
        <v>9.9009900990099011E-3</v>
      </c>
    </row>
    <row r="48" spans="1:24" x14ac:dyDescent="0.25">
      <c r="B48" s="47" t="str">
        <f>IPO監視一覧!B38</f>
        <v>GameWith</v>
      </c>
      <c r="C48" s="364">
        <f>株価一覧!H47</f>
        <v>61100</v>
      </c>
      <c r="D48" s="365">
        <f ca="1">OFFSET(終値履歴!A48,0,COUNTA(終値履歴!G48:'終値履歴'!XFD48)+2,1,-1)</f>
        <v>3580</v>
      </c>
      <c r="E48" s="365">
        <f ca="1">OFFSET(終値履歴!A48,0,COUNTA(終値履歴!G48:'終値履歴'!XFD48)+3,1,-1)</f>
        <v>3775</v>
      </c>
      <c r="F48" s="365">
        <f ca="1">OFFSET(終値履歴!A48,0,COUNTA(終値履歴!G48:'終値履歴'!XFD48)+4,1,-1)</f>
        <v>3775</v>
      </c>
      <c r="G48" s="365">
        <f ca="1">OFFSET(終値履歴!A48,0,COUNTA(終値履歴!G48:'終値履歴'!XFD48)+5,1,-1)</f>
        <v>3685</v>
      </c>
      <c r="I48" s="118">
        <f t="shared" ca="1" si="62"/>
        <v>-2.3841059602649008E-2</v>
      </c>
      <c r="J48" s="118">
        <f t="shared" ca="1" si="63"/>
        <v>-2.3841059602649008E-2</v>
      </c>
      <c r="K48" s="118">
        <f t="shared" ca="1" si="64"/>
        <v>2.9329608938547486E-2</v>
      </c>
      <c r="M48" s="118">
        <f t="shared" ca="1" si="68"/>
        <v>0</v>
      </c>
      <c r="N48" s="118">
        <f t="shared" ca="1" si="69"/>
        <v>5.4469273743016758E-2</v>
      </c>
      <c r="P48" s="115">
        <f t="shared" ca="1" si="70"/>
        <v>-90</v>
      </c>
      <c r="Q48" s="12" t="str">
        <f t="shared" ca="1" si="59"/>
        <v>割安</v>
      </c>
      <c r="R48" s="322">
        <f ca="1">終値履歴!D48</f>
        <v>3727</v>
      </c>
      <c r="S48" s="325">
        <f t="shared" ca="1" si="65"/>
        <v>-1.1125827814569536E-2</v>
      </c>
      <c r="T48" s="322">
        <f ca="1">終値履歴!E48</f>
        <v>3688.5</v>
      </c>
      <c r="U48" s="325">
        <f t="shared" ca="1" si="66"/>
        <v>-9.4979647218453186E-4</v>
      </c>
      <c r="W48" s="322">
        <f ca="1">終値履歴!F48</f>
        <v>3430</v>
      </c>
      <c r="X48" s="325">
        <f t="shared" ca="1" si="67"/>
        <v>6.9199457259158756E-2</v>
      </c>
    </row>
    <row r="49" spans="1:24" x14ac:dyDescent="0.25">
      <c r="A49" s="12" t="s">
        <v>463</v>
      </c>
      <c r="B49" s="84" t="str">
        <f>'セカンダリ投資分析(SBI証券)'!B45</f>
        <v>アンジェス</v>
      </c>
      <c r="C49" s="122">
        <f>株価一覧!H48</f>
        <v>1164900</v>
      </c>
      <c r="D49" s="15">
        <f ca="1">OFFSET(終値履歴!A49,0,COUNTA(終値履歴!G49:'終値履歴'!XFD49)+2,1,-1)</f>
        <v>643</v>
      </c>
      <c r="E49" s="15">
        <f ca="1">OFFSET(終値履歴!A49,0,COUNTA(終値履歴!G49:'終値履歴'!XFD49)+3,1,-1)</f>
        <v>641</v>
      </c>
      <c r="F49" s="15">
        <f ca="1">OFFSET(終値履歴!A49,0,COUNTA(終値履歴!G49:'終値履歴'!XFD49)+4,1,-1)</f>
        <v>647</v>
      </c>
      <c r="G49" s="15">
        <f ca="1">OFFSET(終値履歴!A49,0,COUNTA(終値履歴!G49:'終値履歴'!XFD49)+5,1,-1)</f>
        <v>641</v>
      </c>
      <c r="I49" s="118">
        <f t="shared" ref="I49" ca="1" si="71">(G49-F49)/F49</f>
        <v>-9.2735703245749607E-3</v>
      </c>
      <c r="J49" s="118">
        <f t="shared" ref="J49" ca="1" si="72">(G49-E49)/E49</f>
        <v>0</v>
      </c>
      <c r="K49" s="118">
        <f t="shared" ref="K49" ca="1" si="73">(G49-D49)/D49</f>
        <v>-3.1104199066874028E-3</v>
      </c>
      <c r="M49" s="118">
        <f t="shared" ref="M49" ca="1" si="74">(F49-E49)/E49</f>
        <v>9.3603744149765994E-3</v>
      </c>
      <c r="N49" s="118">
        <f t="shared" ref="N49" ca="1" si="75">(F49-D49)/D49</f>
        <v>6.2208398133748056E-3</v>
      </c>
      <c r="P49" s="115">
        <f t="shared" ref="P49" ca="1" si="76">IF(G49-F49 &gt; 0,CONCATENATE("＋",G49-F49),G49-F49)</f>
        <v>-6</v>
      </c>
      <c r="Q49" s="12" t="str">
        <f t="shared" ref="Q49" ca="1" si="77">IF(AND(G49&lt;=T49,G49&lt;=R49),"割安",IF(AND(G49&gt;T49,G49&lt;=R49),"普通",IF(AND(G49&lt;=T49,G49&gt;R49),"普通","割高")))</f>
        <v>割安</v>
      </c>
      <c r="R49" s="322">
        <f ca="1">終値履歴!D49</f>
        <v>643.79999999999995</v>
      </c>
      <c r="S49" s="325">
        <f t="shared" ref="S49" ca="1" si="78">(G49-R49)/E49</f>
        <v>-4.3681747269890088E-3</v>
      </c>
      <c r="T49" s="322">
        <f ca="1">終値履歴!E49</f>
        <v>648.79999999999995</v>
      </c>
      <c r="U49" s="325">
        <f t="shared" ref="U49" ca="1" si="79">(G49-T49)/G49</f>
        <v>-1.2168486739469507E-2</v>
      </c>
      <c r="W49" s="322">
        <f ca="1">終値履歴!F49</f>
        <v>641</v>
      </c>
      <c r="X49" s="325">
        <f t="shared" ref="X49" ca="1" si="80">(G49-W49)/G49</f>
        <v>0</v>
      </c>
    </row>
    <row r="50" spans="1:24" x14ac:dyDescent="0.25">
      <c r="A50" s="12" t="s">
        <v>463</v>
      </c>
      <c r="B50" s="84" t="str">
        <f>'セカンダリ投資分析(SBI証券)'!B46</f>
        <v>トレイダーズHD</v>
      </c>
      <c r="C50" s="122">
        <f>株価一覧!H49</f>
        <v>1456800</v>
      </c>
      <c r="D50" s="15">
        <f ca="1">OFFSET(終値履歴!A50,0,COUNTA(終値履歴!G50:'終値履歴'!XFD50)+2,1,-1)</f>
        <v>164</v>
      </c>
      <c r="E50" s="15">
        <f ca="1">OFFSET(終値履歴!A50,0,COUNTA(終値履歴!G50:'終値履歴'!XFD50)+3,1,-1)</f>
        <v>161</v>
      </c>
      <c r="F50" s="15">
        <f ca="1">OFFSET(終値履歴!A50,0,COUNTA(終値履歴!G50:'終値履歴'!XFD50)+4,1,-1)</f>
        <v>163</v>
      </c>
      <c r="G50" s="15">
        <f ca="1">OFFSET(終値履歴!A50,0,COUNTA(終値履歴!G50:'終値履歴'!XFD50)+5,1,-1)</f>
        <v>159</v>
      </c>
      <c r="I50" s="118">
        <f t="shared" ref="I50:I58" ca="1" si="81">(G50-F50)/F50</f>
        <v>-2.4539877300613498E-2</v>
      </c>
      <c r="J50" s="118">
        <f t="shared" ref="J50:J58" ca="1" si="82">(G50-E50)/E50</f>
        <v>-1.2422360248447204E-2</v>
      </c>
      <c r="K50" s="118">
        <f t="shared" ref="K50:K58" ca="1" si="83">(G50-D50)/D50</f>
        <v>-3.048780487804878E-2</v>
      </c>
      <c r="M50" s="118">
        <f t="shared" ref="M50:M58" ca="1" si="84">(F50-E50)/E50</f>
        <v>1.2422360248447204E-2</v>
      </c>
      <c r="N50" s="118">
        <f t="shared" ref="N50:N58" ca="1" si="85">(F50-D50)/D50</f>
        <v>-6.0975609756097563E-3</v>
      </c>
      <c r="P50" s="115">
        <f t="shared" ref="P50:P58" ca="1" si="86">IF(G50-F50 &gt; 0,CONCATENATE("＋",G50-F50),G50-F50)</f>
        <v>-4</v>
      </c>
      <c r="Q50" s="12" t="str">
        <f t="shared" ref="Q50:Q58" ca="1" si="87">IF(AND(G50&lt;=T50,G50&lt;=R50),"割安",IF(AND(G50&gt;T50,G50&lt;=R50),"普通",IF(AND(G50&lt;=T50,G50&gt;R50),"普通","割高")))</f>
        <v>割安</v>
      </c>
      <c r="R50" s="322">
        <f ca="1">終値履歴!D50</f>
        <v>162.80000000000001</v>
      </c>
      <c r="S50" s="325">
        <f t="shared" ref="S50:S58" ca="1" si="88">(G50-R50)/E50</f>
        <v>-2.360248447204976E-2</v>
      </c>
      <c r="T50" s="322">
        <f ca="1">終値履歴!E50</f>
        <v>163.69999999999999</v>
      </c>
      <c r="U50" s="325">
        <f t="shared" ref="U50:U58" ca="1" si="89">(G50-T50)/G50</f>
        <v>-2.9559748427672883E-2</v>
      </c>
      <c r="W50" s="322">
        <f ca="1">終値履歴!F50</f>
        <v>159</v>
      </c>
      <c r="X50" s="325">
        <f t="shared" ref="X50:X58" ca="1" si="90">(G50-W50)/G50</f>
        <v>0</v>
      </c>
    </row>
    <row r="51" spans="1:24" x14ac:dyDescent="0.25">
      <c r="B51" s="47" t="str">
        <f>IPO監視一覧!B39</f>
        <v>ソウルドアウト</v>
      </c>
      <c r="C51" s="364">
        <f>株価一覧!H50</f>
        <v>88200</v>
      </c>
      <c r="D51" s="365">
        <f ca="1">OFFSET(終値履歴!A51,0,COUNTA(終値履歴!G51:'終値履歴'!XFD51)+2,1,-1)</f>
        <v>2340</v>
      </c>
      <c r="E51" s="365">
        <f ca="1">OFFSET(終値履歴!A51,0,COUNTA(終値履歴!G51:'終値履歴'!XFD51)+3,1,-1)</f>
        <v>2303</v>
      </c>
      <c r="F51" s="365">
        <f ca="1">OFFSET(終値履歴!A51,0,COUNTA(終値履歴!G51:'終値履歴'!XFD51)+4,1,-1)</f>
        <v>2344</v>
      </c>
      <c r="G51" s="365">
        <f ca="1">OFFSET(終値履歴!A51,0,COUNTA(終値履歴!G51:'終値履歴'!XFD51)+5,1,-1)</f>
        <v>2308</v>
      </c>
      <c r="I51" s="118">
        <f t="shared" ca="1" si="81"/>
        <v>-1.5358361774744027E-2</v>
      </c>
      <c r="J51" s="118">
        <f t="shared" ca="1" si="82"/>
        <v>2.1710811984368217E-3</v>
      </c>
      <c r="K51" s="118">
        <f t="shared" ca="1" si="83"/>
        <v>-1.3675213675213675E-2</v>
      </c>
      <c r="M51" s="118">
        <f t="shared" ca="1" si="84"/>
        <v>1.7802865827181935E-2</v>
      </c>
      <c r="N51" s="118">
        <f t="shared" ca="1" si="85"/>
        <v>1.7094017094017094E-3</v>
      </c>
      <c r="P51" s="115">
        <f t="shared" ca="1" si="86"/>
        <v>-36</v>
      </c>
      <c r="Q51" s="12" t="str">
        <f t="shared" ca="1" si="87"/>
        <v>割安</v>
      </c>
      <c r="R51" s="322">
        <f ca="1">終値履歴!D51</f>
        <v>2341.6</v>
      </c>
      <c r="S51" s="325">
        <f t="shared" ca="1" si="88"/>
        <v>-1.4589665653495402E-2</v>
      </c>
      <c r="T51" s="322">
        <f ca="1">終値履歴!E51</f>
        <v>2414.6999999999998</v>
      </c>
      <c r="U51" s="325">
        <f t="shared" ca="1" si="89"/>
        <v>-4.6230502599653299E-2</v>
      </c>
      <c r="W51" s="322">
        <f ca="1">終値履歴!F51</f>
        <v>2303</v>
      </c>
      <c r="X51" s="325">
        <f t="shared" ca="1" si="90"/>
        <v>2.1663778162911611E-3</v>
      </c>
    </row>
    <row r="52" spans="1:24" x14ac:dyDescent="0.25">
      <c r="B52" s="47" t="str">
        <f>IPO監視一覧!B40</f>
        <v>ユニフォームネクスト</v>
      </c>
      <c r="C52" s="364">
        <f>株価一覧!H51</f>
        <v>2700</v>
      </c>
      <c r="D52" s="365">
        <f ca="1">OFFSET(終値履歴!A52,0,COUNTA(終値履歴!G52:'終値履歴'!XFD52)+2,1,-1)</f>
        <v>4945</v>
      </c>
      <c r="E52" s="365">
        <f ca="1">OFFSET(終値履歴!A52,0,COUNTA(終値履歴!G52:'終値履歴'!XFD52)+3,1,-1)</f>
        <v>4890</v>
      </c>
      <c r="F52" s="365">
        <f ca="1">OFFSET(終値履歴!A52,0,COUNTA(終値履歴!G52:'終値履歴'!XFD52)+4,1,-1)</f>
        <v>4900</v>
      </c>
      <c r="G52" s="365">
        <f ca="1">OFFSET(終値履歴!A52,0,COUNTA(終値履歴!G52:'終値履歴'!XFD52)+5,1,-1)</f>
        <v>4860</v>
      </c>
      <c r="I52" s="118">
        <f t="shared" ca="1" si="81"/>
        <v>-8.1632653061224497E-3</v>
      </c>
      <c r="J52" s="118">
        <f t="shared" ca="1" si="82"/>
        <v>-6.1349693251533744E-3</v>
      </c>
      <c r="K52" s="118">
        <f t="shared" ca="1" si="83"/>
        <v>-1.7189079878665317E-2</v>
      </c>
      <c r="M52" s="118">
        <f t="shared" ca="1" si="84"/>
        <v>2.0449897750511249E-3</v>
      </c>
      <c r="N52" s="118">
        <f t="shared" ca="1" si="85"/>
        <v>-9.1001011122345803E-3</v>
      </c>
      <c r="P52" s="115">
        <f t="shared" ca="1" si="86"/>
        <v>-40</v>
      </c>
      <c r="Q52" s="12" t="str">
        <f t="shared" ca="1" si="87"/>
        <v>普通</v>
      </c>
      <c r="R52" s="322">
        <f ca="1">終値履歴!D52</f>
        <v>4894</v>
      </c>
      <c r="S52" s="325">
        <f t="shared" ca="1" si="88"/>
        <v>-6.9529652351738242E-3</v>
      </c>
      <c r="T52" s="322">
        <f ca="1">終値履歴!E52</f>
        <v>4801.5</v>
      </c>
      <c r="U52" s="325">
        <f t="shared" ca="1" si="89"/>
        <v>1.2037037037037037E-2</v>
      </c>
      <c r="W52" s="322">
        <f ca="1">終値履歴!F52</f>
        <v>4615</v>
      </c>
      <c r="X52" s="325">
        <f t="shared" ca="1" si="90"/>
        <v>5.0411522633744855E-2</v>
      </c>
    </row>
    <row r="53" spans="1:24" x14ac:dyDescent="0.25">
      <c r="B53" s="381" t="str">
        <f>IPO監視一覧!B41</f>
        <v>ジェイ・エス・ビー</v>
      </c>
      <c r="C53" s="387">
        <f>株価一覧!H52</f>
        <v>24300</v>
      </c>
      <c r="D53" s="388">
        <f ca="1">OFFSET(終値履歴!A53,0,COUNTA(終値履歴!G53:'終値履歴'!XFD53)+2,1,-1)</f>
        <v>4345</v>
      </c>
      <c r="E53" s="388">
        <f ca="1">OFFSET(終値履歴!A53,0,COUNTA(終値履歴!G53:'終値履歴'!XFD53)+3,1,-1)</f>
        <v>4540</v>
      </c>
      <c r="F53" s="388">
        <f ca="1">OFFSET(終値履歴!A53,0,COUNTA(終値履歴!G53:'終値履歴'!XFD53)+4,1,-1)</f>
        <v>4385</v>
      </c>
      <c r="G53" s="388">
        <f ca="1">OFFSET(終値履歴!A53,0,COUNTA(終値履歴!G53:'終値履歴'!XFD53)+5,1,-1)</f>
        <v>4220</v>
      </c>
      <c r="I53" s="118">
        <f t="shared" ca="1" si="81"/>
        <v>-3.7628278221208664E-2</v>
      </c>
      <c r="J53" s="118">
        <f t="shared" ca="1" si="82"/>
        <v>-7.0484581497797363E-2</v>
      </c>
      <c r="K53" s="118">
        <f t="shared" ca="1" si="83"/>
        <v>-2.8768699654775604E-2</v>
      </c>
      <c r="M53" s="118">
        <f t="shared" ca="1" si="84"/>
        <v>-3.4140969162995596E-2</v>
      </c>
      <c r="N53" s="118">
        <f t="shared" ca="1" si="85"/>
        <v>9.2059838895281933E-3</v>
      </c>
      <c r="P53" s="115">
        <f t="shared" ca="1" si="86"/>
        <v>-165</v>
      </c>
      <c r="Q53" s="12" t="str">
        <f t="shared" ca="1" si="87"/>
        <v>割安</v>
      </c>
      <c r="R53" s="322">
        <f ca="1">終値履歴!D53</f>
        <v>4368</v>
      </c>
      <c r="S53" s="325">
        <f t="shared" ca="1" si="88"/>
        <v>-3.2599118942731278E-2</v>
      </c>
      <c r="T53" s="322">
        <f ca="1">終値履歴!E53</f>
        <v>4275.5</v>
      </c>
      <c r="U53" s="325">
        <f t="shared" ca="1" si="89"/>
        <v>-1.3151658767772512E-2</v>
      </c>
      <c r="W53" s="322">
        <f ca="1">終値履歴!F53</f>
        <v>4100</v>
      </c>
      <c r="X53" s="325">
        <f t="shared" ca="1" si="90"/>
        <v>2.843601895734597E-2</v>
      </c>
    </row>
    <row r="54" spans="1:24" x14ac:dyDescent="0.25">
      <c r="B54" s="47" t="str">
        <f>IPO監視一覧!B42</f>
        <v>クロスフォー</v>
      </c>
      <c r="C54" s="364">
        <f>株価一覧!H53</f>
        <v>283100</v>
      </c>
      <c r="D54" s="365">
        <f ca="1">OFFSET(終値履歴!A54,0,COUNTA(終値履歴!G54:'終値履歴'!XFD54)+2,1,-1)</f>
        <v>1266</v>
      </c>
      <c r="E54" s="365">
        <f ca="1">OFFSET(終値履歴!A54,0,COUNTA(終値履歴!G54:'終値履歴'!XFD54)+3,1,-1)</f>
        <v>1266</v>
      </c>
      <c r="F54" s="365">
        <f ca="1">OFFSET(終値履歴!A54,0,COUNTA(終値履歴!G54:'終値履歴'!XFD54)+4,1,-1)</f>
        <v>1294</v>
      </c>
      <c r="G54" s="365">
        <f ca="1">OFFSET(終値履歴!A54,0,COUNTA(終値履歴!G54:'終値履歴'!XFD54)+5,1,-1)</f>
        <v>1286</v>
      </c>
      <c r="I54" s="118">
        <f t="shared" ca="1" si="81"/>
        <v>-6.1823802163833074E-3</v>
      </c>
      <c r="J54" s="118">
        <f t="shared" ca="1" si="82"/>
        <v>1.579778830963665E-2</v>
      </c>
      <c r="K54" s="118">
        <f t="shared" ca="1" si="83"/>
        <v>1.579778830963665E-2</v>
      </c>
      <c r="M54" s="118">
        <f t="shared" ca="1" si="84"/>
        <v>2.2116903633491312E-2</v>
      </c>
      <c r="N54" s="118">
        <f t="shared" ca="1" si="85"/>
        <v>2.2116903633491312E-2</v>
      </c>
      <c r="P54" s="115">
        <f t="shared" ca="1" si="86"/>
        <v>-8</v>
      </c>
      <c r="Q54" s="12" t="str">
        <f t="shared" ca="1" si="87"/>
        <v>割高</v>
      </c>
      <c r="R54" s="322">
        <f ca="1">終値履歴!D54</f>
        <v>1258.5999999999999</v>
      </c>
      <c r="S54" s="325">
        <f t="shared" ca="1" si="88"/>
        <v>2.1642969984202284E-2</v>
      </c>
      <c r="T54" s="322">
        <f ca="1">終値履歴!E54</f>
        <v>1186</v>
      </c>
      <c r="U54" s="325">
        <f t="shared" ca="1" si="89"/>
        <v>7.7760497667185069E-2</v>
      </c>
      <c r="W54" s="322">
        <f ca="1">終値履歴!F54</f>
        <v>1027</v>
      </c>
      <c r="X54" s="325">
        <f t="shared" ca="1" si="90"/>
        <v>0.20139968895800933</v>
      </c>
    </row>
    <row r="55" spans="1:24" x14ac:dyDescent="0.25">
      <c r="B55" s="47" t="str">
        <f>IPO監視一覧!B43</f>
        <v>シェアリングテクノロジー</v>
      </c>
      <c r="C55" s="364">
        <f>株価一覧!H54</f>
        <v>59400</v>
      </c>
      <c r="D55" s="365">
        <f ca="1">OFFSET(終値履歴!A55,0,COUNTA(終値履歴!G55:'終値履歴'!XFD55)+2,1,-1)</f>
        <v>2256</v>
      </c>
      <c r="E55" s="365">
        <f ca="1">OFFSET(終値履歴!A55,0,COUNTA(終値履歴!G55:'終値履歴'!XFD55)+3,1,-1)</f>
        <v>2200</v>
      </c>
      <c r="F55" s="365">
        <f ca="1">OFFSET(終値履歴!A55,0,COUNTA(終値履歴!G55:'終値履歴'!XFD55)+4,1,-1)</f>
        <v>2188</v>
      </c>
      <c r="G55" s="365">
        <f ca="1">OFFSET(終値履歴!A55,0,COUNTA(終値履歴!G55:'終値履歴'!XFD55)+5,1,-1)</f>
        <v>2163</v>
      </c>
      <c r="I55" s="118">
        <f t="shared" ca="1" si="81"/>
        <v>-1.1425959780621572E-2</v>
      </c>
      <c r="J55" s="118">
        <f t="shared" ca="1" si="82"/>
        <v>-1.6818181818181819E-2</v>
      </c>
      <c r="K55" s="118">
        <f t="shared" ca="1" si="83"/>
        <v>-4.1223404255319146E-2</v>
      </c>
      <c r="M55" s="118">
        <f t="shared" ca="1" si="84"/>
        <v>-5.454545454545455E-3</v>
      </c>
      <c r="N55" s="118">
        <f t="shared" ca="1" si="85"/>
        <v>-3.0141843971631204E-2</v>
      </c>
      <c r="P55" s="115">
        <f t="shared" ca="1" si="86"/>
        <v>-25</v>
      </c>
      <c r="Q55" s="12" t="str">
        <f t="shared" ca="1" si="87"/>
        <v>割安</v>
      </c>
      <c r="R55" s="21">
        <f ca="1">終値履歴!D55</f>
        <v>2226.6</v>
      </c>
      <c r="S55" s="325">
        <f t="shared" ca="1" si="88"/>
        <v>-2.8909090909090867E-2</v>
      </c>
      <c r="T55" s="21">
        <f ca="1">終値履歴!E55</f>
        <v>2270.9</v>
      </c>
      <c r="U55" s="325">
        <f t="shared" ca="1" si="89"/>
        <v>-4.9884419787332449E-2</v>
      </c>
      <c r="W55" s="21">
        <f ca="1">終値履歴!F55</f>
        <v>2163</v>
      </c>
      <c r="X55" s="325">
        <f t="shared" ca="1" si="90"/>
        <v>0</v>
      </c>
    </row>
    <row r="56" spans="1:24" x14ac:dyDescent="0.25">
      <c r="B56" s="47" t="str">
        <f>IPO監視一覧!B44</f>
        <v>トランザス</v>
      </c>
      <c r="C56" s="364">
        <f>株価一覧!H55</f>
        <v>29200</v>
      </c>
      <c r="D56" s="365">
        <f ca="1">OFFSET(終値履歴!A56,0,COUNTA(終値履歴!G56:'終値履歴'!XFD56)+2,1,-1)</f>
        <v>2284</v>
      </c>
      <c r="E56" s="365">
        <f ca="1">OFFSET(終値履歴!A56,0,COUNTA(終値履歴!G56:'終値履歴'!XFD56)+3,1,-1)</f>
        <v>2305</v>
      </c>
      <c r="F56" s="365">
        <f ca="1">OFFSET(終値履歴!A56,0,COUNTA(終値履歴!G56:'終値履歴'!XFD56)+4,1,-1)</f>
        <v>2311</v>
      </c>
      <c r="G56" s="365">
        <f ca="1">OFFSET(終値履歴!A56,0,COUNTA(終値履歴!G56:'終値履歴'!XFD56)+5,1,-1)</f>
        <v>2310</v>
      </c>
      <c r="I56" s="118">
        <f t="shared" ca="1" si="81"/>
        <v>-4.3271311120726956E-4</v>
      </c>
      <c r="J56" s="118">
        <f t="shared" ca="1" si="82"/>
        <v>2.1691973969631237E-3</v>
      </c>
      <c r="K56" s="118">
        <f t="shared" ca="1" si="83"/>
        <v>1.138353765323993E-2</v>
      </c>
      <c r="M56" s="118">
        <f t="shared" ca="1" si="84"/>
        <v>2.6030368763557484E-3</v>
      </c>
      <c r="N56" s="118">
        <f t="shared" ca="1" si="85"/>
        <v>1.1821366024518389E-2</v>
      </c>
      <c r="P56" s="115">
        <f t="shared" ca="1" si="86"/>
        <v>-1</v>
      </c>
      <c r="Q56" s="12" t="str">
        <f t="shared" ca="1" si="87"/>
        <v>割安</v>
      </c>
      <c r="R56" s="21">
        <f ca="1">終値履歴!D56</f>
        <v>2316.4</v>
      </c>
      <c r="S56" s="325">
        <f t="shared" ca="1" si="88"/>
        <v>-2.7765726681128378E-3</v>
      </c>
      <c r="T56" s="21">
        <f ca="1">終値履歴!E56</f>
        <v>2330.1</v>
      </c>
      <c r="U56" s="325">
        <f t="shared" ca="1" si="89"/>
        <v>-8.7012987012986612E-3</v>
      </c>
      <c r="W56" s="21">
        <f ca="1">終値履歴!F56</f>
        <v>2277</v>
      </c>
      <c r="X56" s="325">
        <f t="shared" ca="1" si="90"/>
        <v>1.4285714285714285E-2</v>
      </c>
    </row>
    <row r="57" spans="1:24" x14ac:dyDescent="0.25">
      <c r="B57" s="47" t="str">
        <f>IPO監視一覧!B45</f>
        <v>ＵＵＵＭ</v>
      </c>
      <c r="C57" s="364">
        <f>株価一覧!H56</f>
        <v>107900</v>
      </c>
      <c r="D57" s="365">
        <f ca="1">OFFSET(終値履歴!A57,0,COUNTA(終値履歴!G57:'終値履歴'!XFD57)+2,1,-1)</f>
        <v>5110</v>
      </c>
      <c r="E57" s="365">
        <f ca="1">OFFSET(終値履歴!A57,0,COUNTA(終値履歴!G57:'終値履歴'!XFD57)+3,1,-1)</f>
        <v>5460</v>
      </c>
      <c r="F57" s="365">
        <f ca="1">OFFSET(終値履歴!A57,0,COUNTA(終値履歴!G57:'終値履歴'!XFD57)+4,1,-1)</f>
        <v>5490</v>
      </c>
      <c r="G57" s="365">
        <f ca="1">OFFSET(終値履歴!A57,0,COUNTA(終値履歴!G57:'終値履歴'!XFD57)+5,1,-1)</f>
        <v>5310</v>
      </c>
      <c r="I57" s="118">
        <f t="shared" ca="1" si="81"/>
        <v>-3.2786885245901641E-2</v>
      </c>
      <c r="J57" s="118">
        <f t="shared" ca="1" si="82"/>
        <v>-2.7472527472527472E-2</v>
      </c>
      <c r="K57" s="118">
        <f t="shared" ca="1" si="83"/>
        <v>3.9138943248532287E-2</v>
      </c>
      <c r="M57" s="118">
        <f t="shared" ca="1" si="84"/>
        <v>5.4945054945054949E-3</v>
      </c>
      <c r="N57" s="118">
        <f t="shared" ca="1" si="85"/>
        <v>7.4363992172211346E-2</v>
      </c>
      <c r="P57" s="115">
        <f t="shared" ca="1" si="86"/>
        <v>-180</v>
      </c>
      <c r="Q57" s="12" t="str">
        <f t="shared" ca="1" si="87"/>
        <v>普通</v>
      </c>
      <c r="R57" s="21">
        <f ca="1">終値履歴!D57</f>
        <v>5286</v>
      </c>
      <c r="S57" s="325">
        <f t="shared" ca="1" si="88"/>
        <v>4.3956043956043956E-3</v>
      </c>
      <c r="T57" s="21">
        <f ca="1">終値履歴!E57</f>
        <v>5379</v>
      </c>
      <c r="U57" s="325">
        <f t="shared" ca="1" si="89"/>
        <v>-1.2994350282485875E-2</v>
      </c>
      <c r="W57" s="21">
        <f ca="1">終値履歴!F57</f>
        <v>5060</v>
      </c>
      <c r="X57" s="325">
        <f t="shared" ca="1" si="90"/>
        <v>4.7080979284369114E-2</v>
      </c>
    </row>
    <row r="58" spans="1:24" x14ac:dyDescent="0.25">
      <c r="B58" s="47" t="str">
        <f>IPO監視一覧!B46</f>
        <v>エスユーエス</v>
      </c>
      <c r="C58" s="364">
        <f>株価一覧!H57</f>
        <v>10600</v>
      </c>
      <c r="D58" s="365">
        <f ca="1">OFFSET(終値履歴!A58,0,COUNTA(終値履歴!G58:'終値履歴'!XFD58)+2,1,-1)</f>
        <v>3820</v>
      </c>
      <c r="E58" s="365">
        <f ca="1">OFFSET(終値履歴!A58,0,COUNTA(終値履歴!G58:'終値履歴'!XFD58)+3,1,-1)</f>
        <v>3775</v>
      </c>
      <c r="F58" s="365">
        <f ca="1">OFFSET(終値履歴!A58,0,COUNTA(終値履歴!G58:'終値履歴'!XFD58)+4,1,-1)</f>
        <v>3800</v>
      </c>
      <c r="G58" s="365">
        <f ca="1">OFFSET(終値履歴!A58,0,COUNTA(終値履歴!G58:'終値履歴'!XFD58)+5,1,-1)</f>
        <v>3750</v>
      </c>
      <c r="I58" s="118">
        <f t="shared" ca="1" si="81"/>
        <v>-1.3157894736842105E-2</v>
      </c>
      <c r="J58" s="118">
        <f t="shared" ca="1" si="82"/>
        <v>-6.6225165562913907E-3</v>
      </c>
      <c r="K58" s="118">
        <f t="shared" ca="1" si="83"/>
        <v>-1.832460732984293E-2</v>
      </c>
      <c r="M58" s="118">
        <f t="shared" ca="1" si="84"/>
        <v>6.6225165562913907E-3</v>
      </c>
      <c r="N58" s="118">
        <f t="shared" ca="1" si="85"/>
        <v>-5.235602094240838E-3</v>
      </c>
      <c r="P58" s="115">
        <f t="shared" ca="1" si="86"/>
        <v>-50</v>
      </c>
      <c r="Q58" s="12" t="str">
        <f t="shared" ca="1" si="87"/>
        <v>割安</v>
      </c>
      <c r="R58" s="21">
        <f ca="1">終値履歴!D58</f>
        <v>3770</v>
      </c>
      <c r="S58" s="325">
        <f t="shared" ca="1" si="88"/>
        <v>-5.2980132450331126E-3</v>
      </c>
      <c r="T58" s="21">
        <f ca="1">終値履歴!E58</f>
        <v>3775</v>
      </c>
      <c r="U58" s="325">
        <f t="shared" ca="1" si="89"/>
        <v>-6.6666666666666671E-3</v>
      </c>
      <c r="W58" s="21">
        <f ca="1">終値履歴!F58</f>
        <v>3680</v>
      </c>
      <c r="X58" s="325">
        <f t="shared" ca="1" si="90"/>
        <v>1.8666666666666668E-2</v>
      </c>
    </row>
    <row r="59" spans="1:24" x14ac:dyDescent="0.25">
      <c r="B59" s="47" t="str">
        <f>IPO監視一覧!B47</f>
        <v>ウォンテッドリー</v>
      </c>
      <c r="C59" s="364">
        <f>株価一覧!H58</f>
        <v>25600</v>
      </c>
      <c r="D59" s="365">
        <f ca="1">OFFSET(終値履歴!A59,0,COUNTA(終値履歴!G59:'終値履歴'!XFD59)+2,1,-1)</f>
        <v>3860</v>
      </c>
      <c r="E59" s="365">
        <f ca="1">OFFSET(終値履歴!A59,0,COUNTA(終値履歴!G59:'終値履歴'!XFD59)+3,1,-1)</f>
        <v>3785</v>
      </c>
      <c r="F59" s="365">
        <f ca="1">OFFSET(終値履歴!A59,0,COUNTA(終値履歴!G59:'終値履歴'!XFD59)+4,1,-1)</f>
        <v>3795</v>
      </c>
      <c r="G59" s="365">
        <f ca="1">OFFSET(終値履歴!A59,0,COUNTA(終値履歴!G59:'終値履歴'!XFD59)+5,1,-1)</f>
        <v>3920</v>
      </c>
      <c r="I59" s="118">
        <f t="shared" ref="I59:I62" ca="1" si="91">(G59-F59)/F59</f>
        <v>3.2938076416337288E-2</v>
      </c>
      <c r="J59" s="118">
        <f t="shared" ref="J59:J62" ca="1" si="92">(G59-E59)/E59</f>
        <v>3.5667107001321002E-2</v>
      </c>
      <c r="K59" s="118">
        <f t="shared" ref="K59:K62" ca="1" si="93">(G59-D59)/D59</f>
        <v>1.5544041450777202E-2</v>
      </c>
      <c r="M59" s="118">
        <f t="shared" ref="M59:M62" ca="1" si="94">(F59-E59)/E59</f>
        <v>2.6420079260237781E-3</v>
      </c>
      <c r="N59" s="118">
        <f t="shared" ref="N59:N62" ca="1" si="95">(F59-D59)/D59</f>
        <v>-1.683937823834197E-2</v>
      </c>
      <c r="P59" s="115" t="str">
        <f t="shared" ref="P59:P62" ca="1" si="96">IF(G59-F59 &gt; 0,CONCATENATE("＋",G59-F59),G59-F59)</f>
        <v>＋125</v>
      </c>
      <c r="Q59" s="12" t="str">
        <f t="shared" ref="Q59:Q62" ca="1" si="97">IF(AND(G59&lt;=T59,G59&lt;=R59),"割安",IF(AND(G59&gt;T59,G59&lt;=R59),"普通",IF(AND(G59&lt;=T59,G59&gt;R59),"普通","割高")))</f>
        <v>普通</v>
      </c>
      <c r="R59" s="21">
        <f ca="1">終値履歴!D59</f>
        <v>3910</v>
      </c>
      <c r="S59" s="325">
        <f t="shared" ref="S59:S62" ca="1" si="98">(G59-R59)/E59</f>
        <v>2.6420079260237781E-3</v>
      </c>
      <c r="T59" s="21">
        <f ca="1">終値履歴!E59</f>
        <v>4099.5</v>
      </c>
      <c r="U59" s="325">
        <f t="shared" ref="U59:U62" ca="1" si="99">(G59-T59)/G59</f>
        <v>-4.5790816326530613E-2</v>
      </c>
      <c r="W59" s="21">
        <f ca="1">終値履歴!F59</f>
        <v>3785</v>
      </c>
      <c r="X59" s="325">
        <f t="shared" ref="X59:X62" ca="1" si="100">(G59-W59)/G59</f>
        <v>3.4438775510204078E-2</v>
      </c>
    </row>
    <row r="60" spans="1:24" x14ac:dyDescent="0.25">
      <c r="B60" s="47" t="str">
        <f>IPO監視一覧!B48</f>
        <v>ニーズウェル</v>
      </c>
      <c r="C60" s="364">
        <f>株価一覧!H59</f>
        <v>52900</v>
      </c>
      <c r="D60" s="365">
        <f ca="1">OFFSET(終値履歴!A60,0,COUNTA(終値履歴!G60:'終値履歴'!XFD60)+2,1,-1)</f>
        <v>3175</v>
      </c>
      <c r="E60" s="365">
        <f ca="1">OFFSET(終値履歴!A60,0,COUNTA(終値履歴!G60:'終値履歴'!XFD60)+3,1,-1)</f>
        <v>3195</v>
      </c>
      <c r="F60" s="365">
        <f ca="1">OFFSET(終値履歴!A60,0,COUNTA(終値履歴!G60:'終値履歴'!XFD60)+4,1,-1)</f>
        <v>3295</v>
      </c>
      <c r="G60" s="365">
        <f ca="1">OFFSET(終値履歴!A60,0,COUNTA(終値履歴!G60:'終値履歴'!XFD60)+5,1,-1)</f>
        <v>3330</v>
      </c>
      <c r="I60" s="118">
        <f t="shared" ca="1" si="91"/>
        <v>1.0622154779969651E-2</v>
      </c>
      <c r="J60" s="118">
        <f t="shared" ca="1" si="92"/>
        <v>4.2253521126760563E-2</v>
      </c>
      <c r="K60" s="118">
        <f t="shared" ca="1" si="93"/>
        <v>4.8818897637795275E-2</v>
      </c>
      <c r="M60" s="118">
        <f t="shared" ca="1" si="94"/>
        <v>3.1298904538341159E-2</v>
      </c>
      <c r="N60" s="118">
        <f t="shared" ca="1" si="95"/>
        <v>3.7795275590551181E-2</v>
      </c>
      <c r="P60" s="115" t="str">
        <f t="shared" ca="1" si="96"/>
        <v>＋35</v>
      </c>
      <c r="Q60" s="12" t="str">
        <f t="shared" ca="1" si="97"/>
        <v>割高</v>
      </c>
      <c r="R60" s="21">
        <f ca="1">終値履歴!D60</f>
        <v>3262</v>
      </c>
      <c r="S60" s="325">
        <f t="shared" ca="1" si="98"/>
        <v>2.1283255086071987E-2</v>
      </c>
      <c r="T60" s="21">
        <f ca="1">終値履歴!E60</f>
        <v>3270</v>
      </c>
      <c r="U60" s="325">
        <f t="shared" ca="1" si="99"/>
        <v>1.8018018018018018E-2</v>
      </c>
      <c r="W60" s="21">
        <f ca="1">終値履歴!F60</f>
        <v>3100</v>
      </c>
      <c r="X60" s="325">
        <f t="shared" ca="1" si="100"/>
        <v>6.9069069069069067E-2</v>
      </c>
    </row>
    <row r="61" spans="1:24" x14ac:dyDescent="0.25">
      <c r="B61" s="84" t="str">
        <f>IPO監視一覧!B49</f>
        <v>PKSHA Technology</v>
      </c>
      <c r="C61" s="122">
        <f>株価一覧!H60</f>
        <v>1872600</v>
      </c>
      <c r="D61" s="15">
        <f ca="1">OFFSET(終値履歴!A61,0,COUNTA(終値履歴!G61:'終値履歴'!XFD61)+2,1,-1)</f>
        <v>10430</v>
      </c>
      <c r="E61" s="15">
        <f ca="1">OFFSET(終値履歴!A61,0,COUNTA(終値履歴!G61:'終値履歴'!XFD61)+3,1,-1)</f>
        <v>11800</v>
      </c>
      <c r="F61" s="15">
        <f ca="1">OFFSET(終値履歴!A61,0,COUNTA(終値履歴!G61:'終値履歴'!XFD61)+4,1,-1)</f>
        <v>14240</v>
      </c>
      <c r="G61" s="15">
        <f ca="1">OFFSET(終値履歴!A61,0,COUNTA(終値履歴!G61:'終値履歴'!XFD61)+5,1,-1)</f>
        <v>12960</v>
      </c>
      <c r="I61" s="118">
        <f t="shared" ca="1" si="91"/>
        <v>-8.98876404494382E-2</v>
      </c>
      <c r="J61" s="118">
        <f t="shared" ca="1" si="92"/>
        <v>9.8305084745762716E-2</v>
      </c>
      <c r="K61" s="118">
        <f t="shared" ca="1" si="93"/>
        <v>0.24256951102588686</v>
      </c>
      <c r="M61" s="118">
        <f t="shared" ca="1" si="94"/>
        <v>0.20677966101694914</v>
      </c>
      <c r="N61" s="118">
        <f t="shared" ca="1" si="95"/>
        <v>0.36529242569511028</v>
      </c>
      <c r="P61" s="115">
        <f t="shared" ca="1" si="96"/>
        <v>-1280</v>
      </c>
      <c r="Q61" s="12" t="str">
        <f t="shared" ca="1" si="97"/>
        <v>割高</v>
      </c>
      <c r="R61" s="21">
        <f ca="1">終値履歴!D61</f>
        <v>11950</v>
      </c>
      <c r="S61" s="325">
        <f t="shared" ca="1" si="98"/>
        <v>8.5593220338983048E-2</v>
      </c>
      <c r="T61" s="21">
        <f ca="1">終値履歴!E61</f>
        <v>10701</v>
      </c>
      <c r="U61" s="325">
        <f t="shared" ca="1" si="99"/>
        <v>0.17430555555555555</v>
      </c>
      <c r="W61" s="21">
        <f ca="1">終値履歴!F61</f>
        <v>8530</v>
      </c>
      <c r="X61" s="325">
        <f t="shared" ca="1" si="100"/>
        <v>0.34182098765432101</v>
      </c>
    </row>
    <row r="62" spans="1:24" x14ac:dyDescent="0.25">
      <c r="B62" s="84" t="str">
        <f>IPO監視一覧!B50</f>
        <v>壽屋</v>
      </c>
      <c r="C62" s="122">
        <f>株価一覧!H61</f>
        <v>93300</v>
      </c>
      <c r="D62" s="15">
        <f ca="1">OFFSET(終値履歴!A62,0,COUNTA(終値履歴!G62:'終値履歴'!XFD62)+2,1,-1)</f>
        <v>2420</v>
      </c>
      <c r="E62" s="15">
        <f ca="1">OFFSET(終値履歴!A62,0,COUNTA(終値履歴!G62:'終値履歴'!XFD62)+3,1,-1)</f>
        <v>2532</v>
      </c>
      <c r="F62" s="15">
        <f ca="1">OFFSET(終値履歴!A62,0,COUNTA(終値履歴!G62:'終値履歴'!XFD62)+4,1,-1)</f>
        <v>2599</v>
      </c>
      <c r="G62" s="15">
        <f ca="1">OFFSET(終値履歴!A62,0,COUNTA(終値履歴!G62:'終値履歴'!XFD62)+5,1,-1)</f>
        <v>2652</v>
      </c>
      <c r="I62" s="118">
        <f t="shared" ca="1" si="91"/>
        <v>2.0392458637937667E-2</v>
      </c>
      <c r="J62" s="118">
        <f t="shared" ca="1" si="92"/>
        <v>4.7393364928909949E-2</v>
      </c>
      <c r="K62" s="118">
        <f t="shared" ca="1" si="93"/>
        <v>9.5867768595041328E-2</v>
      </c>
      <c r="M62" s="118">
        <f t="shared" ca="1" si="94"/>
        <v>2.6461295418641392E-2</v>
      </c>
      <c r="N62" s="118">
        <f t="shared" ca="1" si="95"/>
        <v>7.3966942148760331E-2</v>
      </c>
      <c r="P62" s="115" t="str">
        <f t="shared" ca="1" si="96"/>
        <v>＋53</v>
      </c>
      <c r="Q62" s="12" t="str">
        <f t="shared" ca="1" si="97"/>
        <v>割高</v>
      </c>
      <c r="R62" s="21">
        <f ca="1">終値履歴!D62</f>
        <v>2540.1999999999998</v>
      </c>
      <c r="S62" s="325">
        <f t="shared" ca="1" si="98"/>
        <v>4.4154818325434511E-2</v>
      </c>
      <c r="T62" s="21">
        <f ca="1">終値履歴!E62</f>
        <v>2635.9</v>
      </c>
      <c r="U62" s="325">
        <f t="shared" ca="1" si="99"/>
        <v>6.0708898944192716E-3</v>
      </c>
      <c r="W62" s="21">
        <f ca="1">終値履歴!F62</f>
        <v>2420</v>
      </c>
      <c r="X62" s="325">
        <f t="shared" ca="1" si="100"/>
        <v>8.7481146304675711E-2</v>
      </c>
    </row>
    <row r="63" spans="1:24" x14ac:dyDescent="0.25">
      <c r="B63" s="84" t="str">
        <f>IPO監視一覧!B51</f>
        <v>ロードスターキャピタル</v>
      </c>
      <c r="C63" s="122">
        <f>株価一覧!H62</f>
        <v>5497200</v>
      </c>
      <c r="D63" s="15">
        <f ca="1">OFFSET(終値履歴!A63,0,COUNTA(終値履歴!G63:'終値履歴'!XFD63)+2,1,-1)</f>
        <v>3135</v>
      </c>
      <c r="E63" s="15">
        <f ca="1">OFFSET(終値履歴!A63,0,COUNTA(終値履歴!G63:'終値履歴'!XFD63)+3,1,-1)</f>
        <v>3360</v>
      </c>
      <c r="F63" s="15">
        <f ca="1">OFFSET(終値履歴!A63,0,COUNTA(終値履歴!G63:'終値履歴'!XFD63)+4,1,-1)</f>
        <v>4060</v>
      </c>
      <c r="G63" s="15">
        <f ca="1">OFFSET(終値履歴!A63,0,COUNTA(終値履歴!G63:'終値履歴'!XFD63)+5,1,-1)</f>
        <v>3975</v>
      </c>
      <c r="I63" s="118">
        <f t="shared" ref="I63:I65" ca="1" si="101">(G63-F63)/F63</f>
        <v>-2.0935960591133004E-2</v>
      </c>
      <c r="J63" s="118">
        <f t="shared" ref="J63:J65" ca="1" si="102">(G63-E63)/E63</f>
        <v>0.18303571428571427</v>
      </c>
      <c r="K63" s="118">
        <f t="shared" ref="K63:K65" ca="1" si="103">(G63-D63)/D63</f>
        <v>0.26794258373205743</v>
      </c>
      <c r="M63" s="118">
        <f t="shared" ref="M63:M65" ca="1" si="104">(F63-E63)/E63</f>
        <v>0.20833333333333334</v>
      </c>
      <c r="N63" s="118">
        <f t="shared" ref="N63:N65" ca="1" si="105">(F63-D63)/D63</f>
        <v>0.29505582137161085</v>
      </c>
      <c r="P63" s="115">
        <f t="shared" ref="P63:P65" ca="1" si="106">IF(G63-F63 &gt; 0,CONCATENATE("＋",G63-F63),G63-F63)</f>
        <v>-85</v>
      </c>
      <c r="Q63" s="12" t="str">
        <f t="shared" ref="Q63:Q65" ca="1" si="107">IF(AND(G63&lt;=T63,G63&lt;=R63),"割安",IF(AND(G63&gt;T63,G63&lt;=R63),"普通",IF(AND(G63&lt;=T63,G63&gt;R63),"普通","割高")))</f>
        <v>割高</v>
      </c>
      <c r="R63" s="21">
        <f ca="1">終値履歴!D63</f>
        <v>3536</v>
      </c>
      <c r="S63" s="325">
        <f t="shared" ref="S63:S65" ca="1" si="108">(G63-R63)/E63</f>
        <v>0.13065476190476191</v>
      </c>
      <c r="T63" s="21">
        <f ca="1">終値履歴!E63</f>
        <v>2881.6</v>
      </c>
      <c r="U63" s="325">
        <f t="shared" ref="U63:U65" ca="1" si="109">(G63-T63)/G63</f>
        <v>0.27506918238993711</v>
      </c>
      <c r="W63" s="21">
        <f ca="1">終値履歴!F63</f>
        <v>2498</v>
      </c>
      <c r="X63" s="325">
        <f t="shared" ref="X63:X65" ca="1" si="110">(G63-W63)/G63</f>
        <v>0.37157232704402515</v>
      </c>
    </row>
    <row r="64" spans="1:24" x14ac:dyDescent="0.25">
      <c r="B64" s="107" t="str">
        <f>IPO監視一覧!B52</f>
        <v>西本WismettacHD</v>
      </c>
      <c r="C64" s="122">
        <f>株価一覧!H63</f>
        <v>62700</v>
      </c>
      <c r="D64" s="15">
        <f ca="1">OFFSET(終値履歴!A64,0,COUNTA(終値履歴!G64:'終値履歴'!XFD64)+2,1,-1)</f>
        <v>4300</v>
      </c>
      <c r="E64" s="15">
        <f ca="1">OFFSET(終値履歴!A64,0,COUNTA(終値履歴!G64:'終値履歴'!XFD64)+3,1,-1)</f>
        <v>4300</v>
      </c>
      <c r="F64" s="15">
        <f ca="1">OFFSET(終値履歴!A64,0,COUNTA(終値履歴!G64:'終値履歴'!XFD64)+4,1,-1)</f>
        <v>4240</v>
      </c>
      <c r="G64" s="15">
        <f ca="1">OFFSET(終値履歴!A64,0,COUNTA(終値履歴!G64:'終値履歴'!XFD64)+5,1,-1)</f>
        <v>4330</v>
      </c>
      <c r="I64" s="118">
        <f t="shared" ca="1" si="101"/>
        <v>2.1226415094339621E-2</v>
      </c>
      <c r="J64" s="118">
        <f t="shared" ca="1" si="102"/>
        <v>6.9767441860465115E-3</v>
      </c>
      <c r="K64" s="118">
        <f t="shared" ca="1" si="103"/>
        <v>6.9767441860465115E-3</v>
      </c>
      <c r="M64" s="118">
        <f t="shared" ca="1" si="104"/>
        <v>-1.3953488372093023E-2</v>
      </c>
      <c r="N64" s="118">
        <f t="shared" ca="1" si="105"/>
        <v>-1.3953488372093023E-2</v>
      </c>
      <c r="P64" s="115" t="str">
        <f t="shared" ca="1" si="106"/>
        <v>＋90</v>
      </c>
      <c r="Q64" s="12" t="str">
        <f t="shared" ca="1" si="107"/>
        <v>割高</v>
      </c>
      <c r="R64" s="21">
        <f ca="1">終値履歴!D64</f>
        <v>4299</v>
      </c>
      <c r="S64" s="325">
        <f t="shared" ca="1" si="108"/>
        <v>7.2093023255813951E-3</v>
      </c>
      <c r="T64" s="21">
        <f ca="1">終値履歴!E64</f>
        <v>3440</v>
      </c>
      <c r="U64" s="325">
        <f t="shared" ca="1" si="109"/>
        <v>0.20554272517321015</v>
      </c>
      <c r="W64" s="21">
        <f ca="1">終値履歴!F64</f>
        <v>0</v>
      </c>
      <c r="X64" s="325">
        <f t="shared" ca="1" si="110"/>
        <v>1</v>
      </c>
    </row>
    <row r="65" spans="2:24" x14ac:dyDescent="0.25">
      <c r="B65" s="107" t="str">
        <f>IPO監視一覧!B53</f>
        <v>マネーフォワード</v>
      </c>
      <c r="C65" s="122">
        <f>株価一覧!H64</f>
        <v>562000</v>
      </c>
      <c r="D65" s="15">
        <f ca="1">OFFSET(終値履歴!A65,0,COUNTA(終値履歴!G65:'終値履歴'!XFD65)+2,1,-1)</f>
        <v>3055</v>
      </c>
      <c r="E65" s="15">
        <f ca="1">OFFSET(終値履歴!A65,0,COUNTA(終値履歴!G65:'終値履歴'!XFD65)+3,1,-1)</f>
        <v>3005</v>
      </c>
      <c r="F65" s="15">
        <f ca="1">OFFSET(終値履歴!A65,0,COUNTA(終値履歴!G65:'終値履歴'!XFD65)+4,1,-1)</f>
        <v>2791</v>
      </c>
      <c r="G65" s="15">
        <f ca="1">OFFSET(終値履歴!A65,0,COUNTA(終値履歴!G65:'終値履歴'!XFD65)+5,1,-1)</f>
        <v>3005</v>
      </c>
      <c r="I65" s="118">
        <f t="shared" ca="1" si="101"/>
        <v>7.6675026872088853E-2</v>
      </c>
      <c r="J65" s="118">
        <f t="shared" ca="1" si="102"/>
        <v>0</v>
      </c>
      <c r="K65" s="118">
        <f t="shared" ca="1" si="103"/>
        <v>-1.6366612111292964E-2</v>
      </c>
      <c r="M65" s="118">
        <f t="shared" ca="1" si="104"/>
        <v>-7.1214642262895173E-2</v>
      </c>
      <c r="N65" s="118">
        <f t="shared" ca="1" si="105"/>
        <v>-8.6415711947626844E-2</v>
      </c>
      <c r="P65" s="115" t="str">
        <f t="shared" ca="1" si="106"/>
        <v>＋214</v>
      </c>
      <c r="Q65" s="12" t="str">
        <f t="shared" ca="1" si="107"/>
        <v>割高</v>
      </c>
      <c r="R65" s="21">
        <f ca="1">終値履歴!D65</f>
        <v>2985.2</v>
      </c>
      <c r="S65" s="325">
        <f t="shared" ca="1" si="108"/>
        <v>6.5890183028286791E-3</v>
      </c>
      <c r="T65" s="21">
        <f ca="1">終値履歴!E65</f>
        <v>2457.1</v>
      </c>
      <c r="U65" s="325">
        <f t="shared" ca="1" si="109"/>
        <v>0.18232945091514147</v>
      </c>
      <c r="W65" s="21">
        <f ca="1">終値履歴!F65</f>
        <v>0</v>
      </c>
      <c r="X65" s="325">
        <f t="shared" ca="1" si="110"/>
        <v>1</v>
      </c>
    </row>
    <row r="66" spans="2:24" x14ac:dyDescent="0.25">
      <c r="B66" s="107" t="str">
        <f>IPO監視一覧!B54</f>
        <v>テックポイント・インク</v>
      </c>
      <c r="C66" s="122">
        <f>株価一覧!H65</f>
        <v>3878200</v>
      </c>
      <c r="D66" s="15">
        <f ca="1">OFFSET(終値履歴!A66,0,COUNTA(終値履歴!G66:'終値履歴'!XFD66)+2,1,-1)</f>
        <v>1880</v>
      </c>
      <c r="E66" s="15">
        <f ca="1">OFFSET(終値履歴!A66,0,COUNTA(終値履歴!G66:'終値履歴'!XFD66)+3,1,-1)</f>
        <v>1888</v>
      </c>
      <c r="F66" s="15">
        <f ca="1">OFFSET(終値履歴!A66,0,COUNTA(終値履歴!G66:'終値履歴'!XFD66)+4,1,-1)</f>
        <v>2141</v>
      </c>
      <c r="G66" s="15">
        <f ca="1">OFFSET(終値履歴!A66,0,COUNTA(終値履歴!G66:'終値履歴'!XFD66)+5,1,-1)</f>
        <v>2641</v>
      </c>
      <c r="I66" s="118">
        <f t="shared" ref="I66:I71" ca="1" si="111">(G66-F66)/F66</f>
        <v>0.23353573096683794</v>
      </c>
      <c r="J66" s="118">
        <f t="shared" ref="J66:J71" ca="1" si="112">(G66-E66)/E66</f>
        <v>0.39883474576271188</v>
      </c>
      <c r="K66" s="118">
        <f t="shared" ref="K66:K71" ca="1" si="113">(G66-D66)/D66</f>
        <v>0.40478723404255318</v>
      </c>
      <c r="M66" s="118">
        <f t="shared" ref="M66:M71" ca="1" si="114">(F66-E66)/E66</f>
        <v>0.1340042372881356</v>
      </c>
      <c r="N66" s="118">
        <f t="shared" ref="N66:N71" ca="1" si="115">(F66-D66)/D66</f>
        <v>0.13882978723404255</v>
      </c>
      <c r="P66" s="115" t="str">
        <f t="shared" ref="P66:P71" ca="1" si="116">IF(G66-F66 &gt; 0,CONCATENATE("＋",G66-F66),G66-F66)</f>
        <v>＋500</v>
      </c>
      <c r="Q66" s="12" t="str">
        <f t="shared" ref="Q66:Q71" ca="1" si="117">IF(AND(G66&lt;=T66,G66&lt;=R66),"割安",IF(AND(G66&gt;T66,G66&lt;=R66),"普通",IF(AND(G66&lt;=T66,G66&gt;R66),"普通","割高")))</f>
        <v>割高</v>
      </c>
      <c r="R66" s="21">
        <f ca="1">終値履歴!D66</f>
        <v>2141.1999999999998</v>
      </c>
      <c r="S66" s="325">
        <f t="shared" ref="S66:S71" ca="1" si="118">(G66-R66)/E66</f>
        <v>0.26472457627118656</v>
      </c>
      <c r="T66" s="21">
        <f ca="1">終値履歴!E66</f>
        <v>1555.9</v>
      </c>
      <c r="U66" s="325">
        <f t="shared" ref="U66:U71" ca="1" si="119">(G66-T66)/G66</f>
        <v>0.41086709579704656</v>
      </c>
      <c r="W66" s="21">
        <f ca="1">終値履歴!F66</f>
        <v>0</v>
      </c>
      <c r="X66" s="325">
        <f t="shared" ref="X66:X71" ca="1" si="120">(G66-W66)/G66</f>
        <v>1</v>
      </c>
    </row>
    <row r="67" spans="2:24" x14ac:dyDescent="0.25">
      <c r="B67" s="107" t="str">
        <f>IPO監視一覧!B55</f>
        <v>MS&amp;Consulting</v>
      </c>
      <c r="C67" s="122">
        <f>株価一覧!H66</f>
        <v>1557400</v>
      </c>
      <c r="D67" s="15">
        <f ca="1">OFFSET(終値履歴!A67,0,COUNTA(終値履歴!G67:'終値履歴'!XFD67)+2,1,-1)</f>
        <v>1229</v>
      </c>
      <c r="E67" s="15">
        <f ca="1">OFFSET(終値履歴!A67,0,COUNTA(終値履歴!G67:'終値履歴'!XFD67)+3,1,-1)</f>
        <v>1219</v>
      </c>
      <c r="F67" s="15">
        <f ca="1">OFFSET(終値履歴!A67,0,COUNTA(終値履歴!G67:'終値履歴'!XFD67)+4,1,-1)</f>
        <v>1120</v>
      </c>
      <c r="G67" s="15">
        <f ca="1">OFFSET(終値履歴!A67,0,COUNTA(終値履歴!G67:'終値履歴'!XFD67)+5,1,-1)</f>
        <v>1139</v>
      </c>
      <c r="I67" s="118">
        <f t="shared" ca="1" si="111"/>
        <v>1.6964285714285713E-2</v>
      </c>
      <c r="J67" s="118">
        <f t="shared" ca="1" si="112"/>
        <v>-6.5627563576702214E-2</v>
      </c>
      <c r="K67" s="118">
        <f t="shared" ca="1" si="113"/>
        <v>-7.3230268510984534E-2</v>
      </c>
      <c r="M67" s="118">
        <f t="shared" ca="1" si="114"/>
        <v>-8.1214109926168995E-2</v>
      </c>
      <c r="N67" s="118">
        <f t="shared" ca="1" si="115"/>
        <v>-8.8689991863303494E-2</v>
      </c>
      <c r="P67" s="115" t="str">
        <f t="shared" ca="1" si="116"/>
        <v>＋19</v>
      </c>
      <c r="Q67" s="12" t="str">
        <f t="shared" ca="1" si="117"/>
        <v>割高</v>
      </c>
      <c r="R67" s="21">
        <f ca="1">終値履歴!D67</f>
        <v>941.4</v>
      </c>
      <c r="S67" s="325">
        <f t="shared" ca="1" si="118"/>
        <v>0.1621000820344545</v>
      </c>
      <c r="T67" s="21">
        <f ca="1">終値履歴!E67</f>
        <v>470.7</v>
      </c>
      <c r="U67" s="325">
        <f t="shared" ca="1" si="119"/>
        <v>0.58674275680421417</v>
      </c>
      <c r="W67" s="21">
        <f ca="1">終値履歴!F67</f>
        <v>0</v>
      </c>
      <c r="X67" s="325">
        <f t="shared" ca="1" si="120"/>
        <v>1</v>
      </c>
    </row>
    <row r="68" spans="2:24" x14ac:dyDescent="0.25">
      <c r="B68" s="107" t="str">
        <f>IPO監視一覧!B56</f>
        <v>大阪油化工業</v>
      </c>
      <c r="C68" s="122">
        <f>株価一覧!H67</f>
        <v>1199700</v>
      </c>
      <c r="D68" s="15">
        <f ca="1">OFFSET(終値履歴!A68,0,COUNTA(終値履歴!G68:'終値履歴'!XFD68)+2,1,-1)</f>
        <v>3800</v>
      </c>
      <c r="E68" s="15">
        <f ca="1">OFFSET(終値履歴!A68,0,COUNTA(終値履歴!G68:'終値履歴'!XFD68)+3,1,-1)</f>
        <v>4145</v>
      </c>
      <c r="F68" s="15">
        <f ca="1">OFFSET(終値履歴!A68,0,COUNTA(終値履歴!G68:'終値履歴'!XFD68)+4,1,-1)</f>
        <v>4250</v>
      </c>
      <c r="G68" s="15">
        <f ca="1">OFFSET(終値履歴!A68,0,COUNTA(終値履歴!G68:'終値履歴'!XFD68)+5,1,-1)</f>
        <v>3905</v>
      </c>
      <c r="I68" s="118">
        <f t="shared" ca="1" si="111"/>
        <v>-8.1176470588235294E-2</v>
      </c>
      <c r="J68" s="118">
        <f t="shared" ca="1" si="112"/>
        <v>-5.790108564535585E-2</v>
      </c>
      <c r="K68" s="118">
        <f t="shared" ca="1" si="113"/>
        <v>2.763157894736842E-2</v>
      </c>
      <c r="M68" s="118">
        <f t="shared" ca="1" si="114"/>
        <v>2.5331724969843185E-2</v>
      </c>
      <c r="N68" s="118">
        <f t="shared" ca="1" si="115"/>
        <v>0.11842105263157894</v>
      </c>
      <c r="P68" s="115">
        <f t="shared" ca="1" si="116"/>
        <v>-345</v>
      </c>
      <c r="Q68" s="12" t="str">
        <f t="shared" ca="1" si="117"/>
        <v>割高</v>
      </c>
      <c r="R68" s="21">
        <f ca="1">終値履歴!D68</f>
        <v>3220</v>
      </c>
      <c r="S68" s="325">
        <f t="shared" ca="1" si="118"/>
        <v>0.16525934861278649</v>
      </c>
      <c r="T68" s="21">
        <f ca="1">終値履歴!E68</f>
        <v>1610</v>
      </c>
      <c r="U68" s="325">
        <f t="shared" ca="1" si="119"/>
        <v>0.58770806658130603</v>
      </c>
      <c r="W68" s="21">
        <f ca="1">終値履歴!F68</f>
        <v>0</v>
      </c>
      <c r="X68" s="325">
        <f t="shared" ca="1" si="120"/>
        <v>1</v>
      </c>
    </row>
    <row r="69" spans="2:24" x14ac:dyDescent="0.25">
      <c r="B69" s="107" t="str">
        <f>IPO監視一覧!B57</f>
        <v>ウェルビー</v>
      </c>
      <c r="C69" s="122">
        <f>株価一覧!H68</f>
        <v>220700</v>
      </c>
      <c r="D69" s="15">
        <f ca="1">OFFSET(終値履歴!A69,0,COUNTA(終値履歴!G69:'終値履歴'!XFD69)+2,1,-1)</f>
        <v>3050</v>
      </c>
      <c r="E69" s="15">
        <f ca="1">OFFSET(終値履歴!A69,0,COUNTA(終値履歴!G69:'終値履歴'!XFD69)+3,1,-1)</f>
        <v>3135</v>
      </c>
      <c r="F69" s="15">
        <f ca="1">OFFSET(終値履歴!A69,0,COUNTA(終値履歴!G69:'終値履歴'!XFD69)+4,1,-1)</f>
        <v>2845</v>
      </c>
      <c r="G69" s="15">
        <f ca="1">OFFSET(終値履歴!A69,0,COUNTA(終値履歴!G69:'終値履歴'!XFD69)+5,1,-1)</f>
        <v>2929</v>
      </c>
      <c r="I69" s="118">
        <f t="shared" ca="1" si="111"/>
        <v>2.9525483304042179E-2</v>
      </c>
      <c r="J69" s="118">
        <f t="shared" ca="1" si="112"/>
        <v>-6.5709728867623607E-2</v>
      </c>
      <c r="K69" s="118">
        <f t="shared" ca="1" si="113"/>
        <v>-3.9672131147540986E-2</v>
      </c>
      <c r="M69" s="118">
        <f t="shared" ca="1" si="114"/>
        <v>-9.2503987240829352E-2</v>
      </c>
      <c r="N69" s="118">
        <f t="shared" ca="1" si="115"/>
        <v>-6.7213114754098358E-2</v>
      </c>
      <c r="P69" s="115" t="str">
        <f t="shared" ca="1" si="116"/>
        <v>＋84</v>
      </c>
      <c r="Q69" s="12" t="str">
        <f t="shared" ca="1" si="117"/>
        <v>割高</v>
      </c>
      <c r="R69" s="21">
        <f ca="1">終値履歴!D69</f>
        <v>2391.8000000000002</v>
      </c>
      <c r="S69" s="325">
        <f t="shared" ca="1" si="118"/>
        <v>0.17135566188197762</v>
      </c>
      <c r="T69" s="21">
        <f ca="1">終値履歴!E69</f>
        <v>1195.9000000000001</v>
      </c>
      <c r="U69" s="325">
        <f t="shared" ca="1" si="119"/>
        <v>0.59170365312393303</v>
      </c>
      <c r="W69" s="21">
        <f ca="1">終値履歴!F69</f>
        <v>0</v>
      </c>
      <c r="X69" s="325">
        <f t="shared" ca="1" si="120"/>
        <v>1</v>
      </c>
    </row>
    <row r="70" spans="2:24" x14ac:dyDescent="0.25">
      <c r="B70" s="107" t="str">
        <f>IPO監視一覧!B58</f>
        <v>シルバーライフ</v>
      </c>
      <c r="C70" s="122">
        <f>株価一覧!H69</f>
        <v>0</v>
      </c>
      <c r="D70" s="15">
        <f ca="1">OFFSET(終値履歴!A70,0,COUNTA(終値履歴!G70:'終値履歴'!XFD70)+2,1,-1)</f>
        <v>0</v>
      </c>
      <c r="E70" s="15">
        <f ca="1">OFFSET(終値履歴!A70,0,COUNTA(終値履歴!G70:'終値履歴'!XFD70)+3,1,-1)</f>
        <v>0</v>
      </c>
      <c r="F70" s="15">
        <f ca="1">OFFSET(終値履歴!A70,0,COUNTA(終値履歴!G70:'終値履歴'!XFD70)+4,1,-1)</f>
        <v>0</v>
      </c>
      <c r="G70" s="15">
        <f ca="1">OFFSET(終値履歴!A70,0,COUNTA(終値履歴!G70:'終値履歴'!XFD70)+5,1,-1)</f>
        <v>0</v>
      </c>
      <c r="I70" s="118" t="e">
        <f t="shared" ca="1" si="111"/>
        <v>#DIV/0!</v>
      </c>
      <c r="J70" s="118" t="e">
        <f t="shared" ca="1" si="112"/>
        <v>#DIV/0!</v>
      </c>
      <c r="K70" s="118" t="e">
        <f t="shared" ca="1" si="113"/>
        <v>#DIV/0!</v>
      </c>
      <c r="M70" s="118" t="e">
        <f t="shared" ca="1" si="114"/>
        <v>#DIV/0!</v>
      </c>
      <c r="N70" s="118" t="e">
        <f t="shared" ca="1" si="115"/>
        <v>#DIV/0!</v>
      </c>
      <c r="P70" s="115">
        <f t="shared" ca="1" si="116"/>
        <v>0</v>
      </c>
      <c r="Q70" s="12" t="str">
        <f t="shared" ca="1" si="117"/>
        <v>割安</v>
      </c>
      <c r="R70" s="21">
        <f ca="1">終値履歴!D70</f>
        <v>0</v>
      </c>
      <c r="S70" s="325" t="e">
        <f t="shared" ca="1" si="118"/>
        <v>#DIV/0!</v>
      </c>
      <c r="T70" s="21">
        <f ca="1">終値履歴!E70</f>
        <v>0</v>
      </c>
      <c r="U70" s="325" t="e">
        <f t="shared" ca="1" si="119"/>
        <v>#DIV/0!</v>
      </c>
      <c r="W70" s="21">
        <f ca="1">終値履歴!F70</f>
        <v>0</v>
      </c>
      <c r="X70" s="325" t="e">
        <f t="shared" ca="1" si="120"/>
        <v>#DIV/0!</v>
      </c>
    </row>
    <row r="71" spans="2:24" x14ac:dyDescent="0.25">
      <c r="B71" s="107" t="str">
        <f>IPO監視一覧!B59</f>
        <v>テンポイノベーション</v>
      </c>
      <c r="C71" s="122">
        <f>株価一覧!H70</f>
        <v>0</v>
      </c>
      <c r="D71" s="15">
        <f ca="1">OFFSET(終値履歴!A71,0,COUNTA(終値履歴!G71:'終値履歴'!XFD71)+2,1,-1)</f>
        <v>0</v>
      </c>
      <c r="E71" s="15">
        <f ca="1">OFFSET(終値履歴!A71,0,COUNTA(終値履歴!G71:'終値履歴'!XFD71)+3,1,-1)</f>
        <v>0</v>
      </c>
      <c r="F71" s="15">
        <f ca="1">OFFSET(終値履歴!A71,0,COUNTA(終値履歴!G71:'終値履歴'!XFD71)+4,1,-1)</f>
        <v>0</v>
      </c>
      <c r="G71" s="15">
        <f ca="1">OFFSET(終値履歴!A71,0,COUNTA(終値履歴!G71:'終値履歴'!XFD71)+5,1,-1)</f>
        <v>0</v>
      </c>
      <c r="I71" s="118" t="e">
        <f t="shared" ca="1" si="111"/>
        <v>#DIV/0!</v>
      </c>
      <c r="J71" s="118" t="e">
        <f t="shared" ca="1" si="112"/>
        <v>#DIV/0!</v>
      </c>
      <c r="K71" s="118" t="e">
        <f t="shared" ca="1" si="113"/>
        <v>#DIV/0!</v>
      </c>
      <c r="M71" s="118" t="e">
        <f t="shared" ca="1" si="114"/>
        <v>#DIV/0!</v>
      </c>
      <c r="N71" s="118" t="e">
        <f t="shared" ca="1" si="115"/>
        <v>#DIV/0!</v>
      </c>
      <c r="P71" s="115">
        <f t="shared" ca="1" si="116"/>
        <v>0</v>
      </c>
      <c r="Q71" s="12" t="str">
        <f t="shared" ca="1" si="117"/>
        <v>割安</v>
      </c>
      <c r="R71" s="21">
        <f ca="1">終値履歴!D71</f>
        <v>0</v>
      </c>
      <c r="S71" s="325" t="e">
        <f t="shared" ca="1" si="118"/>
        <v>#DIV/0!</v>
      </c>
      <c r="T71" s="21">
        <f ca="1">終値履歴!E71</f>
        <v>0</v>
      </c>
      <c r="U71" s="325" t="e">
        <f t="shared" ca="1" si="119"/>
        <v>#DIV/0!</v>
      </c>
      <c r="W71" s="21">
        <f ca="1">終値履歴!F71</f>
        <v>0</v>
      </c>
      <c r="X71" s="325" t="e">
        <f t="shared" ca="1" si="120"/>
        <v>#DIV/0!</v>
      </c>
    </row>
    <row r="72" spans="2:24" x14ac:dyDescent="0.25">
      <c r="B72" s="107" t="str">
        <f>IPO監視一覧!B60</f>
        <v>SKIYAKI</v>
      </c>
      <c r="C72" s="122">
        <f>株価一覧!H71</f>
        <v>0</v>
      </c>
      <c r="D72" s="15">
        <f ca="1">OFFSET(終値履歴!A72,0,COUNTA(終値履歴!G72:'終値履歴'!XFD72)+2,1,-1)</f>
        <v>0</v>
      </c>
      <c r="E72" s="15">
        <f ca="1">OFFSET(終値履歴!A72,0,COUNTA(終値履歴!G72:'終値履歴'!XFD72)+3,1,-1)</f>
        <v>0</v>
      </c>
      <c r="F72" s="15">
        <f ca="1">OFFSET(終値履歴!A72,0,COUNTA(終値履歴!G72:'終値履歴'!XFD72)+4,1,-1)</f>
        <v>0</v>
      </c>
      <c r="G72" s="15">
        <f ca="1">OFFSET(終値履歴!A72,0,COUNTA(終値履歴!G72:'終値履歴'!XFD72)+5,1,-1)</f>
        <v>0</v>
      </c>
      <c r="I72" s="118" t="e">
        <f t="shared" ref="I72:I74" ca="1" si="121">(G72-F72)/F72</f>
        <v>#DIV/0!</v>
      </c>
      <c r="J72" s="118" t="e">
        <f t="shared" ref="J72:J74" ca="1" si="122">(G72-E72)/E72</f>
        <v>#DIV/0!</v>
      </c>
      <c r="K72" s="118" t="e">
        <f t="shared" ref="K72:K74" ca="1" si="123">(G72-D72)/D72</f>
        <v>#DIV/0!</v>
      </c>
      <c r="M72" s="118" t="e">
        <f t="shared" ref="M72:M74" ca="1" si="124">(F72-E72)/E72</f>
        <v>#DIV/0!</v>
      </c>
      <c r="N72" s="118" t="e">
        <f t="shared" ref="N72:N74" ca="1" si="125">(F72-D72)/D72</f>
        <v>#DIV/0!</v>
      </c>
      <c r="P72" s="115">
        <f t="shared" ref="P72:P74" ca="1" si="126">IF(G72-F72 &gt; 0,CONCATENATE("＋",G72-F72),G72-F72)</f>
        <v>0</v>
      </c>
      <c r="Q72" s="12" t="str">
        <f t="shared" ref="Q72:Q74" ca="1" si="127">IF(AND(G72&lt;=T72,G72&lt;=R72),"割安",IF(AND(G72&gt;T72,G72&lt;=R72),"普通",IF(AND(G72&lt;=T72,G72&gt;R72),"普通","割高")))</f>
        <v>割安</v>
      </c>
      <c r="R72" s="21">
        <f ca="1">終値履歴!D72</f>
        <v>0</v>
      </c>
      <c r="S72" s="325" t="e">
        <f t="shared" ref="S72:S74" ca="1" si="128">(G72-R72)/E72</f>
        <v>#DIV/0!</v>
      </c>
      <c r="T72" s="21">
        <f ca="1">終値履歴!E72</f>
        <v>0</v>
      </c>
      <c r="U72" s="325" t="e">
        <f t="shared" ref="U72:U74" ca="1" si="129">(G72-T72)/G72</f>
        <v>#DIV/0!</v>
      </c>
      <c r="W72" s="21">
        <f ca="1">終値履歴!F72</f>
        <v>0</v>
      </c>
      <c r="X72" s="325" t="e">
        <f t="shared" ref="X72:X74" ca="1" si="130">(G72-W72)/G72</f>
        <v>#DIV/0!</v>
      </c>
    </row>
    <row r="73" spans="2:24" x14ac:dyDescent="0.25">
      <c r="B73" s="107" t="str">
        <f>IPO監視一覧!B61</f>
        <v>Casa</v>
      </c>
      <c r="C73" s="122">
        <f>株価一覧!H72</f>
        <v>0</v>
      </c>
      <c r="D73" s="15">
        <f ca="1">OFFSET(終値履歴!A73,0,COUNTA(終値履歴!G73:'終値履歴'!XFD73)+2,1,-1)</f>
        <v>0</v>
      </c>
      <c r="E73" s="15">
        <f ca="1">OFFSET(終値履歴!A73,0,COUNTA(終値履歴!G73:'終値履歴'!XFD73)+3,1,-1)</f>
        <v>0</v>
      </c>
      <c r="F73" s="15">
        <f ca="1">OFFSET(終値履歴!A73,0,COUNTA(終値履歴!G73:'終値履歴'!XFD73)+4,1,-1)</f>
        <v>0</v>
      </c>
      <c r="G73" s="15">
        <f ca="1">OFFSET(終値履歴!A73,0,COUNTA(終値履歴!G73:'終値履歴'!XFD73)+5,1,-1)</f>
        <v>0</v>
      </c>
      <c r="I73" s="118" t="e">
        <f t="shared" ca="1" si="121"/>
        <v>#DIV/0!</v>
      </c>
      <c r="J73" s="118" t="e">
        <f t="shared" ca="1" si="122"/>
        <v>#DIV/0!</v>
      </c>
      <c r="K73" s="118" t="e">
        <f t="shared" ca="1" si="123"/>
        <v>#DIV/0!</v>
      </c>
      <c r="M73" s="118" t="e">
        <f t="shared" ca="1" si="124"/>
        <v>#DIV/0!</v>
      </c>
      <c r="N73" s="118" t="e">
        <f t="shared" ca="1" si="125"/>
        <v>#DIV/0!</v>
      </c>
      <c r="P73" s="115">
        <f t="shared" ca="1" si="126"/>
        <v>0</v>
      </c>
      <c r="Q73" s="12" t="str">
        <f t="shared" ca="1" si="127"/>
        <v>割安</v>
      </c>
      <c r="R73" s="21">
        <f ca="1">終値履歴!D73</f>
        <v>0</v>
      </c>
      <c r="S73" s="325" t="e">
        <f t="shared" ca="1" si="128"/>
        <v>#DIV/0!</v>
      </c>
      <c r="T73" s="21">
        <f ca="1">終値履歴!E73</f>
        <v>0</v>
      </c>
      <c r="U73" s="325" t="e">
        <f t="shared" ca="1" si="129"/>
        <v>#DIV/0!</v>
      </c>
      <c r="W73" s="21">
        <f ca="1">終値履歴!F73</f>
        <v>0</v>
      </c>
      <c r="X73" s="325" t="e">
        <f t="shared" ca="1" si="130"/>
        <v>#DIV/0!</v>
      </c>
    </row>
    <row r="74" spans="2:24" x14ac:dyDescent="0.25">
      <c r="B74" s="107" t="str">
        <f>IPO監視一覧!B62</f>
        <v>シー・エス・ランバー</v>
      </c>
      <c r="C74" s="122">
        <f>株価一覧!H73</f>
        <v>0</v>
      </c>
      <c r="D74" s="15">
        <f ca="1">OFFSET(終値履歴!A74,0,COUNTA(終値履歴!G74:'終値履歴'!XFD74)+2,1,-1)</f>
        <v>0</v>
      </c>
      <c r="E74" s="15">
        <f ca="1">OFFSET(終値履歴!A74,0,COUNTA(終値履歴!G74:'終値履歴'!XFD74)+3,1,-1)</f>
        <v>0</v>
      </c>
      <c r="F74" s="15">
        <f ca="1">OFFSET(終値履歴!A74,0,COUNTA(終値履歴!G74:'終値履歴'!XFD74)+4,1,-1)</f>
        <v>0</v>
      </c>
      <c r="G74" s="15">
        <f ca="1">OFFSET(終値履歴!A74,0,COUNTA(終値履歴!G74:'終値履歴'!XFD74)+5,1,-1)</f>
        <v>0</v>
      </c>
      <c r="I74" s="118" t="e">
        <f t="shared" ca="1" si="121"/>
        <v>#DIV/0!</v>
      </c>
      <c r="J74" s="118" t="e">
        <f t="shared" ca="1" si="122"/>
        <v>#DIV/0!</v>
      </c>
      <c r="K74" s="118" t="e">
        <f t="shared" ca="1" si="123"/>
        <v>#DIV/0!</v>
      </c>
      <c r="M74" s="118" t="e">
        <f t="shared" ca="1" si="124"/>
        <v>#DIV/0!</v>
      </c>
      <c r="N74" s="118" t="e">
        <f t="shared" ca="1" si="125"/>
        <v>#DIV/0!</v>
      </c>
      <c r="P74" s="115">
        <f t="shared" ca="1" si="126"/>
        <v>0</v>
      </c>
      <c r="Q74" s="12" t="str">
        <f t="shared" ca="1" si="127"/>
        <v>割安</v>
      </c>
      <c r="R74" s="21">
        <f ca="1">終値履歴!D74</f>
        <v>0</v>
      </c>
      <c r="S74" s="325" t="e">
        <f t="shared" ca="1" si="128"/>
        <v>#DIV/0!</v>
      </c>
      <c r="T74" s="21">
        <f ca="1">終値履歴!E74</f>
        <v>0</v>
      </c>
      <c r="U74" s="325" t="e">
        <f t="shared" ca="1" si="129"/>
        <v>#DIV/0!</v>
      </c>
      <c r="W74" s="21">
        <f ca="1">終値履歴!F74</f>
        <v>0</v>
      </c>
      <c r="X74" s="325" t="e">
        <f t="shared" ca="1" si="130"/>
        <v>#DIV/0!</v>
      </c>
    </row>
    <row r="75" spans="2:24" x14ac:dyDescent="0.25">
      <c r="B75" s="107" t="str">
        <f>IPO監視一覧!B63</f>
        <v>サインポスト</v>
      </c>
      <c r="C75" s="122">
        <f>株価一覧!H74</f>
        <v>0</v>
      </c>
      <c r="D75" s="15">
        <f ca="1">OFFSET(終値履歴!A75,0,COUNTA(終値履歴!G75:'終値履歴'!XFD75)+2,1,-1)</f>
        <v>0</v>
      </c>
      <c r="E75" s="15">
        <f ca="1">OFFSET(終値履歴!A75,0,COUNTA(終値履歴!G75:'終値履歴'!XFD75)+3,1,-1)</f>
        <v>0</v>
      </c>
      <c r="F75" s="15">
        <f ca="1">OFFSET(終値履歴!A75,0,COUNTA(終値履歴!G75:'終値履歴'!XFD75)+4,1,-1)</f>
        <v>0</v>
      </c>
      <c r="G75" s="15">
        <f ca="1">OFFSET(終値履歴!A75,0,COUNTA(終値履歴!G75:'終値履歴'!XFD75)+5,1,-1)</f>
        <v>0</v>
      </c>
      <c r="I75" s="118" t="e">
        <f t="shared" ref="I75:I86" ca="1" si="131">(G75-F75)/F75</f>
        <v>#DIV/0!</v>
      </c>
      <c r="J75" s="118" t="e">
        <f t="shared" ref="J75:J86" ca="1" si="132">(G75-E75)/E75</f>
        <v>#DIV/0!</v>
      </c>
      <c r="K75" s="118" t="e">
        <f t="shared" ref="K75:K86" ca="1" si="133">(G75-D75)/D75</f>
        <v>#DIV/0!</v>
      </c>
      <c r="M75" s="118" t="e">
        <f t="shared" ref="M75:M86" ca="1" si="134">(F75-E75)/E75</f>
        <v>#DIV/0!</v>
      </c>
      <c r="N75" s="118" t="e">
        <f t="shared" ref="N75:N86" ca="1" si="135">(F75-D75)/D75</f>
        <v>#DIV/0!</v>
      </c>
      <c r="P75" s="115">
        <f t="shared" ref="P75:P86" ca="1" si="136">IF(G75-F75 &gt; 0,CONCATENATE("＋",G75-F75),G75-F75)</f>
        <v>0</v>
      </c>
      <c r="Q75" s="12" t="str">
        <f t="shared" ref="Q75:Q86" ca="1" si="137">IF(AND(G75&lt;=T75,G75&lt;=R75),"割安",IF(AND(G75&gt;T75,G75&lt;=R75),"普通",IF(AND(G75&lt;=T75,G75&gt;R75),"普通","割高")))</f>
        <v>割安</v>
      </c>
      <c r="R75" s="21">
        <f ca="1">終値履歴!D75</f>
        <v>0</v>
      </c>
      <c r="S75" s="325" t="e">
        <f t="shared" ref="S75:S86" ca="1" si="138">(G75-R75)/E75</f>
        <v>#DIV/0!</v>
      </c>
      <c r="T75" s="21">
        <f ca="1">終値履歴!E75</f>
        <v>0</v>
      </c>
      <c r="U75" s="325" t="e">
        <f t="shared" ref="U75:U86" ca="1" si="139">(G75-T75)/G75</f>
        <v>#DIV/0!</v>
      </c>
      <c r="W75" s="21">
        <f ca="1">終値履歴!F75</f>
        <v>0</v>
      </c>
      <c r="X75" s="325" t="e">
        <f t="shared" ref="X75:X86" ca="1" si="140">(G75-W75)/G75</f>
        <v>#DIV/0!</v>
      </c>
    </row>
    <row r="76" spans="2:24" x14ac:dyDescent="0.25">
      <c r="B76" s="107" t="str">
        <f>IPO監視一覧!B64</f>
        <v>ポエック</v>
      </c>
      <c r="C76" s="122">
        <f>株価一覧!H75</f>
        <v>0</v>
      </c>
      <c r="D76" s="15">
        <f ca="1">OFFSET(終値履歴!A76,0,COUNTA(終値履歴!G76:'終値履歴'!XFD76)+2,1,-1)</f>
        <v>0</v>
      </c>
      <c r="E76" s="15">
        <f ca="1">OFFSET(終値履歴!A76,0,COUNTA(終値履歴!G76:'終値履歴'!XFD76)+3,1,-1)</f>
        <v>0</v>
      </c>
      <c r="F76" s="15">
        <f ca="1">OFFSET(終値履歴!A76,0,COUNTA(終値履歴!G76:'終値履歴'!XFD76)+4,1,-1)</f>
        <v>0</v>
      </c>
      <c r="G76" s="15">
        <f ca="1">OFFSET(終値履歴!A76,0,COUNTA(終値履歴!G76:'終値履歴'!XFD76)+5,1,-1)</f>
        <v>0</v>
      </c>
      <c r="I76" s="118" t="e">
        <f t="shared" ca="1" si="131"/>
        <v>#DIV/0!</v>
      </c>
      <c r="J76" s="118" t="e">
        <f t="shared" ca="1" si="132"/>
        <v>#DIV/0!</v>
      </c>
      <c r="K76" s="118" t="e">
        <f t="shared" ca="1" si="133"/>
        <v>#DIV/0!</v>
      </c>
      <c r="M76" s="118" t="e">
        <f t="shared" ca="1" si="134"/>
        <v>#DIV/0!</v>
      </c>
      <c r="N76" s="118" t="e">
        <f t="shared" ca="1" si="135"/>
        <v>#DIV/0!</v>
      </c>
      <c r="P76" s="115">
        <f t="shared" ca="1" si="136"/>
        <v>0</v>
      </c>
      <c r="Q76" s="12" t="str">
        <f t="shared" ca="1" si="137"/>
        <v>割安</v>
      </c>
      <c r="R76" s="21">
        <f>終値履歴!D76</f>
        <v>0</v>
      </c>
      <c r="S76" s="325" t="e">
        <f t="shared" ca="1" si="138"/>
        <v>#DIV/0!</v>
      </c>
      <c r="T76" s="21">
        <f>終値履歴!E76</f>
        <v>0</v>
      </c>
      <c r="U76" s="325" t="e">
        <f t="shared" ca="1" si="139"/>
        <v>#DIV/0!</v>
      </c>
      <c r="W76" s="21">
        <f>終値履歴!F76</f>
        <v>0</v>
      </c>
      <c r="X76" s="325" t="e">
        <f t="shared" ca="1" si="140"/>
        <v>#DIV/0!</v>
      </c>
    </row>
    <row r="77" spans="2:24" x14ac:dyDescent="0.25">
      <c r="B77" s="107" t="str">
        <f>IPO監視一覧!B65</f>
        <v>幸和製作所</v>
      </c>
      <c r="C77" s="122">
        <f>株価一覧!H76</f>
        <v>0</v>
      </c>
      <c r="D77" s="15">
        <f ca="1">OFFSET(終値履歴!A77,0,COUNTA(終値履歴!G77:'終値履歴'!XFD77)+2,1,-1)</f>
        <v>0</v>
      </c>
      <c r="E77" s="15">
        <f ca="1">OFFSET(終値履歴!A77,0,COUNTA(終値履歴!G77:'終値履歴'!XFD77)+3,1,-1)</f>
        <v>0</v>
      </c>
      <c r="F77" s="15">
        <f ca="1">OFFSET(終値履歴!A77,0,COUNTA(終値履歴!G77:'終値履歴'!XFD77)+4,1,-1)</f>
        <v>0</v>
      </c>
      <c r="G77" s="15">
        <f ca="1">OFFSET(終値履歴!A77,0,COUNTA(終値履歴!G77:'終値履歴'!XFD77)+5,1,-1)</f>
        <v>0</v>
      </c>
      <c r="I77" s="118" t="e">
        <f t="shared" ca="1" si="131"/>
        <v>#DIV/0!</v>
      </c>
      <c r="J77" s="118" t="e">
        <f t="shared" ca="1" si="132"/>
        <v>#DIV/0!</v>
      </c>
      <c r="K77" s="118" t="e">
        <f t="shared" ca="1" si="133"/>
        <v>#DIV/0!</v>
      </c>
      <c r="M77" s="118" t="e">
        <f t="shared" ca="1" si="134"/>
        <v>#DIV/0!</v>
      </c>
      <c r="N77" s="118" t="e">
        <f t="shared" ca="1" si="135"/>
        <v>#DIV/0!</v>
      </c>
      <c r="P77" s="115">
        <f t="shared" ca="1" si="136"/>
        <v>0</v>
      </c>
      <c r="Q77" s="12" t="str">
        <f t="shared" ca="1" si="137"/>
        <v>割安</v>
      </c>
      <c r="R77" s="21">
        <f>終値履歴!D77</f>
        <v>0</v>
      </c>
      <c r="S77" s="325" t="e">
        <f t="shared" ca="1" si="138"/>
        <v>#DIV/0!</v>
      </c>
      <c r="T77" s="21">
        <f>終値履歴!E77</f>
        <v>0</v>
      </c>
      <c r="U77" s="325" t="e">
        <f t="shared" ca="1" si="139"/>
        <v>#DIV/0!</v>
      </c>
      <c r="W77" s="21">
        <f>終値履歴!F77</f>
        <v>0</v>
      </c>
      <c r="X77" s="325" t="e">
        <f t="shared" ca="1" si="140"/>
        <v>#DIV/0!</v>
      </c>
    </row>
    <row r="78" spans="2:24" x14ac:dyDescent="0.25">
      <c r="B78" s="107" t="str">
        <f>IPO監視一覧!B66</f>
        <v>クックビズ</v>
      </c>
      <c r="C78" s="122">
        <f>株価一覧!H77</f>
        <v>0</v>
      </c>
      <c r="D78" s="15">
        <f ca="1">OFFSET(終値履歴!A78,0,COUNTA(終値履歴!G78:'終値履歴'!XFD78)+2,1,-1)</f>
        <v>0</v>
      </c>
      <c r="E78" s="15">
        <f ca="1">OFFSET(終値履歴!A78,0,COUNTA(終値履歴!G78:'終値履歴'!XFD78)+3,1,-1)</f>
        <v>0</v>
      </c>
      <c r="F78" s="15">
        <f ca="1">OFFSET(終値履歴!A78,0,COUNTA(終値履歴!G78:'終値履歴'!XFD78)+4,1,-1)</f>
        <v>0</v>
      </c>
      <c r="G78" s="15">
        <f ca="1">OFFSET(終値履歴!A78,0,COUNTA(終値履歴!G78:'終値履歴'!XFD78)+5,1,-1)</f>
        <v>0</v>
      </c>
      <c r="I78" s="118" t="e">
        <f t="shared" ca="1" si="131"/>
        <v>#DIV/0!</v>
      </c>
      <c r="J78" s="118" t="e">
        <f t="shared" ca="1" si="132"/>
        <v>#DIV/0!</v>
      </c>
      <c r="K78" s="118" t="e">
        <f t="shared" ca="1" si="133"/>
        <v>#DIV/0!</v>
      </c>
      <c r="M78" s="118" t="e">
        <f t="shared" ca="1" si="134"/>
        <v>#DIV/0!</v>
      </c>
      <c r="N78" s="118" t="e">
        <f t="shared" ca="1" si="135"/>
        <v>#DIV/0!</v>
      </c>
      <c r="P78" s="115">
        <f t="shared" ca="1" si="136"/>
        <v>0</v>
      </c>
      <c r="Q78" s="12" t="str">
        <f t="shared" ca="1" si="137"/>
        <v>割安</v>
      </c>
      <c r="R78" s="21">
        <f>終値履歴!D78</f>
        <v>0</v>
      </c>
      <c r="S78" s="325" t="e">
        <f t="shared" ca="1" si="138"/>
        <v>#DIV/0!</v>
      </c>
      <c r="T78" s="21">
        <f>終値履歴!E78</f>
        <v>0</v>
      </c>
      <c r="U78" s="325" t="e">
        <f t="shared" ca="1" si="139"/>
        <v>#DIV/0!</v>
      </c>
      <c r="W78" s="21">
        <f>終値履歴!F78</f>
        <v>0</v>
      </c>
      <c r="X78" s="325" t="e">
        <f t="shared" ca="1" si="140"/>
        <v>#DIV/0!</v>
      </c>
    </row>
    <row r="79" spans="2:24" x14ac:dyDescent="0.25">
      <c r="B79" s="107" t="str">
        <f>IPO監視一覧!B67</f>
        <v>トレードワークス</v>
      </c>
      <c r="C79" s="122">
        <f>株価一覧!H78</f>
        <v>0</v>
      </c>
      <c r="D79" s="15">
        <f ca="1">OFFSET(終値履歴!A79,0,COUNTA(終値履歴!G79:'終値履歴'!XFD79)+2,1,-1)</f>
        <v>0</v>
      </c>
      <c r="E79" s="15">
        <f ca="1">OFFSET(終値履歴!A79,0,COUNTA(終値履歴!G79:'終値履歴'!XFD79)+3,1,-1)</f>
        <v>0</v>
      </c>
      <c r="F79" s="15">
        <f ca="1">OFFSET(終値履歴!A79,0,COUNTA(終値履歴!G79:'終値履歴'!XFD79)+4,1,-1)</f>
        <v>0</v>
      </c>
      <c r="G79" s="15">
        <f ca="1">OFFSET(終値履歴!A79,0,COUNTA(終値履歴!G79:'終値履歴'!XFD79)+5,1,-1)</f>
        <v>0</v>
      </c>
      <c r="I79" s="118" t="e">
        <f t="shared" ca="1" si="131"/>
        <v>#DIV/0!</v>
      </c>
      <c r="J79" s="118" t="e">
        <f t="shared" ca="1" si="132"/>
        <v>#DIV/0!</v>
      </c>
      <c r="K79" s="118" t="e">
        <f t="shared" ca="1" si="133"/>
        <v>#DIV/0!</v>
      </c>
      <c r="M79" s="118" t="e">
        <f t="shared" ca="1" si="134"/>
        <v>#DIV/0!</v>
      </c>
      <c r="N79" s="118" t="e">
        <f t="shared" ca="1" si="135"/>
        <v>#DIV/0!</v>
      </c>
      <c r="P79" s="115">
        <f t="shared" ca="1" si="136"/>
        <v>0</v>
      </c>
      <c r="Q79" s="12" t="str">
        <f t="shared" ca="1" si="137"/>
        <v>割安</v>
      </c>
      <c r="R79" s="21">
        <f>終値履歴!D79</f>
        <v>0</v>
      </c>
      <c r="S79" s="325" t="e">
        <f t="shared" ca="1" si="138"/>
        <v>#DIV/0!</v>
      </c>
      <c r="T79" s="21">
        <f>終値履歴!E79</f>
        <v>0</v>
      </c>
      <c r="U79" s="325" t="e">
        <f t="shared" ca="1" si="139"/>
        <v>#DIV/0!</v>
      </c>
      <c r="W79" s="21">
        <f>終値履歴!F79</f>
        <v>0</v>
      </c>
      <c r="X79" s="325" t="e">
        <f t="shared" ca="1" si="140"/>
        <v>#DIV/0!</v>
      </c>
    </row>
    <row r="80" spans="2:24" x14ac:dyDescent="0.25">
      <c r="B80" s="47" t="str">
        <f>IPO監視一覧!B68</f>
        <v>アトリエはるか</v>
      </c>
      <c r="C80" s="364">
        <f>株価一覧!H79</f>
        <v>0</v>
      </c>
      <c r="D80" s="365">
        <f ca="1">OFFSET(終値履歴!A80,0,COUNTA(終値履歴!G80:'終値履歴'!XFD80)+2,1,-1)</f>
        <v>0</v>
      </c>
      <c r="E80" s="365">
        <f ca="1">OFFSET(終値履歴!A80,0,COUNTA(終値履歴!G80:'終値履歴'!XFD80)+3,1,-1)</f>
        <v>0</v>
      </c>
      <c r="F80" s="365">
        <f ca="1">OFFSET(終値履歴!A80,0,COUNTA(終値履歴!G80:'終値履歴'!XFD80)+4,1,-1)</f>
        <v>0</v>
      </c>
      <c r="G80" s="365">
        <f ca="1">OFFSET(終値履歴!A80,0,COUNTA(終値履歴!G80:'終値履歴'!XFD80)+5,1,-1)</f>
        <v>0</v>
      </c>
      <c r="H80" s="442"/>
      <c r="I80" s="443" t="e">
        <f t="shared" ca="1" si="131"/>
        <v>#DIV/0!</v>
      </c>
      <c r="J80" s="443" t="e">
        <f t="shared" ca="1" si="132"/>
        <v>#DIV/0!</v>
      </c>
      <c r="K80" s="443" t="e">
        <f t="shared" ca="1" si="133"/>
        <v>#DIV/0!</v>
      </c>
      <c r="L80" s="444"/>
      <c r="M80" s="443" t="e">
        <f t="shared" ca="1" si="134"/>
        <v>#DIV/0!</v>
      </c>
      <c r="N80" s="443" t="e">
        <f t="shared" ca="1" si="135"/>
        <v>#DIV/0!</v>
      </c>
      <c r="O80" s="442"/>
      <c r="P80" s="445">
        <f t="shared" ca="1" si="136"/>
        <v>0</v>
      </c>
      <c r="Q80" s="444" t="str">
        <f t="shared" ca="1" si="137"/>
        <v>割安</v>
      </c>
      <c r="R80" s="446">
        <f>終値履歴!D80</f>
        <v>0</v>
      </c>
      <c r="S80" s="447" t="e">
        <f t="shared" ca="1" si="138"/>
        <v>#DIV/0!</v>
      </c>
      <c r="T80" s="446">
        <f>終値履歴!E80</f>
        <v>0</v>
      </c>
      <c r="U80" s="447" t="e">
        <f t="shared" ca="1" si="139"/>
        <v>#DIV/0!</v>
      </c>
      <c r="V80" s="442"/>
      <c r="W80" s="446">
        <f>終値履歴!F80</f>
        <v>0</v>
      </c>
      <c r="X80" s="447" t="e">
        <f t="shared" ca="1" si="140"/>
        <v>#DIV/0!</v>
      </c>
    </row>
    <row r="81" spans="2:24" x14ac:dyDescent="0.25">
      <c r="B81" s="107" t="str">
        <f>IPO監視一覧!B69</f>
        <v>一家ダイニングプロジェクト</v>
      </c>
      <c r="C81" s="122">
        <f>株価一覧!H80</f>
        <v>0</v>
      </c>
      <c r="D81" s="15">
        <f ca="1">OFFSET(終値履歴!A81,0,COUNTA(終値履歴!G81:'終値履歴'!XFD81)+2,1,-1)</f>
        <v>0</v>
      </c>
      <c r="E81" s="15">
        <f ca="1">OFFSET(終値履歴!A81,0,COUNTA(終値履歴!G81:'終値履歴'!XFD81)+3,1,-1)</f>
        <v>0</v>
      </c>
      <c r="F81" s="15">
        <f ca="1">OFFSET(終値履歴!A81,0,COUNTA(終値履歴!G81:'終値履歴'!XFD81)+4,1,-1)</f>
        <v>0</v>
      </c>
      <c r="G81" s="15">
        <f ca="1">OFFSET(終値履歴!A81,0,COUNTA(終値履歴!G81:'終値履歴'!XFD81)+5,1,-1)</f>
        <v>0</v>
      </c>
      <c r="I81" s="118" t="e">
        <f t="shared" ca="1" si="131"/>
        <v>#DIV/0!</v>
      </c>
      <c r="J81" s="118" t="e">
        <f t="shared" ca="1" si="132"/>
        <v>#DIV/0!</v>
      </c>
      <c r="K81" s="118" t="e">
        <f t="shared" ca="1" si="133"/>
        <v>#DIV/0!</v>
      </c>
      <c r="M81" s="118" t="e">
        <f t="shared" ca="1" si="134"/>
        <v>#DIV/0!</v>
      </c>
      <c r="N81" s="118" t="e">
        <f t="shared" ca="1" si="135"/>
        <v>#DIV/0!</v>
      </c>
      <c r="P81" s="115">
        <f t="shared" ca="1" si="136"/>
        <v>0</v>
      </c>
      <c r="Q81" s="12" t="str">
        <f t="shared" ca="1" si="137"/>
        <v>割安</v>
      </c>
      <c r="R81" s="21">
        <f>終値履歴!D81</f>
        <v>0</v>
      </c>
      <c r="S81" s="325" t="e">
        <f t="shared" ca="1" si="138"/>
        <v>#DIV/0!</v>
      </c>
      <c r="T81" s="21">
        <f>終値履歴!E81</f>
        <v>0</v>
      </c>
      <c r="U81" s="325" t="e">
        <f t="shared" ca="1" si="139"/>
        <v>#DIV/0!</v>
      </c>
      <c r="W81" s="21">
        <f>終値履歴!F81</f>
        <v>0</v>
      </c>
      <c r="X81" s="325" t="e">
        <f t="shared" ca="1" si="140"/>
        <v>#DIV/0!</v>
      </c>
    </row>
    <row r="82" spans="2:24" x14ac:dyDescent="0.25">
      <c r="B82" s="107" t="str">
        <f>IPO監視一覧!B70</f>
        <v>カチタス</v>
      </c>
      <c r="C82" s="122">
        <f>株価一覧!H81</f>
        <v>0</v>
      </c>
      <c r="D82" s="15">
        <f ca="1">OFFSET(終値履歴!A82,0,COUNTA(終値履歴!G82:'終値履歴'!XFD82)+2,1,-1)</f>
        <v>0</v>
      </c>
      <c r="E82" s="15">
        <f ca="1">OFFSET(終値履歴!A82,0,COUNTA(終値履歴!G82:'終値履歴'!XFD82)+3,1,-1)</f>
        <v>0</v>
      </c>
      <c r="F82" s="15">
        <f ca="1">OFFSET(終値履歴!A82,0,COUNTA(終値履歴!G82:'終値履歴'!XFD82)+4,1,-1)</f>
        <v>0</v>
      </c>
      <c r="G82" s="15">
        <f ca="1">OFFSET(終値履歴!A82,0,COUNTA(終値履歴!G82:'終値履歴'!XFD82)+5,1,-1)</f>
        <v>0</v>
      </c>
      <c r="I82" s="118" t="e">
        <f t="shared" ca="1" si="131"/>
        <v>#DIV/0!</v>
      </c>
      <c r="J82" s="118" t="e">
        <f t="shared" ca="1" si="132"/>
        <v>#DIV/0!</v>
      </c>
      <c r="K82" s="118" t="e">
        <f t="shared" ca="1" si="133"/>
        <v>#DIV/0!</v>
      </c>
      <c r="M82" s="118" t="e">
        <f t="shared" ca="1" si="134"/>
        <v>#DIV/0!</v>
      </c>
      <c r="N82" s="118" t="e">
        <f t="shared" ca="1" si="135"/>
        <v>#DIV/0!</v>
      </c>
      <c r="P82" s="115">
        <f t="shared" ca="1" si="136"/>
        <v>0</v>
      </c>
      <c r="Q82" s="12" t="str">
        <f t="shared" ca="1" si="137"/>
        <v>割安</v>
      </c>
      <c r="R82" s="21">
        <f>終値履歴!D82</f>
        <v>0</v>
      </c>
      <c r="S82" s="325" t="e">
        <f t="shared" ca="1" si="138"/>
        <v>#DIV/0!</v>
      </c>
      <c r="T82" s="21">
        <f>終値履歴!E82</f>
        <v>0</v>
      </c>
      <c r="U82" s="325" t="e">
        <f t="shared" ca="1" si="139"/>
        <v>#DIV/0!</v>
      </c>
      <c r="W82" s="21">
        <f>終値履歴!F82</f>
        <v>0</v>
      </c>
      <c r="X82" s="325" t="e">
        <f t="shared" ca="1" si="140"/>
        <v>#DIV/0!</v>
      </c>
    </row>
    <row r="83" spans="2:24" x14ac:dyDescent="0.25">
      <c r="B83" s="107" t="str">
        <f>IPO監視一覧!B71</f>
        <v>ＳＧホールディングス</v>
      </c>
      <c r="C83" s="122">
        <f>株価一覧!H82</f>
        <v>0</v>
      </c>
      <c r="D83" s="15">
        <f ca="1">OFFSET(終値履歴!A83,0,COUNTA(終値履歴!G83:'終値履歴'!XFD83)+2,1,-1)</f>
        <v>0</v>
      </c>
      <c r="E83" s="15">
        <f ca="1">OFFSET(終値履歴!A83,0,COUNTA(終値履歴!G83:'終値履歴'!XFD83)+3,1,-1)</f>
        <v>0</v>
      </c>
      <c r="F83" s="15">
        <f ca="1">OFFSET(終値履歴!A83,0,COUNTA(終値履歴!G83:'終値履歴'!XFD83)+4,1,-1)</f>
        <v>0</v>
      </c>
      <c r="G83" s="15">
        <f ca="1">OFFSET(終値履歴!A83,0,COUNTA(終値履歴!G83:'終値履歴'!XFD83)+5,1,-1)</f>
        <v>0</v>
      </c>
      <c r="I83" s="118" t="e">
        <f t="shared" ca="1" si="131"/>
        <v>#DIV/0!</v>
      </c>
      <c r="J83" s="118" t="e">
        <f t="shared" ca="1" si="132"/>
        <v>#DIV/0!</v>
      </c>
      <c r="K83" s="118" t="e">
        <f t="shared" ca="1" si="133"/>
        <v>#DIV/0!</v>
      </c>
      <c r="M83" s="118" t="e">
        <f t="shared" ca="1" si="134"/>
        <v>#DIV/0!</v>
      </c>
      <c r="N83" s="118" t="e">
        <f t="shared" ca="1" si="135"/>
        <v>#DIV/0!</v>
      </c>
      <c r="P83" s="115">
        <f t="shared" ca="1" si="136"/>
        <v>0</v>
      </c>
      <c r="Q83" s="12" t="str">
        <f t="shared" ca="1" si="137"/>
        <v>割安</v>
      </c>
      <c r="R83" s="21">
        <f>終値履歴!D83</f>
        <v>0</v>
      </c>
      <c r="S83" s="325" t="e">
        <f t="shared" ca="1" si="138"/>
        <v>#DIV/0!</v>
      </c>
      <c r="T83" s="21">
        <f>終値履歴!E83</f>
        <v>0</v>
      </c>
      <c r="U83" s="325" t="e">
        <f t="shared" ca="1" si="139"/>
        <v>#DIV/0!</v>
      </c>
      <c r="W83" s="21">
        <f>終値履歴!F83</f>
        <v>0</v>
      </c>
      <c r="X83" s="325" t="e">
        <f t="shared" ca="1" si="140"/>
        <v>#DIV/0!</v>
      </c>
    </row>
    <row r="84" spans="2:24" x14ac:dyDescent="0.25">
      <c r="B84" s="107" t="str">
        <f>IPO監視一覧!B72</f>
        <v>グローバル・リンク・マネジメント</v>
      </c>
      <c r="C84" s="122">
        <f>株価一覧!H83</f>
        <v>0</v>
      </c>
      <c r="D84" s="15">
        <f ca="1">OFFSET(終値履歴!A84,0,COUNTA(終値履歴!G84:'終値履歴'!XFD84)+2,1,-1)</f>
        <v>0</v>
      </c>
      <c r="E84" s="15">
        <f ca="1">OFFSET(終値履歴!A84,0,COUNTA(終値履歴!G84:'終値履歴'!XFD84)+3,1,-1)</f>
        <v>0</v>
      </c>
      <c r="F84" s="15">
        <f ca="1">OFFSET(終値履歴!A84,0,COUNTA(終値履歴!G84:'終値履歴'!XFD84)+4,1,-1)</f>
        <v>0</v>
      </c>
      <c r="G84" s="15">
        <f ca="1">OFFSET(終値履歴!A84,0,COUNTA(終値履歴!G84:'終値履歴'!XFD84)+5,1,-1)</f>
        <v>0</v>
      </c>
      <c r="I84" s="118" t="e">
        <f t="shared" ca="1" si="131"/>
        <v>#DIV/0!</v>
      </c>
      <c r="J84" s="118" t="e">
        <f t="shared" ca="1" si="132"/>
        <v>#DIV/0!</v>
      </c>
      <c r="K84" s="118" t="e">
        <f t="shared" ca="1" si="133"/>
        <v>#DIV/0!</v>
      </c>
      <c r="M84" s="118" t="e">
        <f t="shared" ca="1" si="134"/>
        <v>#DIV/0!</v>
      </c>
      <c r="N84" s="118" t="e">
        <f t="shared" ca="1" si="135"/>
        <v>#DIV/0!</v>
      </c>
      <c r="P84" s="115">
        <f t="shared" ca="1" si="136"/>
        <v>0</v>
      </c>
      <c r="Q84" s="12" t="str">
        <f t="shared" ca="1" si="137"/>
        <v>割安</v>
      </c>
      <c r="R84" s="21">
        <f>終値履歴!D84</f>
        <v>0</v>
      </c>
      <c r="S84" s="325" t="e">
        <f t="shared" ca="1" si="138"/>
        <v>#DIV/0!</v>
      </c>
      <c r="T84" s="21">
        <f>終値履歴!E84</f>
        <v>0</v>
      </c>
      <c r="U84" s="325" t="e">
        <f t="shared" ca="1" si="139"/>
        <v>#DIV/0!</v>
      </c>
      <c r="W84" s="21">
        <f>終値履歴!F84</f>
        <v>0</v>
      </c>
      <c r="X84" s="325" t="e">
        <f t="shared" ca="1" si="140"/>
        <v>#DIV/0!</v>
      </c>
    </row>
    <row r="85" spans="2:24" x14ac:dyDescent="0.25">
      <c r="B85" s="107" t="str">
        <f>IPO監視一覧!B73</f>
        <v>マツオカコーポレーション</v>
      </c>
      <c r="C85" s="122">
        <f>株価一覧!H84</f>
        <v>0</v>
      </c>
      <c r="D85" s="15">
        <f ca="1">OFFSET(終値履歴!A85,0,COUNTA(終値履歴!G85:'終値履歴'!XFD85)+2,1,-1)</f>
        <v>0</v>
      </c>
      <c r="E85" s="15">
        <f ca="1">OFFSET(終値履歴!A85,0,COUNTA(終値履歴!G85:'終値履歴'!XFD85)+3,1,-1)</f>
        <v>0</v>
      </c>
      <c r="F85" s="15">
        <f ca="1">OFFSET(終値履歴!A85,0,COUNTA(終値履歴!G85:'終値履歴'!XFD85)+4,1,-1)</f>
        <v>0</v>
      </c>
      <c r="G85" s="15">
        <f ca="1">OFFSET(終値履歴!A85,0,COUNTA(終値履歴!G85:'終値履歴'!XFD85)+5,1,-1)</f>
        <v>0</v>
      </c>
      <c r="I85" s="118" t="e">
        <f t="shared" ca="1" si="131"/>
        <v>#DIV/0!</v>
      </c>
      <c r="J85" s="118" t="e">
        <f t="shared" ca="1" si="132"/>
        <v>#DIV/0!</v>
      </c>
      <c r="K85" s="118" t="e">
        <f t="shared" ca="1" si="133"/>
        <v>#DIV/0!</v>
      </c>
      <c r="M85" s="118" t="e">
        <f t="shared" ca="1" si="134"/>
        <v>#DIV/0!</v>
      </c>
      <c r="N85" s="118" t="e">
        <f t="shared" ca="1" si="135"/>
        <v>#DIV/0!</v>
      </c>
      <c r="P85" s="115">
        <f t="shared" ca="1" si="136"/>
        <v>0</v>
      </c>
      <c r="Q85" s="12" t="str">
        <f t="shared" ca="1" si="137"/>
        <v>割安</v>
      </c>
      <c r="R85" s="21">
        <f>終値履歴!D85</f>
        <v>0</v>
      </c>
      <c r="S85" s="325" t="e">
        <f t="shared" ca="1" si="138"/>
        <v>#DIV/0!</v>
      </c>
      <c r="T85" s="21">
        <f>終値履歴!E85</f>
        <v>0</v>
      </c>
      <c r="U85" s="325" t="e">
        <f t="shared" ca="1" si="139"/>
        <v>#DIV/0!</v>
      </c>
      <c r="W85" s="21">
        <f>終値履歴!F85</f>
        <v>0</v>
      </c>
      <c r="X85" s="325" t="e">
        <f t="shared" ca="1" si="140"/>
        <v>#DIV/0!</v>
      </c>
    </row>
    <row r="86" spans="2:24" x14ac:dyDescent="0.25">
      <c r="B86" s="107" t="str">
        <f>IPO監視一覧!B74</f>
        <v>ヴィスコ・テクノロジーズ</v>
      </c>
      <c r="C86" s="122">
        <f>株価一覧!H85</f>
        <v>0</v>
      </c>
      <c r="D86" s="15">
        <f ca="1">OFFSET(終値履歴!A86,0,COUNTA(終値履歴!G86:'終値履歴'!XFD86)+2,1,-1)</f>
        <v>0</v>
      </c>
      <c r="E86" s="15">
        <f ca="1">OFFSET(終値履歴!A86,0,COUNTA(終値履歴!G86:'終値履歴'!XFD86)+3,1,-1)</f>
        <v>0</v>
      </c>
      <c r="F86" s="15">
        <f ca="1">OFFSET(終値履歴!A86,0,COUNTA(終値履歴!G86:'終値履歴'!XFD86)+4,1,-1)</f>
        <v>0</v>
      </c>
      <c r="G86" s="15">
        <f ca="1">OFFSET(終値履歴!A86,0,COUNTA(終値履歴!G86:'終値履歴'!XFD86)+5,1,-1)</f>
        <v>0</v>
      </c>
      <c r="I86" s="118" t="e">
        <f t="shared" ca="1" si="131"/>
        <v>#DIV/0!</v>
      </c>
      <c r="J86" s="118" t="e">
        <f t="shared" ca="1" si="132"/>
        <v>#DIV/0!</v>
      </c>
      <c r="K86" s="118" t="e">
        <f t="shared" ca="1" si="133"/>
        <v>#DIV/0!</v>
      </c>
      <c r="M86" s="118" t="e">
        <f t="shared" ca="1" si="134"/>
        <v>#DIV/0!</v>
      </c>
      <c r="N86" s="118" t="e">
        <f t="shared" ca="1" si="135"/>
        <v>#DIV/0!</v>
      </c>
      <c r="P86" s="115">
        <f t="shared" ca="1" si="136"/>
        <v>0</v>
      </c>
      <c r="Q86" s="12" t="str">
        <f t="shared" ca="1" si="137"/>
        <v>割安</v>
      </c>
      <c r="R86" s="21">
        <f>終値履歴!D86</f>
        <v>0</v>
      </c>
      <c r="S86" s="325" t="e">
        <f t="shared" ca="1" si="138"/>
        <v>#DIV/0!</v>
      </c>
      <c r="T86" s="21">
        <f>終値履歴!E86</f>
        <v>0</v>
      </c>
      <c r="U86" s="325" t="e">
        <f t="shared" ca="1" si="139"/>
        <v>#DIV/0!</v>
      </c>
      <c r="W86" s="21">
        <f>終値履歴!F86</f>
        <v>0</v>
      </c>
      <c r="X86" s="325" t="e">
        <f t="shared" ca="1" si="140"/>
        <v>#DIV/0!</v>
      </c>
    </row>
    <row r="87" spans="2:24" x14ac:dyDescent="0.25">
      <c r="B87" s="107" t="str">
        <f>IPO監視一覧!B75</f>
        <v>アルヒ</v>
      </c>
      <c r="C87" s="122">
        <f>株価一覧!H86</f>
        <v>0</v>
      </c>
      <c r="D87" s="15">
        <f ca="1">OFFSET(終値履歴!A87,0,COUNTA(終値履歴!G87:'終値履歴'!XFD87)+2,1,-1)</f>
        <v>0</v>
      </c>
      <c r="E87" s="15">
        <f ca="1">OFFSET(終値履歴!A87,0,COUNTA(終値履歴!G87:'終値履歴'!XFD87)+3,1,-1)</f>
        <v>0</v>
      </c>
      <c r="F87" s="15">
        <f ca="1">OFFSET(終値履歴!A87,0,COUNTA(終値履歴!G87:'終値履歴'!XFD87)+4,1,-1)</f>
        <v>0</v>
      </c>
      <c r="G87" s="15">
        <f ca="1">OFFSET(終値履歴!A87,0,COUNTA(終値履歴!G87:'終値履歴'!XFD87)+5,1,-1)</f>
        <v>0</v>
      </c>
      <c r="I87" s="118" t="e">
        <f t="shared" ref="I87:I129" ca="1" si="141">(G87-F87)/F87</f>
        <v>#DIV/0!</v>
      </c>
      <c r="J87" s="118" t="e">
        <f t="shared" ref="J87:J129" ca="1" si="142">(G87-E87)/E87</f>
        <v>#DIV/0!</v>
      </c>
      <c r="K87" s="118" t="e">
        <f t="shared" ref="K87:K129" ca="1" si="143">(G87-D87)/D87</f>
        <v>#DIV/0!</v>
      </c>
      <c r="M87" s="118" t="e">
        <f t="shared" ref="M87:M129" ca="1" si="144">(F87-E87)/E87</f>
        <v>#DIV/0!</v>
      </c>
      <c r="N87" s="118" t="e">
        <f t="shared" ref="N87:N129" ca="1" si="145">(F87-D87)/D87</f>
        <v>#DIV/0!</v>
      </c>
      <c r="P87" s="115">
        <f t="shared" ref="P87:P129" ca="1" si="146">IF(G87-F87 &gt; 0,CONCATENATE("＋",G87-F87),G87-F87)</f>
        <v>0</v>
      </c>
      <c r="Q87" s="12" t="str">
        <f t="shared" ref="Q87:Q129" ca="1" si="147">IF(AND(G87&lt;=T87,G87&lt;=R87),"割安",IF(AND(G87&gt;T87,G87&lt;=R87),"普通",IF(AND(G87&lt;=T87,G87&gt;R87),"普通","割高")))</f>
        <v>割安</v>
      </c>
      <c r="R87" s="21">
        <f>終値履歴!D87</f>
        <v>0</v>
      </c>
      <c r="S87" s="325" t="e">
        <f t="shared" ref="S87:S129" ca="1" si="148">(G87-R87)/E87</f>
        <v>#DIV/0!</v>
      </c>
      <c r="T87" s="21">
        <f>終値履歴!E87</f>
        <v>0</v>
      </c>
      <c r="U87" s="325" t="e">
        <f t="shared" ref="U87:U129" ca="1" si="149">(G87-T87)/G87</f>
        <v>#DIV/0!</v>
      </c>
      <c r="W87" s="21">
        <f>終値履歴!F87</f>
        <v>0</v>
      </c>
      <c r="X87" s="325" t="e">
        <f t="shared" ref="X87:X129" ca="1" si="150">(G87-W87)/G87</f>
        <v>#DIV/0!</v>
      </c>
    </row>
    <row r="88" spans="2:24" x14ac:dyDescent="0.25">
      <c r="B88" s="107" t="str">
        <f>IPO監視一覧!B76</f>
        <v>エル・ティー・エス</v>
      </c>
      <c r="C88" s="122">
        <f>株価一覧!H87</f>
        <v>0</v>
      </c>
      <c r="D88" s="15">
        <f ca="1">OFFSET(終値履歴!A88,0,COUNTA(終値履歴!G88:'終値履歴'!XFD88)+2,1,-1)</f>
        <v>0</v>
      </c>
      <c r="E88" s="15">
        <f ca="1">OFFSET(終値履歴!A88,0,COUNTA(終値履歴!G88:'終値履歴'!XFD88)+3,1,-1)</f>
        <v>0</v>
      </c>
      <c r="F88" s="15">
        <f ca="1">OFFSET(終値履歴!A88,0,COUNTA(終値履歴!G88:'終値履歴'!XFD88)+4,1,-1)</f>
        <v>0</v>
      </c>
      <c r="G88" s="15">
        <f ca="1">OFFSET(終値履歴!A88,0,COUNTA(終値履歴!G88:'終値履歴'!XFD88)+5,1,-1)</f>
        <v>0</v>
      </c>
      <c r="I88" s="118" t="e">
        <f t="shared" ca="1" si="141"/>
        <v>#DIV/0!</v>
      </c>
      <c r="J88" s="118" t="e">
        <f t="shared" ca="1" si="142"/>
        <v>#DIV/0!</v>
      </c>
      <c r="K88" s="118" t="e">
        <f t="shared" ca="1" si="143"/>
        <v>#DIV/0!</v>
      </c>
      <c r="M88" s="118" t="e">
        <f t="shared" ca="1" si="144"/>
        <v>#DIV/0!</v>
      </c>
      <c r="N88" s="118" t="e">
        <f t="shared" ca="1" si="145"/>
        <v>#DIV/0!</v>
      </c>
      <c r="P88" s="115">
        <f t="shared" ca="1" si="146"/>
        <v>0</v>
      </c>
      <c r="Q88" s="12" t="str">
        <f t="shared" ca="1" si="147"/>
        <v>割安</v>
      </c>
      <c r="R88" s="21">
        <f>終値履歴!D88</f>
        <v>0</v>
      </c>
      <c r="S88" s="325" t="e">
        <f t="shared" ca="1" si="148"/>
        <v>#DIV/0!</v>
      </c>
      <c r="T88" s="21">
        <f>終値履歴!E88</f>
        <v>0</v>
      </c>
      <c r="U88" s="325" t="e">
        <f t="shared" ca="1" si="149"/>
        <v>#DIV/0!</v>
      </c>
      <c r="W88" s="21">
        <f>終値履歴!F88</f>
        <v>0</v>
      </c>
      <c r="X88" s="325" t="e">
        <f t="shared" ca="1" si="150"/>
        <v>#DIV/0!</v>
      </c>
    </row>
    <row r="89" spans="2:24" x14ac:dyDescent="0.25">
      <c r="B89" s="107" t="str">
        <f>IPO監視一覧!B77</f>
        <v>イオレ</v>
      </c>
      <c r="C89" s="122">
        <f>株価一覧!H88</f>
        <v>0</v>
      </c>
      <c r="D89" s="15">
        <f ca="1">OFFSET(終値履歴!A89,0,COUNTA(終値履歴!G89:'終値履歴'!XFD89)+2,1,-1)</f>
        <v>0</v>
      </c>
      <c r="E89" s="15">
        <f ca="1">OFFSET(終値履歴!A89,0,COUNTA(終値履歴!G89:'終値履歴'!XFD89)+3,1,-1)</f>
        <v>0</v>
      </c>
      <c r="F89" s="15">
        <f ca="1">OFFSET(終値履歴!A89,0,COUNTA(終値履歴!G89:'終値履歴'!XFD89)+4,1,-1)</f>
        <v>0</v>
      </c>
      <c r="G89" s="15">
        <f ca="1">OFFSET(終値履歴!A89,0,COUNTA(終値履歴!G89:'終値履歴'!XFD89)+5,1,-1)</f>
        <v>0</v>
      </c>
      <c r="I89" s="118" t="e">
        <f t="shared" ca="1" si="141"/>
        <v>#DIV/0!</v>
      </c>
      <c r="J89" s="118" t="e">
        <f t="shared" ca="1" si="142"/>
        <v>#DIV/0!</v>
      </c>
      <c r="K89" s="118" t="e">
        <f t="shared" ca="1" si="143"/>
        <v>#DIV/0!</v>
      </c>
      <c r="M89" s="118" t="e">
        <f t="shared" ca="1" si="144"/>
        <v>#DIV/0!</v>
      </c>
      <c r="N89" s="118" t="e">
        <f t="shared" ca="1" si="145"/>
        <v>#DIV/0!</v>
      </c>
      <c r="P89" s="115">
        <f t="shared" ca="1" si="146"/>
        <v>0</v>
      </c>
      <c r="Q89" s="12" t="str">
        <f t="shared" ca="1" si="147"/>
        <v>割安</v>
      </c>
      <c r="R89" s="21">
        <f>終値履歴!D89</f>
        <v>0</v>
      </c>
      <c r="S89" s="325" t="e">
        <f t="shared" ca="1" si="148"/>
        <v>#DIV/0!</v>
      </c>
      <c r="T89" s="21">
        <f>終値履歴!E89</f>
        <v>0</v>
      </c>
      <c r="U89" s="325" t="e">
        <f t="shared" ca="1" si="149"/>
        <v>#DIV/0!</v>
      </c>
      <c r="W89" s="21">
        <f>終値履歴!F89</f>
        <v>0</v>
      </c>
      <c r="X89" s="325" t="e">
        <f t="shared" ca="1" si="150"/>
        <v>#DIV/0!</v>
      </c>
    </row>
    <row r="90" spans="2:24" x14ac:dyDescent="0.25">
      <c r="B90" s="107" t="str">
        <f>IPO監視一覧!B78</f>
        <v>HANATOUR JAPAN</v>
      </c>
      <c r="C90" s="122">
        <f>株価一覧!H89</f>
        <v>0</v>
      </c>
      <c r="D90" s="15">
        <f ca="1">OFFSET(終値履歴!A90,0,COUNTA(終値履歴!G90:'終値履歴'!XFD90)+2,1,-1)</f>
        <v>0</v>
      </c>
      <c r="E90" s="15">
        <f ca="1">OFFSET(終値履歴!A90,0,COUNTA(終値履歴!G90:'終値履歴'!XFD90)+3,1,-1)</f>
        <v>0</v>
      </c>
      <c r="F90" s="15">
        <f ca="1">OFFSET(終値履歴!A90,0,COUNTA(終値履歴!G90:'終値履歴'!XFD90)+4,1,-1)</f>
        <v>0</v>
      </c>
      <c r="G90" s="15">
        <f ca="1">OFFSET(終値履歴!A90,0,COUNTA(終値履歴!G90:'終値履歴'!XFD90)+5,1,-1)</f>
        <v>0</v>
      </c>
      <c r="I90" s="118" t="e">
        <f t="shared" ca="1" si="141"/>
        <v>#DIV/0!</v>
      </c>
      <c r="J90" s="118" t="e">
        <f t="shared" ca="1" si="142"/>
        <v>#DIV/0!</v>
      </c>
      <c r="K90" s="118" t="e">
        <f t="shared" ca="1" si="143"/>
        <v>#DIV/0!</v>
      </c>
      <c r="M90" s="118" t="e">
        <f t="shared" ca="1" si="144"/>
        <v>#DIV/0!</v>
      </c>
      <c r="N90" s="118" t="e">
        <f t="shared" ca="1" si="145"/>
        <v>#DIV/0!</v>
      </c>
      <c r="P90" s="115">
        <f t="shared" ca="1" si="146"/>
        <v>0</v>
      </c>
      <c r="Q90" s="12" t="str">
        <f t="shared" ca="1" si="147"/>
        <v>割安</v>
      </c>
      <c r="R90" s="21">
        <f>終値履歴!D90</f>
        <v>0</v>
      </c>
      <c r="S90" s="325" t="e">
        <f t="shared" ca="1" si="148"/>
        <v>#DIV/0!</v>
      </c>
      <c r="T90" s="21">
        <f>終値履歴!E90</f>
        <v>0</v>
      </c>
      <c r="U90" s="325" t="e">
        <f t="shared" ca="1" si="149"/>
        <v>#DIV/0!</v>
      </c>
      <c r="W90" s="21">
        <f>終値履歴!F90</f>
        <v>0</v>
      </c>
      <c r="X90" s="325" t="e">
        <f t="shared" ca="1" si="150"/>
        <v>#DIV/0!</v>
      </c>
    </row>
    <row r="91" spans="2:24" x14ac:dyDescent="0.25">
      <c r="B91" s="107" t="str">
        <f>IPO監視一覧!B79</f>
        <v>ナレッジスイート</v>
      </c>
      <c r="C91" s="122">
        <f>株価一覧!H90</f>
        <v>0</v>
      </c>
      <c r="D91" s="15">
        <f ca="1">OFFSET(終値履歴!A91,0,COUNTA(終値履歴!G91:'終値履歴'!XFD91)+2,1,-1)</f>
        <v>0</v>
      </c>
      <c r="E91" s="15">
        <f ca="1">OFFSET(終値履歴!A91,0,COUNTA(終値履歴!G91:'終値履歴'!XFD91)+3,1,-1)</f>
        <v>0</v>
      </c>
      <c r="F91" s="15">
        <f ca="1">OFFSET(終値履歴!A91,0,COUNTA(終値履歴!G91:'終値履歴'!XFD91)+4,1,-1)</f>
        <v>0</v>
      </c>
      <c r="G91" s="15">
        <f ca="1">OFFSET(終値履歴!A91,0,COUNTA(終値履歴!G91:'終値履歴'!XFD91)+5,1,-1)</f>
        <v>0</v>
      </c>
      <c r="I91" s="118" t="e">
        <f t="shared" ca="1" si="141"/>
        <v>#DIV/0!</v>
      </c>
      <c r="J91" s="118" t="e">
        <f t="shared" ca="1" si="142"/>
        <v>#DIV/0!</v>
      </c>
      <c r="K91" s="118" t="e">
        <f t="shared" ca="1" si="143"/>
        <v>#DIV/0!</v>
      </c>
      <c r="M91" s="118" t="e">
        <f t="shared" ca="1" si="144"/>
        <v>#DIV/0!</v>
      </c>
      <c r="N91" s="118" t="e">
        <f t="shared" ca="1" si="145"/>
        <v>#DIV/0!</v>
      </c>
      <c r="P91" s="115">
        <f t="shared" ca="1" si="146"/>
        <v>0</v>
      </c>
      <c r="Q91" s="12" t="str">
        <f t="shared" ca="1" si="147"/>
        <v>割安</v>
      </c>
      <c r="R91" s="21">
        <f>終値履歴!D91</f>
        <v>0</v>
      </c>
      <c r="S91" s="325" t="e">
        <f t="shared" ca="1" si="148"/>
        <v>#DIV/0!</v>
      </c>
      <c r="T91" s="21">
        <f>終値履歴!E91</f>
        <v>0</v>
      </c>
      <c r="U91" s="325" t="e">
        <f t="shared" ca="1" si="149"/>
        <v>#DIV/0!</v>
      </c>
      <c r="W91" s="21">
        <f>終値履歴!F91</f>
        <v>0</v>
      </c>
      <c r="X91" s="325" t="e">
        <f t="shared" ca="1" si="150"/>
        <v>#DIV/0!</v>
      </c>
    </row>
    <row r="92" spans="2:24" x14ac:dyDescent="0.25">
      <c r="B92" s="107" t="str">
        <f>IPO監視一覧!B80</f>
        <v>すららネット</v>
      </c>
      <c r="C92" s="122">
        <f>株価一覧!H91</f>
        <v>0</v>
      </c>
      <c r="D92" s="15">
        <f ca="1">OFFSET(終値履歴!A92,0,COUNTA(終値履歴!G92:'終値履歴'!XFD92)+2,1,-1)</f>
        <v>0</v>
      </c>
      <c r="E92" s="15">
        <f ca="1">OFFSET(終値履歴!A92,0,COUNTA(終値履歴!G92:'終値履歴'!XFD92)+3,1,-1)</f>
        <v>0</v>
      </c>
      <c r="F92" s="15">
        <f ca="1">OFFSET(終値履歴!A92,0,COUNTA(終値履歴!G92:'終値履歴'!XFD92)+4,1,-1)</f>
        <v>0</v>
      </c>
      <c r="G92" s="15">
        <f ca="1">OFFSET(終値履歴!A92,0,COUNTA(終値履歴!G92:'終値履歴'!XFD92)+5,1,-1)</f>
        <v>0</v>
      </c>
      <c r="I92" s="118" t="e">
        <f t="shared" ca="1" si="141"/>
        <v>#DIV/0!</v>
      </c>
      <c r="J92" s="118" t="e">
        <f t="shared" ca="1" si="142"/>
        <v>#DIV/0!</v>
      </c>
      <c r="K92" s="118" t="e">
        <f t="shared" ca="1" si="143"/>
        <v>#DIV/0!</v>
      </c>
      <c r="M92" s="118" t="e">
        <f t="shared" ca="1" si="144"/>
        <v>#DIV/0!</v>
      </c>
      <c r="N92" s="118" t="e">
        <f t="shared" ca="1" si="145"/>
        <v>#DIV/0!</v>
      </c>
      <c r="P92" s="115">
        <f t="shared" ca="1" si="146"/>
        <v>0</v>
      </c>
      <c r="Q92" s="12" t="str">
        <f t="shared" ca="1" si="147"/>
        <v>割安</v>
      </c>
      <c r="R92" s="21">
        <f>終値履歴!D92</f>
        <v>0</v>
      </c>
      <c r="S92" s="325" t="e">
        <f t="shared" ca="1" si="148"/>
        <v>#DIV/0!</v>
      </c>
      <c r="T92" s="21">
        <f>終値履歴!E92</f>
        <v>0</v>
      </c>
      <c r="U92" s="325" t="e">
        <f t="shared" ca="1" si="149"/>
        <v>#DIV/0!</v>
      </c>
      <c r="W92" s="21">
        <f>終値履歴!F92</f>
        <v>0</v>
      </c>
      <c r="X92" s="325" t="e">
        <f t="shared" ca="1" si="150"/>
        <v>#DIV/0!</v>
      </c>
    </row>
    <row r="93" spans="2:24" x14ac:dyDescent="0.25">
      <c r="B93" s="107" t="str">
        <f>IPO監視一覧!B81</f>
        <v>ジーニー</v>
      </c>
      <c r="C93" s="122">
        <f>株価一覧!H92</f>
        <v>0</v>
      </c>
      <c r="D93" s="15">
        <f ca="1">OFFSET(終値履歴!A93,0,COUNTA(終値履歴!G93:'終値履歴'!XFD93)+2,1,-1)</f>
        <v>0</v>
      </c>
      <c r="E93" s="15">
        <f ca="1">OFFSET(終値履歴!A93,0,COUNTA(終値履歴!G93:'終値履歴'!XFD93)+3,1,-1)</f>
        <v>0</v>
      </c>
      <c r="F93" s="15">
        <f ca="1">OFFSET(終値履歴!A93,0,COUNTA(終値履歴!G93:'終値履歴'!XFD93)+4,1,-1)</f>
        <v>0</v>
      </c>
      <c r="G93" s="15">
        <f ca="1">OFFSET(終値履歴!A93,0,COUNTA(終値履歴!G93:'終値履歴'!XFD93)+5,1,-1)</f>
        <v>0</v>
      </c>
      <c r="I93" s="118" t="e">
        <f t="shared" ca="1" si="141"/>
        <v>#DIV/0!</v>
      </c>
      <c r="J93" s="118" t="e">
        <f t="shared" ca="1" si="142"/>
        <v>#DIV/0!</v>
      </c>
      <c r="K93" s="118" t="e">
        <f t="shared" ca="1" si="143"/>
        <v>#DIV/0!</v>
      </c>
      <c r="M93" s="118" t="e">
        <f t="shared" ca="1" si="144"/>
        <v>#DIV/0!</v>
      </c>
      <c r="N93" s="118" t="e">
        <f t="shared" ca="1" si="145"/>
        <v>#DIV/0!</v>
      </c>
      <c r="P93" s="115">
        <f t="shared" ca="1" si="146"/>
        <v>0</v>
      </c>
      <c r="Q93" s="12" t="str">
        <f t="shared" ca="1" si="147"/>
        <v>割安</v>
      </c>
      <c r="R93" s="21">
        <f>終値履歴!D93</f>
        <v>0</v>
      </c>
      <c r="S93" s="325" t="e">
        <f t="shared" ca="1" si="148"/>
        <v>#DIV/0!</v>
      </c>
      <c r="T93" s="21">
        <f>終値履歴!E93</f>
        <v>0</v>
      </c>
      <c r="U93" s="325" t="e">
        <f t="shared" ca="1" si="149"/>
        <v>#DIV/0!</v>
      </c>
      <c r="W93" s="21">
        <f>終値履歴!F93</f>
        <v>0</v>
      </c>
      <c r="X93" s="325" t="e">
        <f t="shared" ca="1" si="150"/>
        <v>#DIV/0!</v>
      </c>
    </row>
    <row r="94" spans="2:24" x14ac:dyDescent="0.25">
      <c r="B94" s="107" t="str">
        <f>IPO監視一覧!B82</f>
        <v>歯愛メディカル</v>
      </c>
      <c r="C94" s="122">
        <f>株価一覧!H93</f>
        <v>0</v>
      </c>
      <c r="D94" s="15">
        <f ca="1">OFFSET(終値履歴!A94,0,COUNTA(終値履歴!G94:'終値履歴'!XFD94)+2,1,-1)</f>
        <v>0</v>
      </c>
      <c r="E94" s="15">
        <f ca="1">OFFSET(終値履歴!A94,0,COUNTA(終値履歴!G94:'終値履歴'!XFD94)+3,1,-1)</f>
        <v>0</v>
      </c>
      <c r="F94" s="15">
        <f ca="1">OFFSET(終値履歴!A94,0,COUNTA(終値履歴!G94:'終値履歴'!XFD94)+4,1,-1)</f>
        <v>0</v>
      </c>
      <c r="G94" s="15">
        <f ca="1">OFFSET(終値履歴!A94,0,COUNTA(終値履歴!G94:'終値履歴'!XFD94)+5,1,-1)</f>
        <v>0</v>
      </c>
      <c r="I94" s="118" t="e">
        <f t="shared" ca="1" si="141"/>
        <v>#DIV/0!</v>
      </c>
      <c r="J94" s="118" t="e">
        <f t="shared" ca="1" si="142"/>
        <v>#DIV/0!</v>
      </c>
      <c r="K94" s="118" t="e">
        <f t="shared" ca="1" si="143"/>
        <v>#DIV/0!</v>
      </c>
      <c r="M94" s="118" t="e">
        <f t="shared" ca="1" si="144"/>
        <v>#DIV/0!</v>
      </c>
      <c r="N94" s="118" t="e">
        <f t="shared" ca="1" si="145"/>
        <v>#DIV/0!</v>
      </c>
      <c r="P94" s="115">
        <f t="shared" ca="1" si="146"/>
        <v>0</v>
      </c>
      <c r="Q94" s="12" t="str">
        <f t="shared" ca="1" si="147"/>
        <v>割安</v>
      </c>
      <c r="R94" s="21">
        <f>終値履歴!D94</f>
        <v>0</v>
      </c>
      <c r="S94" s="325" t="e">
        <f t="shared" ca="1" si="148"/>
        <v>#DIV/0!</v>
      </c>
      <c r="T94" s="21">
        <f>終値履歴!E94</f>
        <v>0</v>
      </c>
      <c r="U94" s="325" t="e">
        <f t="shared" ca="1" si="149"/>
        <v>#DIV/0!</v>
      </c>
      <c r="W94" s="21">
        <f>終値履歴!F94</f>
        <v>0</v>
      </c>
      <c r="X94" s="325" t="e">
        <f t="shared" ca="1" si="150"/>
        <v>#DIV/0!</v>
      </c>
    </row>
    <row r="95" spans="2:24" x14ac:dyDescent="0.25">
      <c r="B95" s="107" t="str">
        <f>IPO監視一覧!B83</f>
        <v>みらいワークス</v>
      </c>
      <c r="C95" s="122">
        <f>株価一覧!H94</f>
        <v>0</v>
      </c>
      <c r="D95" s="15">
        <f ca="1">OFFSET(終値履歴!A95,0,COUNTA(終値履歴!G95:'終値履歴'!XFD95)+2,1,-1)</f>
        <v>0</v>
      </c>
      <c r="E95" s="15">
        <f ca="1">OFFSET(終値履歴!A95,0,COUNTA(終値履歴!G95:'終値履歴'!XFD95)+3,1,-1)</f>
        <v>0</v>
      </c>
      <c r="F95" s="15">
        <f ca="1">OFFSET(終値履歴!A95,0,COUNTA(終値履歴!G95:'終値履歴'!XFD95)+4,1,-1)</f>
        <v>0</v>
      </c>
      <c r="G95" s="15">
        <f ca="1">OFFSET(終値履歴!A95,0,COUNTA(終値履歴!G95:'終値履歴'!XFD95)+5,1,-1)</f>
        <v>0</v>
      </c>
      <c r="I95" s="118" t="e">
        <f t="shared" ca="1" si="141"/>
        <v>#DIV/0!</v>
      </c>
      <c r="J95" s="118" t="e">
        <f t="shared" ca="1" si="142"/>
        <v>#DIV/0!</v>
      </c>
      <c r="K95" s="118" t="e">
        <f t="shared" ca="1" si="143"/>
        <v>#DIV/0!</v>
      </c>
      <c r="M95" s="118" t="e">
        <f t="shared" ca="1" si="144"/>
        <v>#DIV/0!</v>
      </c>
      <c r="N95" s="118" t="e">
        <f t="shared" ca="1" si="145"/>
        <v>#DIV/0!</v>
      </c>
      <c r="P95" s="115">
        <f t="shared" ca="1" si="146"/>
        <v>0</v>
      </c>
      <c r="Q95" s="12" t="str">
        <f t="shared" ca="1" si="147"/>
        <v>割安</v>
      </c>
      <c r="R95" s="21">
        <f>終値履歴!D95</f>
        <v>0</v>
      </c>
      <c r="S95" s="325" t="e">
        <f t="shared" ca="1" si="148"/>
        <v>#DIV/0!</v>
      </c>
      <c r="T95" s="21">
        <f>終値履歴!E95</f>
        <v>0</v>
      </c>
      <c r="U95" s="325" t="e">
        <f t="shared" ca="1" si="149"/>
        <v>#DIV/0!</v>
      </c>
      <c r="W95" s="21">
        <f>終値履歴!F95</f>
        <v>0</v>
      </c>
      <c r="X95" s="325" t="e">
        <f t="shared" ca="1" si="150"/>
        <v>#DIV/0!</v>
      </c>
    </row>
    <row r="96" spans="2:24" x14ac:dyDescent="0.25">
      <c r="B96" s="107" t="str">
        <f>IPO監視一覧!B84</f>
        <v>オプトラン</v>
      </c>
      <c r="C96" s="122">
        <f>株価一覧!H95</f>
        <v>0</v>
      </c>
      <c r="D96" s="15">
        <f ca="1">OFFSET(終値履歴!A96,0,COUNTA(終値履歴!G96:'終値履歴'!XFD96)+2,1,-1)</f>
        <v>0</v>
      </c>
      <c r="E96" s="15">
        <f ca="1">OFFSET(終値履歴!A96,0,COUNTA(終値履歴!G96:'終値履歴'!XFD96)+3,1,-1)</f>
        <v>0</v>
      </c>
      <c r="F96" s="15">
        <f ca="1">OFFSET(終値履歴!A96,0,COUNTA(終値履歴!G96:'終値履歴'!XFD96)+4,1,-1)</f>
        <v>0</v>
      </c>
      <c r="G96" s="15">
        <f ca="1">OFFSET(終値履歴!A96,0,COUNTA(終値履歴!G96:'終値履歴'!XFD96)+5,1,-1)</f>
        <v>0</v>
      </c>
      <c r="I96" s="118" t="e">
        <f t="shared" ca="1" si="141"/>
        <v>#DIV/0!</v>
      </c>
      <c r="J96" s="118" t="e">
        <f t="shared" ca="1" si="142"/>
        <v>#DIV/0!</v>
      </c>
      <c r="K96" s="118" t="e">
        <f t="shared" ca="1" si="143"/>
        <v>#DIV/0!</v>
      </c>
      <c r="M96" s="118" t="e">
        <f t="shared" ca="1" si="144"/>
        <v>#DIV/0!</v>
      </c>
      <c r="N96" s="118" t="e">
        <f t="shared" ca="1" si="145"/>
        <v>#DIV/0!</v>
      </c>
      <c r="P96" s="115">
        <f t="shared" ca="1" si="146"/>
        <v>0</v>
      </c>
      <c r="Q96" s="12" t="str">
        <f t="shared" ca="1" si="147"/>
        <v>割安</v>
      </c>
      <c r="R96" s="21">
        <f>終値履歴!D96</f>
        <v>0</v>
      </c>
      <c r="S96" s="325" t="e">
        <f t="shared" ca="1" si="148"/>
        <v>#DIV/0!</v>
      </c>
      <c r="T96" s="21">
        <f>終値履歴!E96</f>
        <v>0</v>
      </c>
      <c r="U96" s="325" t="e">
        <f t="shared" ca="1" si="149"/>
        <v>#DIV/0!</v>
      </c>
      <c r="W96" s="21">
        <f>終値履歴!F96</f>
        <v>0</v>
      </c>
      <c r="X96" s="325" t="e">
        <f t="shared" ca="1" si="150"/>
        <v>#DIV/0!</v>
      </c>
    </row>
    <row r="97" spans="2:24" x14ac:dyDescent="0.25">
      <c r="B97" s="107" t="str">
        <f>IPO監視一覧!B85</f>
        <v>森六ホールディングス</v>
      </c>
      <c r="C97" s="122">
        <f>株価一覧!H96</f>
        <v>0</v>
      </c>
      <c r="D97" s="15">
        <f ca="1">OFFSET(終値履歴!A97,0,COUNTA(終値履歴!G97:'終値履歴'!XFD97)+2,1,-1)</f>
        <v>0</v>
      </c>
      <c r="E97" s="15">
        <f ca="1">OFFSET(終値履歴!A97,0,COUNTA(終値履歴!G97:'終値履歴'!XFD97)+3,1,-1)</f>
        <v>0</v>
      </c>
      <c r="F97" s="15">
        <f ca="1">OFFSET(終値履歴!A97,0,COUNTA(終値履歴!G97:'終値履歴'!XFD97)+4,1,-1)</f>
        <v>0</v>
      </c>
      <c r="G97" s="15">
        <f ca="1">OFFSET(終値履歴!A97,0,COUNTA(終値履歴!G97:'終値履歴'!XFD97)+5,1,-1)</f>
        <v>0</v>
      </c>
      <c r="I97" s="118" t="e">
        <f t="shared" ca="1" si="141"/>
        <v>#DIV/0!</v>
      </c>
      <c r="J97" s="118" t="e">
        <f t="shared" ca="1" si="142"/>
        <v>#DIV/0!</v>
      </c>
      <c r="K97" s="118" t="e">
        <f t="shared" ca="1" si="143"/>
        <v>#DIV/0!</v>
      </c>
      <c r="M97" s="118" t="e">
        <f t="shared" ca="1" si="144"/>
        <v>#DIV/0!</v>
      </c>
      <c r="N97" s="118" t="e">
        <f t="shared" ca="1" si="145"/>
        <v>#DIV/0!</v>
      </c>
      <c r="P97" s="115">
        <f t="shared" ca="1" si="146"/>
        <v>0</v>
      </c>
      <c r="Q97" s="12" t="str">
        <f t="shared" ca="1" si="147"/>
        <v>割安</v>
      </c>
      <c r="R97" s="21">
        <f>終値履歴!D97</f>
        <v>0</v>
      </c>
      <c r="S97" s="325" t="e">
        <f t="shared" ca="1" si="148"/>
        <v>#DIV/0!</v>
      </c>
      <c r="T97" s="21">
        <f>終値履歴!E97</f>
        <v>0</v>
      </c>
      <c r="U97" s="325" t="e">
        <f t="shared" ca="1" si="149"/>
        <v>#DIV/0!</v>
      </c>
      <c r="W97" s="21">
        <f>終値履歴!F97</f>
        <v>0</v>
      </c>
      <c r="X97" s="325" t="e">
        <f t="shared" ca="1" si="150"/>
        <v>#DIV/0!</v>
      </c>
    </row>
    <row r="98" spans="2:24" x14ac:dyDescent="0.25">
      <c r="B98" s="107" t="str">
        <f>IPO監視一覧!B86</f>
        <v>プレミアグループ</v>
      </c>
      <c r="C98" s="122">
        <f>株価一覧!H97</f>
        <v>0</v>
      </c>
      <c r="D98" s="15">
        <f ca="1">OFFSET(終値履歴!A98,0,COUNTA(終値履歴!G98:'終値履歴'!XFD98)+2,1,-1)</f>
        <v>0</v>
      </c>
      <c r="E98" s="15">
        <f ca="1">OFFSET(終値履歴!A98,0,COUNTA(終値履歴!G98:'終値履歴'!XFD98)+3,1,-1)</f>
        <v>0</v>
      </c>
      <c r="F98" s="15">
        <f ca="1">OFFSET(終値履歴!A98,0,COUNTA(終値履歴!G98:'終値履歴'!XFD98)+4,1,-1)</f>
        <v>0</v>
      </c>
      <c r="G98" s="15">
        <f ca="1">OFFSET(終値履歴!A98,0,COUNTA(終値履歴!G98:'終値履歴'!XFD98)+5,1,-1)</f>
        <v>0</v>
      </c>
      <c r="I98" s="118" t="e">
        <f t="shared" ca="1" si="141"/>
        <v>#DIV/0!</v>
      </c>
      <c r="J98" s="118" t="e">
        <f t="shared" ca="1" si="142"/>
        <v>#DIV/0!</v>
      </c>
      <c r="K98" s="118" t="e">
        <f t="shared" ca="1" si="143"/>
        <v>#DIV/0!</v>
      </c>
      <c r="M98" s="118" t="e">
        <f t="shared" ca="1" si="144"/>
        <v>#DIV/0!</v>
      </c>
      <c r="N98" s="118" t="e">
        <f t="shared" ca="1" si="145"/>
        <v>#DIV/0!</v>
      </c>
      <c r="P98" s="115">
        <f t="shared" ca="1" si="146"/>
        <v>0</v>
      </c>
      <c r="Q98" s="12" t="str">
        <f t="shared" ca="1" si="147"/>
        <v>割安</v>
      </c>
      <c r="R98" s="21">
        <f>終値履歴!D98</f>
        <v>0</v>
      </c>
      <c r="S98" s="325" t="e">
        <f t="shared" ca="1" si="148"/>
        <v>#DIV/0!</v>
      </c>
      <c r="T98" s="21">
        <f>終値履歴!E98</f>
        <v>0</v>
      </c>
      <c r="U98" s="325" t="e">
        <f t="shared" ca="1" si="149"/>
        <v>#DIV/0!</v>
      </c>
      <c r="W98" s="21">
        <f>終値履歴!F98</f>
        <v>0</v>
      </c>
      <c r="X98" s="325" t="e">
        <f t="shared" ca="1" si="150"/>
        <v>#DIV/0!</v>
      </c>
    </row>
    <row r="99" spans="2:24" x14ac:dyDescent="0.25">
      <c r="B99" s="107" t="str">
        <f>IPO監視一覧!B87</f>
        <v>ミダック</v>
      </c>
      <c r="C99" s="122">
        <f>株価一覧!H98</f>
        <v>0</v>
      </c>
      <c r="D99" s="15">
        <f ca="1">OFFSET(終値履歴!A99,0,COUNTA(終値履歴!G99:'終値履歴'!XFD99)+2,1,-1)</f>
        <v>0</v>
      </c>
      <c r="E99" s="15">
        <f ca="1">OFFSET(終値履歴!A99,0,COUNTA(終値履歴!G99:'終値履歴'!XFD99)+3,1,-1)</f>
        <v>0</v>
      </c>
      <c r="F99" s="15">
        <f ca="1">OFFSET(終値履歴!A99,0,COUNTA(終値履歴!G99:'終値履歴'!XFD99)+4,1,-1)</f>
        <v>0</v>
      </c>
      <c r="G99" s="15">
        <f ca="1">OFFSET(終値履歴!A99,0,COUNTA(終値履歴!G99:'終値履歴'!XFD99)+5,1,-1)</f>
        <v>0</v>
      </c>
      <c r="I99" s="118" t="e">
        <f t="shared" ca="1" si="141"/>
        <v>#DIV/0!</v>
      </c>
      <c r="J99" s="118" t="e">
        <f t="shared" ca="1" si="142"/>
        <v>#DIV/0!</v>
      </c>
      <c r="K99" s="118" t="e">
        <f t="shared" ca="1" si="143"/>
        <v>#DIV/0!</v>
      </c>
      <c r="M99" s="118" t="e">
        <f t="shared" ca="1" si="144"/>
        <v>#DIV/0!</v>
      </c>
      <c r="N99" s="118" t="e">
        <f t="shared" ca="1" si="145"/>
        <v>#DIV/0!</v>
      </c>
      <c r="P99" s="115">
        <f t="shared" ca="1" si="146"/>
        <v>0</v>
      </c>
      <c r="Q99" s="12" t="str">
        <f t="shared" ca="1" si="147"/>
        <v>割安</v>
      </c>
      <c r="R99" s="21">
        <f>終値履歴!D99</f>
        <v>0</v>
      </c>
      <c r="S99" s="325" t="e">
        <f t="shared" ca="1" si="148"/>
        <v>#DIV/0!</v>
      </c>
      <c r="T99" s="21">
        <f>終値履歴!E99</f>
        <v>0</v>
      </c>
      <c r="U99" s="325" t="e">
        <f t="shared" ca="1" si="149"/>
        <v>#DIV/0!</v>
      </c>
      <c r="W99" s="21">
        <f>終値履歴!F99</f>
        <v>0</v>
      </c>
      <c r="X99" s="325" t="e">
        <f t="shared" ca="1" si="150"/>
        <v>#DIV/0!</v>
      </c>
    </row>
    <row r="100" spans="2:24" x14ac:dyDescent="0.25">
      <c r="B100" s="107" t="str">
        <f>IPO監視一覧!B88</f>
        <v>要興業</v>
      </c>
      <c r="C100" s="122">
        <f>株価一覧!H99</f>
        <v>0</v>
      </c>
      <c r="D100" s="15">
        <f ca="1">OFFSET(終値履歴!A100,0,COUNTA(終値履歴!G100:'終値履歴'!XFD100)+2,1,-1)</f>
        <v>0</v>
      </c>
      <c r="E100" s="15">
        <f ca="1">OFFSET(終値履歴!A100,0,COUNTA(終値履歴!G100:'終値履歴'!XFD100)+3,1,-1)</f>
        <v>0</v>
      </c>
      <c r="F100" s="15">
        <f ca="1">OFFSET(終値履歴!A100,0,COUNTA(終値履歴!G100:'終値履歴'!XFD100)+4,1,-1)</f>
        <v>0</v>
      </c>
      <c r="G100" s="15">
        <f ca="1">OFFSET(終値履歴!A100,0,COUNTA(終値履歴!G100:'終値履歴'!XFD100)+5,1,-1)</f>
        <v>0</v>
      </c>
      <c r="I100" s="118" t="e">
        <f t="shared" ca="1" si="141"/>
        <v>#DIV/0!</v>
      </c>
      <c r="J100" s="118" t="e">
        <f t="shared" ca="1" si="142"/>
        <v>#DIV/0!</v>
      </c>
      <c r="K100" s="118" t="e">
        <f t="shared" ca="1" si="143"/>
        <v>#DIV/0!</v>
      </c>
      <c r="M100" s="118" t="e">
        <f t="shared" ca="1" si="144"/>
        <v>#DIV/0!</v>
      </c>
      <c r="N100" s="118" t="e">
        <f t="shared" ca="1" si="145"/>
        <v>#DIV/0!</v>
      </c>
      <c r="P100" s="115">
        <f t="shared" ca="1" si="146"/>
        <v>0</v>
      </c>
      <c r="Q100" s="12" t="str">
        <f t="shared" ca="1" si="147"/>
        <v>割安</v>
      </c>
      <c r="R100" s="21">
        <f>終値履歴!D100</f>
        <v>0</v>
      </c>
      <c r="S100" s="325" t="e">
        <f t="shared" ca="1" si="148"/>
        <v>#DIV/0!</v>
      </c>
      <c r="T100" s="21">
        <f>終値履歴!E100</f>
        <v>0</v>
      </c>
      <c r="U100" s="325" t="e">
        <f t="shared" ca="1" si="149"/>
        <v>#DIV/0!</v>
      </c>
      <c r="W100" s="21">
        <f>終値履歴!F100</f>
        <v>0</v>
      </c>
      <c r="X100" s="325" t="e">
        <f t="shared" ca="1" si="150"/>
        <v>#DIV/0!</v>
      </c>
    </row>
    <row r="101" spans="2:24" x14ac:dyDescent="0.25">
      <c r="B101" s="107" t="str">
        <f>IPO監視一覧!B89</f>
        <v>ＡＢホテル</v>
      </c>
      <c r="C101" s="122">
        <f>株価一覧!H100</f>
        <v>0</v>
      </c>
      <c r="D101" s="15">
        <f ca="1">OFFSET(終値履歴!A101,0,COUNTA(終値履歴!G101:'終値履歴'!XFD101)+2,1,-1)</f>
        <v>0</v>
      </c>
      <c r="E101" s="15">
        <f ca="1">OFFSET(終値履歴!A101,0,COUNTA(終値履歴!G101:'終値履歴'!XFD101)+3,1,-1)</f>
        <v>0</v>
      </c>
      <c r="F101" s="15">
        <f ca="1">OFFSET(終値履歴!A101,0,COUNTA(終値履歴!G101:'終値履歴'!XFD101)+4,1,-1)</f>
        <v>0</v>
      </c>
      <c r="G101" s="15">
        <f ca="1">OFFSET(終値履歴!A101,0,COUNTA(終値履歴!G101:'終値履歴'!XFD101)+5,1,-1)</f>
        <v>0</v>
      </c>
      <c r="I101" s="118" t="e">
        <f t="shared" ca="1" si="141"/>
        <v>#DIV/0!</v>
      </c>
      <c r="J101" s="118" t="e">
        <f t="shared" ca="1" si="142"/>
        <v>#DIV/0!</v>
      </c>
      <c r="K101" s="118" t="e">
        <f t="shared" ca="1" si="143"/>
        <v>#DIV/0!</v>
      </c>
      <c r="M101" s="118" t="e">
        <f t="shared" ca="1" si="144"/>
        <v>#DIV/0!</v>
      </c>
      <c r="N101" s="118" t="e">
        <f t="shared" ca="1" si="145"/>
        <v>#DIV/0!</v>
      </c>
      <c r="P101" s="115">
        <f t="shared" ca="1" si="146"/>
        <v>0</v>
      </c>
      <c r="Q101" s="12" t="str">
        <f t="shared" ca="1" si="147"/>
        <v>割安</v>
      </c>
      <c r="R101" s="21">
        <f>終値履歴!D101</f>
        <v>0</v>
      </c>
      <c r="S101" s="325" t="e">
        <f t="shared" ca="1" si="148"/>
        <v>#DIV/0!</v>
      </c>
      <c r="T101" s="21">
        <f>終値履歴!E101</f>
        <v>0</v>
      </c>
      <c r="U101" s="325" t="e">
        <f t="shared" ca="1" si="149"/>
        <v>#DIV/0!</v>
      </c>
      <c r="W101" s="21">
        <f>終値履歴!F101</f>
        <v>0</v>
      </c>
      <c r="X101" s="325" t="e">
        <f t="shared" ca="1" si="150"/>
        <v>#DIV/0!</v>
      </c>
    </row>
    <row r="102" spans="2:24" x14ac:dyDescent="0.25">
      <c r="B102" s="107" t="str">
        <f>IPO監視一覧!B90</f>
        <v>オプティマスグループ</v>
      </c>
      <c r="C102" s="122">
        <f>株価一覧!H101</f>
        <v>0</v>
      </c>
      <c r="D102" s="15">
        <f ca="1">OFFSET(終値履歴!A102,0,COUNTA(終値履歴!G102:'終値履歴'!XFD102)+2,1,-1)</f>
        <v>0</v>
      </c>
      <c r="E102" s="15">
        <f ca="1">OFFSET(終値履歴!A102,0,COUNTA(終値履歴!G102:'終値履歴'!XFD102)+3,1,-1)</f>
        <v>0</v>
      </c>
      <c r="F102" s="15">
        <f ca="1">OFFSET(終値履歴!A102,0,COUNTA(終値履歴!G102:'終値履歴'!XFD102)+4,1,-1)</f>
        <v>0</v>
      </c>
      <c r="G102" s="15">
        <f ca="1">OFFSET(終値履歴!A102,0,COUNTA(終値履歴!G102:'終値履歴'!XFD102)+5,1,-1)</f>
        <v>0</v>
      </c>
      <c r="I102" s="118" t="e">
        <f t="shared" ca="1" si="141"/>
        <v>#DIV/0!</v>
      </c>
      <c r="J102" s="118" t="e">
        <f t="shared" ca="1" si="142"/>
        <v>#DIV/0!</v>
      </c>
      <c r="K102" s="118" t="e">
        <f t="shared" ca="1" si="143"/>
        <v>#DIV/0!</v>
      </c>
      <c r="M102" s="118" t="e">
        <f t="shared" ca="1" si="144"/>
        <v>#DIV/0!</v>
      </c>
      <c r="N102" s="118" t="e">
        <f t="shared" ca="1" si="145"/>
        <v>#DIV/0!</v>
      </c>
      <c r="P102" s="115">
        <f t="shared" ca="1" si="146"/>
        <v>0</v>
      </c>
      <c r="Q102" s="12" t="str">
        <f t="shared" ca="1" si="147"/>
        <v>割安</v>
      </c>
      <c r="R102" s="21">
        <f>終値履歴!D102</f>
        <v>0</v>
      </c>
      <c r="S102" s="325" t="e">
        <f t="shared" ca="1" si="148"/>
        <v>#DIV/0!</v>
      </c>
      <c r="T102" s="21">
        <f>終値履歴!E102</f>
        <v>0</v>
      </c>
      <c r="U102" s="325" t="e">
        <f t="shared" ca="1" si="149"/>
        <v>#DIV/0!</v>
      </c>
      <c r="W102" s="21">
        <f>終値履歴!F102</f>
        <v>0</v>
      </c>
      <c r="X102" s="325" t="e">
        <f t="shared" ca="1" si="150"/>
        <v>#DIV/0!</v>
      </c>
    </row>
    <row r="103" spans="2:24" x14ac:dyDescent="0.25">
      <c r="B103" s="107">
        <f>IPO監視一覧!B91</f>
        <v>0</v>
      </c>
      <c r="C103" s="122">
        <f>株価一覧!H102</f>
        <v>0</v>
      </c>
      <c r="D103" s="15">
        <f ca="1">OFFSET(終値履歴!A103,0,COUNTA(終値履歴!G103:'終値履歴'!XFD103)+2,1,-1)</f>
        <v>0</v>
      </c>
      <c r="E103" s="15">
        <f ca="1">OFFSET(終値履歴!A103,0,COUNTA(終値履歴!G103:'終値履歴'!XFD103)+3,1,-1)</f>
        <v>0</v>
      </c>
      <c r="F103" s="15">
        <f ca="1">OFFSET(終値履歴!A103,0,COUNTA(終値履歴!G103:'終値履歴'!XFD103)+4,1,-1)</f>
        <v>0</v>
      </c>
      <c r="G103" s="15">
        <f ca="1">OFFSET(終値履歴!A103,0,COUNTA(終値履歴!G103:'終値履歴'!XFD103)+5,1,-1)</f>
        <v>0</v>
      </c>
      <c r="I103" s="118" t="e">
        <f t="shared" ca="1" si="141"/>
        <v>#DIV/0!</v>
      </c>
      <c r="J103" s="118" t="e">
        <f t="shared" ca="1" si="142"/>
        <v>#DIV/0!</v>
      </c>
      <c r="K103" s="118" t="e">
        <f t="shared" ca="1" si="143"/>
        <v>#DIV/0!</v>
      </c>
      <c r="M103" s="118" t="e">
        <f t="shared" ca="1" si="144"/>
        <v>#DIV/0!</v>
      </c>
      <c r="N103" s="118" t="e">
        <f t="shared" ca="1" si="145"/>
        <v>#DIV/0!</v>
      </c>
      <c r="P103" s="115">
        <f t="shared" ca="1" si="146"/>
        <v>0</v>
      </c>
      <c r="Q103" s="12" t="str">
        <f t="shared" ca="1" si="147"/>
        <v>割安</v>
      </c>
      <c r="R103" s="21">
        <f>終値履歴!D103</f>
        <v>0</v>
      </c>
      <c r="S103" s="325" t="e">
        <f t="shared" ca="1" si="148"/>
        <v>#DIV/0!</v>
      </c>
      <c r="T103" s="21">
        <f>終値履歴!E103</f>
        <v>0</v>
      </c>
      <c r="U103" s="325" t="e">
        <f t="shared" ca="1" si="149"/>
        <v>#DIV/0!</v>
      </c>
      <c r="W103" s="21">
        <f>終値履歴!F103</f>
        <v>0</v>
      </c>
      <c r="X103" s="325" t="e">
        <f t="shared" ca="1" si="150"/>
        <v>#DIV/0!</v>
      </c>
    </row>
    <row r="104" spans="2:24" x14ac:dyDescent="0.25">
      <c r="B104" s="107">
        <f>IPO監視一覧!B92</f>
        <v>0</v>
      </c>
      <c r="C104" s="122">
        <f>株価一覧!H103</f>
        <v>0</v>
      </c>
      <c r="D104" s="15">
        <f ca="1">OFFSET(終値履歴!A104,0,COUNTA(終値履歴!G104:'終値履歴'!XFD104)+2,1,-1)</f>
        <v>0</v>
      </c>
      <c r="E104" s="15">
        <f ca="1">OFFSET(終値履歴!A104,0,COUNTA(終値履歴!G104:'終値履歴'!XFD104)+3,1,-1)</f>
        <v>0</v>
      </c>
      <c r="F104" s="15">
        <f ca="1">OFFSET(終値履歴!A104,0,COUNTA(終値履歴!G104:'終値履歴'!XFD104)+4,1,-1)</f>
        <v>0</v>
      </c>
      <c r="G104" s="15">
        <f ca="1">OFFSET(終値履歴!A104,0,COUNTA(終値履歴!G104:'終値履歴'!XFD104)+5,1,-1)</f>
        <v>0</v>
      </c>
      <c r="I104" s="118" t="e">
        <f t="shared" ca="1" si="141"/>
        <v>#DIV/0!</v>
      </c>
      <c r="J104" s="118" t="e">
        <f t="shared" ca="1" si="142"/>
        <v>#DIV/0!</v>
      </c>
      <c r="K104" s="118" t="e">
        <f t="shared" ca="1" si="143"/>
        <v>#DIV/0!</v>
      </c>
      <c r="M104" s="118" t="e">
        <f t="shared" ca="1" si="144"/>
        <v>#DIV/0!</v>
      </c>
      <c r="N104" s="118" t="e">
        <f t="shared" ca="1" si="145"/>
        <v>#DIV/0!</v>
      </c>
      <c r="P104" s="115">
        <f t="shared" ca="1" si="146"/>
        <v>0</v>
      </c>
      <c r="Q104" s="12" t="str">
        <f t="shared" ca="1" si="147"/>
        <v>割安</v>
      </c>
      <c r="R104" s="21">
        <f>終値履歴!D104</f>
        <v>0</v>
      </c>
      <c r="S104" s="325" t="e">
        <f t="shared" ca="1" si="148"/>
        <v>#DIV/0!</v>
      </c>
      <c r="T104" s="21">
        <f>終値履歴!E104</f>
        <v>0</v>
      </c>
      <c r="U104" s="325" t="e">
        <f t="shared" ca="1" si="149"/>
        <v>#DIV/0!</v>
      </c>
      <c r="W104" s="21">
        <f>終値履歴!F104</f>
        <v>0</v>
      </c>
      <c r="X104" s="325" t="e">
        <f t="shared" ca="1" si="150"/>
        <v>#DIV/0!</v>
      </c>
    </row>
    <row r="105" spans="2:24" x14ac:dyDescent="0.25">
      <c r="B105" s="107">
        <f>IPO監視一覧!B93</f>
        <v>0</v>
      </c>
      <c r="C105" s="122">
        <f>株価一覧!H104</f>
        <v>0</v>
      </c>
      <c r="D105" s="15">
        <f ca="1">OFFSET(終値履歴!A105,0,COUNTA(終値履歴!G105:'終値履歴'!XFD105)+2,1,-1)</f>
        <v>0</v>
      </c>
      <c r="E105" s="15">
        <f ca="1">OFFSET(終値履歴!A105,0,COUNTA(終値履歴!G105:'終値履歴'!XFD105)+3,1,-1)</f>
        <v>0</v>
      </c>
      <c r="F105" s="15">
        <f ca="1">OFFSET(終値履歴!A105,0,COUNTA(終値履歴!G105:'終値履歴'!XFD105)+4,1,-1)</f>
        <v>0</v>
      </c>
      <c r="G105" s="15">
        <f ca="1">OFFSET(終値履歴!A105,0,COUNTA(終値履歴!G105:'終値履歴'!XFD105)+5,1,-1)</f>
        <v>0</v>
      </c>
      <c r="I105" s="118" t="e">
        <f t="shared" ca="1" si="141"/>
        <v>#DIV/0!</v>
      </c>
      <c r="J105" s="118" t="e">
        <f t="shared" ca="1" si="142"/>
        <v>#DIV/0!</v>
      </c>
      <c r="K105" s="118" t="e">
        <f t="shared" ca="1" si="143"/>
        <v>#DIV/0!</v>
      </c>
      <c r="M105" s="118" t="e">
        <f t="shared" ca="1" si="144"/>
        <v>#DIV/0!</v>
      </c>
      <c r="N105" s="118" t="e">
        <f t="shared" ca="1" si="145"/>
        <v>#DIV/0!</v>
      </c>
      <c r="P105" s="115">
        <f t="shared" ca="1" si="146"/>
        <v>0</v>
      </c>
      <c r="Q105" s="12" t="str">
        <f t="shared" ca="1" si="147"/>
        <v>割安</v>
      </c>
      <c r="R105" s="21">
        <f>終値履歴!D105</f>
        <v>0</v>
      </c>
      <c r="S105" s="325" t="e">
        <f t="shared" ca="1" si="148"/>
        <v>#DIV/0!</v>
      </c>
      <c r="T105" s="21">
        <f>終値履歴!E105</f>
        <v>0</v>
      </c>
      <c r="U105" s="325" t="e">
        <f t="shared" ca="1" si="149"/>
        <v>#DIV/0!</v>
      </c>
      <c r="W105" s="21">
        <f>終値履歴!F105</f>
        <v>0</v>
      </c>
      <c r="X105" s="325" t="e">
        <f t="shared" ca="1" si="150"/>
        <v>#DIV/0!</v>
      </c>
    </row>
    <row r="106" spans="2:24" x14ac:dyDescent="0.25">
      <c r="B106" s="107">
        <f>IPO監視一覧!B94</f>
        <v>0</v>
      </c>
      <c r="C106" s="122">
        <f>株価一覧!H105</f>
        <v>0</v>
      </c>
      <c r="D106" s="15">
        <f ca="1">OFFSET(終値履歴!A106,0,COUNTA(終値履歴!G106:'終値履歴'!XFD106)+2,1,-1)</f>
        <v>0</v>
      </c>
      <c r="E106" s="15">
        <f ca="1">OFFSET(終値履歴!A106,0,COUNTA(終値履歴!G106:'終値履歴'!XFD106)+3,1,-1)</f>
        <v>0</v>
      </c>
      <c r="F106" s="15">
        <f ca="1">OFFSET(終値履歴!A106,0,COUNTA(終値履歴!G106:'終値履歴'!XFD106)+4,1,-1)</f>
        <v>0</v>
      </c>
      <c r="G106" s="15">
        <f ca="1">OFFSET(終値履歴!A106,0,COUNTA(終値履歴!G106:'終値履歴'!XFD106)+5,1,-1)</f>
        <v>0</v>
      </c>
      <c r="I106" s="118" t="e">
        <f t="shared" ca="1" si="141"/>
        <v>#DIV/0!</v>
      </c>
      <c r="J106" s="118" t="e">
        <f t="shared" ca="1" si="142"/>
        <v>#DIV/0!</v>
      </c>
      <c r="K106" s="118" t="e">
        <f t="shared" ca="1" si="143"/>
        <v>#DIV/0!</v>
      </c>
      <c r="M106" s="118" t="e">
        <f t="shared" ca="1" si="144"/>
        <v>#DIV/0!</v>
      </c>
      <c r="N106" s="118" t="e">
        <f t="shared" ca="1" si="145"/>
        <v>#DIV/0!</v>
      </c>
      <c r="P106" s="115">
        <f t="shared" ca="1" si="146"/>
        <v>0</v>
      </c>
      <c r="Q106" s="12" t="str">
        <f t="shared" ca="1" si="147"/>
        <v>割安</v>
      </c>
      <c r="R106" s="21">
        <f>終値履歴!D106</f>
        <v>0</v>
      </c>
      <c r="S106" s="325" t="e">
        <f t="shared" ca="1" si="148"/>
        <v>#DIV/0!</v>
      </c>
      <c r="T106" s="21">
        <f>終値履歴!E106</f>
        <v>0</v>
      </c>
      <c r="U106" s="325" t="e">
        <f t="shared" ca="1" si="149"/>
        <v>#DIV/0!</v>
      </c>
      <c r="W106" s="21">
        <f>終値履歴!F106</f>
        <v>0</v>
      </c>
      <c r="X106" s="325" t="e">
        <f t="shared" ca="1" si="150"/>
        <v>#DIV/0!</v>
      </c>
    </row>
    <row r="107" spans="2:24" x14ac:dyDescent="0.25">
      <c r="B107" s="107">
        <f>IPO監視一覧!B95</f>
        <v>0</v>
      </c>
      <c r="C107" s="122">
        <f>株価一覧!H106</f>
        <v>0</v>
      </c>
      <c r="D107" s="15">
        <f ca="1">OFFSET(終値履歴!A107,0,COUNTA(終値履歴!G107:'終値履歴'!XFD107)+2,1,-1)</f>
        <v>0</v>
      </c>
      <c r="E107" s="15">
        <f ca="1">OFFSET(終値履歴!A107,0,COUNTA(終値履歴!G107:'終値履歴'!XFD107)+3,1,-1)</f>
        <v>0</v>
      </c>
      <c r="F107" s="15">
        <f ca="1">OFFSET(終値履歴!A107,0,COUNTA(終値履歴!G107:'終値履歴'!XFD107)+4,1,-1)</f>
        <v>0</v>
      </c>
      <c r="G107" s="15">
        <f ca="1">OFFSET(終値履歴!A107,0,COUNTA(終値履歴!G107:'終値履歴'!XFD107)+5,1,-1)</f>
        <v>0</v>
      </c>
      <c r="I107" s="118" t="e">
        <f t="shared" ca="1" si="141"/>
        <v>#DIV/0!</v>
      </c>
      <c r="J107" s="118" t="e">
        <f t="shared" ca="1" si="142"/>
        <v>#DIV/0!</v>
      </c>
      <c r="K107" s="118" t="e">
        <f t="shared" ca="1" si="143"/>
        <v>#DIV/0!</v>
      </c>
      <c r="M107" s="118" t="e">
        <f t="shared" ca="1" si="144"/>
        <v>#DIV/0!</v>
      </c>
      <c r="N107" s="118" t="e">
        <f t="shared" ca="1" si="145"/>
        <v>#DIV/0!</v>
      </c>
      <c r="P107" s="115">
        <f t="shared" ca="1" si="146"/>
        <v>0</v>
      </c>
      <c r="Q107" s="12" t="str">
        <f t="shared" ca="1" si="147"/>
        <v>割安</v>
      </c>
      <c r="R107" s="21">
        <f>終値履歴!D107</f>
        <v>0</v>
      </c>
      <c r="S107" s="325" t="e">
        <f t="shared" ca="1" si="148"/>
        <v>#DIV/0!</v>
      </c>
      <c r="T107" s="21">
        <f>終値履歴!E107</f>
        <v>0</v>
      </c>
      <c r="U107" s="325" t="e">
        <f t="shared" ca="1" si="149"/>
        <v>#DIV/0!</v>
      </c>
      <c r="W107" s="21">
        <f>終値履歴!F107</f>
        <v>0</v>
      </c>
      <c r="X107" s="325" t="e">
        <f t="shared" ca="1" si="150"/>
        <v>#DIV/0!</v>
      </c>
    </row>
    <row r="108" spans="2:24" x14ac:dyDescent="0.25">
      <c r="B108" s="107">
        <f>IPO監視一覧!B96</f>
        <v>0</v>
      </c>
      <c r="C108" s="122">
        <f>株価一覧!H107</f>
        <v>0</v>
      </c>
      <c r="D108" s="15">
        <f ca="1">OFFSET(終値履歴!A108,0,COUNTA(終値履歴!G108:'終値履歴'!XFD108)+2,1,-1)</f>
        <v>0</v>
      </c>
      <c r="E108" s="15">
        <f ca="1">OFFSET(終値履歴!A108,0,COUNTA(終値履歴!G108:'終値履歴'!XFD108)+3,1,-1)</f>
        <v>0</v>
      </c>
      <c r="F108" s="15">
        <f ca="1">OFFSET(終値履歴!A108,0,COUNTA(終値履歴!G108:'終値履歴'!XFD108)+4,1,-1)</f>
        <v>0</v>
      </c>
      <c r="G108" s="15">
        <f ca="1">OFFSET(終値履歴!A108,0,COUNTA(終値履歴!G108:'終値履歴'!XFD108)+5,1,-1)</f>
        <v>0</v>
      </c>
      <c r="I108" s="118" t="e">
        <f t="shared" ca="1" si="141"/>
        <v>#DIV/0!</v>
      </c>
      <c r="J108" s="118" t="e">
        <f t="shared" ca="1" si="142"/>
        <v>#DIV/0!</v>
      </c>
      <c r="K108" s="118" t="e">
        <f t="shared" ca="1" si="143"/>
        <v>#DIV/0!</v>
      </c>
      <c r="M108" s="118" t="e">
        <f t="shared" ca="1" si="144"/>
        <v>#DIV/0!</v>
      </c>
      <c r="N108" s="118" t="e">
        <f t="shared" ca="1" si="145"/>
        <v>#DIV/0!</v>
      </c>
      <c r="P108" s="115">
        <f t="shared" ca="1" si="146"/>
        <v>0</v>
      </c>
      <c r="Q108" s="12" t="str">
        <f t="shared" ca="1" si="147"/>
        <v>割安</v>
      </c>
      <c r="R108" s="21">
        <f>終値履歴!D108</f>
        <v>0</v>
      </c>
      <c r="S108" s="325" t="e">
        <f t="shared" ca="1" si="148"/>
        <v>#DIV/0!</v>
      </c>
      <c r="T108" s="21">
        <f>終値履歴!E108</f>
        <v>0</v>
      </c>
      <c r="U108" s="325" t="e">
        <f t="shared" ca="1" si="149"/>
        <v>#DIV/0!</v>
      </c>
      <c r="W108" s="21">
        <f>終値履歴!F108</f>
        <v>0</v>
      </c>
      <c r="X108" s="325" t="e">
        <f t="shared" ca="1" si="150"/>
        <v>#DIV/0!</v>
      </c>
    </row>
    <row r="109" spans="2:24" x14ac:dyDescent="0.25">
      <c r="B109" s="107">
        <f>IPO監視一覧!B97</f>
        <v>0</v>
      </c>
      <c r="C109" s="122">
        <f>株価一覧!H108</f>
        <v>0</v>
      </c>
      <c r="D109" s="15">
        <f ca="1">OFFSET(終値履歴!A109,0,COUNTA(終値履歴!G109:'終値履歴'!XFD109)+2,1,-1)</f>
        <v>0</v>
      </c>
      <c r="E109" s="15">
        <f ca="1">OFFSET(終値履歴!A109,0,COUNTA(終値履歴!G109:'終値履歴'!XFD109)+3,1,-1)</f>
        <v>0</v>
      </c>
      <c r="F109" s="15">
        <f ca="1">OFFSET(終値履歴!A109,0,COUNTA(終値履歴!G109:'終値履歴'!XFD109)+4,1,-1)</f>
        <v>0</v>
      </c>
      <c r="G109" s="15">
        <f ca="1">OFFSET(終値履歴!A109,0,COUNTA(終値履歴!G109:'終値履歴'!XFD109)+5,1,-1)</f>
        <v>0</v>
      </c>
      <c r="I109" s="118" t="e">
        <f t="shared" ca="1" si="141"/>
        <v>#DIV/0!</v>
      </c>
      <c r="J109" s="118" t="e">
        <f t="shared" ca="1" si="142"/>
        <v>#DIV/0!</v>
      </c>
      <c r="K109" s="118" t="e">
        <f t="shared" ca="1" si="143"/>
        <v>#DIV/0!</v>
      </c>
      <c r="M109" s="118" t="e">
        <f t="shared" ca="1" si="144"/>
        <v>#DIV/0!</v>
      </c>
      <c r="N109" s="118" t="e">
        <f t="shared" ca="1" si="145"/>
        <v>#DIV/0!</v>
      </c>
      <c r="P109" s="115">
        <f t="shared" ca="1" si="146"/>
        <v>0</v>
      </c>
      <c r="Q109" s="12" t="str">
        <f t="shared" ca="1" si="147"/>
        <v>割安</v>
      </c>
      <c r="R109" s="21">
        <f>終値履歴!D109</f>
        <v>0</v>
      </c>
      <c r="S109" s="325" t="e">
        <f t="shared" ca="1" si="148"/>
        <v>#DIV/0!</v>
      </c>
      <c r="T109" s="21">
        <f>終値履歴!E109</f>
        <v>0</v>
      </c>
      <c r="U109" s="325" t="e">
        <f t="shared" ca="1" si="149"/>
        <v>#DIV/0!</v>
      </c>
      <c r="W109" s="21">
        <f>終値履歴!F109</f>
        <v>0</v>
      </c>
      <c r="X109" s="325" t="e">
        <f t="shared" ca="1" si="150"/>
        <v>#DIV/0!</v>
      </c>
    </row>
    <row r="110" spans="2:24" x14ac:dyDescent="0.25">
      <c r="B110" s="107">
        <f>IPO監視一覧!B98</f>
        <v>0</v>
      </c>
      <c r="C110" s="122">
        <f>株価一覧!H109</f>
        <v>0</v>
      </c>
      <c r="D110" s="15">
        <f ca="1">OFFSET(終値履歴!A110,0,COUNTA(終値履歴!G110:'終値履歴'!XFD110)+2,1,-1)</f>
        <v>0</v>
      </c>
      <c r="E110" s="15">
        <f ca="1">OFFSET(終値履歴!A110,0,COUNTA(終値履歴!G110:'終値履歴'!XFD110)+3,1,-1)</f>
        <v>0</v>
      </c>
      <c r="F110" s="15">
        <f ca="1">OFFSET(終値履歴!A110,0,COUNTA(終値履歴!G110:'終値履歴'!XFD110)+4,1,-1)</f>
        <v>0</v>
      </c>
      <c r="G110" s="15">
        <f ca="1">OFFSET(終値履歴!A110,0,COUNTA(終値履歴!G110:'終値履歴'!XFD110)+5,1,-1)</f>
        <v>0</v>
      </c>
      <c r="I110" s="118" t="e">
        <f t="shared" ca="1" si="141"/>
        <v>#DIV/0!</v>
      </c>
      <c r="J110" s="118" t="e">
        <f t="shared" ca="1" si="142"/>
        <v>#DIV/0!</v>
      </c>
      <c r="K110" s="118" t="e">
        <f t="shared" ca="1" si="143"/>
        <v>#DIV/0!</v>
      </c>
      <c r="M110" s="118" t="e">
        <f t="shared" ca="1" si="144"/>
        <v>#DIV/0!</v>
      </c>
      <c r="N110" s="118" t="e">
        <f t="shared" ca="1" si="145"/>
        <v>#DIV/0!</v>
      </c>
      <c r="P110" s="115">
        <f t="shared" ca="1" si="146"/>
        <v>0</v>
      </c>
      <c r="Q110" s="12" t="str">
        <f t="shared" ca="1" si="147"/>
        <v>割安</v>
      </c>
      <c r="R110" s="21">
        <f>終値履歴!D110</f>
        <v>0</v>
      </c>
      <c r="S110" s="325" t="e">
        <f t="shared" ca="1" si="148"/>
        <v>#DIV/0!</v>
      </c>
      <c r="T110" s="21">
        <f>終値履歴!E110</f>
        <v>0</v>
      </c>
      <c r="U110" s="325" t="e">
        <f t="shared" ca="1" si="149"/>
        <v>#DIV/0!</v>
      </c>
      <c r="W110" s="21">
        <f>終値履歴!F110</f>
        <v>0</v>
      </c>
      <c r="X110" s="325" t="e">
        <f t="shared" ca="1" si="150"/>
        <v>#DIV/0!</v>
      </c>
    </row>
    <row r="111" spans="2:24" x14ac:dyDescent="0.25">
      <c r="B111" s="107">
        <f>IPO監視一覧!B99</f>
        <v>0</v>
      </c>
      <c r="C111" s="122">
        <f>株価一覧!H110</f>
        <v>0</v>
      </c>
      <c r="D111" s="15">
        <f ca="1">OFFSET(終値履歴!A111,0,COUNTA(終値履歴!G111:'終値履歴'!XFD111)+2,1,-1)</f>
        <v>0</v>
      </c>
      <c r="E111" s="15">
        <f ca="1">OFFSET(終値履歴!A111,0,COUNTA(終値履歴!G111:'終値履歴'!XFD111)+3,1,-1)</f>
        <v>0</v>
      </c>
      <c r="F111" s="15">
        <f ca="1">OFFSET(終値履歴!A111,0,COUNTA(終値履歴!G111:'終値履歴'!XFD111)+4,1,-1)</f>
        <v>0</v>
      </c>
      <c r="G111" s="15">
        <f ca="1">OFFSET(終値履歴!A111,0,COUNTA(終値履歴!G111:'終値履歴'!XFD111)+5,1,-1)</f>
        <v>0</v>
      </c>
      <c r="I111" s="118" t="e">
        <f t="shared" ca="1" si="141"/>
        <v>#DIV/0!</v>
      </c>
      <c r="J111" s="118" t="e">
        <f t="shared" ca="1" si="142"/>
        <v>#DIV/0!</v>
      </c>
      <c r="K111" s="118" t="e">
        <f t="shared" ca="1" si="143"/>
        <v>#DIV/0!</v>
      </c>
      <c r="M111" s="118" t="e">
        <f t="shared" ca="1" si="144"/>
        <v>#DIV/0!</v>
      </c>
      <c r="N111" s="118" t="e">
        <f t="shared" ca="1" si="145"/>
        <v>#DIV/0!</v>
      </c>
      <c r="P111" s="115">
        <f t="shared" ca="1" si="146"/>
        <v>0</v>
      </c>
      <c r="Q111" s="12" t="str">
        <f t="shared" ca="1" si="147"/>
        <v>割安</v>
      </c>
      <c r="R111" s="21">
        <f>終値履歴!D111</f>
        <v>0</v>
      </c>
      <c r="S111" s="325" t="e">
        <f t="shared" ca="1" si="148"/>
        <v>#DIV/0!</v>
      </c>
      <c r="T111" s="21">
        <f>終値履歴!E111</f>
        <v>0</v>
      </c>
      <c r="U111" s="325" t="e">
        <f t="shared" ca="1" si="149"/>
        <v>#DIV/0!</v>
      </c>
      <c r="W111" s="21">
        <f>終値履歴!F111</f>
        <v>0</v>
      </c>
      <c r="X111" s="325" t="e">
        <f t="shared" ca="1" si="150"/>
        <v>#DIV/0!</v>
      </c>
    </row>
    <row r="112" spans="2:24" x14ac:dyDescent="0.25">
      <c r="B112" s="107">
        <f>IPO監視一覧!B100</f>
        <v>0</v>
      </c>
      <c r="C112" s="122">
        <f>株価一覧!H111</f>
        <v>0</v>
      </c>
      <c r="D112" s="15">
        <f ca="1">OFFSET(終値履歴!A112,0,COUNTA(終値履歴!G112:'終値履歴'!XFD112)+2,1,-1)</f>
        <v>0</v>
      </c>
      <c r="E112" s="15">
        <f ca="1">OFFSET(終値履歴!A112,0,COUNTA(終値履歴!G112:'終値履歴'!XFD112)+3,1,-1)</f>
        <v>0</v>
      </c>
      <c r="F112" s="15">
        <f ca="1">OFFSET(終値履歴!A112,0,COUNTA(終値履歴!G112:'終値履歴'!XFD112)+4,1,-1)</f>
        <v>0</v>
      </c>
      <c r="G112" s="15">
        <f ca="1">OFFSET(終値履歴!A112,0,COUNTA(終値履歴!G112:'終値履歴'!XFD112)+5,1,-1)</f>
        <v>0</v>
      </c>
      <c r="I112" s="118" t="e">
        <f t="shared" ca="1" si="141"/>
        <v>#DIV/0!</v>
      </c>
      <c r="J112" s="118" t="e">
        <f t="shared" ca="1" si="142"/>
        <v>#DIV/0!</v>
      </c>
      <c r="K112" s="118" t="e">
        <f t="shared" ca="1" si="143"/>
        <v>#DIV/0!</v>
      </c>
      <c r="M112" s="118" t="e">
        <f t="shared" ca="1" si="144"/>
        <v>#DIV/0!</v>
      </c>
      <c r="N112" s="118" t="e">
        <f t="shared" ca="1" si="145"/>
        <v>#DIV/0!</v>
      </c>
      <c r="P112" s="115">
        <f t="shared" ca="1" si="146"/>
        <v>0</v>
      </c>
      <c r="Q112" s="12" t="str">
        <f t="shared" ca="1" si="147"/>
        <v>割安</v>
      </c>
      <c r="R112" s="21">
        <f>終値履歴!D112</f>
        <v>0</v>
      </c>
      <c r="S112" s="325" t="e">
        <f t="shared" ca="1" si="148"/>
        <v>#DIV/0!</v>
      </c>
      <c r="T112" s="21">
        <f>終値履歴!E112</f>
        <v>0</v>
      </c>
      <c r="U112" s="325" t="e">
        <f t="shared" ca="1" si="149"/>
        <v>#DIV/0!</v>
      </c>
      <c r="W112" s="21">
        <f>終値履歴!F112</f>
        <v>0</v>
      </c>
      <c r="X112" s="325" t="e">
        <f t="shared" ca="1" si="150"/>
        <v>#DIV/0!</v>
      </c>
    </row>
    <row r="113" spans="2:24" x14ac:dyDescent="0.25">
      <c r="B113" s="107">
        <f>IPO監視一覧!B101</f>
        <v>0</v>
      </c>
      <c r="C113" s="122">
        <f>株価一覧!H112</f>
        <v>0</v>
      </c>
      <c r="D113" s="15">
        <f ca="1">OFFSET(終値履歴!A113,0,COUNTA(終値履歴!G113:'終値履歴'!XFD113)+2,1,-1)</f>
        <v>0</v>
      </c>
      <c r="E113" s="15">
        <f ca="1">OFFSET(終値履歴!A113,0,COUNTA(終値履歴!G113:'終値履歴'!XFD113)+3,1,-1)</f>
        <v>0</v>
      </c>
      <c r="F113" s="15">
        <f ca="1">OFFSET(終値履歴!A113,0,COUNTA(終値履歴!G113:'終値履歴'!XFD113)+4,1,-1)</f>
        <v>0</v>
      </c>
      <c r="G113" s="15">
        <f ca="1">OFFSET(終値履歴!A113,0,COUNTA(終値履歴!G113:'終値履歴'!XFD113)+5,1,-1)</f>
        <v>0</v>
      </c>
      <c r="I113" s="118" t="e">
        <f t="shared" ca="1" si="141"/>
        <v>#DIV/0!</v>
      </c>
      <c r="J113" s="118" t="e">
        <f t="shared" ca="1" si="142"/>
        <v>#DIV/0!</v>
      </c>
      <c r="K113" s="118" t="e">
        <f t="shared" ca="1" si="143"/>
        <v>#DIV/0!</v>
      </c>
      <c r="M113" s="118" t="e">
        <f t="shared" ca="1" si="144"/>
        <v>#DIV/0!</v>
      </c>
      <c r="N113" s="118" t="e">
        <f t="shared" ca="1" si="145"/>
        <v>#DIV/0!</v>
      </c>
      <c r="P113" s="115">
        <f t="shared" ca="1" si="146"/>
        <v>0</v>
      </c>
      <c r="Q113" s="12" t="str">
        <f t="shared" ca="1" si="147"/>
        <v>割安</v>
      </c>
      <c r="R113" s="21">
        <f>終値履歴!D113</f>
        <v>0</v>
      </c>
      <c r="S113" s="325" t="e">
        <f t="shared" ca="1" si="148"/>
        <v>#DIV/0!</v>
      </c>
      <c r="T113" s="21">
        <f>終値履歴!E113</f>
        <v>0</v>
      </c>
      <c r="U113" s="325" t="e">
        <f t="shared" ca="1" si="149"/>
        <v>#DIV/0!</v>
      </c>
      <c r="W113" s="21">
        <f>終値履歴!F113</f>
        <v>0</v>
      </c>
      <c r="X113" s="325" t="e">
        <f t="shared" ca="1" si="150"/>
        <v>#DIV/0!</v>
      </c>
    </row>
    <row r="114" spans="2:24" x14ac:dyDescent="0.25">
      <c r="B114" s="107">
        <f>IPO監視一覧!B102</f>
        <v>0</v>
      </c>
      <c r="C114" s="122">
        <f>株価一覧!H113</f>
        <v>0</v>
      </c>
      <c r="D114" s="15">
        <f ca="1">OFFSET(終値履歴!A114,0,COUNTA(終値履歴!G114:'終値履歴'!XFD114)+2,1,-1)</f>
        <v>0</v>
      </c>
      <c r="E114" s="15">
        <f ca="1">OFFSET(終値履歴!A114,0,COUNTA(終値履歴!G114:'終値履歴'!XFD114)+3,1,-1)</f>
        <v>0</v>
      </c>
      <c r="F114" s="15">
        <f ca="1">OFFSET(終値履歴!A114,0,COUNTA(終値履歴!G114:'終値履歴'!XFD114)+4,1,-1)</f>
        <v>0</v>
      </c>
      <c r="G114" s="15">
        <f ca="1">OFFSET(終値履歴!A114,0,COUNTA(終値履歴!G114:'終値履歴'!XFD114)+5,1,-1)</f>
        <v>0</v>
      </c>
      <c r="I114" s="118" t="e">
        <f t="shared" ca="1" si="141"/>
        <v>#DIV/0!</v>
      </c>
      <c r="J114" s="118" t="e">
        <f t="shared" ca="1" si="142"/>
        <v>#DIV/0!</v>
      </c>
      <c r="K114" s="118" t="e">
        <f t="shared" ca="1" si="143"/>
        <v>#DIV/0!</v>
      </c>
      <c r="M114" s="118" t="e">
        <f t="shared" ca="1" si="144"/>
        <v>#DIV/0!</v>
      </c>
      <c r="N114" s="118" t="e">
        <f t="shared" ca="1" si="145"/>
        <v>#DIV/0!</v>
      </c>
      <c r="P114" s="115">
        <f t="shared" ca="1" si="146"/>
        <v>0</v>
      </c>
      <c r="Q114" s="12" t="str">
        <f t="shared" ca="1" si="147"/>
        <v>割安</v>
      </c>
      <c r="R114" s="21">
        <f>終値履歴!D114</f>
        <v>0</v>
      </c>
      <c r="S114" s="325" t="e">
        <f t="shared" ca="1" si="148"/>
        <v>#DIV/0!</v>
      </c>
      <c r="T114" s="21">
        <f>終値履歴!E114</f>
        <v>0</v>
      </c>
      <c r="U114" s="325" t="e">
        <f t="shared" ca="1" si="149"/>
        <v>#DIV/0!</v>
      </c>
      <c r="W114" s="21">
        <f>終値履歴!F114</f>
        <v>0</v>
      </c>
      <c r="X114" s="325" t="e">
        <f t="shared" ca="1" si="150"/>
        <v>#DIV/0!</v>
      </c>
    </row>
    <row r="115" spans="2:24" x14ac:dyDescent="0.25">
      <c r="B115" s="107">
        <f>IPO監視一覧!B103</f>
        <v>0</v>
      </c>
      <c r="C115" s="122">
        <f>株価一覧!H114</f>
        <v>0</v>
      </c>
      <c r="D115" s="15">
        <f ca="1">OFFSET(終値履歴!A115,0,COUNTA(終値履歴!G115:'終値履歴'!XFD115)+2,1,-1)</f>
        <v>0</v>
      </c>
      <c r="E115" s="15">
        <f ca="1">OFFSET(終値履歴!A115,0,COUNTA(終値履歴!G115:'終値履歴'!XFD115)+3,1,-1)</f>
        <v>0</v>
      </c>
      <c r="F115" s="15">
        <f ca="1">OFFSET(終値履歴!A115,0,COUNTA(終値履歴!G115:'終値履歴'!XFD115)+4,1,-1)</f>
        <v>0</v>
      </c>
      <c r="G115" s="15">
        <f ca="1">OFFSET(終値履歴!A115,0,COUNTA(終値履歴!G115:'終値履歴'!XFD115)+5,1,-1)</f>
        <v>0</v>
      </c>
      <c r="I115" s="118" t="e">
        <f t="shared" ca="1" si="141"/>
        <v>#DIV/0!</v>
      </c>
      <c r="J115" s="118" t="e">
        <f t="shared" ca="1" si="142"/>
        <v>#DIV/0!</v>
      </c>
      <c r="K115" s="118" t="e">
        <f t="shared" ca="1" si="143"/>
        <v>#DIV/0!</v>
      </c>
      <c r="M115" s="118" t="e">
        <f t="shared" ca="1" si="144"/>
        <v>#DIV/0!</v>
      </c>
      <c r="N115" s="118" t="e">
        <f t="shared" ca="1" si="145"/>
        <v>#DIV/0!</v>
      </c>
      <c r="P115" s="115">
        <f t="shared" ca="1" si="146"/>
        <v>0</v>
      </c>
      <c r="Q115" s="12" t="str">
        <f t="shared" ca="1" si="147"/>
        <v>割安</v>
      </c>
      <c r="R115" s="21">
        <f>終値履歴!D115</f>
        <v>0</v>
      </c>
      <c r="S115" s="325" t="e">
        <f t="shared" ca="1" si="148"/>
        <v>#DIV/0!</v>
      </c>
      <c r="T115" s="21">
        <f>終値履歴!E115</f>
        <v>0</v>
      </c>
      <c r="U115" s="325" t="e">
        <f t="shared" ca="1" si="149"/>
        <v>#DIV/0!</v>
      </c>
      <c r="W115" s="21">
        <f>終値履歴!F115</f>
        <v>0</v>
      </c>
      <c r="X115" s="325" t="e">
        <f t="shared" ca="1" si="150"/>
        <v>#DIV/0!</v>
      </c>
    </row>
    <row r="116" spans="2:24" x14ac:dyDescent="0.25">
      <c r="B116" s="107">
        <f>IPO監視一覧!B104</f>
        <v>0</v>
      </c>
      <c r="C116" s="122">
        <f>株価一覧!H115</f>
        <v>0</v>
      </c>
      <c r="D116" s="15">
        <f ca="1">OFFSET(終値履歴!A116,0,COUNTA(終値履歴!G116:'終値履歴'!XFD116)+2,1,-1)</f>
        <v>0</v>
      </c>
      <c r="E116" s="15">
        <f ca="1">OFFSET(終値履歴!A116,0,COUNTA(終値履歴!G116:'終値履歴'!XFD116)+3,1,-1)</f>
        <v>0</v>
      </c>
      <c r="F116" s="15">
        <f ca="1">OFFSET(終値履歴!A116,0,COUNTA(終値履歴!G116:'終値履歴'!XFD116)+4,1,-1)</f>
        <v>0</v>
      </c>
      <c r="G116" s="15">
        <f ca="1">OFFSET(終値履歴!A116,0,COUNTA(終値履歴!G116:'終値履歴'!XFD116)+5,1,-1)</f>
        <v>0</v>
      </c>
      <c r="I116" s="118" t="e">
        <f t="shared" ca="1" si="141"/>
        <v>#DIV/0!</v>
      </c>
      <c r="J116" s="118" t="e">
        <f t="shared" ca="1" si="142"/>
        <v>#DIV/0!</v>
      </c>
      <c r="K116" s="118" t="e">
        <f t="shared" ca="1" si="143"/>
        <v>#DIV/0!</v>
      </c>
      <c r="M116" s="118" t="e">
        <f t="shared" ca="1" si="144"/>
        <v>#DIV/0!</v>
      </c>
      <c r="N116" s="118" t="e">
        <f t="shared" ca="1" si="145"/>
        <v>#DIV/0!</v>
      </c>
      <c r="P116" s="115">
        <f t="shared" ca="1" si="146"/>
        <v>0</v>
      </c>
      <c r="Q116" s="12" t="str">
        <f t="shared" ca="1" si="147"/>
        <v>割安</v>
      </c>
      <c r="R116" s="21">
        <f>終値履歴!D116</f>
        <v>0</v>
      </c>
      <c r="S116" s="325" t="e">
        <f t="shared" ca="1" si="148"/>
        <v>#DIV/0!</v>
      </c>
      <c r="T116" s="21">
        <f>終値履歴!E116</f>
        <v>0</v>
      </c>
      <c r="U116" s="325" t="e">
        <f t="shared" ca="1" si="149"/>
        <v>#DIV/0!</v>
      </c>
      <c r="W116" s="21">
        <f>終値履歴!F116</f>
        <v>0</v>
      </c>
      <c r="X116" s="325" t="e">
        <f t="shared" ca="1" si="150"/>
        <v>#DIV/0!</v>
      </c>
    </row>
    <row r="117" spans="2:24" x14ac:dyDescent="0.25">
      <c r="B117" s="107">
        <f>IPO監視一覧!B105</f>
        <v>0</v>
      </c>
      <c r="C117" s="122">
        <f>株価一覧!H116</f>
        <v>0</v>
      </c>
      <c r="D117" s="15">
        <f ca="1">OFFSET(終値履歴!A117,0,COUNTA(終値履歴!G117:'終値履歴'!XFD117)+2,1,-1)</f>
        <v>0</v>
      </c>
      <c r="E117" s="15">
        <f ca="1">OFFSET(終値履歴!A117,0,COUNTA(終値履歴!G117:'終値履歴'!XFD117)+3,1,-1)</f>
        <v>0</v>
      </c>
      <c r="F117" s="15">
        <f ca="1">OFFSET(終値履歴!A117,0,COUNTA(終値履歴!G117:'終値履歴'!XFD117)+4,1,-1)</f>
        <v>0</v>
      </c>
      <c r="G117" s="15">
        <f ca="1">OFFSET(終値履歴!A117,0,COUNTA(終値履歴!G117:'終値履歴'!XFD117)+5,1,-1)</f>
        <v>0</v>
      </c>
      <c r="I117" s="118" t="e">
        <f t="shared" ca="1" si="141"/>
        <v>#DIV/0!</v>
      </c>
      <c r="J117" s="118" t="e">
        <f t="shared" ca="1" si="142"/>
        <v>#DIV/0!</v>
      </c>
      <c r="K117" s="118" t="e">
        <f t="shared" ca="1" si="143"/>
        <v>#DIV/0!</v>
      </c>
      <c r="M117" s="118" t="e">
        <f t="shared" ca="1" si="144"/>
        <v>#DIV/0!</v>
      </c>
      <c r="N117" s="118" t="e">
        <f t="shared" ca="1" si="145"/>
        <v>#DIV/0!</v>
      </c>
      <c r="P117" s="115">
        <f t="shared" ca="1" si="146"/>
        <v>0</v>
      </c>
      <c r="Q117" s="12" t="str">
        <f t="shared" ca="1" si="147"/>
        <v>割安</v>
      </c>
      <c r="R117" s="21">
        <f>終値履歴!D117</f>
        <v>0</v>
      </c>
      <c r="S117" s="325" t="e">
        <f t="shared" ca="1" si="148"/>
        <v>#DIV/0!</v>
      </c>
      <c r="T117" s="21">
        <f>終値履歴!E117</f>
        <v>0</v>
      </c>
      <c r="U117" s="325" t="e">
        <f t="shared" ca="1" si="149"/>
        <v>#DIV/0!</v>
      </c>
      <c r="W117" s="21">
        <f>終値履歴!F117</f>
        <v>0</v>
      </c>
      <c r="X117" s="325" t="e">
        <f t="shared" ca="1" si="150"/>
        <v>#DIV/0!</v>
      </c>
    </row>
    <row r="118" spans="2:24" x14ac:dyDescent="0.25">
      <c r="B118" s="107">
        <f>IPO監視一覧!B106</f>
        <v>0</v>
      </c>
      <c r="C118" s="122">
        <f>株価一覧!H117</f>
        <v>0</v>
      </c>
      <c r="D118" s="15">
        <f ca="1">OFFSET(終値履歴!A118,0,COUNTA(終値履歴!G118:'終値履歴'!XFD118)+2,1,-1)</f>
        <v>0</v>
      </c>
      <c r="E118" s="15">
        <f ca="1">OFFSET(終値履歴!A118,0,COUNTA(終値履歴!G118:'終値履歴'!XFD118)+3,1,-1)</f>
        <v>0</v>
      </c>
      <c r="F118" s="15">
        <f ca="1">OFFSET(終値履歴!A118,0,COUNTA(終値履歴!G118:'終値履歴'!XFD118)+4,1,-1)</f>
        <v>0</v>
      </c>
      <c r="G118" s="15">
        <f ca="1">OFFSET(終値履歴!A118,0,COUNTA(終値履歴!G118:'終値履歴'!XFD118)+5,1,-1)</f>
        <v>0</v>
      </c>
      <c r="I118" s="118" t="e">
        <f t="shared" ca="1" si="141"/>
        <v>#DIV/0!</v>
      </c>
      <c r="J118" s="118" t="e">
        <f t="shared" ca="1" si="142"/>
        <v>#DIV/0!</v>
      </c>
      <c r="K118" s="118" t="e">
        <f t="shared" ca="1" si="143"/>
        <v>#DIV/0!</v>
      </c>
      <c r="M118" s="118" t="e">
        <f t="shared" ca="1" si="144"/>
        <v>#DIV/0!</v>
      </c>
      <c r="N118" s="118" t="e">
        <f t="shared" ca="1" si="145"/>
        <v>#DIV/0!</v>
      </c>
      <c r="P118" s="115">
        <f t="shared" ca="1" si="146"/>
        <v>0</v>
      </c>
      <c r="Q118" s="12" t="str">
        <f t="shared" ca="1" si="147"/>
        <v>割安</v>
      </c>
      <c r="R118" s="21">
        <f>終値履歴!D118</f>
        <v>0</v>
      </c>
      <c r="S118" s="325" t="e">
        <f t="shared" ca="1" si="148"/>
        <v>#DIV/0!</v>
      </c>
      <c r="T118" s="21">
        <f>終値履歴!E118</f>
        <v>0</v>
      </c>
      <c r="U118" s="325" t="e">
        <f t="shared" ca="1" si="149"/>
        <v>#DIV/0!</v>
      </c>
      <c r="W118" s="21">
        <f>終値履歴!F118</f>
        <v>0</v>
      </c>
      <c r="X118" s="325" t="e">
        <f t="shared" ca="1" si="150"/>
        <v>#DIV/0!</v>
      </c>
    </row>
    <row r="119" spans="2:24" x14ac:dyDescent="0.25">
      <c r="B119" s="107">
        <f>IPO監視一覧!B107</f>
        <v>0</v>
      </c>
      <c r="C119" s="122">
        <f>株価一覧!H118</f>
        <v>0</v>
      </c>
      <c r="D119" s="15">
        <f ca="1">OFFSET(終値履歴!A119,0,COUNTA(終値履歴!G119:'終値履歴'!XFD119)+2,1,-1)</f>
        <v>0</v>
      </c>
      <c r="E119" s="15">
        <f ca="1">OFFSET(終値履歴!A119,0,COUNTA(終値履歴!G119:'終値履歴'!XFD119)+3,1,-1)</f>
        <v>0</v>
      </c>
      <c r="F119" s="15">
        <f ca="1">OFFSET(終値履歴!A119,0,COUNTA(終値履歴!G119:'終値履歴'!XFD119)+4,1,-1)</f>
        <v>0</v>
      </c>
      <c r="G119" s="15">
        <f ca="1">OFFSET(終値履歴!A119,0,COUNTA(終値履歴!G119:'終値履歴'!XFD119)+5,1,-1)</f>
        <v>0</v>
      </c>
      <c r="I119" s="118" t="e">
        <f t="shared" ca="1" si="141"/>
        <v>#DIV/0!</v>
      </c>
      <c r="J119" s="118" t="e">
        <f t="shared" ca="1" si="142"/>
        <v>#DIV/0!</v>
      </c>
      <c r="K119" s="118" t="e">
        <f t="shared" ca="1" si="143"/>
        <v>#DIV/0!</v>
      </c>
      <c r="M119" s="118" t="e">
        <f t="shared" ca="1" si="144"/>
        <v>#DIV/0!</v>
      </c>
      <c r="N119" s="118" t="e">
        <f t="shared" ca="1" si="145"/>
        <v>#DIV/0!</v>
      </c>
      <c r="P119" s="115">
        <f t="shared" ca="1" si="146"/>
        <v>0</v>
      </c>
      <c r="Q119" s="12" t="str">
        <f t="shared" ca="1" si="147"/>
        <v>割安</v>
      </c>
      <c r="R119" s="21">
        <f>終値履歴!D119</f>
        <v>0</v>
      </c>
      <c r="S119" s="325" t="e">
        <f t="shared" ca="1" si="148"/>
        <v>#DIV/0!</v>
      </c>
      <c r="T119" s="21">
        <f>終値履歴!E119</f>
        <v>0</v>
      </c>
      <c r="U119" s="325" t="e">
        <f t="shared" ca="1" si="149"/>
        <v>#DIV/0!</v>
      </c>
      <c r="W119" s="21">
        <f>終値履歴!F119</f>
        <v>0</v>
      </c>
      <c r="X119" s="325" t="e">
        <f t="shared" ca="1" si="150"/>
        <v>#DIV/0!</v>
      </c>
    </row>
    <row r="120" spans="2:24" x14ac:dyDescent="0.25">
      <c r="B120" s="107">
        <f>IPO監視一覧!B108</f>
        <v>0</v>
      </c>
      <c r="C120" s="122">
        <f>株価一覧!H119</f>
        <v>0</v>
      </c>
      <c r="D120" s="15">
        <f ca="1">OFFSET(終値履歴!A120,0,COUNTA(終値履歴!G120:'終値履歴'!XFD120)+2,1,-1)</f>
        <v>0</v>
      </c>
      <c r="E120" s="15">
        <f ca="1">OFFSET(終値履歴!A120,0,COUNTA(終値履歴!G120:'終値履歴'!XFD120)+3,1,-1)</f>
        <v>0</v>
      </c>
      <c r="F120" s="15">
        <f ca="1">OFFSET(終値履歴!A120,0,COUNTA(終値履歴!G120:'終値履歴'!XFD120)+4,1,-1)</f>
        <v>0</v>
      </c>
      <c r="G120" s="15">
        <f ca="1">OFFSET(終値履歴!A120,0,COUNTA(終値履歴!G120:'終値履歴'!XFD120)+5,1,-1)</f>
        <v>0</v>
      </c>
      <c r="I120" s="118" t="e">
        <f t="shared" ca="1" si="141"/>
        <v>#DIV/0!</v>
      </c>
      <c r="J120" s="118" t="e">
        <f t="shared" ca="1" si="142"/>
        <v>#DIV/0!</v>
      </c>
      <c r="K120" s="118" t="e">
        <f t="shared" ca="1" si="143"/>
        <v>#DIV/0!</v>
      </c>
      <c r="M120" s="118" t="e">
        <f t="shared" ca="1" si="144"/>
        <v>#DIV/0!</v>
      </c>
      <c r="N120" s="118" t="e">
        <f t="shared" ca="1" si="145"/>
        <v>#DIV/0!</v>
      </c>
      <c r="P120" s="115">
        <f t="shared" ca="1" si="146"/>
        <v>0</v>
      </c>
      <c r="Q120" s="12" t="str">
        <f t="shared" ca="1" si="147"/>
        <v>割安</v>
      </c>
      <c r="R120" s="21">
        <f>終値履歴!D120</f>
        <v>0</v>
      </c>
      <c r="S120" s="325" t="e">
        <f t="shared" ca="1" si="148"/>
        <v>#DIV/0!</v>
      </c>
      <c r="T120" s="21">
        <f>終値履歴!E120</f>
        <v>0</v>
      </c>
      <c r="U120" s="325" t="e">
        <f t="shared" ca="1" si="149"/>
        <v>#DIV/0!</v>
      </c>
      <c r="W120" s="21">
        <f>終値履歴!F120</f>
        <v>0</v>
      </c>
      <c r="X120" s="325" t="e">
        <f t="shared" ca="1" si="150"/>
        <v>#DIV/0!</v>
      </c>
    </row>
    <row r="121" spans="2:24" x14ac:dyDescent="0.25">
      <c r="B121" s="107">
        <f>IPO監視一覧!B109</f>
        <v>0</v>
      </c>
      <c r="C121" s="122">
        <f>株価一覧!H120</f>
        <v>0</v>
      </c>
      <c r="D121" s="15">
        <f ca="1">OFFSET(終値履歴!A121,0,COUNTA(終値履歴!G121:'終値履歴'!XFD121)+2,1,-1)</f>
        <v>0</v>
      </c>
      <c r="E121" s="15">
        <f ca="1">OFFSET(終値履歴!A121,0,COUNTA(終値履歴!G121:'終値履歴'!XFD121)+3,1,-1)</f>
        <v>0</v>
      </c>
      <c r="F121" s="15">
        <f ca="1">OFFSET(終値履歴!A121,0,COUNTA(終値履歴!G121:'終値履歴'!XFD121)+4,1,-1)</f>
        <v>0</v>
      </c>
      <c r="G121" s="15">
        <f ca="1">OFFSET(終値履歴!A121,0,COUNTA(終値履歴!G121:'終値履歴'!XFD121)+5,1,-1)</f>
        <v>0</v>
      </c>
      <c r="I121" s="118" t="e">
        <f t="shared" ca="1" si="141"/>
        <v>#DIV/0!</v>
      </c>
      <c r="J121" s="118" t="e">
        <f t="shared" ca="1" si="142"/>
        <v>#DIV/0!</v>
      </c>
      <c r="K121" s="118" t="e">
        <f t="shared" ca="1" si="143"/>
        <v>#DIV/0!</v>
      </c>
      <c r="M121" s="118" t="e">
        <f t="shared" ca="1" si="144"/>
        <v>#DIV/0!</v>
      </c>
      <c r="N121" s="118" t="e">
        <f t="shared" ca="1" si="145"/>
        <v>#DIV/0!</v>
      </c>
      <c r="P121" s="115">
        <f t="shared" ca="1" si="146"/>
        <v>0</v>
      </c>
      <c r="Q121" s="12" t="str">
        <f t="shared" ca="1" si="147"/>
        <v>割安</v>
      </c>
      <c r="R121" s="21">
        <f>終値履歴!D121</f>
        <v>0</v>
      </c>
      <c r="S121" s="325" t="e">
        <f t="shared" ca="1" si="148"/>
        <v>#DIV/0!</v>
      </c>
      <c r="T121" s="21">
        <f>終値履歴!E121</f>
        <v>0</v>
      </c>
      <c r="U121" s="325" t="e">
        <f t="shared" ca="1" si="149"/>
        <v>#DIV/0!</v>
      </c>
      <c r="W121" s="21">
        <f>終値履歴!F121</f>
        <v>0</v>
      </c>
      <c r="X121" s="325" t="e">
        <f t="shared" ca="1" si="150"/>
        <v>#DIV/0!</v>
      </c>
    </row>
    <row r="122" spans="2:24" x14ac:dyDescent="0.25">
      <c r="B122" s="107">
        <f>IPO監視一覧!B110</f>
        <v>0</v>
      </c>
      <c r="C122" s="122">
        <f>株価一覧!H121</f>
        <v>0</v>
      </c>
      <c r="D122" s="15">
        <f ca="1">OFFSET(終値履歴!A122,0,COUNTA(終値履歴!G122:'終値履歴'!XFD122)+2,1,-1)</f>
        <v>0</v>
      </c>
      <c r="E122" s="15">
        <f ca="1">OFFSET(終値履歴!A122,0,COUNTA(終値履歴!G122:'終値履歴'!XFD122)+3,1,-1)</f>
        <v>0</v>
      </c>
      <c r="F122" s="15">
        <f ca="1">OFFSET(終値履歴!A122,0,COUNTA(終値履歴!G122:'終値履歴'!XFD122)+4,1,-1)</f>
        <v>0</v>
      </c>
      <c r="G122" s="15">
        <f ca="1">OFFSET(終値履歴!A122,0,COUNTA(終値履歴!G122:'終値履歴'!XFD122)+5,1,-1)</f>
        <v>0</v>
      </c>
      <c r="I122" s="118" t="e">
        <f t="shared" ca="1" si="141"/>
        <v>#DIV/0!</v>
      </c>
      <c r="J122" s="118" t="e">
        <f t="shared" ca="1" si="142"/>
        <v>#DIV/0!</v>
      </c>
      <c r="K122" s="118" t="e">
        <f t="shared" ca="1" si="143"/>
        <v>#DIV/0!</v>
      </c>
      <c r="M122" s="118" t="e">
        <f t="shared" ca="1" si="144"/>
        <v>#DIV/0!</v>
      </c>
      <c r="N122" s="118" t="e">
        <f t="shared" ca="1" si="145"/>
        <v>#DIV/0!</v>
      </c>
      <c r="P122" s="115">
        <f t="shared" ca="1" si="146"/>
        <v>0</v>
      </c>
      <c r="Q122" s="12" t="str">
        <f t="shared" ca="1" si="147"/>
        <v>割安</v>
      </c>
      <c r="R122" s="21">
        <f>終値履歴!D122</f>
        <v>0</v>
      </c>
      <c r="S122" s="325" t="e">
        <f t="shared" ca="1" si="148"/>
        <v>#DIV/0!</v>
      </c>
      <c r="T122" s="21">
        <f>終値履歴!E122</f>
        <v>0</v>
      </c>
      <c r="U122" s="325" t="e">
        <f t="shared" ca="1" si="149"/>
        <v>#DIV/0!</v>
      </c>
      <c r="W122" s="21">
        <f>終値履歴!F122</f>
        <v>0</v>
      </c>
      <c r="X122" s="325" t="e">
        <f t="shared" ca="1" si="150"/>
        <v>#DIV/0!</v>
      </c>
    </row>
    <row r="123" spans="2:24" x14ac:dyDescent="0.25">
      <c r="B123" s="107">
        <f>IPO監視一覧!B111</f>
        <v>0</v>
      </c>
      <c r="C123" s="122">
        <f>株価一覧!H122</f>
        <v>0</v>
      </c>
      <c r="D123" s="15">
        <f ca="1">OFFSET(終値履歴!A123,0,COUNTA(終値履歴!G123:'終値履歴'!XFD123)+2,1,-1)</f>
        <v>0</v>
      </c>
      <c r="E123" s="15">
        <f ca="1">OFFSET(終値履歴!A123,0,COUNTA(終値履歴!G123:'終値履歴'!XFD123)+3,1,-1)</f>
        <v>0</v>
      </c>
      <c r="F123" s="15">
        <f ca="1">OFFSET(終値履歴!A123,0,COUNTA(終値履歴!G123:'終値履歴'!XFD123)+4,1,-1)</f>
        <v>0</v>
      </c>
      <c r="G123" s="15">
        <f ca="1">OFFSET(終値履歴!A123,0,COUNTA(終値履歴!G123:'終値履歴'!XFD123)+5,1,-1)</f>
        <v>0</v>
      </c>
      <c r="I123" s="118" t="e">
        <f t="shared" ca="1" si="141"/>
        <v>#DIV/0!</v>
      </c>
      <c r="J123" s="118" t="e">
        <f t="shared" ca="1" si="142"/>
        <v>#DIV/0!</v>
      </c>
      <c r="K123" s="118" t="e">
        <f t="shared" ca="1" si="143"/>
        <v>#DIV/0!</v>
      </c>
      <c r="M123" s="118" t="e">
        <f t="shared" ca="1" si="144"/>
        <v>#DIV/0!</v>
      </c>
      <c r="N123" s="118" t="e">
        <f t="shared" ca="1" si="145"/>
        <v>#DIV/0!</v>
      </c>
      <c r="P123" s="115">
        <f t="shared" ca="1" si="146"/>
        <v>0</v>
      </c>
      <c r="Q123" s="12" t="str">
        <f t="shared" ca="1" si="147"/>
        <v>割安</v>
      </c>
      <c r="R123" s="21">
        <f>終値履歴!D123</f>
        <v>0</v>
      </c>
      <c r="S123" s="325" t="e">
        <f t="shared" ca="1" si="148"/>
        <v>#DIV/0!</v>
      </c>
      <c r="T123" s="21">
        <f>終値履歴!E123</f>
        <v>0</v>
      </c>
      <c r="U123" s="325" t="e">
        <f t="shared" ca="1" si="149"/>
        <v>#DIV/0!</v>
      </c>
      <c r="W123" s="21">
        <f>終値履歴!F123</f>
        <v>0</v>
      </c>
      <c r="X123" s="325" t="e">
        <f t="shared" ca="1" si="150"/>
        <v>#DIV/0!</v>
      </c>
    </row>
    <row r="124" spans="2:24" x14ac:dyDescent="0.25">
      <c r="B124" s="107">
        <f>IPO監視一覧!B112</f>
        <v>0</v>
      </c>
      <c r="C124" s="122">
        <f>株価一覧!H123</f>
        <v>0</v>
      </c>
      <c r="D124" s="15">
        <f ca="1">OFFSET(終値履歴!A124,0,COUNTA(終値履歴!G124:'終値履歴'!XFD124)+2,1,-1)</f>
        <v>0</v>
      </c>
      <c r="E124" s="15">
        <f ca="1">OFFSET(終値履歴!A124,0,COUNTA(終値履歴!G124:'終値履歴'!XFD124)+3,1,-1)</f>
        <v>0</v>
      </c>
      <c r="F124" s="15">
        <f ca="1">OFFSET(終値履歴!A124,0,COUNTA(終値履歴!G124:'終値履歴'!XFD124)+4,1,-1)</f>
        <v>0</v>
      </c>
      <c r="G124" s="15">
        <f ca="1">OFFSET(終値履歴!A124,0,COUNTA(終値履歴!G124:'終値履歴'!XFD124)+5,1,-1)</f>
        <v>0</v>
      </c>
      <c r="I124" s="118" t="e">
        <f t="shared" ca="1" si="141"/>
        <v>#DIV/0!</v>
      </c>
      <c r="J124" s="118" t="e">
        <f t="shared" ca="1" si="142"/>
        <v>#DIV/0!</v>
      </c>
      <c r="K124" s="118" t="e">
        <f t="shared" ca="1" si="143"/>
        <v>#DIV/0!</v>
      </c>
      <c r="M124" s="118" t="e">
        <f t="shared" ca="1" si="144"/>
        <v>#DIV/0!</v>
      </c>
      <c r="N124" s="118" t="e">
        <f t="shared" ca="1" si="145"/>
        <v>#DIV/0!</v>
      </c>
      <c r="P124" s="115">
        <f t="shared" ca="1" si="146"/>
        <v>0</v>
      </c>
      <c r="Q124" s="12" t="str">
        <f t="shared" ca="1" si="147"/>
        <v>割安</v>
      </c>
      <c r="R124" s="21">
        <f>終値履歴!D124</f>
        <v>0</v>
      </c>
      <c r="S124" s="325" t="e">
        <f t="shared" ca="1" si="148"/>
        <v>#DIV/0!</v>
      </c>
      <c r="T124" s="21">
        <f>終値履歴!E124</f>
        <v>0</v>
      </c>
      <c r="U124" s="325" t="e">
        <f t="shared" ca="1" si="149"/>
        <v>#DIV/0!</v>
      </c>
      <c r="W124" s="21">
        <f>終値履歴!F124</f>
        <v>0</v>
      </c>
      <c r="X124" s="325" t="e">
        <f t="shared" ca="1" si="150"/>
        <v>#DIV/0!</v>
      </c>
    </row>
    <row r="125" spans="2:24" x14ac:dyDescent="0.25">
      <c r="B125" s="107">
        <f>IPO監視一覧!B113</f>
        <v>0</v>
      </c>
      <c r="C125" s="122">
        <f>株価一覧!H124</f>
        <v>0</v>
      </c>
      <c r="D125" s="15">
        <f ca="1">OFFSET(終値履歴!A125,0,COUNTA(終値履歴!G125:'終値履歴'!XFD125)+2,1,-1)</f>
        <v>0</v>
      </c>
      <c r="E125" s="15">
        <f ca="1">OFFSET(終値履歴!A125,0,COUNTA(終値履歴!G125:'終値履歴'!XFD125)+3,1,-1)</f>
        <v>0</v>
      </c>
      <c r="F125" s="15">
        <f ca="1">OFFSET(終値履歴!A125,0,COUNTA(終値履歴!G125:'終値履歴'!XFD125)+4,1,-1)</f>
        <v>0</v>
      </c>
      <c r="G125" s="15">
        <f ca="1">OFFSET(終値履歴!A125,0,COUNTA(終値履歴!G125:'終値履歴'!XFD125)+5,1,-1)</f>
        <v>0</v>
      </c>
      <c r="I125" s="118" t="e">
        <f t="shared" ca="1" si="141"/>
        <v>#DIV/0!</v>
      </c>
      <c r="J125" s="118" t="e">
        <f t="shared" ca="1" si="142"/>
        <v>#DIV/0!</v>
      </c>
      <c r="K125" s="118" t="e">
        <f t="shared" ca="1" si="143"/>
        <v>#DIV/0!</v>
      </c>
      <c r="M125" s="118" t="e">
        <f t="shared" ca="1" si="144"/>
        <v>#DIV/0!</v>
      </c>
      <c r="N125" s="118" t="e">
        <f t="shared" ca="1" si="145"/>
        <v>#DIV/0!</v>
      </c>
      <c r="P125" s="115">
        <f t="shared" ca="1" si="146"/>
        <v>0</v>
      </c>
      <c r="Q125" s="12" t="str">
        <f t="shared" ca="1" si="147"/>
        <v>割安</v>
      </c>
      <c r="R125" s="21">
        <f>終値履歴!D125</f>
        <v>0</v>
      </c>
      <c r="S125" s="325" t="e">
        <f t="shared" ca="1" si="148"/>
        <v>#DIV/0!</v>
      </c>
      <c r="T125" s="21">
        <f>終値履歴!E125</f>
        <v>0</v>
      </c>
      <c r="U125" s="325" t="e">
        <f t="shared" ca="1" si="149"/>
        <v>#DIV/0!</v>
      </c>
      <c r="W125" s="21">
        <f>終値履歴!F125</f>
        <v>0</v>
      </c>
      <c r="X125" s="325" t="e">
        <f t="shared" ca="1" si="150"/>
        <v>#DIV/0!</v>
      </c>
    </row>
    <row r="126" spans="2:24" x14ac:dyDescent="0.25">
      <c r="B126" s="107">
        <f>IPO監視一覧!B114</f>
        <v>0</v>
      </c>
      <c r="C126" s="122">
        <f>株価一覧!H125</f>
        <v>0</v>
      </c>
      <c r="D126" s="15">
        <f ca="1">OFFSET(終値履歴!A126,0,COUNTA(終値履歴!G126:'終値履歴'!XFD126)+2,1,-1)</f>
        <v>0</v>
      </c>
      <c r="E126" s="15">
        <f ca="1">OFFSET(終値履歴!A126,0,COUNTA(終値履歴!G126:'終値履歴'!XFD126)+3,1,-1)</f>
        <v>0</v>
      </c>
      <c r="F126" s="15">
        <f ca="1">OFFSET(終値履歴!A126,0,COUNTA(終値履歴!G126:'終値履歴'!XFD126)+4,1,-1)</f>
        <v>0</v>
      </c>
      <c r="G126" s="15">
        <f ca="1">OFFSET(終値履歴!A126,0,COUNTA(終値履歴!G126:'終値履歴'!XFD126)+5,1,-1)</f>
        <v>0</v>
      </c>
      <c r="I126" s="118" t="e">
        <f t="shared" ca="1" si="141"/>
        <v>#DIV/0!</v>
      </c>
      <c r="J126" s="118" t="e">
        <f t="shared" ca="1" si="142"/>
        <v>#DIV/0!</v>
      </c>
      <c r="K126" s="118" t="e">
        <f t="shared" ca="1" si="143"/>
        <v>#DIV/0!</v>
      </c>
      <c r="M126" s="118" t="e">
        <f t="shared" ca="1" si="144"/>
        <v>#DIV/0!</v>
      </c>
      <c r="N126" s="118" t="e">
        <f t="shared" ca="1" si="145"/>
        <v>#DIV/0!</v>
      </c>
      <c r="P126" s="115">
        <f t="shared" ca="1" si="146"/>
        <v>0</v>
      </c>
      <c r="Q126" s="12" t="str">
        <f t="shared" ca="1" si="147"/>
        <v>割安</v>
      </c>
      <c r="R126" s="21">
        <f>終値履歴!D126</f>
        <v>0</v>
      </c>
      <c r="S126" s="325" t="e">
        <f t="shared" ca="1" si="148"/>
        <v>#DIV/0!</v>
      </c>
      <c r="T126" s="21">
        <f>終値履歴!E126</f>
        <v>0</v>
      </c>
      <c r="U126" s="325" t="e">
        <f t="shared" ca="1" si="149"/>
        <v>#DIV/0!</v>
      </c>
      <c r="W126" s="21">
        <f>終値履歴!F126</f>
        <v>0</v>
      </c>
      <c r="X126" s="325" t="e">
        <f t="shared" ca="1" si="150"/>
        <v>#DIV/0!</v>
      </c>
    </row>
    <row r="127" spans="2:24" x14ac:dyDescent="0.25">
      <c r="B127" s="107">
        <f>IPO監視一覧!B115</f>
        <v>0</v>
      </c>
      <c r="C127" s="122">
        <f>株価一覧!H126</f>
        <v>0</v>
      </c>
      <c r="D127" s="15">
        <f ca="1">OFFSET(終値履歴!A127,0,COUNTA(終値履歴!G127:'終値履歴'!XFD127)+2,1,-1)</f>
        <v>0</v>
      </c>
      <c r="E127" s="15">
        <f ca="1">OFFSET(終値履歴!A127,0,COUNTA(終値履歴!G127:'終値履歴'!XFD127)+3,1,-1)</f>
        <v>0</v>
      </c>
      <c r="F127" s="15">
        <f ca="1">OFFSET(終値履歴!A127,0,COUNTA(終値履歴!G127:'終値履歴'!XFD127)+4,1,-1)</f>
        <v>0</v>
      </c>
      <c r="G127" s="15">
        <f ca="1">OFFSET(終値履歴!A127,0,COUNTA(終値履歴!G127:'終値履歴'!XFD127)+5,1,-1)</f>
        <v>0</v>
      </c>
      <c r="I127" s="118" t="e">
        <f t="shared" ca="1" si="141"/>
        <v>#DIV/0!</v>
      </c>
      <c r="J127" s="118" t="e">
        <f t="shared" ca="1" si="142"/>
        <v>#DIV/0!</v>
      </c>
      <c r="K127" s="118" t="e">
        <f t="shared" ca="1" si="143"/>
        <v>#DIV/0!</v>
      </c>
      <c r="M127" s="118" t="e">
        <f t="shared" ca="1" si="144"/>
        <v>#DIV/0!</v>
      </c>
      <c r="N127" s="118" t="e">
        <f t="shared" ca="1" si="145"/>
        <v>#DIV/0!</v>
      </c>
      <c r="P127" s="115">
        <f t="shared" ca="1" si="146"/>
        <v>0</v>
      </c>
      <c r="Q127" s="12" t="str">
        <f t="shared" ca="1" si="147"/>
        <v>割安</v>
      </c>
      <c r="R127" s="21">
        <f>終値履歴!D127</f>
        <v>0</v>
      </c>
      <c r="S127" s="325" t="e">
        <f t="shared" ca="1" si="148"/>
        <v>#DIV/0!</v>
      </c>
      <c r="T127" s="21">
        <f>終値履歴!E127</f>
        <v>0</v>
      </c>
      <c r="U127" s="325" t="e">
        <f t="shared" ca="1" si="149"/>
        <v>#DIV/0!</v>
      </c>
      <c r="W127" s="21">
        <f>終値履歴!F127</f>
        <v>0</v>
      </c>
      <c r="X127" s="325" t="e">
        <f t="shared" ca="1" si="150"/>
        <v>#DIV/0!</v>
      </c>
    </row>
    <row r="128" spans="2:24" x14ac:dyDescent="0.25">
      <c r="B128" s="107">
        <f>IPO監視一覧!B116</f>
        <v>0</v>
      </c>
      <c r="C128" s="122">
        <f>株価一覧!H127</f>
        <v>0</v>
      </c>
      <c r="D128" s="15">
        <f ca="1">OFFSET(終値履歴!A128,0,COUNTA(終値履歴!G128:'終値履歴'!XFD128)+2,1,-1)</f>
        <v>0</v>
      </c>
      <c r="E128" s="15">
        <f ca="1">OFFSET(終値履歴!A128,0,COUNTA(終値履歴!G128:'終値履歴'!XFD128)+3,1,-1)</f>
        <v>0</v>
      </c>
      <c r="F128" s="15">
        <f ca="1">OFFSET(終値履歴!A128,0,COUNTA(終値履歴!G128:'終値履歴'!XFD128)+4,1,-1)</f>
        <v>0</v>
      </c>
      <c r="G128" s="15">
        <f ca="1">OFFSET(終値履歴!A128,0,COUNTA(終値履歴!G128:'終値履歴'!XFD128)+5,1,-1)</f>
        <v>0</v>
      </c>
      <c r="I128" s="118" t="e">
        <f t="shared" ca="1" si="141"/>
        <v>#DIV/0!</v>
      </c>
      <c r="J128" s="118" t="e">
        <f t="shared" ca="1" si="142"/>
        <v>#DIV/0!</v>
      </c>
      <c r="K128" s="118" t="e">
        <f t="shared" ca="1" si="143"/>
        <v>#DIV/0!</v>
      </c>
      <c r="M128" s="118" t="e">
        <f t="shared" ca="1" si="144"/>
        <v>#DIV/0!</v>
      </c>
      <c r="N128" s="118" t="e">
        <f t="shared" ca="1" si="145"/>
        <v>#DIV/0!</v>
      </c>
      <c r="P128" s="115">
        <f t="shared" ca="1" si="146"/>
        <v>0</v>
      </c>
      <c r="Q128" s="12" t="str">
        <f t="shared" ca="1" si="147"/>
        <v>割安</v>
      </c>
      <c r="R128" s="21">
        <f>終値履歴!D128</f>
        <v>0</v>
      </c>
      <c r="S128" s="325" t="e">
        <f t="shared" ca="1" si="148"/>
        <v>#DIV/0!</v>
      </c>
      <c r="T128" s="21">
        <f>終値履歴!E128</f>
        <v>0</v>
      </c>
      <c r="U128" s="325" t="e">
        <f t="shared" ca="1" si="149"/>
        <v>#DIV/0!</v>
      </c>
      <c r="W128" s="21">
        <f>終値履歴!F128</f>
        <v>0</v>
      </c>
      <c r="X128" s="325" t="e">
        <f t="shared" ca="1" si="150"/>
        <v>#DIV/0!</v>
      </c>
    </row>
    <row r="129" spans="2:24" x14ac:dyDescent="0.25">
      <c r="B129" s="107">
        <f>IPO監視一覧!B117</f>
        <v>0</v>
      </c>
      <c r="C129" s="122">
        <f>株価一覧!H128</f>
        <v>0</v>
      </c>
      <c r="D129" s="15">
        <f ca="1">OFFSET(終値履歴!A129,0,COUNTA(終値履歴!G129:'終値履歴'!XFD129)+2,1,-1)</f>
        <v>0</v>
      </c>
      <c r="E129" s="15">
        <f ca="1">OFFSET(終値履歴!A129,0,COUNTA(終値履歴!G129:'終値履歴'!XFD129)+3,1,-1)</f>
        <v>0</v>
      </c>
      <c r="F129" s="15">
        <f ca="1">OFFSET(終値履歴!A129,0,COUNTA(終値履歴!G129:'終値履歴'!XFD129)+4,1,-1)</f>
        <v>0</v>
      </c>
      <c r="G129" s="15">
        <f ca="1">OFFSET(終値履歴!A129,0,COUNTA(終値履歴!G129:'終値履歴'!XFD129)+5,1,-1)</f>
        <v>0</v>
      </c>
      <c r="I129" s="118" t="e">
        <f t="shared" ca="1" si="141"/>
        <v>#DIV/0!</v>
      </c>
      <c r="J129" s="118" t="e">
        <f t="shared" ca="1" si="142"/>
        <v>#DIV/0!</v>
      </c>
      <c r="K129" s="118" t="e">
        <f t="shared" ca="1" si="143"/>
        <v>#DIV/0!</v>
      </c>
      <c r="M129" s="118" t="e">
        <f t="shared" ca="1" si="144"/>
        <v>#DIV/0!</v>
      </c>
      <c r="N129" s="118" t="e">
        <f t="shared" ca="1" si="145"/>
        <v>#DIV/0!</v>
      </c>
      <c r="P129" s="115">
        <f t="shared" ca="1" si="146"/>
        <v>0</v>
      </c>
      <c r="Q129" s="12" t="str">
        <f t="shared" ca="1" si="147"/>
        <v>割安</v>
      </c>
      <c r="R129" s="21">
        <f>終値履歴!D129</f>
        <v>0</v>
      </c>
      <c r="S129" s="325" t="e">
        <f t="shared" ca="1" si="148"/>
        <v>#DIV/0!</v>
      </c>
      <c r="T129" s="21">
        <f>終値履歴!E129</f>
        <v>0</v>
      </c>
      <c r="U129" s="325" t="e">
        <f t="shared" ca="1" si="149"/>
        <v>#DIV/0!</v>
      </c>
      <c r="W129" s="21">
        <f>終値履歴!F129</f>
        <v>0</v>
      </c>
      <c r="X129" s="325" t="e">
        <f t="shared" ca="1" si="150"/>
        <v>#DIV/0!</v>
      </c>
    </row>
  </sheetData>
  <mergeCells count="2">
    <mergeCell ref="I1:K1"/>
    <mergeCell ref="M1:N1"/>
  </mergeCells>
  <phoneticPr fontId="2"/>
  <conditionalFormatting sqref="O2">
    <cfRule type="cellIs" dxfId="108" priority="121" operator="lessThan">
      <formula>-0.1</formula>
    </cfRule>
  </conditionalFormatting>
  <conditionalFormatting sqref="O2">
    <cfRule type="cellIs" dxfId="107" priority="120" operator="lessThan">
      <formula>-0.1</formula>
    </cfRule>
  </conditionalFormatting>
  <conditionalFormatting sqref="I3:N35 I40:N1048576">
    <cfRule type="cellIs" dxfId="106" priority="119" operator="lessThan">
      <formula>-0.07</formula>
    </cfRule>
  </conditionalFormatting>
  <conditionalFormatting sqref="I3:N35 I40:N1048576">
    <cfRule type="cellIs" dxfId="105" priority="118" operator="greaterThan">
      <formula>0</formula>
    </cfRule>
  </conditionalFormatting>
  <conditionalFormatting sqref="C2:C35 C130:C1048576">
    <cfRule type="cellIs" dxfId="104" priority="116" operator="lessThan">
      <formula>100000</formula>
    </cfRule>
    <cfRule type="cellIs" dxfId="103" priority="117" operator="lessThan">
      <formula>1000000</formula>
    </cfRule>
  </conditionalFormatting>
  <conditionalFormatting sqref="P3:P35 P40:P1048576">
    <cfRule type="cellIs" dxfId="102" priority="115" operator="greaterThan">
      <formula>0</formula>
    </cfRule>
  </conditionalFormatting>
  <conditionalFormatting sqref="P1:P35 P40:P1048576">
    <cfRule type="cellIs" dxfId="101" priority="114" operator="lessThan">
      <formula>0</formula>
    </cfRule>
  </conditionalFormatting>
  <conditionalFormatting sqref="U1:U35 U40:U1048576">
    <cfRule type="cellIs" dxfId="100" priority="112" operator="greaterThan">
      <formula>0.04</formula>
    </cfRule>
    <cfRule type="cellIs" dxfId="99" priority="113" operator="lessThan">
      <formula>0</formula>
    </cfRule>
  </conditionalFormatting>
  <conditionalFormatting sqref="B3:B35 B40:B49 B51:B1048576">
    <cfRule type="expression" dxfId="98" priority="110">
      <formula>$U3&gt;=0.1</formula>
    </cfRule>
    <cfRule type="expression" dxfId="97" priority="111">
      <formula>$G3&gt;$T3</formula>
    </cfRule>
  </conditionalFormatting>
  <conditionalFormatting sqref="X3:X35 X40:X1048576">
    <cfRule type="cellIs" dxfId="96" priority="108" operator="greaterThan">
      <formula>0.1</formula>
    </cfRule>
  </conditionalFormatting>
  <conditionalFormatting sqref="I36:N36">
    <cfRule type="cellIs" dxfId="95" priority="107" operator="lessThan">
      <formula>-0.07</formula>
    </cfRule>
  </conditionalFormatting>
  <conditionalFormatting sqref="I36:N36">
    <cfRule type="cellIs" dxfId="94" priority="106" operator="greaterThan">
      <formula>0</formula>
    </cfRule>
  </conditionalFormatting>
  <conditionalFormatting sqref="C36">
    <cfRule type="cellIs" dxfId="93" priority="104" operator="lessThan">
      <formula>100000</formula>
    </cfRule>
    <cfRule type="cellIs" dxfId="92" priority="105" operator="lessThan">
      <formula>1000000</formula>
    </cfRule>
  </conditionalFormatting>
  <conditionalFormatting sqref="P36">
    <cfRule type="cellIs" dxfId="91" priority="103" operator="greaterThan">
      <formula>0</formula>
    </cfRule>
  </conditionalFormatting>
  <conditionalFormatting sqref="P36">
    <cfRule type="cellIs" dxfId="90" priority="102" operator="lessThan">
      <formula>0</formula>
    </cfRule>
  </conditionalFormatting>
  <conditionalFormatting sqref="U36">
    <cfRule type="cellIs" dxfId="89" priority="100" operator="greaterThan">
      <formula>0.04</formula>
    </cfRule>
    <cfRule type="cellIs" dxfId="88" priority="101" operator="lessThan">
      <formula>0</formula>
    </cfRule>
  </conditionalFormatting>
  <conditionalFormatting sqref="B36">
    <cfRule type="expression" dxfId="87" priority="98">
      <formula>$U36&gt;=0.1</formula>
    </cfRule>
    <cfRule type="expression" dxfId="86" priority="99">
      <formula>$G36&gt;$T36</formula>
    </cfRule>
  </conditionalFormatting>
  <conditionalFormatting sqref="X36">
    <cfRule type="cellIs" dxfId="85" priority="97" operator="greaterThan">
      <formula>0.1</formula>
    </cfRule>
  </conditionalFormatting>
  <conditionalFormatting sqref="B3:Q36 T3:XFD36 B130:Q1048576 B40:B49 D40:Q49 T40:XFD49 T130:XFD1048576 H51:H129 B51:B129 D50:G129 Y51:XFD129 I50:Q129 T50:X129">
    <cfRule type="expression" dxfId="84" priority="96">
      <formula>CELL("ROW")=ROW()</formula>
    </cfRule>
  </conditionalFormatting>
  <conditionalFormatting sqref="D11 H1:H36 L1:L36 O1:O36 V1:V36 Y1:Y36 Q1:Q36 A1:A36 A40:A43 Y40:Y49 A46:A48 H40:H49 A51:A1048576 H51:H1048576 Y51:Y1048576 O40:O1048576 L40:L1048576 Q40:Q1048576 V40:V1048576">
    <cfRule type="expression" dxfId="83" priority="95">
      <formula>CELL("ROW")=ROW()</formula>
    </cfRule>
  </conditionalFormatting>
  <conditionalFormatting sqref="S1:S36 S40:S1048576">
    <cfRule type="cellIs" dxfId="82" priority="93" operator="greaterThan">
      <formula>0.04</formula>
    </cfRule>
    <cfRule type="cellIs" dxfId="81" priority="94" operator="lessThan">
      <formula>0</formula>
    </cfRule>
  </conditionalFormatting>
  <conditionalFormatting sqref="S36">
    <cfRule type="cellIs" dxfId="80" priority="91" operator="greaterThan">
      <formula>0.04</formula>
    </cfRule>
    <cfRule type="cellIs" dxfId="79" priority="92" operator="lessThan">
      <formula>0</formula>
    </cfRule>
  </conditionalFormatting>
  <conditionalFormatting sqref="R3:S36 R40:S1048576">
    <cfRule type="expression" dxfId="78" priority="90">
      <formula>CELL("ROW")=ROW()</formula>
    </cfRule>
  </conditionalFormatting>
  <conditionalFormatting sqref="Q1:Q36 Q40:Q1048576">
    <cfRule type="cellIs" dxfId="77" priority="88" operator="equal">
      <formula>"割安"</formula>
    </cfRule>
    <cfRule type="cellIs" dxfId="76" priority="89" operator="equal">
      <formula>"普通"</formula>
    </cfRule>
  </conditionalFormatting>
  <conditionalFormatting sqref="I37:N37">
    <cfRule type="cellIs" dxfId="75" priority="87" operator="lessThan">
      <formula>-0.07</formula>
    </cfRule>
  </conditionalFormatting>
  <conditionalFormatting sqref="I37:N37">
    <cfRule type="cellIs" dxfId="74" priority="86" operator="greaterThan">
      <formula>0</formula>
    </cfRule>
  </conditionalFormatting>
  <conditionalFormatting sqref="C37">
    <cfRule type="cellIs" dxfId="73" priority="84" operator="lessThan">
      <formula>100000</formula>
    </cfRule>
    <cfRule type="cellIs" dxfId="72" priority="85" operator="lessThan">
      <formula>1000000</formula>
    </cfRule>
  </conditionalFormatting>
  <conditionalFormatting sqref="P37">
    <cfRule type="cellIs" dxfId="71" priority="83" operator="greaterThan">
      <formula>0</formula>
    </cfRule>
  </conditionalFormatting>
  <conditionalFormatting sqref="P37">
    <cfRule type="cellIs" dxfId="70" priority="82" operator="lessThan">
      <formula>0</formula>
    </cfRule>
  </conditionalFormatting>
  <conditionalFormatting sqref="U37">
    <cfRule type="cellIs" dxfId="69" priority="80" operator="greaterThan">
      <formula>0.04</formula>
    </cfRule>
    <cfRule type="cellIs" dxfId="68" priority="81" operator="lessThan">
      <formula>0</formula>
    </cfRule>
  </conditionalFormatting>
  <conditionalFormatting sqref="B37">
    <cfRule type="expression" dxfId="67" priority="78">
      <formula>$U37&gt;=0.1</formula>
    </cfRule>
    <cfRule type="expression" dxfId="66" priority="79">
      <formula>$G37&gt;$T37</formula>
    </cfRule>
  </conditionalFormatting>
  <conditionalFormatting sqref="X37">
    <cfRule type="cellIs" dxfId="65" priority="77" operator="greaterThan">
      <formula>0.1</formula>
    </cfRule>
  </conditionalFormatting>
  <conditionalFormatting sqref="B37:Q37 T37:XFD37">
    <cfRule type="expression" dxfId="64" priority="76">
      <formula>CELL("ROW")=ROW()</formula>
    </cfRule>
  </conditionalFormatting>
  <conditionalFormatting sqref="H37 L37 O37 V37 Y37 Q37">
    <cfRule type="expression" dxfId="63" priority="75">
      <formula>CELL("ROW")=ROW()</formula>
    </cfRule>
  </conditionalFormatting>
  <conditionalFormatting sqref="S37">
    <cfRule type="cellIs" dxfId="62" priority="73" operator="greaterThan">
      <formula>0.04</formula>
    </cfRule>
    <cfRule type="cellIs" dxfId="61" priority="74" operator="lessThan">
      <formula>0</formula>
    </cfRule>
  </conditionalFormatting>
  <conditionalFormatting sqref="S37">
    <cfRule type="cellIs" dxfId="60" priority="71" operator="greaterThan">
      <formula>0.04</formula>
    </cfRule>
    <cfRule type="cellIs" dxfId="59" priority="72" operator="lessThan">
      <formula>0</formula>
    </cfRule>
  </conditionalFormatting>
  <conditionalFormatting sqref="R37:S37">
    <cfRule type="expression" dxfId="58" priority="70">
      <formula>CELL("ROW")=ROW()</formula>
    </cfRule>
  </conditionalFormatting>
  <conditionalFormatting sqref="Q37">
    <cfRule type="cellIs" dxfId="57" priority="68" operator="equal">
      <formula>"割安"</formula>
    </cfRule>
    <cfRule type="cellIs" dxfId="56" priority="69" operator="equal">
      <formula>"普通"</formula>
    </cfRule>
  </conditionalFormatting>
  <conditionalFormatting sqref="I38:N38">
    <cfRule type="cellIs" dxfId="55" priority="67" operator="lessThan">
      <formula>-0.07</formula>
    </cfRule>
  </conditionalFormatting>
  <conditionalFormatting sqref="I38:N38">
    <cfRule type="cellIs" dxfId="54" priority="66" operator="greaterThan">
      <formula>0</formula>
    </cfRule>
  </conditionalFormatting>
  <conditionalFormatting sqref="C38">
    <cfRule type="cellIs" dxfId="53" priority="64" operator="lessThan">
      <formula>100000</formula>
    </cfRule>
    <cfRule type="cellIs" dxfId="52" priority="65" operator="lessThan">
      <formula>1000000</formula>
    </cfRule>
  </conditionalFormatting>
  <conditionalFormatting sqref="P38">
    <cfRule type="cellIs" dxfId="51" priority="63" operator="greaterThan">
      <formula>0</formula>
    </cfRule>
  </conditionalFormatting>
  <conditionalFormatting sqref="P38">
    <cfRule type="cellIs" dxfId="50" priority="62" operator="lessThan">
      <formula>0</formula>
    </cfRule>
  </conditionalFormatting>
  <conditionalFormatting sqref="U38">
    <cfRule type="cellIs" dxfId="49" priority="60" operator="greaterThan">
      <formula>0.04</formula>
    </cfRule>
    <cfRule type="cellIs" dxfId="48" priority="61" operator="lessThan">
      <formula>0</formula>
    </cfRule>
  </conditionalFormatting>
  <conditionalFormatting sqref="B38">
    <cfRule type="expression" dxfId="47" priority="58">
      <formula>$U38&gt;=0.1</formula>
    </cfRule>
    <cfRule type="expression" dxfId="46" priority="59">
      <formula>$G38&gt;$T38</formula>
    </cfRule>
  </conditionalFormatting>
  <conditionalFormatting sqref="X38">
    <cfRule type="cellIs" dxfId="45" priority="57" operator="greaterThan">
      <formula>0.1</formula>
    </cfRule>
  </conditionalFormatting>
  <conditionalFormatting sqref="B38:Q38 T38:XFD38">
    <cfRule type="expression" dxfId="44" priority="56">
      <formula>CELL("ROW")=ROW()</formula>
    </cfRule>
  </conditionalFormatting>
  <conditionalFormatting sqref="H38 L38 O38 V38 Y38 Q38">
    <cfRule type="expression" dxfId="43" priority="55">
      <formula>CELL("ROW")=ROW()</formula>
    </cfRule>
  </conditionalFormatting>
  <conditionalFormatting sqref="S38">
    <cfRule type="cellIs" dxfId="42" priority="53" operator="greaterThan">
      <formula>0.04</formula>
    </cfRule>
    <cfRule type="cellIs" dxfId="41" priority="54" operator="lessThan">
      <formula>0</formula>
    </cfRule>
  </conditionalFormatting>
  <conditionalFormatting sqref="S38">
    <cfRule type="cellIs" dxfId="40" priority="51" operator="greaterThan">
      <formula>0.04</formula>
    </cfRule>
    <cfRule type="cellIs" dxfId="39" priority="52" operator="lessThan">
      <formula>0</formula>
    </cfRule>
  </conditionalFormatting>
  <conditionalFormatting sqref="R38:S38">
    <cfRule type="expression" dxfId="38" priority="50">
      <formula>CELL("ROW")=ROW()</formula>
    </cfRule>
  </conditionalFormatting>
  <conditionalFormatting sqref="Q38">
    <cfRule type="cellIs" dxfId="37" priority="48" operator="equal">
      <formula>"割安"</formula>
    </cfRule>
    <cfRule type="cellIs" dxfId="36" priority="49" operator="equal">
      <formula>"普通"</formula>
    </cfRule>
  </conditionalFormatting>
  <conditionalFormatting sqref="A37">
    <cfRule type="expression" dxfId="35" priority="47">
      <formula>CELL("ROW")=ROW()</formula>
    </cfRule>
  </conditionalFormatting>
  <conditionalFormatting sqref="A38">
    <cfRule type="expression" dxfId="34" priority="46">
      <formula>CELL("ROW")=ROW()</formula>
    </cfRule>
  </conditionalFormatting>
  <conditionalFormatting sqref="I39:N39">
    <cfRule type="cellIs" dxfId="33" priority="45" operator="lessThan">
      <formula>-0.07</formula>
    </cfRule>
  </conditionalFormatting>
  <conditionalFormatting sqref="I39:N39">
    <cfRule type="cellIs" dxfId="32" priority="44" operator="greaterThan">
      <formula>0</formula>
    </cfRule>
  </conditionalFormatting>
  <conditionalFormatting sqref="C39:C49">
    <cfRule type="cellIs" dxfId="31" priority="42" operator="lessThan">
      <formula>100000</formula>
    </cfRule>
    <cfRule type="cellIs" dxfId="30" priority="43" operator="lessThan">
      <formula>1000000</formula>
    </cfRule>
  </conditionalFormatting>
  <conditionalFormatting sqref="P39">
    <cfRule type="cellIs" dxfId="29" priority="41" operator="greaterThan">
      <formula>0</formula>
    </cfRule>
  </conditionalFormatting>
  <conditionalFormatting sqref="P39">
    <cfRule type="cellIs" dxfId="28" priority="40" operator="lessThan">
      <formula>0</formula>
    </cfRule>
  </conditionalFormatting>
  <conditionalFormatting sqref="U39">
    <cfRule type="cellIs" dxfId="27" priority="38" operator="greaterThan">
      <formula>0.04</formula>
    </cfRule>
    <cfRule type="cellIs" dxfId="26" priority="39" operator="lessThan">
      <formula>0</formula>
    </cfRule>
  </conditionalFormatting>
  <conditionalFormatting sqref="B39">
    <cfRule type="expression" dxfId="25" priority="36">
      <formula>$U39&gt;=0.1</formula>
    </cfRule>
    <cfRule type="expression" dxfId="24" priority="37">
      <formula>$G39&gt;$T39</formula>
    </cfRule>
  </conditionalFormatting>
  <conditionalFormatting sqref="X39">
    <cfRule type="cellIs" dxfId="23" priority="35" operator="greaterThan">
      <formula>0.1</formula>
    </cfRule>
  </conditionalFormatting>
  <conditionalFormatting sqref="B39:Q39 T39:XFD39 C40:C49">
    <cfRule type="expression" dxfId="22" priority="34">
      <formula>CELL("ROW")=ROW()</formula>
    </cfRule>
  </conditionalFormatting>
  <conditionalFormatting sqref="H39 L39 O39 V39 Y39 Q39">
    <cfRule type="expression" dxfId="21" priority="33">
      <formula>CELL("ROW")=ROW()</formula>
    </cfRule>
  </conditionalFormatting>
  <conditionalFormatting sqref="S39">
    <cfRule type="cellIs" dxfId="20" priority="31" operator="greaterThan">
      <formula>0.04</formula>
    </cfRule>
    <cfRule type="cellIs" dxfId="19" priority="32" operator="lessThan">
      <formula>0</formula>
    </cfRule>
  </conditionalFormatting>
  <conditionalFormatting sqref="S39">
    <cfRule type="cellIs" dxfId="18" priority="29" operator="greaterThan">
      <formula>0.04</formula>
    </cfRule>
    <cfRule type="cellIs" dxfId="17" priority="30" operator="lessThan">
      <formula>0</formula>
    </cfRule>
  </conditionalFormatting>
  <conditionalFormatting sqref="R39:S39">
    <cfRule type="expression" dxfId="16" priority="28">
      <formula>CELL("ROW")=ROW()</formula>
    </cfRule>
  </conditionalFormatting>
  <conditionalFormatting sqref="Q39">
    <cfRule type="cellIs" dxfId="15" priority="26" operator="equal">
      <formula>"割安"</formula>
    </cfRule>
    <cfRule type="cellIs" dxfId="14" priority="27" operator="equal">
      <formula>"普通"</formula>
    </cfRule>
  </conditionalFormatting>
  <conditionalFormatting sqref="A39">
    <cfRule type="expression" dxfId="13" priority="25">
      <formula>CELL("ROW")=ROW()</formula>
    </cfRule>
  </conditionalFormatting>
  <conditionalFormatting sqref="A44">
    <cfRule type="expression" dxfId="12" priority="24">
      <formula>CELL("ROW")=ROW()</formula>
    </cfRule>
  </conditionalFormatting>
  <conditionalFormatting sqref="A45">
    <cfRule type="expression" dxfId="11" priority="23">
      <formula>CELL("ROW")=ROW()</formula>
    </cfRule>
  </conditionalFormatting>
  <conditionalFormatting sqref="A49">
    <cfRule type="expression" dxfId="10" priority="21">
      <formula>CELL("ROW")=ROW()</formula>
    </cfRule>
  </conditionalFormatting>
  <conditionalFormatting sqref="B50">
    <cfRule type="expression" dxfId="9" priority="13">
      <formula>$U50&gt;=0.1</formula>
    </cfRule>
    <cfRule type="expression" dxfId="8" priority="14">
      <formula>$G50&gt;$T50</formula>
    </cfRule>
  </conditionalFormatting>
  <conditionalFormatting sqref="B50 H50 Y50:XFD50">
    <cfRule type="expression" dxfId="7" priority="11">
      <formula>CELL("ROW")=ROW()</formula>
    </cfRule>
  </conditionalFormatting>
  <conditionalFormatting sqref="Y50 H50">
    <cfRule type="expression" dxfId="6" priority="10">
      <formula>CELL("ROW")=ROW()</formula>
    </cfRule>
  </conditionalFormatting>
  <conditionalFormatting sqref="C50:C129">
    <cfRule type="cellIs" dxfId="5" priority="3" operator="lessThan">
      <formula>100000</formula>
    </cfRule>
    <cfRule type="cellIs" dxfId="4" priority="4" operator="lessThan">
      <formula>1000000</formula>
    </cfRule>
  </conditionalFormatting>
  <conditionalFormatting sqref="C50:C129">
    <cfRule type="expression" dxfId="3" priority="2">
      <formula>CELL("ROW")=ROW()</formula>
    </cfRule>
  </conditionalFormatting>
  <conditionalFormatting sqref="A50">
    <cfRule type="expression" dxfId="2"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59999389629810485"/>
  </sheetPr>
  <dimension ref="A1:EW77"/>
  <sheetViews>
    <sheetView zoomScale="70" zoomScaleNormal="70" workbookViewId="0">
      <pane xSplit="6" ySplit="2" topLeftCell="EQ36" activePane="bottomRight" state="frozen"/>
      <selection activeCell="F62" sqref="F62"/>
      <selection pane="topRight" activeCell="F62" sqref="F62"/>
      <selection pane="bottomLeft" activeCell="F62" sqref="F62"/>
      <selection pane="bottomRight" activeCell="EV18" sqref="EV18"/>
    </sheetView>
  </sheetViews>
  <sheetFormatPr defaultColWidth="8" defaultRowHeight="15.75" x14ac:dyDescent="0.25"/>
  <cols>
    <col min="1" max="1" width="4.33203125" style="362" customWidth="1"/>
    <col min="2" max="2" width="26.21875" style="31" bestFit="1" customWidth="1"/>
    <col min="3" max="3" width="15" style="335" customWidth="1"/>
    <col min="4" max="4" width="15" style="336" customWidth="1"/>
    <col min="5" max="5" width="13.77734375" style="336" customWidth="1"/>
    <col min="6" max="6" width="13.77734375" style="337" customWidth="1"/>
    <col min="7" max="8" width="13.21875" style="129" hidden="1" customWidth="1"/>
    <col min="9" max="15" width="11.88671875" style="129" hidden="1" customWidth="1"/>
    <col min="16" max="20" width="13.21875" style="129" hidden="1" customWidth="1"/>
    <col min="21" max="23" width="12.21875" style="129" hidden="1" customWidth="1"/>
    <col min="24" max="30" width="13.21875" style="129" hidden="1" customWidth="1"/>
    <col min="31" max="33" width="11.88671875" style="129" hidden="1" customWidth="1"/>
    <col min="34" max="43" width="13.21875" style="129" hidden="1" customWidth="1"/>
    <col min="44" max="48" width="13.33203125" style="129" hidden="1" customWidth="1"/>
    <col min="49" max="50" width="10.88671875" style="129" hidden="1" customWidth="1"/>
    <col min="51" max="51" width="12" style="129" hidden="1" customWidth="1"/>
    <col min="52" max="52" width="10.77734375" style="129" hidden="1" customWidth="1"/>
    <col min="53" max="54" width="12" style="129" hidden="1" customWidth="1"/>
    <col min="55" max="68" width="11.5546875" style="129" hidden="1" customWidth="1"/>
    <col min="69" max="75" width="10.21875" style="129" hidden="1" customWidth="1"/>
    <col min="76" max="146" width="11.44140625" style="129" hidden="1" customWidth="1"/>
    <col min="147" max="151" width="11.44140625" style="129" customWidth="1"/>
    <col min="152" max="153" width="13" style="129" bestFit="1" customWidth="1"/>
    <col min="154" max="16384" width="8" style="129"/>
  </cols>
  <sheetData>
    <row r="1" spans="1:153" s="53" customFormat="1" x14ac:dyDescent="0.25">
      <c r="A1" s="12" t="s">
        <v>151</v>
      </c>
      <c r="B1" s="246" t="s">
        <v>152</v>
      </c>
      <c r="C1" s="351"/>
      <c r="D1" s="352"/>
      <c r="E1" s="352"/>
      <c r="F1" s="353"/>
      <c r="G1" s="12">
        <v>0</v>
      </c>
      <c r="H1" s="53">
        <v>0</v>
      </c>
      <c r="I1" s="53">
        <v>0</v>
      </c>
      <c r="J1" s="123">
        <v>0</v>
      </c>
      <c r="K1" s="53">
        <v>0</v>
      </c>
      <c r="L1" s="53">
        <v>0</v>
      </c>
      <c r="M1" s="124" t="s">
        <v>29</v>
      </c>
      <c r="N1" s="53">
        <v>0</v>
      </c>
      <c r="O1" s="124" t="s">
        <v>29</v>
      </c>
      <c r="P1" s="53">
        <v>0</v>
      </c>
      <c r="Q1" s="53">
        <v>0</v>
      </c>
      <c r="R1" s="53">
        <v>0</v>
      </c>
      <c r="S1" s="53">
        <v>0</v>
      </c>
      <c r="T1" s="124" t="s">
        <v>29</v>
      </c>
      <c r="U1" s="124" t="s">
        <v>29</v>
      </c>
      <c r="V1" s="124" t="s">
        <v>29</v>
      </c>
      <c r="W1" s="124" t="s">
        <v>29</v>
      </c>
      <c r="X1" s="124" t="s">
        <v>29</v>
      </c>
      <c r="Y1" s="124" t="s">
        <v>29</v>
      </c>
      <c r="Z1" s="124" t="s">
        <v>29</v>
      </c>
      <c r="AA1" s="124" t="s">
        <v>29</v>
      </c>
      <c r="AB1" s="124" t="s">
        <v>29</v>
      </c>
      <c r="AC1" s="124" t="s">
        <v>29</v>
      </c>
      <c r="AD1" s="124" t="s">
        <v>29</v>
      </c>
      <c r="AE1" s="53">
        <v>0</v>
      </c>
      <c r="AF1" s="53">
        <v>0</v>
      </c>
      <c r="AG1" s="124" t="s">
        <v>29</v>
      </c>
      <c r="AH1" s="124" t="s">
        <v>29</v>
      </c>
      <c r="AI1" s="53">
        <v>0</v>
      </c>
      <c r="AJ1" s="124" t="s">
        <v>29</v>
      </c>
      <c r="AK1" s="53">
        <v>0</v>
      </c>
      <c r="AL1" s="53">
        <v>0</v>
      </c>
      <c r="AM1" s="53">
        <v>0</v>
      </c>
      <c r="AN1" s="53">
        <v>0</v>
      </c>
      <c r="AO1" s="124" t="s">
        <v>29</v>
      </c>
      <c r="AP1" s="53">
        <v>0</v>
      </c>
      <c r="AQ1" s="53">
        <v>0</v>
      </c>
      <c r="AR1" s="53">
        <v>0</v>
      </c>
      <c r="AS1" s="53">
        <v>0</v>
      </c>
      <c r="AT1" s="124" t="s">
        <v>29</v>
      </c>
      <c r="AU1" s="53">
        <v>0</v>
      </c>
      <c r="AV1" s="53">
        <v>0</v>
      </c>
    </row>
    <row r="2" spans="1:153" s="319" customFormat="1" ht="16.5" thickBot="1" x14ac:dyDescent="0.3">
      <c r="A2" s="355" t="s">
        <v>23</v>
      </c>
      <c r="B2" s="306" t="s">
        <v>17</v>
      </c>
      <c r="C2" s="358" t="s">
        <v>153</v>
      </c>
      <c r="D2" s="306" t="s">
        <v>448</v>
      </c>
      <c r="E2" s="306" t="s">
        <v>444</v>
      </c>
      <c r="F2" s="306" t="s">
        <v>445</v>
      </c>
      <c r="G2" s="317">
        <v>42793</v>
      </c>
      <c r="H2" s="317">
        <v>42794</v>
      </c>
      <c r="I2" s="317">
        <v>42795</v>
      </c>
      <c r="J2" s="317">
        <v>42796</v>
      </c>
      <c r="K2" s="317">
        <v>42797</v>
      </c>
      <c r="L2" s="317">
        <v>42800</v>
      </c>
      <c r="M2" s="318">
        <v>42801</v>
      </c>
      <c r="N2" s="318">
        <v>42802</v>
      </c>
      <c r="O2" s="318">
        <v>42803</v>
      </c>
      <c r="P2" s="318">
        <v>42804</v>
      </c>
      <c r="Q2" s="318">
        <v>42807</v>
      </c>
      <c r="R2" s="318">
        <v>42808</v>
      </c>
      <c r="S2" s="318">
        <v>42809</v>
      </c>
      <c r="T2" s="318">
        <v>42810</v>
      </c>
      <c r="U2" s="318">
        <v>42811</v>
      </c>
      <c r="V2" s="317">
        <v>42815</v>
      </c>
      <c r="W2" s="317">
        <v>42816</v>
      </c>
      <c r="X2" s="317">
        <v>42817</v>
      </c>
      <c r="Y2" s="317">
        <v>42818</v>
      </c>
      <c r="Z2" s="317">
        <v>42821</v>
      </c>
      <c r="AA2" s="317">
        <v>42822</v>
      </c>
      <c r="AB2" s="317">
        <v>42823</v>
      </c>
      <c r="AC2" s="317">
        <v>42824</v>
      </c>
      <c r="AD2" s="317">
        <v>42825</v>
      </c>
      <c r="AE2" s="317">
        <v>42828</v>
      </c>
      <c r="AF2" s="317">
        <v>42831</v>
      </c>
      <c r="AG2" s="317">
        <v>42832</v>
      </c>
      <c r="AH2" s="317">
        <v>42835</v>
      </c>
      <c r="AI2" s="317">
        <v>42836</v>
      </c>
      <c r="AJ2" s="317">
        <v>42837</v>
      </c>
      <c r="AK2" s="317">
        <v>42838</v>
      </c>
      <c r="AL2" s="317">
        <v>42839</v>
      </c>
      <c r="AM2" s="317">
        <v>42842</v>
      </c>
      <c r="AN2" s="317">
        <v>42843</v>
      </c>
      <c r="AO2" s="317">
        <v>42844</v>
      </c>
      <c r="AP2" s="317">
        <v>42845</v>
      </c>
      <c r="AQ2" s="317">
        <v>42846</v>
      </c>
      <c r="AR2" s="317">
        <v>42849</v>
      </c>
      <c r="AS2" s="317">
        <v>42850</v>
      </c>
      <c r="AT2" s="317">
        <v>42851</v>
      </c>
      <c r="AU2" s="317">
        <v>42852</v>
      </c>
      <c r="AV2" s="317">
        <v>42853</v>
      </c>
      <c r="AW2" s="317">
        <v>42856</v>
      </c>
      <c r="AX2" s="317">
        <v>42857</v>
      </c>
      <c r="AY2" s="317">
        <v>42863</v>
      </c>
      <c r="AZ2" s="317">
        <v>42864</v>
      </c>
      <c r="BA2" s="317">
        <v>42865</v>
      </c>
      <c r="BB2" s="317">
        <v>42866</v>
      </c>
      <c r="BC2" s="317">
        <v>42867</v>
      </c>
      <c r="BD2" s="317">
        <v>42870</v>
      </c>
      <c r="BE2" s="317">
        <v>42871</v>
      </c>
      <c r="BF2" s="317">
        <v>42872</v>
      </c>
      <c r="BG2" s="317">
        <v>42873</v>
      </c>
      <c r="BH2" s="317">
        <v>42874</v>
      </c>
      <c r="BI2" s="317">
        <v>42877</v>
      </c>
      <c r="BJ2" s="317">
        <v>42878</v>
      </c>
      <c r="BK2" s="317">
        <v>42879</v>
      </c>
      <c r="BL2" s="317">
        <v>42880</v>
      </c>
      <c r="BM2" s="317">
        <v>42881</v>
      </c>
      <c r="BN2" s="317">
        <v>42884</v>
      </c>
      <c r="BO2" s="317">
        <v>42885</v>
      </c>
      <c r="BP2" s="317">
        <v>42886</v>
      </c>
      <c r="BQ2" s="317">
        <v>42887</v>
      </c>
      <c r="BR2" s="317">
        <v>42888</v>
      </c>
      <c r="BS2" s="317">
        <v>42891</v>
      </c>
      <c r="BT2" s="317">
        <v>42892</v>
      </c>
      <c r="BU2" s="317">
        <v>42893</v>
      </c>
      <c r="BV2" s="317">
        <v>42894</v>
      </c>
      <c r="BW2" s="317">
        <v>42895</v>
      </c>
      <c r="BX2" s="317">
        <v>42898</v>
      </c>
      <c r="BY2" s="317">
        <v>42899</v>
      </c>
      <c r="BZ2" s="317">
        <v>42900</v>
      </c>
      <c r="CA2" s="317">
        <v>42901</v>
      </c>
      <c r="CB2" s="317">
        <v>42902</v>
      </c>
      <c r="CC2" s="317">
        <v>42905</v>
      </c>
      <c r="CD2" s="317">
        <v>42906</v>
      </c>
      <c r="CE2" s="317">
        <v>42907</v>
      </c>
      <c r="CF2" s="317">
        <v>42908</v>
      </c>
      <c r="CG2" s="317">
        <v>42909</v>
      </c>
      <c r="CH2" s="317">
        <v>42912</v>
      </c>
      <c r="CI2" s="317">
        <v>42913</v>
      </c>
      <c r="CJ2" s="317">
        <v>42914</v>
      </c>
      <c r="CK2" s="317">
        <v>42915</v>
      </c>
      <c r="CL2" s="317">
        <v>42916</v>
      </c>
      <c r="CM2" s="317">
        <v>42919</v>
      </c>
      <c r="CN2" s="317">
        <v>42920</v>
      </c>
      <c r="CO2" s="317">
        <v>42921</v>
      </c>
      <c r="CP2" s="317">
        <v>42922</v>
      </c>
      <c r="CQ2" s="317">
        <v>42923</v>
      </c>
      <c r="CR2" s="317">
        <v>42926</v>
      </c>
      <c r="CS2" s="317">
        <v>42927</v>
      </c>
      <c r="CT2" s="317">
        <v>42928</v>
      </c>
      <c r="CU2" s="317">
        <v>42929</v>
      </c>
      <c r="CV2" s="317">
        <v>42930</v>
      </c>
      <c r="CW2" s="317">
        <v>42934</v>
      </c>
      <c r="CX2" s="317">
        <v>42935</v>
      </c>
      <c r="CY2" s="317">
        <v>42936</v>
      </c>
      <c r="CZ2" s="317">
        <v>42937</v>
      </c>
      <c r="DA2" s="317">
        <v>42940</v>
      </c>
      <c r="DB2" s="317">
        <v>42941</v>
      </c>
      <c r="DC2" s="317">
        <v>42942</v>
      </c>
      <c r="DD2" s="317">
        <v>42943</v>
      </c>
      <c r="DE2" s="317">
        <v>42944</v>
      </c>
      <c r="DF2" s="317">
        <v>42947</v>
      </c>
      <c r="DG2" s="317">
        <v>42948</v>
      </c>
      <c r="DH2" s="317">
        <v>42949</v>
      </c>
      <c r="DI2" s="317">
        <v>42950</v>
      </c>
      <c r="DJ2" s="317">
        <v>42951</v>
      </c>
      <c r="DK2" s="317">
        <v>42963</v>
      </c>
      <c r="DL2" s="317">
        <v>42964</v>
      </c>
      <c r="DM2" s="317">
        <v>42965</v>
      </c>
      <c r="DN2" s="317">
        <v>42968</v>
      </c>
      <c r="DO2" s="317">
        <v>42969</v>
      </c>
      <c r="DP2" s="317">
        <v>42970</v>
      </c>
      <c r="DQ2" s="317">
        <v>42971</v>
      </c>
      <c r="DR2" s="317">
        <v>42972</v>
      </c>
      <c r="DS2" s="317">
        <v>42975</v>
      </c>
      <c r="DT2" s="317">
        <v>42976</v>
      </c>
      <c r="DU2" s="317">
        <v>42977</v>
      </c>
      <c r="DV2" s="317">
        <v>42978</v>
      </c>
      <c r="DW2" s="317">
        <v>42979</v>
      </c>
      <c r="DX2" s="317">
        <v>42982</v>
      </c>
      <c r="DY2" s="317">
        <v>42983</v>
      </c>
      <c r="DZ2" s="317">
        <v>42984</v>
      </c>
      <c r="EA2" s="317">
        <v>42985</v>
      </c>
      <c r="EB2" s="317">
        <v>42986</v>
      </c>
      <c r="EC2" s="317">
        <v>42989</v>
      </c>
      <c r="ED2" s="317">
        <v>42990</v>
      </c>
      <c r="EE2" s="317">
        <v>42991</v>
      </c>
      <c r="EF2" s="317">
        <v>42992</v>
      </c>
      <c r="EG2" s="317">
        <v>42993</v>
      </c>
      <c r="EH2" s="317">
        <v>42997</v>
      </c>
      <c r="EI2" s="317">
        <v>42998</v>
      </c>
      <c r="EJ2" s="317">
        <v>42999</v>
      </c>
      <c r="EK2" s="317">
        <v>43000</v>
      </c>
      <c r="EL2" s="317">
        <v>43003</v>
      </c>
      <c r="EM2" s="317">
        <v>43004</v>
      </c>
      <c r="EN2" s="317">
        <v>43005</v>
      </c>
      <c r="EO2" s="317">
        <v>43006</v>
      </c>
      <c r="EP2" s="317">
        <v>43007</v>
      </c>
      <c r="EQ2" s="317">
        <v>43010</v>
      </c>
      <c r="ER2" s="317">
        <v>43011</v>
      </c>
      <c r="ES2" s="317">
        <v>43012</v>
      </c>
      <c r="ET2" s="317">
        <v>43013</v>
      </c>
      <c r="EU2" s="317">
        <v>43014</v>
      </c>
      <c r="EV2" s="317">
        <v>43018</v>
      </c>
      <c r="EW2" s="317">
        <v>43019</v>
      </c>
    </row>
    <row r="3" spans="1:153" s="128" customFormat="1" ht="16.5" thickTop="1" x14ac:dyDescent="0.25">
      <c r="A3" s="356"/>
      <c r="B3" s="77" t="str">
        <f>IPO監視一覧!B3</f>
        <v>日宣</v>
      </c>
      <c r="C3" s="359">
        <f>株価一覧!E2</f>
        <v>2295</v>
      </c>
      <c r="D3" s="328">
        <f t="shared" ref="D3:D42" ca="1" si="0">AVERAGE(OFFSET(A3,0,COUNTA(G3:XFD3)+5,1,-5))</f>
        <v>2292.1999999999998</v>
      </c>
      <c r="E3" s="328">
        <f t="shared" ref="E3:E42" ca="1" si="1">AVERAGE(OFFSET(A3,0,COUNTA(G3:XFD3)+5,1,-10))</f>
        <v>2289.3000000000002</v>
      </c>
      <c r="F3" s="329">
        <f t="shared" ref="F3:F42" ca="1" si="2">MIN(OFFSET(B3,0,COUNTA(G3:XFD3)+5,1,-10))</f>
        <v>2270</v>
      </c>
      <c r="G3" s="126">
        <v>2645</v>
      </c>
      <c r="H3" s="126">
        <v>2593</v>
      </c>
      <c r="I3" s="126">
        <v>2617</v>
      </c>
      <c r="J3" s="126">
        <v>2599</v>
      </c>
      <c r="K3" s="126">
        <v>2579</v>
      </c>
      <c r="L3" s="126">
        <v>2571</v>
      </c>
      <c r="M3" s="127">
        <v>2519</v>
      </c>
      <c r="N3" s="127">
        <v>2603</v>
      </c>
      <c r="O3" s="127">
        <v>2592</v>
      </c>
      <c r="P3" s="127">
        <v>2632</v>
      </c>
      <c r="Q3" s="127">
        <v>2648</v>
      </c>
      <c r="R3" s="127">
        <v>2550</v>
      </c>
      <c r="S3" s="127">
        <v>2530</v>
      </c>
      <c r="T3" s="127">
        <v>2497</v>
      </c>
      <c r="U3" s="127">
        <v>2383</v>
      </c>
      <c r="V3" s="126">
        <v>2390</v>
      </c>
      <c r="W3" s="126">
        <v>2392</v>
      </c>
      <c r="X3" s="126">
        <v>2399</v>
      </c>
      <c r="Y3" s="128">
        <v>2408</v>
      </c>
      <c r="Z3" s="126">
        <v>2393</v>
      </c>
      <c r="AA3" s="126">
        <v>2365</v>
      </c>
      <c r="AB3" s="128">
        <v>2440</v>
      </c>
      <c r="AC3" s="128">
        <v>2460</v>
      </c>
      <c r="AD3" s="128">
        <v>2480</v>
      </c>
      <c r="AE3" s="128">
        <v>2440</v>
      </c>
      <c r="AF3" s="128">
        <v>2350</v>
      </c>
      <c r="AG3" s="126">
        <v>2347</v>
      </c>
      <c r="AH3" s="126">
        <v>2389</v>
      </c>
      <c r="AI3" s="126">
        <v>2447</v>
      </c>
      <c r="AJ3" s="126">
        <v>2343</v>
      </c>
      <c r="AK3" s="126">
        <v>2335</v>
      </c>
      <c r="AL3" s="126">
        <v>2310</v>
      </c>
      <c r="AM3" s="126">
        <v>2310</v>
      </c>
      <c r="AN3" s="126">
        <v>2353</v>
      </c>
      <c r="AO3" s="126">
        <v>2400</v>
      </c>
      <c r="AP3" s="126">
        <v>2379</v>
      </c>
      <c r="AQ3" s="126">
        <v>2494</v>
      </c>
      <c r="AR3" s="126">
        <v>2490</v>
      </c>
      <c r="AS3" s="126">
        <v>2462</v>
      </c>
      <c r="AT3" s="126">
        <v>2500</v>
      </c>
      <c r="AU3" s="126">
        <v>2488</v>
      </c>
      <c r="AV3" s="126">
        <v>2494</v>
      </c>
      <c r="AW3" s="126">
        <v>2509</v>
      </c>
      <c r="AX3" s="126">
        <v>2502</v>
      </c>
      <c r="AY3" s="126">
        <v>2570</v>
      </c>
      <c r="AZ3" s="126">
        <v>2539</v>
      </c>
      <c r="BA3" s="126">
        <v>2515</v>
      </c>
      <c r="BB3" s="126">
        <v>2482</v>
      </c>
      <c r="BC3" s="126">
        <v>2510</v>
      </c>
      <c r="BD3" s="126">
        <v>2498</v>
      </c>
      <c r="BE3" s="126">
        <v>2486</v>
      </c>
      <c r="BF3" s="126">
        <v>2440</v>
      </c>
      <c r="BG3" s="126">
        <v>2413</v>
      </c>
      <c r="BH3" s="126">
        <v>2408</v>
      </c>
      <c r="BI3" s="126">
        <v>2409</v>
      </c>
      <c r="BJ3" s="126">
        <v>2403</v>
      </c>
      <c r="BK3" s="126">
        <v>2417</v>
      </c>
      <c r="BL3" s="126">
        <v>2411</v>
      </c>
      <c r="BM3" s="126">
        <v>2388</v>
      </c>
      <c r="BN3" s="126">
        <v>2360</v>
      </c>
      <c r="BO3" s="126">
        <v>2376</v>
      </c>
      <c r="BP3" s="126">
        <v>2376</v>
      </c>
      <c r="BQ3" s="128">
        <v>2400</v>
      </c>
      <c r="BR3" s="128">
        <v>2405</v>
      </c>
      <c r="BS3" s="128">
        <v>2422</v>
      </c>
      <c r="BT3" s="128">
        <v>2414</v>
      </c>
      <c r="BU3" s="128">
        <v>2414</v>
      </c>
      <c r="BV3" s="128">
        <v>2411</v>
      </c>
      <c r="BW3" s="128">
        <v>2402</v>
      </c>
      <c r="BX3" s="128">
        <v>2403</v>
      </c>
      <c r="BY3" s="128">
        <v>2463</v>
      </c>
      <c r="BZ3" s="128">
        <v>2525</v>
      </c>
      <c r="CA3" s="128">
        <v>2485</v>
      </c>
      <c r="CB3" s="128">
        <v>2460</v>
      </c>
      <c r="CC3" s="128">
        <v>2415</v>
      </c>
      <c r="CD3" s="128">
        <v>2441</v>
      </c>
      <c r="CE3" s="128">
        <v>2435</v>
      </c>
      <c r="CF3" s="128">
        <v>2424</v>
      </c>
      <c r="CG3" s="128">
        <v>2495</v>
      </c>
      <c r="CH3" s="128">
        <v>2500</v>
      </c>
      <c r="CI3" s="128">
        <v>2506</v>
      </c>
      <c r="CJ3" s="128">
        <v>2460</v>
      </c>
      <c r="CK3" s="128">
        <v>2479</v>
      </c>
      <c r="CL3" s="128">
        <v>2479</v>
      </c>
      <c r="CM3" s="128">
        <v>2530</v>
      </c>
      <c r="CN3" s="128">
        <v>2507</v>
      </c>
      <c r="CO3" s="128">
        <v>2450</v>
      </c>
      <c r="CP3" s="128">
        <v>2481</v>
      </c>
      <c r="CQ3" s="128">
        <v>2495</v>
      </c>
      <c r="CR3" s="128">
        <v>2497</v>
      </c>
      <c r="CS3" s="128">
        <v>2497</v>
      </c>
      <c r="CT3" s="128">
        <v>2488</v>
      </c>
      <c r="CU3" s="128">
        <v>2495</v>
      </c>
      <c r="CV3" s="128">
        <v>2519</v>
      </c>
      <c r="CW3" s="128">
        <v>2448</v>
      </c>
      <c r="CX3" s="128">
        <v>2440</v>
      </c>
      <c r="CY3" s="128">
        <v>2411</v>
      </c>
      <c r="CZ3" s="128">
        <v>2489</v>
      </c>
      <c r="DA3" s="128">
        <v>2462</v>
      </c>
      <c r="DB3" s="128">
        <v>2470</v>
      </c>
      <c r="DC3" s="128">
        <v>2500</v>
      </c>
      <c r="DD3" s="128">
        <v>2505</v>
      </c>
      <c r="DE3" s="128">
        <v>2499</v>
      </c>
      <c r="DF3" s="128">
        <v>2458</v>
      </c>
      <c r="DG3" s="128">
        <v>2436</v>
      </c>
      <c r="DH3" s="128">
        <v>2454</v>
      </c>
      <c r="DI3" s="128">
        <v>2410</v>
      </c>
      <c r="DJ3" s="128">
        <v>2450</v>
      </c>
      <c r="DK3" s="128">
        <v>2350</v>
      </c>
      <c r="DL3" s="128">
        <v>2351</v>
      </c>
      <c r="DM3" s="128">
        <v>2305</v>
      </c>
      <c r="DN3" s="128">
        <v>2274</v>
      </c>
      <c r="DO3" s="128">
        <v>2272</v>
      </c>
      <c r="DP3" s="128">
        <v>2272</v>
      </c>
      <c r="DQ3" s="128">
        <v>2265</v>
      </c>
      <c r="DR3" s="128">
        <v>2342</v>
      </c>
      <c r="DS3" s="128">
        <v>2328</v>
      </c>
      <c r="DT3" s="128">
        <v>2293</v>
      </c>
      <c r="DU3" s="128">
        <v>2299</v>
      </c>
      <c r="DV3" s="128">
        <v>2300</v>
      </c>
      <c r="DW3" s="128">
        <v>2278</v>
      </c>
      <c r="DX3" s="128">
        <v>2236</v>
      </c>
      <c r="DY3" s="128">
        <v>2236</v>
      </c>
      <c r="DZ3" s="128">
        <v>2230</v>
      </c>
      <c r="EA3" s="128">
        <v>2255</v>
      </c>
      <c r="EB3" s="128">
        <v>2245</v>
      </c>
      <c r="EC3" s="128">
        <v>2251</v>
      </c>
      <c r="ED3" s="128">
        <v>2235</v>
      </c>
      <c r="EE3" s="128">
        <v>2259</v>
      </c>
      <c r="EF3" s="128">
        <v>2266</v>
      </c>
      <c r="EG3" s="128">
        <v>2250</v>
      </c>
      <c r="EH3" s="128">
        <v>2253</v>
      </c>
      <c r="EI3" s="128">
        <v>2261</v>
      </c>
      <c r="EJ3" s="128">
        <v>2323</v>
      </c>
      <c r="EK3" s="128">
        <v>2310</v>
      </c>
      <c r="EL3" s="128">
        <v>2311</v>
      </c>
      <c r="EM3" s="128">
        <v>2300</v>
      </c>
      <c r="EN3" s="128">
        <v>2266</v>
      </c>
      <c r="EO3" s="128">
        <v>2290</v>
      </c>
      <c r="EP3" s="128">
        <v>2270</v>
      </c>
      <c r="EQ3" s="128">
        <v>2298</v>
      </c>
      <c r="ER3" s="128">
        <v>2308</v>
      </c>
      <c r="ES3" s="128">
        <v>2300</v>
      </c>
      <c r="ET3" s="128">
        <v>2286</v>
      </c>
      <c r="EU3" s="128">
        <v>2289</v>
      </c>
      <c r="EV3" s="128">
        <v>2291</v>
      </c>
      <c r="EW3" s="128">
        <v>2295</v>
      </c>
    </row>
    <row r="4" spans="1:153" x14ac:dyDescent="0.25">
      <c r="A4" s="357" t="str">
        <f>IPO監視一覧!H4</f>
        <v>C</v>
      </c>
      <c r="B4" s="84" t="str">
        <f>IPO監視一覧!B4</f>
        <v>レノバ </v>
      </c>
      <c r="C4" s="332">
        <f>株価一覧!E3</f>
        <v>1297</v>
      </c>
      <c r="D4" s="354">
        <f t="shared" ca="1" si="0"/>
        <v>1256.4000000000001</v>
      </c>
      <c r="E4" s="330">
        <f t="shared" ca="1" si="1"/>
        <v>1242.9000000000001</v>
      </c>
      <c r="F4" s="331">
        <f t="shared" ca="1" si="2"/>
        <v>1201</v>
      </c>
      <c r="G4" s="127">
        <v>1825</v>
      </c>
      <c r="H4" s="127">
        <v>2135</v>
      </c>
      <c r="I4" s="127">
        <v>2004</v>
      </c>
      <c r="J4" s="127">
        <v>2138</v>
      </c>
      <c r="K4" s="127">
        <v>2145</v>
      </c>
      <c r="L4" s="127">
        <v>2060</v>
      </c>
      <c r="M4" s="127">
        <v>1990</v>
      </c>
      <c r="N4" s="127">
        <v>1915</v>
      </c>
      <c r="O4" s="127">
        <v>1872</v>
      </c>
      <c r="P4" s="127">
        <v>2073</v>
      </c>
      <c r="Q4" s="127">
        <v>1880</v>
      </c>
      <c r="R4" s="127">
        <v>1900</v>
      </c>
      <c r="S4" s="127">
        <v>1930</v>
      </c>
      <c r="T4" s="127">
        <v>1890</v>
      </c>
      <c r="U4" s="127">
        <v>1750</v>
      </c>
      <c r="V4" s="127">
        <v>1611</v>
      </c>
      <c r="W4" s="127">
        <v>1657</v>
      </c>
      <c r="X4" s="127">
        <v>1670</v>
      </c>
      <c r="Y4" s="129">
        <v>1699</v>
      </c>
      <c r="Z4" s="127">
        <v>1710</v>
      </c>
      <c r="AA4" s="127">
        <v>1680</v>
      </c>
      <c r="AB4" s="129">
        <v>1685</v>
      </c>
      <c r="AC4" s="129">
        <v>1680</v>
      </c>
      <c r="AD4" s="129">
        <v>1710</v>
      </c>
      <c r="AE4" s="129">
        <v>1718</v>
      </c>
      <c r="AF4" s="129">
        <v>1560</v>
      </c>
      <c r="AG4" s="127">
        <v>1660</v>
      </c>
      <c r="AH4" s="127">
        <v>1505</v>
      </c>
      <c r="AI4" s="127">
        <v>1370</v>
      </c>
      <c r="AJ4" s="127">
        <v>1239</v>
      </c>
      <c r="AK4" s="127">
        <v>1301</v>
      </c>
      <c r="AL4" s="127">
        <v>1258</v>
      </c>
      <c r="AM4" s="127">
        <v>1279</v>
      </c>
      <c r="AN4" s="127">
        <v>1273</v>
      </c>
      <c r="AO4" s="127">
        <v>1282</v>
      </c>
      <c r="AP4" s="127">
        <v>1305</v>
      </c>
      <c r="AQ4" s="127">
        <v>1390</v>
      </c>
      <c r="AR4" s="127">
        <v>1310</v>
      </c>
      <c r="AS4" s="127">
        <v>1324</v>
      </c>
      <c r="AT4" s="127">
        <v>1343</v>
      </c>
      <c r="AU4" s="127">
        <v>1359</v>
      </c>
      <c r="AV4" s="127">
        <v>1308</v>
      </c>
      <c r="AW4" s="127">
        <v>1280</v>
      </c>
      <c r="AX4" s="127">
        <v>1291</v>
      </c>
      <c r="AY4" s="127">
        <v>1302</v>
      </c>
      <c r="AZ4" s="127">
        <v>1389</v>
      </c>
      <c r="BA4" s="127">
        <v>1383</v>
      </c>
      <c r="BB4" s="127">
        <v>1369</v>
      </c>
      <c r="BC4" s="127">
        <v>1322</v>
      </c>
      <c r="BD4" s="127">
        <v>1292</v>
      </c>
      <c r="BE4" s="127">
        <v>1292</v>
      </c>
      <c r="BF4" s="127">
        <v>1263</v>
      </c>
      <c r="BG4" s="127">
        <v>1295</v>
      </c>
      <c r="BH4" s="127">
        <v>1356</v>
      </c>
      <c r="BI4" s="127">
        <v>1359</v>
      </c>
      <c r="BJ4" s="127">
        <v>1325</v>
      </c>
      <c r="BK4" s="127">
        <v>1341</v>
      </c>
      <c r="BL4" s="127">
        <v>1335</v>
      </c>
      <c r="BM4" s="127">
        <v>1296</v>
      </c>
      <c r="BN4" s="127">
        <v>1282</v>
      </c>
      <c r="BO4" s="127">
        <v>1273</v>
      </c>
      <c r="BP4" s="127">
        <v>1251</v>
      </c>
      <c r="BQ4" s="129">
        <v>1248</v>
      </c>
      <c r="BR4" s="129">
        <v>1244</v>
      </c>
      <c r="BS4" s="129">
        <v>1250</v>
      </c>
      <c r="BT4" s="129">
        <v>1239</v>
      </c>
      <c r="BU4" s="129">
        <v>1227</v>
      </c>
      <c r="BV4" s="129">
        <v>1222</v>
      </c>
      <c r="BW4" s="129">
        <v>1228</v>
      </c>
      <c r="BX4" s="129">
        <v>1187</v>
      </c>
      <c r="BY4" s="129">
        <v>1159</v>
      </c>
      <c r="BZ4" s="129">
        <v>1153</v>
      </c>
      <c r="CA4" s="129">
        <v>1134</v>
      </c>
      <c r="CB4" s="129">
        <v>1155</v>
      </c>
      <c r="CC4" s="129">
        <v>1227</v>
      </c>
      <c r="CD4" s="129">
        <v>1198</v>
      </c>
      <c r="CE4" s="129">
        <v>1185</v>
      </c>
      <c r="CF4" s="129">
        <v>1161</v>
      </c>
      <c r="CG4" s="129">
        <v>1151</v>
      </c>
      <c r="CH4" s="129">
        <v>1152</v>
      </c>
      <c r="CI4" s="129">
        <v>1149</v>
      </c>
      <c r="CJ4" s="129">
        <v>1107</v>
      </c>
      <c r="CK4" s="129">
        <v>1083</v>
      </c>
      <c r="CL4" s="129">
        <v>1102</v>
      </c>
      <c r="CM4" s="129">
        <v>1144</v>
      </c>
      <c r="CN4" s="129">
        <v>1218</v>
      </c>
      <c r="CO4" s="129">
        <v>1260</v>
      </c>
      <c r="CP4" s="129">
        <v>1201</v>
      </c>
      <c r="CQ4" s="129">
        <v>1225</v>
      </c>
      <c r="CR4" s="129">
        <v>1222</v>
      </c>
      <c r="CS4" s="129">
        <v>1249</v>
      </c>
      <c r="CT4" s="129">
        <v>1257</v>
      </c>
      <c r="CU4" s="129">
        <v>1252</v>
      </c>
      <c r="CV4" s="129">
        <v>1263</v>
      </c>
      <c r="CW4" s="129">
        <v>1191</v>
      </c>
      <c r="CX4" s="129">
        <v>1211</v>
      </c>
      <c r="CY4" s="129">
        <v>1185</v>
      </c>
      <c r="CZ4" s="129">
        <v>1136</v>
      </c>
      <c r="DA4" s="129">
        <v>1160</v>
      </c>
      <c r="DB4" s="129">
        <v>1130</v>
      </c>
      <c r="DC4" s="129">
        <v>1135</v>
      </c>
      <c r="DD4" s="129">
        <v>1139</v>
      </c>
      <c r="DE4" s="129">
        <v>1120</v>
      </c>
      <c r="DF4" s="129">
        <v>1120</v>
      </c>
      <c r="DG4" s="129">
        <v>1084</v>
      </c>
      <c r="DH4" s="129">
        <v>1085</v>
      </c>
      <c r="DI4" s="129">
        <v>1080</v>
      </c>
      <c r="DJ4" s="129">
        <v>1110</v>
      </c>
      <c r="DK4" s="129">
        <v>1001</v>
      </c>
      <c r="DL4" s="129">
        <v>1012</v>
      </c>
      <c r="DM4" s="129">
        <v>1026</v>
      </c>
      <c r="DN4" s="129">
        <v>996</v>
      </c>
      <c r="DO4" s="129">
        <v>1000</v>
      </c>
      <c r="DP4" s="129">
        <v>1013</v>
      </c>
      <c r="DQ4" s="129">
        <v>1005</v>
      </c>
      <c r="DR4" s="129">
        <v>1043</v>
      </c>
      <c r="DS4" s="129">
        <v>1262</v>
      </c>
      <c r="DT4" s="129">
        <v>1312</v>
      </c>
      <c r="DU4" s="129">
        <v>1220</v>
      </c>
      <c r="DV4" s="129">
        <v>1155</v>
      </c>
      <c r="DW4" s="129">
        <v>1131</v>
      </c>
      <c r="DX4" s="129">
        <v>1092</v>
      </c>
      <c r="DY4" s="129">
        <v>1037</v>
      </c>
      <c r="DZ4" s="129">
        <v>1093</v>
      </c>
      <c r="EA4" s="129">
        <v>1093</v>
      </c>
      <c r="EB4" s="129">
        <v>1067</v>
      </c>
      <c r="EC4" s="129">
        <v>1078</v>
      </c>
      <c r="ED4" s="129">
        <v>1100</v>
      </c>
      <c r="EE4" s="129">
        <v>1145</v>
      </c>
      <c r="EF4" s="129">
        <v>1181</v>
      </c>
      <c r="EG4" s="129">
        <v>1169</v>
      </c>
      <c r="EH4" s="129">
        <v>1175</v>
      </c>
      <c r="EI4" s="129">
        <v>1117</v>
      </c>
      <c r="EJ4" s="129">
        <v>1126</v>
      </c>
      <c r="EK4" s="129">
        <v>1118</v>
      </c>
      <c r="EL4" s="129">
        <v>1150</v>
      </c>
      <c r="EM4" s="129">
        <v>1181</v>
      </c>
      <c r="EN4" s="129">
        <v>1159</v>
      </c>
      <c r="EO4" s="129">
        <v>1201</v>
      </c>
      <c r="EP4" s="129">
        <v>1277</v>
      </c>
      <c r="EQ4" s="129">
        <v>1241</v>
      </c>
      <c r="ER4" s="129">
        <v>1269</v>
      </c>
      <c r="ES4" s="129">
        <v>1257</v>
      </c>
      <c r="ET4" s="129">
        <v>1215</v>
      </c>
      <c r="EU4" s="129">
        <v>1229</v>
      </c>
      <c r="EV4" s="129">
        <v>1284</v>
      </c>
      <c r="EW4" s="129">
        <v>1297</v>
      </c>
    </row>
    <row r="5" spans="1:153" x14ac:dyDescent="0.25">
      <c r="A5" s="357" t="str">
        <f>IPO監視一覧!H5</f>
        <v>B</v>
      </c>
      <c r="B5" s="84" t="str">
        <f>IPO監視一覧!B5</f>
        <v>ユナイテッド＆コレクティブ</v>
      </c>
      <c r="C5" s="332">
        <f>株価一覧!E4</f>
        <v>5150</v>
      </c>
      <c r="D5" s="354">
        <f t="shared" ca="1" si="0"/>
        <v>4890</v>
      </c>
      <c r="E5" s="330">
        <f t="shared" ca="1" si="1"/>
        <v>4724.5</v>
      </c>
      <c r="F5" s="331">
        <f t="shared" ca="1" si="2"/>
        <v>4455</v>
      </c>
      <c r="G5" s="127">
        <v>6200</v>
      </c>
      <c r="H5" s="127">
        <v>6520</v>
      </c>
      <c r="I5" s="127">
        <v>6290</v>
      </c>
      <c r="J5" s="127">
        <v>6540</v>
      </c>
      <c r="K5" s="127">
        <v>6190</v>
      </c>
      <c r="L5" s="127">
        <v>5640</v>
      </c>
      <c r="M5" s="127">
        <v>5600</v>
      </c>
      <c r="N5" s="127">
        <v>5380</v>
      </c>
      <c r="O5" s="127">
        <v>5550</v>
      </c>
      <c r="P5" s="127">
        <v>5320</v>
      </c>
      <c r="Q5" s="127">
        <v>5320</v>
      </c>
      <c r="R5" s="130">
        <v>5890</v>
      </c>
      <c r="S5" s="127">
        <v>5450</v>
      </c>
      <c r="T5" s="127">
        <v>5460</v>
      </c>
      <c r="U5" s="127">
        <v>5140</v>
      </c>
      <c r="V5" s="127">
        <v>4860</v>
      </c>
      <c r="W5" s="127">
        <v>4850</v>
      </c>
      <c r="X5" s="127">
        <v>4995</v>
      </c>
      <c r="Y5" s="129">
        <v>5000</v>
      </c>
      <c r="Z5" s="127">
        <v>4880</v>
      </c>
      <c r="AA5" s="127">
        <v>4940</v>
      </c>
      <c r="AB5" s="129">
        <v>5030</v>
      </c>
      <c r="AC5" s="129">
        <v>5190</v>
      </c>
      <c r="AD5" s="129">
        <v>5300</v>
      </c>
      <c r="AE5" s="129">
        <v>5430</v>
      </c>
      <c r="AF5" s="129">
        <v>4995</v>
      </c>
      <c r="AG5" s="127">
        <v>5050</v>
      </c>
      <c r="AH5" s="127">
        <v>4975</v>
      </c>
      <c r="AI5" s="127">
        <v>4900</v>
      </c>
      <c r="AJ5" s="127">
        <v>4515</v>
      </c>
      <c r="AK5" s="127">
        <v>4400</v>
      </c>
      <c r="AL5" s="127">
        <v>4300</v>
      </c>
      <c r="AM5" s="127">
        <v>3900</v>
      </c>
      <c r="AN5" s="127">
        <v>3935</v>
      </c>
      <c r="AO5" s="127">
        <v>3900</v>
      </c>
      <c r="AP5" s="127">
        <v>4120</v>
      </c>
      <c r="AQ5" s="127">
        <v>4265</v>
      </c>
      <c r="AR5" s="127">
        <v>4000</v>
      </c>
      <c r="AS5" s="127">
        <v>4050</v>
      </c>
      <c r="AT5" s="127">
        <v>4535</v>
      </c>
      <c r="AU5" s="127">
        <v>4570</v>
      </c>
      <c r="AV5" s="127">
        <v>4375</v>
      </c>
      <c r="AW5" s="127">
        <v>4335</v>
      </c>
      <c r="AX5" s="127">
        <v>4285</v>
      </c>
      <c r="AY5" s="127">
        <v>4355</v>
      </c>
      <c r="AZ5" s="127">
        <v>4410</v>
      </c>
      <c r="BA5" s="127">
        <v>4765</v>
      </c>
      <c r="BB5" s="127">
        <v>4810</v>
      </c>
      <c r="BC5" s="127">
        <v>4710</v>
      </c>
      <c r="BD5" s="127">
        <v>4715</v>
      </c>
      <c r="BE5" s="127">
        <v>4715</v>
      </c>
      <c r="BF5" s="127">
        <v>4535</v>
      </c>
      <c r="BG5" s="127">
        <v>4365</v>
      </c>
      <c r="BH5" s="127">
        <v>4500</v>
      </c>
      <c r="BI5" s="127">
        <v>4560</v>
      </c>
      <c r="BJ5" s="127">
        <v>4490</v>
      </c>
      <c r="BK5" s="127">
        <v>4550</v>
      </c>
      <c r="BL5" s="127">
        <v>4470</v>
      </c>
      <c r="BM5" s="127">
        <v>4440</v>
      </c>
      <c r="BN5" s="127">
        <v>4455</v>
      </c>
      <c r="BO5" s="127">
        <v>4500</v>
      </c>
      <c r="BP5" s="127">
        <v>4430</v>
      </c>
      <c r="BQ5" s="129">
        <v>4475</v>
      </c>
      <c r="BR5" s="129">
        <v>4495</v>
      </c>
      <c r="BS5" s="129">
        <v>4630</v>
      </c>
      <c r="BT5" s="129">
        <v>4615</v>
      </c>
      <c r="BU5" s="129">
        <v>4610</v>
      </c>
      <c r="BV5" s="129">
        <v>4530</v>
      </c>
      <c r="BW5" s="129">
        <v>4450</v>
      </c>
      <c r="BX5" s="129">
        <v>4400</v>
      </c>
      <c r="BY5" s="129">
        <v>4335</v>
      </c>
      <c r="BZ5" s="129">
        <v>4215</v>
      </c>
      <c r="CA5" s="129">
        <v>4305</v>
      </c>
      <c r="CB5" s="129">
        <v>4210</v>
      </c>
      <c r="CC5" s="129">
        <v>4210</v>
      </c>
      <c r="CD5" s="129">
        <v>4200</v>
      </c>
      <c r="CE5" s="129">
        <v>4195</v>
      </c>
      <c r="CF5" s="129">
        <v>4180</v>
      </c>
      <c r="CG5" s="129">
        <v>4135</v>
      </c>
      <c r="CH5" s="129">
        <v>4145</v>
      </c>
      <c r="CI5" s="129">
        <v>4155</v>
      </c>
      <c r="CJ5" s="129">
        <v>4145</v>
      </c>
      <c r="CK5" s="129">
        <v>4100</v>
      </c>
      <c r="CL5" s="129">
        <v>4020</v>
      </c>
      <c r="CM5" s="129">
        <v>4045</v>
      </c>
      <c r="CN5" s="129">
        <v>4010</v>
      </c>
      <c r="CO5" s="129">
        <v>3995</v>
      </c>
      <c r="CP5" s="129">
        <v>3985</v>
      </c>
      <c r="CQ5" s="129">
        <v>3965</v>
      </c>
      <c r="CR5" s="129">
        <v>4040</v>
      </c>
      <c r="CS5" s="129">
        <v>4150</v>
      </c>
      <c r="CT5" s="129">
        <v>4250</v>
      </c>
      <c r="CU5" s="129">
        <v>4260</v>
      </c>
      <c r="CV5" s="129">
        <v>4410</v>
      </c>
      <c r="CW5" s="129">
        <v>4040</v>
      </c>
      <c r="CX5" s="129">
        <v>4020</v>
      </c>
      <c r="CY5" s="129">
        <v>3945</v>
      </c>
      <c r="CZ5" s="129">
        <v>3950</v>
      </c>
      <c r="DA5" s="129">
        <v>3935</v>
      </c>
      <c r="DB5" s="129">
        <v>3900</v>
      </c>
      <c r="DC5" s="129">
        <v>3930</v>
      </c>
      <c r="DD5" s="129">
        <v>3945</v>
      </c>
      <c r="DE5" s="129">
        <v>3870</v>
      </c>
      <c r="DF5" s="129">
        <v>3950</v>
      </c>
      <c r="DG5" s="129">
        <v>3855</v>
      </c>
      <c r="DH5" s="129">
        <v>3830</v>
      </c>
      <c r="DI5" s="129">
        <v>3600</v>
      </c>
      <c r="DJ5" s="129">
        <v>3460</v>
      </c>
      <c r="DK5" s="129">
        <v>3270</v>
      </c>
      <c r="DL5" s="129">
        <v>3910</v>
      </c>
      <c r="DM5" s="129">
        <v>3790</v>
      </c>
      <c r="DN5" s="129">
        <v>3810</v>
      </c>
      <c r="DO5" s="129">
        <v>3655</v>
      </c>
      <c r="DP5" s="129">
        <v>3580</v>
      </c>
      <c r="DQ5" s="129">
        <v>3580</v>
      </c>
      <c r="DR5" s="129">
        <v>3615</v>
      </c>
      <c r="DS5" s="129">
        <v>3615</v>
      </c>
      <c r="DT5" s="129">
        <v>3760</v>
      </c>
      <c r="DU5" s="129">
        <v>3760</v>
      </c>
      <c r="DV5" s="129">
        <v>3865</v>
      </c>
      <c r="DW5" s="129">
        <v>3775</v>
      </c>
      <c r="DX5" s="129">
        <v>3530</v>
      </c>
      <c r="DY5" s="129">
        <v>3450</v>
      </c>
      <c r="DZ5" s="129">
        <v>3590</v>
      </c>
      <c r="EA5" s="129">
        <v>3565</v>
      </c>
      <c r="EB5" s="129">
        <v>3500</v>
      </c>
      <c r="EC5" s="129">
        <v>3650</v>
      </c>
      <c r="ED5" s="129">
        <v>3700</v>
      </c>
      <c r="EE5" s="129">
        <v>3820</v>
      </c>
      <c r="EF5" s="129">
        <v>3870</v>
      </c>
      <c r="EG5" s="129">
        <v>4240</v>
      </c>
      <c r="EH5" s="129">
        <v>4780</v>
      </c>
      <c r="EI5" s="129">
        <v>4860</v>
      </c>
      <c r="EJ5" s="129">
        <v>4620</v>
      </c>
      <c r="EK5" s="129">
        <v>4325</v>
      </c>
      <c r="EL5" s="129">
        <v>4415</v>
      </c>
      <c r="EM5" s="129">
        <v>4325</v>
      </c>
      <c r="EN5" s="129">
        <v>4475</v>
      </c>
      <c r="EO5" s="129">
        <v>4455</v>
      </c>
      <c r="EP5" s="129">
        <v>4605</v>
      </c>
      <c r="EQ5" s="129">
        <v>4600</v>
      </c>
      <c r="ER5" s="129">
        <v>4660</v>
      </c>
      <c r="ES5" s="129">
        <v>4755</v>
      </c>
      <c r="ET5" s="129">
        <v>4685</v>
      </c>
      <c r="EU5" s="129">
        <v>4760</v>
      </c>
      <c r="EV5" s="129">
        <v>5100</v>
      </c>
      <c r="EW5" s="129">
        <v>5150</v>
      </c>
    </row>
    <row r="6" spans="1:153" x14ac:dyDescent="0.25">
      <c r="A6" s="357" t="str">
        <f>IPO監視一覧!H6</f>
        <v>D</v>
      </c>
      <c r="B6" s="84" t="str">
        <f>IPO監視一覧!B6</f>
        <v>ロコンド</v>
      </c>
      <c r="C6" s="332">
        <f>株価一覧!E5</f>
        <v>1912</v>
      </c>
      <c r="D6" s="354">
        <f t="shared" ca="1" si="0"/>
        <v>1913.6</v>
      </c>
      <c r="E6" s="330">
        <f t="shared" ca="1" si="1"/>
        <v>1946.9</v>
      </c>
      <c r="F6" s="331">
        <f t="shared" ca="1" si="2"/>
        <v>1883</v>
      </c>
      <c r="G6" s="129">
        <v>0</v>
      </c>
      <c r="H6" s="129">
        <v>0</v>
      </c>
      <c r="I6" s="129">
        <v>0</v>
      </c>
      <c r="J6" s="129">
        <v>0</v>
      </c>
      <c r="K6" s="129">
        <v>0</v>
      </c>
      <c r="L6" s="129">
        <v>0</v>
      </c>
      <c r="M6" s="131">
        <v>2735</v>
      </c>
      <c r="N6" s="127">
        <v>2402</v>
      </c>
      <c r="O6" s="127">
        <v>2270</v>
      </c>
      <c r="P6" s="127">
        <v>2351</v>
      </c>
      <c r="Q6" s="127">
        <v>2409</v>
      </c>
      <c r="R6" s="130">
        <v>2316</v>
      </c>
      <c r="S6" s="127">
        <v>2295</v>
      </c>
      <c r="T6" s="127">
        <v>2349</v>
      </c>
      <c r="U6" s="127">
        <v>2268</v>
      </c>
      <c r="V6" s="127">
        <v>2264</v>
      </c>
      <c r="W6" s="127">
        <v>2190</v>
      </c>
      <c r="X6" s="127">
        <v>2214</v>
      </c>
      <c r="Y6" s="129">
        <v>2190</v>
      </c>
      <c r="Z6" s="127">
        <v>2155</v>
      </c>
      <c r="AA6" s="127">
        <v>2145</v>
      </c>
      <c r="AB6" s="129">
        <v>2171</v>
      </c>
      <c r="AC6" s="129">
        <v>2128</v>
      </c>
      <c r="AD6" s="129">
        <v>2151</v>
      </c>
      <c r="AE6" s="129">
        <v>2136</v>
      </c>
      <c r="AF6" s="129">
        <v>2079</v>
      </c>
      <c r="AG6" s="127">
        <v>2103</v>
      </c>
      <c r="AH6" s="127">
        <v>2296</v>
      </c>
      <c r="AI6" s="127">
        <v>1939</v>
      </c>
      <c r="AJ6" s="127">
        <v>1744</v>
      </c>
      <c r="AK6" s="127">
        <v>1681</v>
      </c>
      <c r="AL6" s="127">
        <v>1680</v>
      </c>
      <c r="AM6" s="127">
        <v>1749</v>
      </c>
      <c r="AN6" s="127">
        <v>1837</v>
      </c>
      <c r="AO6" s="127">
        <v>1878</v>
      </c>
      <c r="AP6" s="127">
        <v>1751</v>
      </c>
      <c r="AQ6" s="127">
        <v>1674</v>
      </c>
      <c r="AR6" s="127">
        <v>1630</v>
      </c>
      <c r="AS6" s="127">
        <v>1671</v>
      </c>
      <c r="AT6" s="127">
        <v>1727</v>
      </c>
      <c r="AU6" s="127">
        <v>1681</v>
      </c>
      <c r="AV6" s="127">
        <v>1728</v>
      </c>
      <c r="AW6" s="127">
        <v>1744</v>
      </c>
      <c r="AX6" s="127">
        <v>1736</v>
      </c>
      <c r="AY6" s="127">
        <v>1759</v>
      </c>
      <c r="AZ6" s="127">
        <v>1754</v>
      </c>
      <c r="BA6" s="127">
        <v>1750</v>
      </c>
      <c r="BB6" s="127">
        <v>1850</v>
      </c>
      <c r="BC6" s="127">
        <v>1921</v>
      </c>
      <c r="BD6" s="127">
        <v>2090</v>
      </c>
      <c r="BE6" s="127">
        <v>1969</v>
      </c>
      <c r="BF6" s="127">
        <v>1883</v>
      </c>
      <c r="BG6" s="127">
        <v>1790</v>
      </c>
      <c r="BH6" s="127">
        <v>1822</v>
      </c>
      <c r="BI6" s="127">
        <v>1843</v>
      </c>
      <c r="BJ6" s="127">
        <v>1980</v>
      </c>
      <c r="BK6" s="127">
        <v>1923</v>
      </c>
      <c r="BL6" s="127">
        <v>1953</v>
      </c>
      <c r="BM6" s="127">
        <v>1950</v>
      </c>
      <c r="BN6" s="127">
        <v>2226</v>
      </c>
      <c r="BO6" s="127">
        <v>2188</v>
      </c>
      <c r="BP6" s="127">
        <v>2227</v>
      </c>
      <c r="BQ6" s="129">
        <v>2296</v>
      </c>
      <c r="BR6" s="129">
        <v>2122</v>
      </c>
      <c r="BS6" s="129">
        <v>2000</v>
      </c>
      <c r="BT6" s="129">
        <v>1953</v>
      </c>
      <c r="BU6" s="129">
        <v>1962</v>
      </c>
      <c r="BV6" s="129">
        <v>2001</v>
      </c>
      <c r="BW6" s="129">
        <v>1963</v>
      </c>
      <c r="BX6" s="129">
        <v>1880</v>
      </c>
      <c r="BY6" s="129">
        <v>1886</v>
      </c>
      <c r="BZ6" s="129">
        <v>1970</v>
      </c>
      <c r="CA6" s="129">
        <v>1965</v>
      </c>
      <c r="CB6" s="129">
        <v>1942</v>
      </c>
      <c r="CC6" s="129">
        <v>1990</v>
      </c>
      <c r="CD6" s="129">
        <v>1995</v>
      </c>
      <c r="CE6" s="129">
        <v>2062</v>
      </c>
      <c r="CF6" s="129">
        <v>2089</v>
      </c>
      <c r="CG6" s="129">
        <v>2010</v>
      </c>
      <c r="CH6" s="129">
        <v>2068</v>
      </c>
      <c r="CI6" s="129">
        <v>2037</v>
      </c>
      <c r="CJ6" s="129">
        <v>1985</v>
      </c>
      <c r="CK6" s="129">
        <v>2000</v>
      </c>
      <c r="CL6" s="129">
        <v>1995</v>
      </c>
      <c r="CM6" s="129">
        <v>2008</v>
      </c>
      <c r="CN6" s="129">
        <v>1972</v>
      </c>
      <c r="CO6" s="129">
        <v>1999</v>
      </c>
      <c r="CP6" s="129">
        <v>1946</v>
      </c>
      <c r="CQ6" s="129">
        <v>1990</v>
      </c>
      <c r="CR6" s="129">
        <v>1967</v>
      </c>
      <c r="CS6" s="129">
        <v>1979</v>
      </c>
      <c r="CT6" s="129">
        <v>1989</v>
      </c>
      <c r="CU6" s="129">
        <v>1980</v>
      </c>
      <c r="CV6" s="129">
        <v>2140</v>
      </c>
      <c r="CW6" s="129">
        <v>2200</v>
      </c>
      <c r="CX6" s="129">
        <v>2274</v>
      </c>
      <c r="CY6" s="129">
        <v>2155</v>
      </c>
      <c r="CZ6" s="129">
        <v>2237</v>
      </c>
      <c r="DA6" s="129">
        <v>2288</v>
      </c>
      <c r="DB6" s="129">
        <v>2258</v>
      </c>
      <c r="DC6" s="129">
        <v>2238</v>
      </c>
      <c r="DD6" s="129">
        <v>2300</v>
      </c>
      <c r="DE6" s="129">
        <v>2193</v>
      </c>
      <c r="DF6" s="129">
        <v>2206</v>
      </c>
      <c r="DG6" s="129">
        <v>2028</v>
      </c>
      <c r="DH6" s="129">
        <v>2100</v>
      </c>
      <c r="DI6" s="129">
        <v>2101</v>
      </c>
      <c r="DJ6" s="129">
        <v>2161</v>
      </c>
      <c r="DK6" s="129">
        <v>2063</v>
      </c>
      <c r="DL6" s="129">
        <v>2120</v>
      </c>
      <c r="DM6" s="129">
        <v>2076</v>
      </c>
      <c r="DN6" s="129">
        <v>2060</v>
      </c>
      <c r="DO6" s="129">
        <v>2084</v>
      </c>
      <c r="DP6" s="129">
        <v>2074</v>
      </c>
      <c r="DQ6" s="129">
        <v>2093</v>
      </c>
      <c r="DR6" s="129">
        <v>2100</v>
      </c>
      <c r="DS6" s="129">
        <v>2095</v>
      </c>
      <c r="DT6" s="129">
        <v>2082</v>
      </c>
      <c r="DU6" s="129">
        <v>2124</v>
      </c>
      <c r="DV6" s="129">
        <v>2070</v>
      </c>
      <c r="DW6" s="129">
        <v>2075</v>
      </c>
      <c r="DX6" s="129">
        <v>1998</v>
      </c>
      <c r="DY6" s="129">
        <v>1915</v>
      </c>
      <c r="DZ6" s="129">
        <v>1943</v>
      </c>
      <c r="EA6" s="129">
        <v>1918</v>
      </c>
      <c r="EB6" s="129">
        <v>1857</v>
      </c>
      <c r="EC6" s="129">
        <v>1900</v>
      </c>
      <c r="ED6" s="129">
        <v>1931</v>
      </c>
      <c r="EE6" s="129">
        <v>1946</v>
      </c>
      <c r="EF6" s="129">
        <v>1921</v>
      </c>
      <c r="EG6" s="129">
        <v>1897</v>
      </c>
      <c r="EH6" s="129">
        <v>1923</v>
      </c>
      <c r="EI6" s="129">
        <v>1895</v>
      </c>
      <c r="EJ6" s="129">
        <v>1902</v>
      </c>
      <c r="EK6" s="129">
        <v>1878</v>
      </c>
      <c r="EL6" s="129">
        <v>1900</v>
      </c>
      <c r="EM6" s="129">
        <v>1905</v>
      </c>
      <c r="EN6" s="129">
        <v>1937</v>
      </c>
      <c r="EO6" s="129">
        <v>1931</v>
      </c>
      <c r="EP6" s="129">
        <v>1962</v>
      </c>
      <c r="EQ6" s="129">
        <v>2070</v>
      </c>
      <c r="ER6" s="129">
        <v>2001</v>
      </c>
      <c r="ES6" s="129">
        <v>1985</v>
      </c>
      <c r="ET6" s="129">
        <v>1890</v>
      </c>
      <c r="EU6" s="129">
        <v>1883</v>
      </c>
      <c r="EV6" s="129">
        <v>1898</v>
      </c>
      <c r="EW6" s="129">
        <v>1912</v>
      </c>
    </row>
    <row r="7" spans="1:153" x14ac:dyDescent="0.25">
      <c r="A7" s="357" t="str">
        <f>IPO監視一覧!H7</f>
        <v>C</v>
      </c>
      <c r="B7" s="92" t="str">
        <f>IPO監視一覧!B7</f>
        <v>ピーバンドットコム</v>
      </c>
      <c r="C7" s="332">
        <f>株価一覧!E6</f>
        <v>1792</v>
      </c>
      <c r="D7" s="354">
        <f t="shared" ca="1" si="0"/>
        <v>1814.6</v>
      </c>
      <c r="E7" s="330">
        <f t="shared" ca="1" si="1"/>
        <v>1846.5</v>
      </c>
      <c r="F7" s="331">
        <f t="shared" ca="1" si="2"/>
        <v>1792</v>
      </c>
      <c r="G7" s="129">
        <v>0</v>
      </c>
      <c r="H7" s="129">
        <v>0</v>
      </c>
      <c r="I7" s="129">
        <v>0</v>
      </c>
      <c r="J7" s="129">
        <v>0</v>
      </c>
      <c r="K7" s="129">
        <v>0</v>
      </c>
      <c r="L7" s="129">
        <v>0</v>
      </c>
      <c r="M7" s="129">
        <v>0</v>
      </c>
      <c r="N7" s="129">
        <v>0</v>
      </c>
      <c r="O7" s="131">
        <v>2850</v>
      </c>
      <c r="P7" s="127">
        <v>3350</v>
      </c>
      <c r="Q7" s="127">
        <v>2866</v>
      </c>
      <c r="R7" s="130">
        <v>3050</v>
      </c>
      <c r="S7" s="127">
        <v>2825</v>
      </c>
      <c r="T7" s="127">
        <v>2883</v>
      </c>
      <c r="U7" s="127">
        <v>2720</v>
      </c>
      <c r="V7" s="127">
        <v>2560</v>
      </c>
      <c r="W7" s="127">
        <v>2472</v>
      </c>
      <c r="X7" s="127">
        <v>2660</v>
      </c>
      <c r="Y7" s="129">
        <v>2640</v>
      </c>
      <c r="Z7" s="127">
        <v>2488</v>
      </c>
      <c r="AA7" s="127">
        <v>2381</v>
      </c>
      <c r="AB7" s="129">
        <v>2414</v>
      </c>
      <c r="AC7" s="129">
        <v>2454</v>
      </c>
      <c r="AD7" s="129">
        <v>2525</v>
      </c>
      <c r="AE7" s="129">
        <v>2738</v>
      </c>
      <c r="AF7" s="129">
        <v>2468</v>
      </c>
      <c r="AG7" s="127">
        <v>2515</v>
      </c>
      <c r="AH7" s="127">
        <v>2489</v>
      </c>
      <c r="AI7" s="127">
        <v>2318</v>
      </c>
      <c r="AJ7" s="127">
        <v>2140</v>
      </c>
      <c r="AK7" s="127">
        <v>2150</v>
      </c>
      <c r="AL7" s="127">
        <v>2053</v>
      </c>
      <c r="AM7" s="127">
        <v>2158</v>
      </c>
      <c r="AN7" s="127">
        <v>2179</v>
      </c>
      <c r="AO7" s="127">
        <v>2175</v>
      </c>
      <c r="AP7" s="127">
        <v>2312</v>
      </c>
      <c r="AQ7" s="127">
        <v>2262</v>
      </c>
      <c r="AR7" s="127">
        <v>2217</v>
      </c>
      <c r="AS7" s="127">
        <v>2214</v>
      </c>
      <c r="AT7" s="127">
        <v>2260</v>
      </c>
      <c r="AU7" s="127">
        <v>2485</v>
      </c>
      <c r="AV7" s="127">
        <v>2415</v>
      </c>
      <c r="AW7" s="127">
        <v>2490</v>
      </c>
      <c r="AX7" s="127">
        <v>2473</v>
      </c>
      <c r="AY7" s="127">
        <v>2440</v>
      </c>
      <c r="AZ7" s="127">
        <v>2449</v>
      </c>
      <c r="BA7" s="127">
        <v>2460</v>
      </c>
      <c r="BB7" s="127">
        <v>2435</v>
      </c>
      <c r="BC7" s="127">
        <v>2418</v>
      </c>
      <c r="BD7" s="127">
        <v>2330</v>
      </c>
      <c r="BE7" s="127">
        <v>2255</v>
      </c>
      <c r="BF7" s="127">
        <v>2263</v>
      </c>
      <c r="BG7" s="127">
        <v>2212</v>
      </c>
      <c r="BH7" s="127">
        <v>2250</v>
      </c>
      <c r="BI7" s="127">
        <v>2298</v>
      </c>
      <c r="BJ7" s="127">
        <v>2340</v>
      </c>
      <c r="BK7" s="127">
        <v>2335</v>
      </c>
      <c r="BL7" s="127">
        <v>2307</v>
      </c>
      <c r="BM7" s="127">
        <v>2305</v>
      </c>
      <c r="BN7" s="127">
        <v>2470</v>
      </c>
      <c r="BO7" s="127">
        <v>2437</v>
      </c>
      <c r="BP7" s="127">
        <v>2410</v>
      </c>
      <c r="BQ7" s="129">
        <v>2370</v>
      </c>
      <c r="BR7" s="129">
        <v>2415</v>
      </c>
      <c r="BS7" s="129">
        <v>2390</v>
      </c>
      <c r="BT7" s="129">
        <v>2319</v>
      </c>
      <c r="BU7" s="129">
        <v>2318</v>
      </c>
      <c r="BV7" s="129">
        <v>2280</v>
      </c>
      <c r="BW7" s="129">
        <v>2262</v>
      </c>
      <c r="BX7" s="129">
        <v>2208</v>
      </c>
      <c r="BY7" s="129">
        <v>2242</v>
      </c>
      <c r="BZ7" s="129">
        <v>2245</v>
      </c>
      <c r="CA7" s="129">
        <v>2243</v>
      </c>
      <c r="CB7" s="129">
        <v>2208</v>
      </c>
      <c r="CC7" s="129">
        <v>2292</v>
      </c>
      <c r="CD7" s="129">
        <v>2283</v>
      </c>
      <c r="CE7" s="129">
        <v>2244</v>
      </c>
      <c r="CF7" s="129">
        <v>2204</v>
      </c>
      <c r="CG7" s="129">
        <v>2221</v>
      </c>
      <c r="CH7" s="129">
        <v>2177</v>
      </c>
      <c r="CI7" s="129">
        <v>2170</v>
      </c>
      <c r="CJ7" s="129">
        <v>2205</v>
      </c>
      <c r="CK7" s="129">
        <v>2230</v>
      </c>
      <c r="CL7" s="129">
        <v>2216</v>
      </c>
      <c r="CM7" s="129">
        <v>2167</v>
      </c>
      <c r="CN7" s="129">
        <v>2175</v>
      </c>
      <c r="CO7" s="129">
        <v>2217</v>
      </c>
      <c r="CP7" s="129">
        <v>2217</v>
      </c>
      <c r="CQ7" s="129">
        <v>2185</v>
      </c>
      <c r="CR7" s="129">
        <v>2156</v>
      </c>
      <c r="CS7" s="129">
        <v>2158</v>
      </c>
      <c r="CT7" s="129">
        <v>2144</v>
      </c>
      <c r="CU7" s="129">
        <v>2111</v>
      </c>
      <c r="CV7" s="129">
        <v>2076</v>
      </c>
      <c r="CW7" s="129">
        <v>2138</v>
      </c>
      <c r="CX7" s="129">
        <v>2128</v>
      </c>
      <c r="CY7" s="129">
        <v>2213</v>
      </c>
      <c r="CZ7" s="129">
        <v>2226</v>
      </c>
      <c r="DA7" s="129">
        <v>2239</v>
      </c>
      <c r="DB7" s="129">
        <v>2218</v>
      </c>
      <c r="DC7" s="129">
        <v>2215</v>
      </c>
      <c r="DD7" s="129">
        <v>2200</v>
      </c>
      <c r="DE7" s="129">
        <v>2155</v>
      </c>
      <c r="DF7" s="129">
        <v>2107</v>
      </c>
      <c r="DG7" s="129">
        <v>2018</v>
      </c>
      <c r="DH7" s="129">
        <v>2021</v>
      </c>
      <c r="DI7" s="129">
        <v>2012</v>
      </c>
      <c r="DJ7" s="129">
        <v>1980</v>
      </c>
      <c r="DK7" s="129">
        <v>1905</v>
      </c>
      <c r="DL7" s="129">
        <v>1971</v>
      </c>
      <c r="DM7" s="129">
        <v>1933</v>
      </c>
      <c r="DN7" s="129">
        <v>1904</v>
      </c>
      <c r="DO7" s="129">
        <v>1866</v>
      </c>
      <c r="DP7" s="129">
        <v>1871</v>
      </c>
      <c r="DQ7" s="129">
        <v>1881</v>
      </c>
      <c r="DR7" s="129">
        <v>1904</v>
      </c>
      <c r="DS7" s="129">
        <v>1932</v>
      </c>
      <c r="DT7" s="129">
        <v>1929</v>
      </c>
      <c r="DU7" s="129">
        <v>1902</v>
      </c>
      <c r="DV7" s="129">
        <v>1885</v>
      </c>
      <c r="DW7" s="129">
        <v>1872</v>
      </c>
      <c r="DX7" s="129">
        <v>1835</v>
      </c>
      <c r="DY7" s="129">
        <v>1709</v>
      </c>
      <c r="DZ7" s="129">
        <v>1695</v>
      </c>
      <c r="EA7" s="129">
        <v>1675</v>
      </c>
      <c r="EB7" s="129">
        <v>1666</v>
      </c>
      <c r="EC7" s="129">
        <v>1670</v>
      </c>
      <c r="ED7" s="129">
        <v>1689</v>
      </c>
      <c r="EE7" s="129">
        <v>1673</v>
      </c>
      <c r="EF7" s="129">
        <v>1664</v>
      </c>
      <c r="EG7" s="129">
        <v>1676</v>
      </c>
      <c r="EH7" s="129">
        <v>1695</v>
      </c>
      <c r="EI7" s="129">
        <v>1711</v>
      </c>
      <c r="EJ7" s="129">
        <v>1716</v>
      </c>
      <c r="EK7" s="129">
        <v>1741</v>
      </c>
      <c r="EL7" s="129">
        <v>1757</v>
      </c>
      <c r="EM7" s="129">
        <v>1786</v>
      </c>
      <c r="EN7" s="129">
        <v>1891</v>
      </c>
      <c r="EO7" s="129">
        <v>1873</v>
      </c>
      <c r="EP7" s="129">
        <v>1849</v>
      </c>
      <c r="EQ7" s="129">
        <v>1875</v>
      </c>
      <c r="ER7" s="129">
        <v>1904</v>
      </c>
      <c r="ES7" s="129">
        <v>1850</v>
      </c>
      <c r="ET7" s="129">
        <v>1810</v>
      </c>
      <c r="EU7" s="129">
        <v>1810</v>
      </c>
      <c r="EV7" s="129">
        <v>1811</v>
      </c>
      <c r="EW7" s="129">
        <v>1792</v>
      </c>
    </row>
    <row r="8" spans="1:153" x14ac:dyDescent="0.25">
      <c r="A8" s="357" t="str">
        <f>IPO監視一覧!H8</f>
        <v>A</v>
      </c>
      <c r="B8" s="84" t="str">
        <f>IPO監視一覧!B8</f>
        <v>ファイズ</v>
      </c>
      <c r="C8" s="332">
        <f>株価一覧!E7</f>
        <v>2620</v>
      </c>
      <c r="D8" s="354">
        <f t="shared" ca="1" si="0"/>
        <v>2649.6</v>
      </c>
      <c r="E8" s="330">
        <f t="shared" ca="1" si="1"/>
        <v>2743</v>
      </c>
      <c r="F8" s="331">
        <f t="shared" ca="1" si="2"/>
        <v>2602</v>
      </c>
      <c r="G8" s="129">
        <v>0</v>
      </c>
      <c r="H8" s="129">
        <v>0</v>
      </c>
      <c r="I8" s="129">
        <v>0</v>
      </c>
      <c r="J8" s="129">
        <v>0</v>
      </c>
      <c r="K8" s="129">
        <v>0</v>
      </c>
      <c r="L8" s="129">
        <v>0</v>
      </c>
      <c r="M8" s="129">
        <v>0</v>
      </c>
      <c r="N8" s="129">
        <v>0</v>
      </c>
      <c r="O8" s="129">
        <v>0</v>
      </c>
      <c r="P8" s="129">
        <v>0</v>
      </c>
      <c r="Q8" s="129">
        <v>0</v>
      </c>
      <c r="R8" s="129">
        <v>0</v>
      </c>
      <c r="S8" s="129">
        <v>0</v>
      </c>
      <c r="T8" s="131">
        <v>3950</v>
      </c>
      <c r="U8" s="127">
        <v>3670</v>
      </c>
      <c r="V8" s="127">
        <v>3400</v>
      </c>
      <c r="W8" s="129">
        <v>4100</v>
      </c>
      <c r="X8" s="127">
        <v>4265</v>
      </c>
      <c r="Y8" s="129">
        <v>4165</v>
      </c>
      <c r="Z8" s="127">
        <v>4130</v>
      </c>
      <c r="AA8" s="127">
        <v>4165</v>
      </c>
      <c r="AB8" s="129">
        <v>4395</v>
      </c>
      <c r="AC8" s="129">
        <v>5100</v>
      </c>
      <c r="AD8" s="129">
        <v>6100</v>
      </c>
      <c r="AE8" s="129">
        <v>6200</v>
      </c>
      <c r="AF8" s="129">
        <v>6770</v>
      </c>
      <c r="AG8" s="127">
        <v>7450</v>
      </c>
      <c r="AH8" s="127">
        <v>8250</v>
      </c>
      <c r="AI8" s="127">
        <v>7550</v>
      </c>
      <c r="AJ8" s="127">
        <v>6360</v>
      </c>
      <c r="AK8" s="127">
        <v>6600</v>
      </c>
      <c r="AL8" s="127">
        <v>5600</v>
      </c>
      <c r="AM8" s="127">
        <v>5890</v>
      </c>
      <c r="AN8" s="127">
        <v>6760</v>
      </c>
      <c r="AO8" s="127">
        <v>7400</v>
      </c>
      <c r="AP8" s="127">
        <v>7280</v>
      </c>
      <c r="AQ8" s="127">
        <v>7000</v>
      </c>
      <c r="AR8" s="127">
        <v>6450</v>
      </c>
      <c r="AS8" s="127">
        <v>7150</v>
      </c>
      <c r="AT8" s="127">
        <v>7030</v>
      </c>
      <c r="AU8" s="127">
        <v>7030</v>
      </c>
      <c r="AV8" s="127">
        <v>7070</v>
      </c>
      <c r="AW8" s="127">
        <v>7780</v>
      </c>
      <c r="AX8" s="127">
        <v>7790</v>
      </c>
      <c r="AY8" s="127">
        <v>8090</v>
      </c>
      <c r="AZ8" s="127">
        <v>8450</v>
      </c>
      <c r="BA8" s="127">
        <v>8350</v>
      </c>
      <c r="BB8" s="127">
        <v>8180</v>
      </c>
      <c r="BC8" s="127">
        <v>8180</v>
      </c>
      <c r="BD8" s="127">
        <v>7970</v>
      </c>
      <c r="BE8" s="127">
        <v>7700</v>
      </c>
      <c r="BF8" s="127">
        <v>8150</v>
      </c>
      <c r="BG8" s="127">
        <v>8000</v>
      </c>
      <c r="BH8" s="127">
        <v>7980</v>
      </c>
      <c r="BI8" s="127">
        <v>7920</v>
      </c>
      <c r="BJ8" s="127">
        <v>7720</v>
      </c>
      <c r="BK8" s="127">
        <v>8080</v>
      </c>
      <c r="BL8" s="127">
        <v>7870</v>
      </c>
      <c r="BM8" s="127">
        <v>7750</v>
      </c>
      <c r="BN8" s="127">
        <v>7940</v>
      </c>
      <c r="BO8" s="127">
        <v>7960</v>
      </c>
      <c r="BP8" s="127">
        <v>7900</v>
      </c>
      <c r="BQ8" s="129">
        <v>7840</v>
      </c>
      <c r="BR8" s="129">
        <v>7400</v>
      </c>
      <c r="BS8" s="129">
        <v>7350</v>
      </c>
      <c r="BT8" s="129">
        <v>6920</v>
      </c>
      <c r="BU8" s="129">
        <v>7070</v>
      </c>
      <c r="BV8" s="129">
        <v>6810</v>
      </c>
      <c r="BW8" s="129">
        <v>6770</v>
      </c>
      <c r="BX8" s="129">
        <v>6610</v>
      </c>
      <c r="BY8" s="129">
        <v>6400</v>
      </c>
      <c r="BZ8" s="129">
        <v>6530</v>
      </c>
      <c r="CA8" s="129">
        <v>6490</v>
      </c>
      <c r="CB8" s="129">
        <v>6550</v>
      </c>
      <c r="CC8" s="129">
        <v>6520</v>
      </c>
      <c r="CD8" s="129">
        <v>6530</v>
      </c>
      <c r="CE8" s="129">
        <v>7130</v>
      </c>
      <c r="CF8" s="129">
        <v>8100</v>
      </c>
      <c r="CG8" s="129">
        <v>7620</v>
      </c>
      <c r="CH8" s="129">
        <v>7500</v>
      </c>
      <c r="CI8" s="129">
        <v>7450</v>
      </c>
      <c r="CJ8" s="129">
        <v>7010</v>
      </c>
      <c r="CK8" s="129">
        <v>7100</v>
      </c>
      <c r="CL8" s="129">
        <v>6950</v>
      </c>
      <c r="CM8" s="129">
        <v>6880</v>
      </c>
      <c r="CN8" s="129">
        <v>6630</v>
      </c>
      <c r="CO8" s="129">
        <v>6580</v>
      </c>
      <c r="CP8" s="129">
        <v>6750</v>
      </c>
      <c r="CQ8" s="129">
        <v>6900</v>
      </c>
      <c r="CR8" s="129">
        <v>6810</v>
      </c>
      <c r="CS8" s="129">
        <v>6910</v>
      </c>
      <c r="CT8" s="129">
        <v>6880</v>
      </c>
      <c r="CU8" s="129">
        <v>6820</v>
      </c>
      <c r="CV8" s="129">
        <v>6700</v>
      </c>
      <c r="CW8" s="129">
        <v>6610</v>
      </c>
      <c r="CX8" s="129">
        <v>6620</v>
      </c>
      <c r="CY8" s="129">
        <v>6650</v>
      </c>
      <c r="CZ8" s="129">
        <v>6770</v>
      </c>
      <c r="DA8" s="129">
        <v>6710</v>
      </c>
      <c r="DB8" s="129">
        <v>6780</v>
      </c>
      <c r="DC8" s="129">
        <v>6710</v>
      </c>
      <c r="DD8" s="129">
        <v>6650</v>
      </c>
      <c r="DE8" s="129">
        <v>6530</v>
      </c>
      <c r="DF8" s="129">
        <v>6690</v>
      </c>
      <c r="DG8" s="129">
        <v>6440</v>
      </c>
      <c r="DH8" s="129">
        <v>6510</v>
      </c>
      <c r="DI8" s="129">
        <v>6480</v>
      </c>
      <c r="DJ8" s="129">
        <v>6650</v>
      </c>
      <c r="DK8" s="129">
        <v>5950</v>
      </c>
      <c r="DL8" s="129">
        <v>5830</v>
      </c>
      <c r="DM8" s="129">
        <v>5790</v>
      </c>
      <c r="DN8" s="129">
        <v>6050</v>
      </c>
      <c r="DO8" s="129">
        <v>6030</v>
      </c>
      <c r="DP8" s="129">
        <v>6010</v>
      </c>
      <c r="DQ8" s="129">
        <v>5990</v>
      </c>
      <c r="DR8" s="129">
        <v>5950</v>
      </c>
      <c r="DS8" s="129">
        <v>6090</v>
      </c>
      <c r="DT8" s="129">
        <v>6070</v>
      </c>
      <c r="DU8" s="129">
        <v>6220</v>
      </c>
      <c r="DV8" s="129">
        <v>6270</v>
      </c>
      <c r="DW8" s="129">
        <v>6210</v>
      </c>
      <c r="DX8" s="129">
        <v>5900</v>
      </c>
      <c r="DY8" s="129">
        <v>5550</v>
      </c>
      <c r="DZ8" s="129">
        <v>5370</v>
      </c>
      <c r="EA8" s="129">
        <v>5410</v>
      </c>
      <c r="EB8" s="129">
        <v>5580</v>
      </c>
      <c r="EC8" s="129">
        <v>5780</v>
      </c>
      <c r="ED8" s="129">
        <v>5700</v>
      </c>
      <c r="EE8" s="129">
        <v>5730</v>
      </c>
      <c r="EF8" s="129">
        <v>5640</v>
      </c>
      <c r="EG8" s="129">
        <v>5590</v>
      </c>
      <c r="EH8" s="129">
        <v>5550</v>
      </c>
      <c r="EI8" s="129">
        <v>5630</v>
      </c>
      <c r="EJ8" s="129">
        <v>6090</v>
      </c>
      <c r="EK8" s="129">
        <v>6060</v>
      </c>
      <c r="EL8" s="129">
        <v>5920</v>
      </c>
      <c r="EM8" s="129">
        <v>5720</v>
      </c>
      <c r="EN8" s="129">
        <v>2808</v>
      </c>
      <c r="EO8" s="129">
        <v>2885</v>
      </c>
      <c r="EP8" s="129">
        <v>2820</v>
      </c>
      <c r="EQ8" s="129">
        <v>2844</v>
      </c>
      <c r="ER8" s="129">
        <v>2825</v>
      </c>
      <c r="ES8" s="129">
        <v>2769</v>
      </c>
      <c r="ET8" s="129">
        <v>2602</v>
      </c>
      <c r="EU8" s="129">
        <v>2607</v>
      </c>
      <c r="EV8" s="129">
        <v>2650</v>
      </c>
      <c r="EW8" s="129">
        <v>2620</v>
      </c>
    </row>
    <row r="9" spans="1:153" x14ac:dyDescent="0.25">
      <c r="A9" s="357" t="str">
        <f>IPO監視一覧!H9</f>
        <v>D</v>
      </c>
      <c r="B9" s="84" t="str">
        <f>IPO監視一覧!B9</f>
        <v>うるる</v>
      </c>
      <c r="C9" s="332">
        <f>株価一覧!E8</f>
        <v>3725</v>
      </c>
      <c r="D9" s="354">
        <f t="shared" ca="1" si="0"/>
        <v>3718</v>
      </c>
      <c r="E9" s="330">
        <f t="shared" ca="1" si="1"/>
        <v>3729</v>
      </c>
      <c r="F9" s="331">
        <f t="shared" ca="1" si="2"/>
        <v>3630</v>
      </c>
      <c r="G9" s="129">
        <v>0</v>
      </c>
      <c r="H9" s="129">
        <v>0</v>
      </c>
      <c r="I9" s="129">
        <v>0</v>
      </c>
      <c r="J9" s="129">
        <v>0</v>
      </c>
      <c r="K9" s="129">
        <v>0</v>
      </c>
      <c r="L9" s="129">
        <v>0</v>
      </c>
      <c r="M9" s="129">
        <v>0</v>
      </c>
      <c r="N9" s="129">
        <v>0</v>
      </c>
      <c r="O9" s="129">
        <v>0</v>
      </c>
      <c r="P9" s="129">
        <v>0</v>
      </c>
      <c r="Q9" s="129">
        <v>0</v>
      </c>
      <c r="R9" s="129">
        <v>0</v>
      </c>
      <c r="S9" s="129">
        <v>0</v>
      </c>
      <c r="T9" s="131">
        <v>3480</v>
      </c>
      <c r="U9" s="127">
        <v>3690</v>
      </c>
      <c r="V9" s="127">
        <v>3510</v>
      </c>
      <c r="W9" s="129">
        <v>3630</v>
      </c>
      <c r="X9" s="127">
        <v>4020</v>
      </c>
      <c r="Y9" s="129">
        <v>3950</v>
      </c>
      <c r="Z9" s="127">
        <v>4075</v>
      </c>
      <c r="AA9" s="127">
        <v>3770</v>
      </c>
      <c r="AB9" s="129">
        <v>3790</v>
      </c>
      <c r="AC9" s="129">
        <v>3780</v>
      </c>
      <c r="AD9" s="129">
        <v>3995</v>
      </c>
      <c r="AE9" s="129">
        <v>3885</v>
      </c>
      <c r="AF9" s="129">
        <v>3400</v>
      </c>
      <c r="AG9" s="127">
        <v>3450</v>
      </c>
      <c r="AH9" s="127">
        <v>3525</v>
      </c>
      <c r="AI9" s="127">
        <v>3365</v>
      </c>
      <c r="AJ9" s="127">
        <v>3105</v>
      </c>
      <c r="AK9" s="127">
        <v>3115</v>
      </c>
      <c r="AL9" s="127">
        <v>3040</v>
      </c>
      <c r="AM9" s="127">
        <v>3440</v>
      </c>
      <c r="AN9" s="127">
        <v>3495</v>
      </c>
      <c r="AO9" s="127">
        <v>3610</v>
      </c>
      <c r="AP9" s="127">
        <v>3630</v>
      </c>
      <c r="AQ9" s="127">
        <v>3530</v>
      </c>
      <c r="AR9" s="127">
        <v>3535</v>
      </c>
      <c r="AS9" s="127">
        <v>3625</v>
      </c>
      <c r="AT9" s="127">
        <v>3910</v>
      </c>
      <c r="AU9" s="127">
        <v>3870</v>
      </c>
      <c r="AV9" s="127">
        <v>3940</v>
      </c>
      <c r="AW9" s="127">
        <v>3890</v>
      </c>
      <c r="AX9" s="127">
        <v>3755</v>
      </c>
      <c r="AY9" s="127">
        <v>3735</v>
      </c>
      <c r="AZ9" s="127">
        <v>3710</v>
      </c>
      <c r="BA9" s="127">
        <v>3795</v>
      </c>
      <c r="BB9" s="127">
        <v>4000</v>
      </c>
      <c r="BC9" s="127">
        <v>3950</v>
      </c>
      <c r="BD9" s="127">
        <v>3865</v>
      </c>
      <c r="BE9" s="127">
        <v>4080</v>
      </c>
      <c r="BF9" s="127">
        <v>4375</v>
      </c>
      <c r="BG9" s="127">
        <v>4265</v>
      </c>
      <c r="BH9" s="127">
        <v>4395</v>
      </c>
      <c r="BI9" s="127">
        <v>4715</v>
      </c>
      <c r="BJ9" s="127">
        <v>4560</v>
      </c>
      <c r="BK9" s="127">
        <v>4605</v>
      </c>
      <c r="BL9" s="127">
        <v>4915</v>
      </c>
      <c r="BM9" s="127">
        <v>4785</v>
      </c>
      <c r="BN9" s="127">
        <v>5050</v>
      </c>
      <c r="BO9" s="127">
        <v>5110</v>
      </c>
      <c r="BP9" s="127">
        <v>5210</v>
      </c>
      <c r="BQ9" s="129">
        <v>5450</v>
      </c>
      <c r="BR9" s="129">
        <v>5210</v>
      </c>
      <c r="BS9" s="129">
        <v>5280</v>
      </c>
      <c r="BT9" s="129">
        <v>4925</v>
      </c>
      <c r="BU9" s="129">
        <v>5050</v>
      </c>
      <c r="BV9" s="129">
        <v>5070</v>
      </c>
      <c r="BW9" s="129">
        <v>5270</v>
      </c>
      <c r="BX9" s="129">
        <v>5090</v>
      </c>
      <c r="BY9" s="129">
        <v>5030</v>
      </c>
      <c r="BZ9" s="129">
        <v>4845</v>
      </c>
      <c r="CA9" s="129">
        <v>4760</v>
      </c>
      <c r="CB9" s="129">
        <v>4595</v>
      </c>
      <c r="CC9" s="129">
        <v>4765</v>
      </c>
      <c r="CD9" s="129">
        <v>5020</v>
      </c>
      <c r="CE9" s="129">
        <v>4995</v>
      </c>
      <c r="CF9" s="129">
        <v>5290</v>
      </c>
      <c r="CG9" s="129">
        <v>5100</v>
      </c>
      <c r="CH9" s="129">
        <v>5190</v>
      </c>
      <c r="CI9" s="129">
        <v>5200</v>
      </c>
      <c r="CJ9" s="129">
        <v>4925</v>
      </c>
      <c r="CK9" s="129">
        <v>4820</v>
      </c>
      <c r="CL9" s="129">
        <v>4775</v>
      </c>
      <c r="CM9" s="129">
        <v>4895</v>
      </c>
      <c r="CN9" s="129">
        <v>4885</v>
      </c>
      <c r="CO9" s="129">
        <v>4935</v>
      </c>
      <c r="CP9" s="129">
        <v>4890</v>
      </c>
      <c r="CQ9" s="129">
        <v>4900</v>
      </c>
      <c r="CR9" s="129">
        <v>4995</v>
      </c>
      <c r="CS9" s="129">
        <v>5190</v>
      </c>
      <c r="CT9" s="129">
        <v>5030</v>
      </c>
      <c r="CU9" s="129">
        <v>5000</v>
      </c>
      <c r="CV9" s="129">
        <v>5230</v>
      </c>
      <c r="CW9" s="129">
        <v>5180</v>
      </c>
      <c r="CX9" s="129">
        <v>5160</v>
      </c>
      <c r="CY9" s="129">
        <v>5090</v>
      </c>
      <c r="CZ9" s="129">
        <v>5000</v>
      </c>
      <c r="DA9" s="129">
        <v>5050</v>
      </c>
      <c r="DB9" s="129">
        <v>5000</v>
      </c>
      <c r="DC9" s="129">
        <v>5100</v>
      </c>
      <c r="DD9" s="129">
        <v>5080</v>
      </c>
      <c r="DE9" s="129">
        <v>4950</v>
      </c>
      <c r="DF9" s="129">
        <v>4920</v>
      </c>
      <c r="DG9" s="129">
        <v>4695</v>
      </c>
      <c r="DH9" s="129">
        <v>4750</v>
      </c>
      <c r="DI9" s="129">
        <v>4510</v>
      </c>
      <c r="DJ9" s="129">
        <v>4660</v>
      </c>
      <c r="DK9" s="129">
        <v>3815</v>
      </c>
      <c r="DL9" s="129">
        <v>3680</v>
      </c>
      <c r="DM9" s="129">
        <v>3660</v>
      </c>
      <c r="DN9" s="129">
        <v>3690</v>
      </c>
      <c r="DO9" s="129">
        <v>3930</v>
      </c>
      <c r="DP9" s="129">
        <v>4040</v>
      </c>
      <c r="DQ9" s="129">
        <v>3975</v>
      </c>
      <c r="DR9" s="129">
        <v>3980</v>
      </c>
      <c r="DS9" s="129">
        <v>4100</v>
      </c>
      <c r="DT9" s="129">
        <v>4120</v>
      </c>
      <c r="DU9" s="129">
        <v>4070</v>
      </c>
      <c r="DV9" s="129">
        <v>4030</v>
      </c>
      <c r="DW9" s="129">
        <v>3970</v>
      </c>
      <c r="DX9" s="129">
        <v>3750</v>
      </c>
      <c r="DY9" s="129">
        <v>3580</v>
      </c>
      <c r="DZ9" s="129">
        <v>3630</v>
      </c>
      <c r="EA9" s="129">
        <v>3520</v>
      </c>
      <c r="EB9" s="129">
        <v>3575</v>
      </c>
      <c r="EC9" s="129">
        <v>3540</v>
      </c>
      <c r="ED9" s="129">
        <v>3705</v>
      </c>
      <c r="EE9" s="129">
        <v>3695</v>
      </c>
      <c r="EF9" s="129">
        <v>3570</v>
      </c>
      <c r="EG9" s="129">
        <v>3630</v>
      </c>
      <c r="EH9" s="129">
        <v>3725</v>
      </c>
      <c r="EI9" s="129">
        <v>3665</v>
      </c>
      <c r="EJ9" s="129">
        <v>3790</v>
      </c>
      <c r="EK9" s="129">
        <v>3635</v>
      </c>
      <c r="EL9" s="129">
        <v>3730</v>
      </c>
      <c r="EM9" s="129">
        <v>3610</v>
      </c>
      <c r="EN9" s="129">
        <v>3660</v>
      </c>
      <c r="EO9" s="129">
        <v>3640</v>
      </c>
      <c r="EP9" s="129">
        <v>3700</v>
      </c>
      <c r="EQ9" s="129">
        <v>3840</v>
      </c>
      <c r="ER9" s="129">
        <v>3860</v>
      </c>
      <c r="ES9" s="129">
        <v>3855</v>
      </c>
      <c r="ET9" s="129">
        <v>3705</v>
      </c>
      <c r="EU9" s="129">
        <v>3675</v>
      </c>
      <c r="EV9" s="129">
        <v>3630</v>
      </c>
      <c r="EW9" s="129">
        <v>3725</v>
      </c>
    </row>
    <row r="10" spans="1:153" x14ac:dyDescent="0.25">
      <c r="A10" s="357" t="str">
        <f>IPO監視一覧!H10</f>
        <v>A</v>
      </c>
      <c r="B10" s="84" t="str">
        <f>IPO監視一覧!B10</f>
        <v>ほぼ日</v>
      </c>
      <c r="C10" s="332">
        <f>株価一覧!E9</f>
        <v>5300</v>
      </c>
      <c r="D10" s="354">
        <f t="shared" ca="1" si="0"/>
        <v>5300</v>
      </c>
      <c r="E10" s="330">
        <f t="shared" ca="1" si="1"/>
        <v>5321</v>
      </c>
      <c r="F10" s="331">
        <f t="shared" ca="1" si="2"/>
        <v>5280</v>
      </c>
      <c r="G10" s="129">
        <v>0</v>
      </c>
      <c r="H10" s="129">
        <v>0</v>
      </c>
      <c r="I10" s="129">
        <v>0</v>
      </c>
      <c r="J10" s="129">
        <v>0</v>
      </c>
      <c r="K10" s="129">
        <v>0</v>
      </c>
      <c r="L10" s="129">
        <v>0</v>
      </c>
      <c r="M10" s="129">
        <v>0</v>
      </c>
      <c r="N10" s="129">
        <v>0</v>
      </c>
      <c r="O10" s="129">
        <v>0</v>
      </c>
      <c r="P10" s="129">
        <v>0</v>
      </c>
      <c r="Q10" s="129">
        <v>0</v>
      </c>
      <c r="R10" s="129">
        <v>0</v>
      </c>
      <c r="S10" s="129">
        <v>0</v>
      </c>
      <c r="T10" s="129">
        <v>0</v>
      </c>
      <c r="U10" s="131">
        <v>5020</v>
      </c>
      <c r="V10" s="127">
        <v>4435</v>
      </c>
      <c r="W10" s="129">
        <v>4520</v>
      </c>
      <c r="X10" s="127">
        <v>4640</v>
      </c>
      <c r="Y10" s="129">
        <v>4415</v>
      </c>
      <c r="Z10" s="127">
        <v>4320</v>
      </c>
      <c r="AA10" s="127">
        <v>4430</v>
      </c>
      <c r="AB10" s="129">
        <v>4590</v>
      </c>
      <c r="AC10" s="129">
        <v>4440</v>
      </c>
      <c r="AD10" s="129">
        <v>4405</v>
      </c>
      <c r="AE10" s="129">
        <v>4480</v>
      </c>
      <c r="AF10" s="129">
        <v>4315</v>
      </c>
      <c r="AG10" s="127">
        <v>4260</v>
      </c>
      <c r="AH10" s="127">
        <v>4310</v>
      </c>
      <c r="AI10" s="127">
        <v>4300</v>
      </c>
      <c r="AJ10" s="127">
        <v>4245</v>
      </c>
      <c r="AK10" s="127">
        <v>4230</v>
      </c>
      <c r="AL10" s="127">
        <v>4235</v>
      </c>
      <c r="AM10" s="127">
        <v>4350</v>
      </c>
      <c r="AN10" s="127">
        <v>4415</v>
      </c>
      <c r="AO10" s="127">
        <v>4455</v>
      </c>
      <c r="AP10" s="127">
        <v>4540</v>
      </c>
      <c r="AQ10" s="127">
        <v>4405</v>
      </c>
      <c r="AR10" s="127">
        <v>4550</v>
      </c>
      <c r="AS10" s="127">
        <v>4795</v>
      </c>
      <c r="AT10" s="127">
        <v>4945</v>
      </c>
      <c r="AU10" s="127">
        <v>5010</v>
      </c>
      <c r="AV10" s="127">
        <v>5090</v>
      </c>
      <c r="AW10" s="127">
        <v>5050</v>
      </c>
      <c r="AX10" s="127">
        <v>4965</v>
      </c>
      <c r="AY10" s="127">
        <v>5670</v>
      </c>
      <c r="AZ10" s="127">
        <v>5670</v>
      </c>
      <c r="BA10" s="127">
        <v>6290</v>
      </c>
      <c r="BB10" s="127">
        <v>6160</v>
      </c>
      <c r="BC10" s="127">
        <v>5970</v>
      </c>
      <c r="BD10" s="127">
        <v>5850</v>
      </c>
      <c r="BE10" s="127">
        <v>5710</v>
      </c>
      <c r="BF10" s="127">
        <v>5560</v>
      </c>
      <c r="BG10" s="127">
        <v>5600</v>
      </c>
      <c r="BH10" s="127">
        <v>5710</v>
      </c>
      <c r="BI10" s="127">
        <v>5770</v>
      </c>
      <c r="BJ10" s="127">
        <v>5770</v>
      </c>
      <c r="BK10" s="127">
        <v>5830</v>
      </c>
      <c r="BL10" s="127">
        <v>5760</v>
      </c>
      <c r="BM10" s="127">
        <v>5610</v>
      </c>
      <c r="BN10" s="127">
        <v>5450</v>
      </c>
      <c r="BO10" s="127">
        <v>5290</v>
      </c>
      <c r="BP10" s="127">
        <v>5200</v>
      </c>
      <c r="BQ10" s="129">
        <v>5230</v>
      </c>
      <c r="BR10" s="129">
        <v>5300</v>
      </c>
      <c r="BS10" s="129">
        <v>5330</v>
      </c>
      <c r="BT10" s="129">
        <v>5250</v>
      </c>
      <c r="BU10" s="129">
        <v>5240</v>
      </c>
      <c r="BV10" s="129">
        <v>5180</v>
      </c>
      <c r="BW10" s="129">
        <v>5220</v>
      </c>
      <c r="BX10" s="129">
        <v>5120</v>
      </c>
      <c r="BY10" s="129">
        <v>5270</v>
      </c>
      <c r="BZ10" s="129">
        <v>5320</v>
      </c>
      <c r="CA10" s="129">
        <v>5200</v>
      </c>
      <c r="CB10" s="129">
        <v>5220</v>
      </c>
      <c r="CC10" s="129">
        <v>5250</v>
      </c>
      <c r="CD10" s="129">
        <v>5300</v>
      </c>
      <c r="CE10" s="129">
        <v>5230</v>
      </c>
      <c r="CF10" s="129">
        <v>5230</v>
      </c>
      <c r="CG10" s="129">
        <v>5270</v>
      </c>
      <c r="CH10" s="129">
        <v>5380</v>
      </c>
      <c r="CI10" s="129">
        <v>5280</v>
      </c>
      <c r="CJ10" s="129">
        <v>5260</v>
      </c>
      <c r="CK10" s="129">
        <v>5280</v>
      </c>
      <c r="CL10" s="129">
        <v>5200</v>
      </c>
      <c r="CM10" s="129">
        <v>5300</v>
      </c>
      <c r="CN10" s="129">
        <v>5290</v>
      </c>
      <c r="CO10" s="129">
        <v>5270</v>
      </c>
      <c r="CP10" s="129">
        <v>5250</v>
      </c>
      <c r="CQ10" s="129">
        <v>5250</v>
      </c>
      <c r="CR10" s="129">
        <v>5270</v>
      </c>
      <c r="CS10" s="129">
        <v>5270</v>
      </c>
      <c r="CT10" s="129">
        <v>5270</v>
      </c>
      <c r="CU10" s="129">
        <v>5480</v>
      </c>
      <c r="CV10" s="129">
        <v>5300</v>
      </c>
      <c r="CW10" s="129">
        <v>5310</v>
      </c>
      <c r="CX10" s="129">
        <v>5350</v>
      </c>
      <c r="CY10" s="129">
        <v>5420</v>
      </c>
      <c r="CZ10" s="129">
        <v>5410</v>
      </c>
      <c r="DA10" s="129">
        <v>5410</v>
      </c>
      <c r="DB10" s="129">
        <v>5470</v>
      </c>
      <c r="DC10" s="129">
        <v>5470</v>
      </c>
      <c r="DD10" s="129">
        <v>5420</v>
      </c>
      <c r="DE10" s="129">
        <v>5330</v>
      </c>
      <c r="DF10" s="129">
        <v>5300</v>
      </c>
      <c r="DG10" s="129">
        <v>5270</v>
      </c>
      <c r="DH10" s="129">
        <v>5360</v>
      </c>
      <c r="DI10" s="129">
        <v>5340</v>
      </c>
      <c r="DJ10" s="129">
        <v>5370</v>
      </c>
      <c r="DK10" s="129">
        <v>5350</v>
      </c>
      <c r="DL10" s="129">
        <v>5380</v>
      </c>
      <c r="DM10" s="129">
        <v>5370</v>
      </c>
      <c r="DN10" s="129">
        <v>5500</v>
      </c>
      <c r="DO10" s="129">
        <v>5530</v>
      </c>
      <c r="DP10" s="129">
        <v>5600</v>
      </c>
      <c r="DQ10" s="129">
        <v>5670</v>
      </c>
      <c r="DR10" s="129">
        <v>5660</v>
      </c>
      <c r="DS10" s="129">
        <v>5680</v>
      </c>
      <c r="DT10" s="129">
        <v>5410</v>
      </c>
      <c r="DU10" s="129">
        <v>5250</v>
      </c>
      <c r="DV10" s="129">
        <v>5230</v>
      </c>
      <c r="DW10" s="129">
        <v>5210</v>
      </c>
      <c r="DX10" s="129">
        <v>5140</v>
      </c>
      <c r="DY10" s="129">
        <v>5060</v>
      </c>
      <c r="DZ10" s="129">
        <v>5060</v>
      </c>
      <c r="EA10" s="129">
        <v>5080</v>
      </c>
      <c r="EB10" s="129">
        <v>5040</v>
      </c>
      <c r="EC10" s="129">
        <v>5050</v>
      </c>
      <c r="ED10" s="129">
        <v>5080</v>
      </c>
      <c r="EE10" s="129">
        <v>5170</v>
      </c>
      <c r="EF10" s="129">
        <v>5150</v>
      </c>
      <c r="EG10" s="129">
        <v>5140</v>
      </c>
      <c r="EH10" s="129">
        <v>5130</v>
      </c>
      <c r="EI10" s="129">
        <v>5090</v>
      </c>
      <c r="EJ10" s="129">
        <v>5040</v>
      </c>
      <c r="EK10" s="129">
        <v>5040</v>
      </c>
      <c r="EL10" s="129">
        <v>5230</v>
      </c>
      <c r="EM10" s="129">
        <v>5210</v>
      </c>
      <c r="EN10" s="129">
        <v>5300</v>
      </c>
      <c r="EO10" s="129">
        <v>5300</v>
      </c>
      <c r="EP10" s="129">
        <v>5350</v>
      </c>
      <c r="EQ10" s="129">
        <v>5400</v>
      </c>
      <c r="ER10" s="129">
        <v>5360</v>
      </c>
      <c r="ES10" s="129">
        <v>5300</v>
      </c>
      <c r="ET10" s="129">
        <v>5310</v>
      </c>
      <c r="EU10" s="129">
        <v>5280</v>
      </c>
      <c r="EV10" s="129">
        <v>5310</v>
      </c>
      <c r="EW10" s="129">
        <v>5300</v>
      </c>
    </row>
    <row r="11" spans="1:153" x14ac:dyDescent="0.25">
      <c r="A11" s="357" t="str">
        <f>IPO監視一覧!H11</f>
        <v>C</v>
      </c>
      <c r="B11" s="84" t="str">
        <f>IPO監視一覧!B11</f>
        <v>ジャパンエレベーターサービスHD</v>
      </c>
      <c r="C11" s="332">
        <f>株価一覧!E10</f>
        <v>1175</v>
      </c>
      <c r="D11" s="354">
        <f t="shared" ca="1" si="0"/>
        <v>1146</v>
      </c>
      <c r="E11" s="330">
        <f t="shared" ca="1" si="1"/>
        <v>1130.2</v>
      </c>
      <c r="F11" s="331">
        <f t="shared" ca="1" si="2"/>
        <v>1067</v>
      </c>
      <c r="G11" s="129">
        <v>0</v>
      </c>
      <c r="H11" s="129">
        <v>0</v>
      </c>
      <c r="I11" s="129">
        <v>0</v>
      </c>
      <c r="J11" s="129">
        <v>0</v>
      </c>
      <c r="K11" s="129">
        <v>0</v>
      </c>
      <c r="L11" s="129">
        <v>0</v>
      </c>
      <c r="M11" s="129">
        <v>0</v>
      </c>
      <c r="N11" s="129">
        <v>0</v>
      </c>
      <c r="O11" s="129">
        <v>0</v>
      </c>
      <c r="P11" s="129">
        <v>0</v>
      </c>
      <c r="Q11" s="129">
        <v>0</v>
      </c>
      <c r="R11" s="129">
        <v>0</v>
      </c>
      <c r="S11" s="129">
        <v>0</v>
      </c>
      <c r="T11" s="129">
        <v>0</v>
      </c>
      <c r="U11" s="131">
        <v>1040</v>
      </c>
      <c r="V11" s="127">
        <v>1139</v>
      </c>
      <c r="W11" s="129">
        <v>1100</v>
      </c>
      <c r="X11" s="127">
        <v>1258</v>
      </c>
      <c r="Y11" s="129">
        <v>1150</v>
      </c>
      <c r="Z11" s="127">
        <v>1089</v>
      </c>
      <c r="AA11" s="127">
        <v>1040</v>
      </c>
      <c r="AB11" s="129">
        <v>1034</v>
      </c>
      <c r="AC11" s="129">
        <v>1119</v>
      </c>
      <c r="AD11" s="129">
        <v>1132</v>
      </c>
      <c r="AE11" s="129">
        <v>1079</v>
      </c>
      <c r="AF11" s="129">
        <v>1110</v>
      </c>
      <c r="AG11" s="127">
        <v>1124</v>
      </c>
      <c r="AH11" s="127">
        <v>1209</v>
      </c>
      <c r="AI11" s="127">
        <v>1112</v>
      </c>
      <c r="AJ11" s="127">
        <v>1057</v>
      </c>
      <c r="AK11" s="127">
        <v>1060</v>
      </c>
      <c r="AL11" s="127">
        <v>1021</v>
      </c>
      <c r="AM11" s="127">
        <v>1036</v>
      </c>
      <c r="AN11" s="127">
        <v>1040</v>
      </c>
      <c r="AO11" s="127">
        <v>1023</v>
      </c>
      <c r="AP11" s="127">
        <v>1060</v>
      </c>
      <c r="AQ11" s="127">
        <v>1088</v>
      </c>
      <c r="AR11" s="127">
        <v>1060</v>
      </c>
      <c r="AS11" s="127">
        <v>1096</v>
      </c>
      <c r="AT11" s="127">
        <v>1155</v>
      </c>
      <c r="AU11" s="127">
        <v>1175</v>
      </c>
      <c r="AV11" s="127">
        <v>1249</v>
      </c>
      <c r="AW11" s="127">
        <v>1243</v>
      </c>
      <c r="AX11" s="127">
        <v>1200</v>
      </c>
      <c r="AY11" s="127">
        <v>1149</v>
      </c>
      <c r="AZ11" s="127">
        <v>1150</v>
      </c>
      <c r="BA11" s="127">
        <v>1148</v>
      </c>
      <c r="BB11" s="127">
        <v>1210</v>
      </c>
      <c r="BC11" s="127">
        <v>1210</v>
      </c>
      <c r="BD11" s="127">
        <v>1393</v>
      </c>
      <c r="BE11" s="127">
        <v>1416</v>
      </c>
      <c r="BF11" s="127">
        <v>1401</v>
      </c>
      <c r="BG11" s="127">
        <v>1445</v>
      </c>
      <c r="BH11" s="127">
        <v>1650</v>
      </c>
      <c r="BI11" s="127">
        <v>1622</v>
      </c>
      <c r="BJ11" s="127">
        <v>1713</v>
      </c>
      <c r="BK11" s="127">
        <v>1748</v>
      </c>
      <c r="BL11" s="127">
        <v>1690</v>
      </c>
      <c r="BM11" s="127">
        <v>1587</v>
      </c>
      <c r="BN11" s="127">
        <v>1584</v>
      </c>
      <c r="BO11" s="127">
        <v>1583</v>
      </c>
      <c r="BP11" s="127">
        <v>1540</v>
      </c>
      <c r="BQ11" s="129">
        <v>1470</v>
      </c>
      <c r="BR11" s="129">
        <v>1455</v>
      </c>
      <c r="BS11" s="129">
        <v>1580</v>
      </c>
      <c r="BT11" s="129">
        <v>1514</v>
      </c>
      <c r="BU11" s="129">
        <v>1500</v>
      </c>
      <c r="BV11" s="129">
        <v>1489</v>
      </c>
      <c r="BW11" s="129">
        <v>1560</v>
      </c>
      <c r="BX11" s="129">
        <v>1560</v>
      </c>
      <c r="BY11" s="129">
        <v>1648</v>
      </c>
      <c r="BZ11" s="129">
        <v>1576</v>
      </c>
      <c r="CA11" s="129">
        <v>1500</v>
      </c>
      <c r="CB11" s="129">
        <v>1495</v>
      </c>
      <c r="CC11" s="129">
        <v>1510</v>
      </c>
      <c r="CD11" s="129">
        <v>1526</v>
      </c>
      <c r="CE11" s="129">
        <v>1500</v>
      </c>
      <c r="CF11" s="129">
        <v>1506</v>
      </c>
      <c r="CG11" s="129">
        <v>1506</v>
      </c>
      <c r="CH11" s="129">
        <v>1497</v>
      </c>
      <c r="CI11" s="129">
        <v>1609</v>
      </c>
      <c r="CJ11" s="129">
        <v>1528</v>
      </c>
      <c r="CK11" s="129">
        <v>1574</v>
      </c>
      <c r="CL11" s="129">
        <v>1575</v>
      </c>
      <c r="CM11" s="129">
        <v>1568</v>
      </c>
      <c r="CN11" s="129">
        <v>1552</v>
      </c>
      <c r="CO11" s="129">
        <v>1675</v>
      </c>
      <c r="CP11" s="129">
        <v>1748</v>
      </c>
      <c r="CQ11" s="129">
        <v>1701</v>
      </c>
      <c r="CR11" s="129">
        <v>1745</v>
      </c>
      <c r="CS11" s="129">
        <v>1668</v>
      </c>
      <c r="CT11" s="129">
        <v>1626</v>
      </c>
      <c r="CU11" s="129">
        <v>1625</v>
      </c>
      <c r="CV11" s="129">
        <v>1629</v>
      </c>
      <c r="CW11" s="129">
        <v>1640</v>
      </c>
      <c r="CX11" s="129">
        <v>1632</v>
      </c>
      <c r="CY11" s="129">
        <v>1616</v>
      </c>
      <c r="CZ11" s="129">
        <v>1600</v>
      </c>
      <c r="DA11" s="129">
        <v>1581</v>
      </c>
      <c r="DB11" s="129">
        <v>1560</v>
      </c>
      <c r="DC11" s="129">
        <v>1545</v>
      </c>
      <c r="DD11" s="129">
        <v>1523</v>
      </c>
      <c r="DE11" s="129">
        <v>1505</v>
      </c>
      <c r="DF11" s="129">
        <v>1521</v>
      </c>
      <c r="DG11" s="129">
        <v>1467</v>
      </c>
      <c r="DH11" s="129">
        <v>1532</v>
      </c>
      <c r="DI11" s="129">
        <v>1512</v>
      </c>
      <c r="DJ11" s="129">
        <v>1508</v>
      </c>
      <c r="DK11" s="129">
        <v>1657</v>
      </c>
      <c r="DL11" s="129">
        <v>1651</v>
      </c>
      <c r="DM11" s="129">
        <v>1649</v>
      </c>
      <c r="DN11" s="129">
        <v>1665</v>
      </c>
      <c r="DO11" s="129">
        <v>1701</v>
      </c>
      <c r="DP11" s="129">
        <v>1830</v>
      </c>
      <c r="DQ11" s="129">
        <v>1978</v>
      </c>
      <c r="DR11" s="129">
        <v>1948</v>
      </c>
      <c r="DS11" s="129">
        <v>1990</v>
      </c>
      <c r="DT11" s="129">
        <v>1961</v>
      </c>
      <c r="DU11" s="129">
        <v>1935</v>
      </c>
      <c r="DV11" s="129">
        <v>2085</v>
      </c>
      <c r="DW11" s="129">
        <v>2174</v>
      </c>
      <c r="DX11" s="129">
        <v>2079</v>
      </c>
      <c r="DY11" s="129">
        <v>1932</v>
      </c>
      <c r="DZ11" s="129">
        <v>1953</v>
      </c>
      <c r="EA11" s="129">
        <v>1980</v>
      </c>
      <c r="EB11" s="129">
        <v>2100</v>
      </c>
      <c r="EC11" s="129">
        <v>2187</v>
      </c>
      <c r="ED11" s="129">
        <v>2283</v>
      </c>
      <c r="EE11" s="129">
        <v>2220</v>
      </c>
      <c r="EF11" s="129">
        <v>2178</v>
      </c>
      <c r="EG11" s="129">
        <v>2222</v>
      </c>
      <c r="EH11" s="129">
        <v>2182</v>
      </c>
      <c r="EI11" s="129">
        <v>2151</v>
      </c>
      <c r="EJ11" s="129">
        <v>2161</v>
      </c>
      <c r="EK11" s="129">
        <v>2121</v>
      </c>
      <c r="EL11" s="129">
        <v>2120</v>
      </c>
      <c r="EM11" s="129">
        <v>2079</v>
      </c>
      <c r="EN11" s="129">
        <v>1089</v>
      </c>
      <c r="EO11" s="129">
        <v>1067</v>
      </c>
      <c r="EP11" s="129">
        <v>1111</v>
      </c>
      <c r="EQ11" s="129">
        <v>1160</v>
      </c>
      <c r="ER11" s="129">
        <v>1145</v>
      </c>
      <c r="ES11" s="129">
        <v>1132</v>
      </c>
      <c r="ET11" s="129">
        <v>1098</v>
      </c>
      <c r="EU11" s="129">
        <v>1145</v>
      </c>
      <c r="EV11" s="129">
        <v>1180</v>
      </c>
      <c r="EW11" s="129">
        <v>1175</v>
      </c>
    </row>
    <row r="12" spans="1:153" x14ac:dyDescent="0.25">
      <c r="A12" s="357" t="str">
        <f>IPO監視一覧!H12</f>
        <v>D</v>
      </c>
      <c r="B12" s="84" t="str">
        <f>IPO監視一覧!B12</f>
        <v>ビーグリー</v>
      </c>
      <c r="C12" s="332">
        <f>株価一覧!E11</f>
        <v>1694</v>
      </c>
      <c r="D12" s="354">
        <f t="shared" ca="1" si="0"/>
        <v>1705.8</v>
      </c>
      <c r="E12" s="330">
        <f t="shared" ca="1" si="1"/>
        <v>1727.9</v>
      </c>
      <c r="F12" s="331">
        <f t="shared" ca="1" si="2"/>
        <v>1694</v>
      </c>
      <c r="G12" s="129">
        <v>0</v>
      </c>
      <c r="H12" s="129">
        <v>0</v>
      </c>
      <c r="I12" s="129">
        <v>0</v>
      </c>
      <c r="J12" s="129">
        <v>0</v>
      </c>
      <c r="K12" s="129">
        <v>0</v>
      </c>
      <c r="L12" s="129">
        <v>0</v>
      </c>
      <c r="M12" s="129">
        <v>0</v>
      </c>
      <c r="N12" s="129">
        <v>0</v>
      </c>
      <c r="O12" s="129">
        <v>0</v>
      </c>
      <c r="P12" s="129">
        <v>0</v>
      </c>
      <c r="Q12" s="129">
        <v>0</v>
      </c>
      <c r="R12" s="129">
        <v>0</v>
      </c>
      <c r="S12" s="129">
        <v>0</v>
      </c>
      <c r="T12" s="129">
        <v>0</v>
      </c>
      <c r="U12" s="131">
        <v>2078</v>
      </c>
      <c r="V12" s="127">
        <v>2100</v>
      </c>
      <c r="W12" s="129">
        <v>2500</v>
      </c>
      <c r="X12" s="127">
        <v>2317</v>
      </c>
      <c r="Y12" s="129">
        <v>2291</v>
      </c>
      <c r="Z12" s="127">
        <v>2410</v>
      </c>
      <c r="AA12" s="127">
        <v>2328</v>
      </c>
      <c r="AB12" s="129">
        <v>2350</v>
      </c>
      <c r="AC12" s="129">
        <v>2298</v>
      </c>
      <c r="AD12" s="129">
        <v>2350</v>
      </c>
      <c r="AE12" s="129">
        <v>2305</v>
      </c>
      <c r="AF12" s="129">
        <v>1998</v>
      </c>
      <c r="AG12" s="127">
        <v>1951</v>
      </c>
      <c r="AH12" s="127">
        <v>1906</v>
      </c>
      <c r="AI12" s="127">
        <v>1958</v>
      </c>
      <c r="AJ12" s="127">
        <v>1776</v>
      </c>
      <c r="AK12" s="127">
        <v>1819</v>
      </c>
      <c r="AL12" s="127">
        <v>1717</v>
      </c>
      <c r="AM12" s="127">
        <v>1743</v>
      </c>
      <c r="AN12" s="127">
        <v>1858</v>
      </c>
      <c r="AO12" s="127">
        <v>1950</v>
      </c>
      <c r="AP12" s="127">
        <v>1865</v>
      </c>
      <c r="AQ12" s="127">
        <v>1897</v>
      </c>
      <c r="AR12" s="127">
        <v>1870</v>
      </c>
      <c r="AS12" s="127">
        <v>1863</v>
      </c>
      <c r="AT12" s="127">
        <v>1949</v>
      </c>
      <c r="AU12" s="127">
        <v>1916</v>
      </c>
      <c r="AV12" s="127">
        <v>1873</v>
      </c>
      <c r="AW12" s="127">
        <v>1888</v>
      </c>
      <c r="AX12" s="127">
        <v>1880</v>
      </c>
      <c r="AY12" s="127">
        <v>2010</v>
      </c>
      <c r="AZ12" s="127">
        <v>2112</v>
      </c>
      <c r="BA12" s="127">
        <v>2044</v>
      </c>
      <c r="BB12" s="127">
        <v>1993</v>
      </c>
      <c r="BC12" s="127">
        <v>1990</v>
      </c>
      <c r="BD12" s="127">
        <v>2012</v>
      </c>
      <c r="BE12" s="127">
        <v>2170</v>
      </c>
      <c r="BF12" s="127">
        <v>2325</v>
      </c>
      <c r="BG12" s="127">
        <v>2315</v>
      </c>
      <c r="BH12" s="127">
        <v>2280</v>
      </c>
      <c r="BI12" s="127">
        <v>2424</v>
      </c>
      <c r="BJ12" s="127">
        <v>2375</v>
      </c>
      <c r="BK12" s="127">
        <v>2317</v>
      </c>
      <c r="BL12" s="127">
        <v>2282</v>
      </c>
      <c r="BM12" s="127">
        <v>2290</v>
      </c>
      <c r="BN12" s="127">
        <v>2480</v>
      </c>
      <c r="BO12" s="127">
        <v>2438</v>
      </c>
      <c r="BP12" s="127">
        <v>2381</v>
      </c>
      <c r="BQ12" s="129">
        <v>2366</v>
      </c>
      <c r="BR12" s="129">
        <v>2262</v>
      </c>
      <c r="BS12" s="129">
        <v>2238</v>
      </c>
      <c r="BT12" s="129">
        <v>2320</v>
      </c>
      <c r="BU12" s="129">
        <v>2349</v>
      </c>
      <c r="BV12" s="129">
        <v>2281</v>
      </c>
      <c r="BW12" s="129">
        <v>2302</v>
      </c>
      <c r="BX12" s="129">
        <v>2193</v>
      </c>
      <c r="BY12" s="129">
        <v>2116</v>
      </c>
      <c r="BZ12" s="129">
        <v>2198</v>
      </c>
      <c r="CA12" s="129">
        <v>2164</v>
      </c>
      <c r="CB12" s="129">
        <v>2110</v>
      </c>
      <c r="CC12" s="129">
        <v>2119</v>
      </c>
      <c r="CD12" s="129">
        <v>2092</v>
      </c>
      <c r="CE12" s="129">
        <v>2107</v>
      </c>
      <c r="CF12" s="129">
        <v>2174</v>
      </c>
      <c r="CG12" s="129">
        <v>2081</v>
      </c>
      <c r="CH12" s="129">
        <v>2119</v>
      </c>
      <c r="CI12" s="129">
        <v>2168</v>
      </c>
      <c r="CJ12" s="129">
        <v>2075</v>
      </c>
      <c r="CK12" s="129">
        <v>2071</v>
      </c>
      <c r="CL12" s="129">
        <v>2087</v>
      </c>
      <c r="CM12" s="129">
        <v>2057</v>
      </c>
      <c r="CN12" s="129">
        <v>2008</v>
      </c>
      <c r="CO12" s="129">
        <v>2018</v>
      </c>
      <c r="CP12" s="129">
        <v>2071</v>
      </c>
      <c r="CQ12" s="129">
        <v>2080</v>
      </c>
      <c r="CR12" s="129">
        <v>2170</v>
      </c>
      <c r="CS12" s="129">
        <v>2130</v>
      </c>
      <c r="CT12" s="129">
        <v>2091</v>
      </c>
      <c r="CU12" s="129">
        <v>2133</v>
      </c>
      <c r="CV12" s="129">
        <v>2150</v>
      </c>
      <c r="CW12" s="129">
        <v>2102</v>
      </c>
      <c r="CX12" s="129">
        <v>2145</v>
      </c>
      <c r="CY12" s="129">
        <v>2145</v>
      </c>
      <c r="CZ12" s="129">
        <v>2136</v>
      </c>
      <c r="DA12" s="129">
        <v>2134</v>
      </c>
      <c r="DB12" s="129">
        <v>2232</v>
      </c>
      <c r="DC12" s="129">
        <v>2230</v>
      </c>
      <c r="DD12" s="129">
        <v>2259</v>
      </c>
      <c r="DE12" s="129">
        <v>2175</v>
      </c>
      <c r="DF12" s="129">
        <v>2182</v>
      </c>
      <c r="DG12" s="129">
        <v>2094</v>
      </c>
      <c r="DH12" s="129">
        <v>2130</v>
      </c>
      <c r="DI12" s="129">
        <v>2072</v>
      </c>
      <c r="DJ12" s="129">
        <v>2108</v>
      </c>
      <c r="DK12" s="129">
        <v>1851</v>
      </c>
      <c r="DL12" s="129">
        <v>1841</v>
      </c>
      <c r="DM12" s="129">
        <v>1743</v>
      </c>
      <c r="DN12" s="129">
        <v>1747</v>
      </c>
      <c r="DO12" s="129">
        <v>1755</v>
      </c>
      <c r="DP12" s="129">
        <v>1748</v>
      </c>
      <c r="DQ12" s="129">
        <v>1739</v>
      </c>
      <c r="DR12" s="129">
        <v>1740</v>
      </c>
      <c r="DS12" s="129">
        <v>1830</v>
      </c>
      <c r="DT12" s="129">
        <v>1825</v>
      </c>
      <c r="DU12" s="129">
        <v>1813</v>
      </c>
      <c r="DV12" s="129">
        <v>1809</v>
      </c>
      <c r="DW12" s="129">
        <v>1815</v>
      </c>
      <c r="DX12" s="129">
        <v>1750</v>
      </c>
      <c r="DY12" s="129">
        <v>1663</v>
      </c>
      <c r="DZ12" s="129">
        <v>1663</v>
      </c>
      <c r="EA12" s="129">
        <v>1658</v>
      </c>
      <c r="EB12" s="129">
        <v>1707</v>
      </c>
      <c r="EC12" s="129">
        <v>1807</v>
      </c>
      <c r="ED12" s="129">
        <v>1774</v>
      </c>
      <c r="EE12" s="129">
        <v>1755</v>
      </c>
      <c r="EF12" s="129">
        <v>1732</v>
      </c>
      <c r="EG12" s="129">
        <v>1747</v>
      </c>
      <c r="EH12" s="129">
        <v>1792</v>
      </c>
      <c r="EI12" s="129">
        <v>1771</v>
      </c>
      <c r="EJ12" s="129">
        <v>1762</v>
      </c>
      <c r="EK12" s="129">
        <v>1724</v>
      </c>
      <c r="EL12" s="129">
        <v>1728</v>
      </c>
      <c r="EM12" s="129">
        <v>1696</v>
      </c>
      <c r="EN12" s="129">
        <v>1730</v>
      </c>
      <c r="EO12" s="129">
        <v>1757</v>
      </c>
      <c r="EP12" s="129">
        <v>1718</v>
      </c>
      <c r="EQ12" s="129">
        <v>1765</v>
      </c>
      <c r="ER12" s="129">
        <v>1780</v>
      </c>
      <c r="ES12" s="129">
        <v>1727</v>
      </c>
      <c r="ET12" s="129">
        <v>1704</v>
      </c>
      <c r="EU12" s="129">
        <v>1710</v>
      </c>
      <c r="EV12" s="129">
        <v>1694</v>
      </c>
      <c r="EW12" s="129">
        <v>1694</v>
      </c>
    </row>
    <row r="13" spans="1:153" x14ac:dyDescent="0.25">
      <c r="A13" s="357" t="str">
        <f>IPO監視一覧!H13</f>
        <v>A</v>
      </c>
      <c r="B13" s="84" t="str">
        <f>IPO監視一覧!B13</f>
        <v>力の源HD</v>
      </c>
      <c r="C13" s="332">
        <f>株価一覧!E12</f>
        <v>1128</v>
      </c>
      <c r="D13" s="354">
        <f t="shared" ca="1" si="0"/>
        <v>1128.8</v>
      </c>
      <c r="E13" s="330">
        <f t="shared" ca="1" si="1"/>
        <v>1147.4000000000001</v>
      </c>
      <c r="F13" s="331">
        <f t="shared" ca="1" si="2"/>
        <v>1111</v>
      </c>
      <c r="G13" s="129">
        <v>0</v>
      </c>
      <c r="H13" s="129">
        <v>0</v>
      </c>
      <c r="I13" s="129">
        <v>0</v>
      </c>
      <c r="J13" s="129">
        <v>0</v>
      </c>
      <c r="K13" s="129">
        <v>0</v>
      </c>
      <c r="L13" s="129">
        <v>0</v>
      </c>
      <c r="M13" s="129">
        <v>0</v>
      </c>
      <c r="N13" s="129">
        <v>0</v>
      </c>
      <c r="O13" s="129">
        <v>0</v>
      </c>
      <c r="P13" s="129">
        <v>0</v>
      </c>
      <c r="Q13" s="129">
        <v>0</v>
      </c>
      <c r="R13" s="129">
        <v>0</v>
      </c>
      <c r="S13" s="129">
        <v>0</v>
      </c>
      <c r="T13" s="129">
        <v>0</v>
      </c>
      <c r="U13" s="127">
        <v>0</v>
      </c>
      <c r="V13" s="132">
        <v>0</v>
      </c>
      <c r="W13" s="133">
        <v>2630</v>
      </c>
      <c r="X13" s="127">
        <v>3130</v>
      </c>
      <c r="Y13" s="129">
        <v>3200</v>
      </c>
      <c r="Z13" s="127">
        <v>2900</v>
      </c>
      <c r="AA13" s="127">
        <v>2699</v>
      </c>
      <c r="AB13" s="129">
        <v>2730</v>
      </c>
      <c r="AC13" s="129">
        <v>2700</v>
      </c>
      <c r="AD13" s="129">
        <v>2639</v>
      </c>
      <c r="AE13" s="129">
        <v>2515</v>
      </c>
      <c r="AF13" s="129">
        <v>2310</v>
      </c>
      <c r="AG13" s="127">
        <v>2208</v>
      </c>
      <c r="AH13" s="127">
        <v>2079</v>
      </c>
      <c r="AI13" s="127">
        <v>2075</v>
      </c>
      <c r="AJ13" s="127">
        <v>1955</v>
      </c>
      <c r="AK13" s="127">
        <v>1945</v>
      </c>
      <c r="AL13" s="127">
        <v>1989</v>
      </c>
      <c r="AM13" s="127">
        <v>2315</v>
      </c>
      <c r="AN13" s="127">
        <v>2250</v>
      </c>
      <c r="AO13" s="127">
        <v>2250</v>
      </c>
      <c r="AP13" s="127">
        <v>2291</v>
      </c>
      <c r="AQ13" s="127">
        <v>2217</v>
      </c>
      <c r="AR13" s="127">
        <v>2148</v>
      </c>
      <c r="AS13" s="127">
        <v>2192</v>
      </c>
      <c r="AT13" s="127">
        <v>2208</v>
      </c>
      <c r="AU13" s="127">
        <v>2190</v>
      </c>
      <c r="AV13" s="127">
        <v>2211</v>
      </c>
      <c r="AW13" s="127">
        <v>2212</v>
      </c>
      <c r="AX13" s="127">
        <v>2180</v>
      </c>
      <c r="AY13" s="127">
        <v>2176</v>
      </c>
      <c r="AZ13" s="127">
        <v>2171</v>
      </c>
      <c r="BA13" s="127">
        <v>2141</v>
      </c>
      <c r="BB13" s="127">
        <v>2107</v>
      </c>
      <c r="BC13" s="127">
        <v>2351</v>
      </c>
      <c r="BD13" s="127">
        <v>2282</v>
      </c>
      <c r="BE13" s="127">
        <v>2249</v>
      </c>
      <c r="BF13" s="127">
        <v>2253</v>
      </c>
      <c r="BG13" s="127">
        <v>2180</v>
      </c>
      <c r="BH13" s="127">
        <v>2130</v>
      </c>
      <c r="BI13" s="127">
        <v>2154</v>
      </c>
      <c r="BJ13" s="127">
        <v>2130</v>
      </c>
      <c r="BK13" s="127">
        <v>2122</v>
      </c>
      <c r="BL13" s="127">
        <v>2205</v>
      </c>
      <c r="BM13" s="127">
        <v>2170</v>
      </c>
      <c r="BN13" s="127">
        <v>2178</v>
      </c>
      <c r="BO13" s="127">
        <v>2164</v>
      </c>
      <c r="BP13" s="127">
        <v>2140</v>
      </c>
      <c r="BQ13" s="129">
        <v>2131</v>
      </c>
      <c r="BR13" s="129">
        <v>2159</v>
      </c>
      <c r="BS13" s="129">
        <v>2185</v>
      </c>
      <c r="BT13" s="129">
        <v>2171</v>
      </c>
      <c r="BU13" s="129">
        <v>2179</v>
      </c>
      <c r="BV13" s="129">
        <v>2146</v>
      </c>
      <c r="BW13" s="129">
        <v>2152</v>
      </c>
      <c r="BX13" s="129">
        <v>2128</v>
      </c>
      <c r="BY13" s="129">
        <v>2101</v>
      </c>
      <c r="BZ13" s="129">
        <v>2114</v>
      </c>
      <c r="CA13" s="129">
        <v>2088</v>
      </c>
      <c r="CB13" s="129">
        <v>2052</v>
      </c>
      <c r="CC13" s="129">
        <v>2002</v>
      </c>
      <c r="CD13" s="129">
        <v>2011</v>
      </c>
      <c r="CE13" s="129">
        <v>1984</v>
      </c>
      <c r="CF13" s="129">
        <v>1956</v>
      </c>
      <c r="CG13" s="129">
        <v>1934</v>
      </c>
      <c r="CH13" s="129">
        <v>1955</v>
      </c>
      <c r="CI13" s="129">
        <v>2014</v>
      </c>
      <c r="CJ13" s="129">
        <v>2001</v>
      </c>
      <c r="CK13" s="129">
        <v>1987</v>
      </c>
      <c r="CL13" s="129">
        <v>1981</v>
      </c>
      <c r="CM13" s="129">
        <v>1988</v>
      </c>
      <c r="CN13" s="129">
        <v>1967</v>
      </c>
      <c r="CO13" s="129">
        <v>1992</v>
      </c>
      <c r="CP13" s="129">
        <v>1985</v>
      </c>
      <c r="CQ13" s="129">
        <v>1977</v>
      </c>
      <c r="CR13" s="129">
        <v>1982</v>
      </c>
      <c r="CS13" s="129">
        <v>1986</v>
      </c>
      <c r="CT13" s="129">
        <v>1989</v>
      </c>
      <c r="CU13" s="129">
        <v>2054</v>
      </c>
      <c r="CV13" s="129">
        <v>2031</v>
      </c>
      <c r="CW13" s="129">
        <v>2005</v>
      </c>
      <c r="CX13" s="129">
        <v>2000</v>
      </c>
      <c r="CY13" s="129">
        <v>2003</v>
      </c>
      <c r="CZ13" s="129">
        <v>2002</v>
      </c>
      <c r="DA13" s="129">
        <v>2018</v>
      </c>
      <c r="DB13" s="129">
        <v>2002</v>
      </c>
      <c r="DC13" s="129">
        <v>2007</v>
      </c>
      <c r="DD13" s="129">
        <v>2001</v>
      </c>
      <c r="DE13" s="129">
        <v>2009</v>
      </c>
      <c r="DF13" s="129">
        <v>2007</v>
      </c>
      <c r="DG13" s="129">
        <v>1974</v>
      </c>
      <c r="DH13" s="129">
        <v>1969</v>
      </c>
      <c r="DI13" s="129">
        <v>1966</v>
      </c>
      <c r="DJ13" s="129">
        <v>1948</v>
      </c>
      <c r="DK13" s="129">
        <v>1898</v>
      </c>
      <c r="DL13" s="129">
        <v>1899</v>
      </c>
      <c r="DM13" s="129">
        <v>1897</v>
      </c>
      <c r="DN13" s="129">
        <v>1886</v>
      </c>
      <c r="DO13" s="129">
        <v>1871</v>
      </c>
      <c r="DP13" s="129">
        <v>1913</v>
      </c>
      <c r="DQ13" s="129">
        <v>1977</v>
      </c>
      <c r="DR13" s="129">
        <v>2008</v>
      </c>
      <c r="DS13" s="129">
        <v>2017</v>
      </c>
      <c r="DT13" s="129">
        <v>2019</v>
      </c>
      <c r="DU13" s="129">
        <v>2035</v>
      </c>
      <c r="DV13" s="129">
        <v>2023</v>
      </c>
      <c r="DW13" s="129">
        <v>2005</v>
      </c>
      <c r="DX13" s="129">
        <v>1973</v>
      </c>
      <c r="DY13" s="129">
        <v>1950</v>
      </c>
      <c r="DZ13" s="129">
        <v>1987</v>
      </c>
      <c r="EA13" s="129">
        <v>1979</v>
      </c>
      <c r="EB13" s="129">
        <v>1964</v>
      </c>
      <c r="EC13" s="129">
        <v>1971</v>
      </c>
      <c r="ED13" s="129">
        <v>1976</v>
      </c>
      <c r="EE13" s="129">
        <v>1997</v>
      </c>
      <c r="EF13" s="129">
        <v>1991</v>
      </c>
      <c r="EG13" s="129">
        <v>2109</v>
      </c>
      <c r="EH13" s="129">
        <v>2120</v>
      </c>
      <c r="EI13" s="129">
        <v>2179</v>
      </c>
      <c r="EJ13" s="129">
        <v>2158</v>
      </c>
      <c r="EK13" s="129">
        <v>2129</v>
      </c>
      <c r="EL13" s="129">
        <v>2170</v>
      </c>
      <c r="EM13" s="129">
        <v>2168</v>
      </c>
      <c r="EN13" s="129">
        <v>1126</v>
      </c>
      <c r="EO13" s="129">
        <v>1200</v>
      </c>
      <c r="EP13" s="129">
        <v>1186</v>
      </c>
      <c r="EQ13" s="129">
        <v>1153</v>
      </c>
      <c r="ER13" s="129">
        <v>1165</v>
      </c>
      <c r="ES13" s="129">
        <v>1137</v>
      </c>
      <c r="ET13" s="129">
        <v>1140</v>
      </c>
      <c r="EU13" s="129">
        <v>1111</v>
      </c>
      <c r="EV13" s="129">
        <v>1128</v>
      </c>
      <c r="EW13" s="129">
        <v>1128</v>
      </c>
    </row>
    <row r="14" spans="1:153" x14ac:dyDescent="0.25">
      <c r="A14" s="357" t="str">
        <f>IPO監視一覧!H14</f>
        <v>A</v>
      </c>
      <c r="B14" s="84" t="str">
        <f>IPO監視一覧!B14</f>
        <v>インターネットインフィニティー</v>
      </c>
      <c r="C14" s="332">
        <f>株価一覧!E13</f>
        <v>1808</v>
      </c>
      <c r="D14" s="354">
        <f t="shared" ca="1" si="0"/>
        <v>1869</v>
      </c>
      <c r="E14" s="330">
        <f t="shared" ca="1" si="1"/>
        <v>1947.7</v>
      </c>
      <c r="F14" s="331">
        <f t="shared" ca="1" si="2"/>
        <v>1808</v>
      </c>
      <c r="G14" s="129">
        <v>0</v>
      </c>
      <c r="H14" s="129">
        <v>0</v>
      </c>
      <c r="I14" s="129">
        <v>0</v>
      </c>
      <c r="J14" s="129">
        <v>0</v>
      </c>
      <c r="K14" s="129">
        <v>0</v>
      </c>
      <c r="L14" s="129">
        <v>0</v>
      </c>
      <c r="M14" s="129">
        <v>0</v>
      </c>
      <c r="N14" s="129">
        <v>0</v>
      </c>
      <c r="O14" s="129">
        <v>0</v>
      </c>
      <c r="P14" s="129">
        <v>0</v>
      </c>
      <c r="Q14" s="129">
        <v>0</v>
      </c>
      <c r="R14" s="129">
        <v>0</v>
      </c>
      <c r="S14" s="129">
        <v>0</v>
      </c>
      <c r="T14" s="129">
        <v>0</v>
      </c>
      <c r="U14" s="129">
        <v>0</v>
      </c>
      <c r="V14" s="132">
        <v>0</v>
      </c>
      <c r="W14" s="133">
        <v>4450</v>
      </c>
      <c r="X14" s="127">
        <v>5150</v>
      </c>
      <c r="Y14" s="129">
        <v>5000</v>
      </c>
      <c r="Z14" s="127">
        <v>4750</v>
      </c>
      <c r="AA14" s="127">
        <v>4495</v>
      </c>
      <c r="AB14" s="129">
        <v>4750</v>
      </c>
      <c r="AC14" s="129">
        <v>4695</v>
      </c>
      <c r="AD14" s="129">
        <v>5400</v>
      </c>
      <c r="AE14" s="129">
        <v>5450</v>
      </c>
      <c r="AF14" s="129">
        <v>5050</v>
      </c>
      <c r="AG14" s="127">
        <v>4985</v>
      </c>
      <c r="AH14" s="127">
        <v>4790</v>
      </c>
      <c r="AI14" s="127">
        <v>4465</v>
      </c>
      <c r="AJ14" s="127">
        <v>4105</v>
      </c>
      <c r="AK14" s="127">
        <v>4110</v>
      </c>
      <c r="AL14" s="127">
        <v>3930</v>
      </c>
      <c r="AM14" s="127">
        <v>4190</v>
      </c>
      <c r="AN14" s="127">
        <v>4260</v>
      </c>
      <c r="AO14" s="127">
        <v>4230</v>
      </c>
      <c r="AP14" s="127">
        <v>4410</v>
      </c>
      <c r="AQ14" s="127">
        <v>4350</v>
      </c>
      <c r="AR14" s="127">
        <v>4130</v>
      </c>
      <c r="AS14" s="127">
        <v>4830</v>
      </c>
      <c r="AT14" s="127">
        <v>5150</v>
      </c>
      <c r="AU14" s="127">
        <v>5050</v>
      </c>
      <c r="AV14" s="127">
        <v>5180</v>
      </c>
      <c r="AW14" s="127">
        <v>5080</v>
      </c>
      <c r="AX14" s="127">
        <v>4905</v>
      </c>
      <c r="AY14" s="127">
        <v>4940</v>
      </c>
      <c r="AZ14" s="127">
        <v>5020</v>
      </c>
      <c r="BA14" s="127">
        <v>4930</v>
      </c>
      <c r="BB14" s="127">
        <v>5000</v>
      </c>
      <c r="BC14" s="127">
        <v>4900</v>
      </c>
      <c r="BD14" s="127">
        <v>4690</v>
      </c>
      <c r="BE14" s="127">
        <v>5390</v>
      </c>
      <c r="BF14" s="127">
        <v>5160</v>
      </c>
      <c r="BG14" s="127">
        <v>5090</v>
      </c>
      <c r="BH14" s="127">
        <v>5070</v>
      </c>
      <c r="BI14" s="127">
        <v>5680</v>
      </c>
      <c r="BJ14" s="127">
        <v>5490</v>
      </c>
      <c r="BK14" s="127">
        <v>5880</v>
      </c>
      <c r="BL14" s="127">
        <v>6180</v>
      </c>
      <c r="BM14" s="127">
        <v>6200</v>
      </c>
      <c r="BN14" s="127">
        <v>5840</v>
      </c>
      <c r="BO14" s="127">
        <v>6140</v>
      </c>
      <c r="BP14" s="127">
        <v>5990</v>
      </c>
      <c r="BQ14" s="129">
        <v>5900</v>
      </c>
      <c r="BR14" s="129">
        <v>5790</v>
      </c>
      <c r="BS14" s="129">
        <v>5700</v>
      </c>
      <c r="BT14" s="129">
        <v>5550</v>
      </c>
      <c r="BU14" s="129">
        <v>5840</v>
      </c>
      <c r="BV14" s="129">
        <v>5650</v>
      </c>
      <c r="BW14" s="129">
        <v>5770</v>
      </c>
      <c r="BX14" s="129">
        <v>5670</v>
      </c>
      <c r="BY14" s="129">
        <v>5970</v>
      </c>
      <c r="BZ14" s="129">
        <v>5900</v>
      </c>
      <c r="CA14" s="129">
        <v>5830</v>
      </c>
      <c r="CB14" s="129">
        <v>6430</v>
      </c>
      <c r="CC14" s="129">
        <v>6400</v>
      </c>
      <c r="CD14" s="129">
        <v>6890</v>
      </c>
      <c r="CE14" s="129">
        <v>7800</v>
      </c>
      <c r="CF14" s="129">
        <v>8140</v>
      </c>
      <c r="CG14" s="129">
        <v>8600</v>
      </c>
      <c r="CH14" s="129">
        <v>8500</v>
      </c>
      <c r="CI14" s="129">
        <v>8070</v>
      </c>
      <c r="CJ14" s="129">
        <v>7530</v>
      </c>
      <c r="CK14" s="129">
        <v>7800</v>
      </c>
      <c r="CL14" s="129">
        <v>7760</v>
      </c>
      <c r="CM14" s="129">
        <v>8260</v>
      </c>
      <c r="CN14" s="129">
        <v>8160</v>
      </c>
      <c r="CO14" s="129">
        <v>8240</v>
      </c>
      <c r="CP14" s="129">
        <v>9110</v>
      </c>
      <c r="CQ14" s="129">
        <v>9430</v>
      </c>
      <c r="CR14" s="129">
        <v>9130</v>
      </c>
      <c r="CS14" s="129">
        <v>8800</v>
      </c>
      <c r="CT14" s="129">
        <v>8590</v>
      </c>
      <c r="CU14" s="129">
        <v>8020</v>
      </c>
      <c r="CV14" s="129">
        <v>8170</v>
      </c>
      <c r="CW14" s="129">
        <v>7970</v>
      </c>
      <c r="CX14" s="129">
        <v>8530</v>
      </c>
      <c r="CY14" s="129">
        <v>8520</v>
      </c>
      <c r="CZ14" s="129">
        <v>8400</v>
      </c>
      <c r="DA14" s="129">
        <v>8410</v>
      </c>
      <c r="DB14" s="129">
        <v>9000</v>
      </c>
      <c r="DC14" s="129">
        <v>10500</v>
      </c>
      <c r="DD14" s="129">
        <v>10320</v>
      </c>
      <c r="DE14" s="129">
        <v>9830</v>
      </c>
      <c r="DF14" s="129">
        <v>11000</v>
      </c>
      <c r="DG14" s="129">
        <v>11500</v>
      </c>
      <c r="DH14" s="129">
        <v>11020</v>
      </c>
      <c r="DI14" s="129">
        <v>10480</v>
      </c>
      <c r="DJ14" s="129">
        <v>10720</v>
      </c>
      <c r="DK14" s="129">
        <v>10370</v>
      </c>
      <c r="DL14" s="129">
        <v>10280</v>
      </c>
      <c r="DM14" s="129">
        <v>9980</v>
      </c>
      <c r="DN14" s="129">
        <v>10090</v>
      </c>
      <c r="DO14" s="129">
        <v>10040</v>
      </c>
      <c r="DP14" s="129">
        <v>10670</v>
      </c>
      <c r="DQ14" s="129">
        <v>10640</v>
      </c>
      <c r="DR14" s="129">
        <v>10300</v>
      </c>
      <c r="DS14" s="129">
        <v>10130</v>
      </c>
      <c r="DT14" s="129">
        <v>10270</v>
      </c>
      <c r="DU14" s="129">
        <v>10350</v>
      </c>
      <c r="DV14" s="129">
        <v>10610</v>
      </c>
      <c r="DW14" s="129">
        <v>10370</v>
      </c>
      <c r="DX14" s="129">
        <v>10010</v>
      </c>
      <c r="DY14" s="129">
        <v>9180</v>
      </c>
      <c r="DZ14" s="129">
        <v>9250</v>
      </c>
      <c r="EA14" s="129">
        <v>9170</v>
      </c>
      <c r="EB14" s="129">
        <v>8880</v>
      </c>
      <c r="EC14" s="129">
        <v>8990</v>
      </c>
      <c r="ED14" s="129">
        <v>9030</v>
      </c>
      <c r="EE14" s="129">
        <v>8930</v>
      </c>
      <c r="EF14" s="129">
        <v>8580</v>
      </c>
      <c r="EG14" s="129">
        <v>8670</v>
      </c>
      <c r="EH14" s="129">
        <v>8940</v>
      </c>
      <c r="EI14" s="129">
        <v>8800</v>
      </c>
      <c r="EJ14" s="129">
        <v>9040</v>
      </c>
      <c r="EK14" s="129">
        <v>8680</v>
      </c>
      <c r="EL14" s="129">
        <v>8700</v>
      </c>
      <c r="EM14" s="129">
        <v>8440</v>
      </c>
      <c r="EN14" s="129">
        <v>2111</v>
      </c>
      <c r="EO14" s="129">
        <v>2034</v>
      </c>
      <c r="EP14" s="129">
        <v>1977</v>
      </c>
      <c r="EQ14" s="129">
        <v>1950</v>
      </c>
      <c r="ER14" s="129">
        <v>2060</v>
      </c>
      <c r="ES14" s="129">
        <v>1948</v>
      </c>
      <c r="ET14" s="129">
        <v>1880</v>
      </c>
      <c r="EU14" s="129">
        <v>1839</v>
      </c>
      <c r="EV14" s="129">
        <v>1870</v>
      </c>
      <c r="EW14" s="129">
        <v>1808</v>
      </c>
    </row>
    <row r="15" spans="1:153" x14ac:dyDescent="0.25">
      <c r="A15" s="357" t="str">
        <f>IPO監視一覧!H15</f>
        <v>D</v>
      </c>
      <c r="B15" s="84" t="str">
        <f>IPO監視一覧!B15</f>
        <v>フルテック</v>
      </c>
      <c r="C15" s="332">
        <f>株価一覧!E14</f>
        <v>1041</v>
      </c>
      <c r="D15" s="354">
        <f t="shared" ca="1" si="0"/>
        <v>1050.4000000000001</v>
      </c>
      <c r="E15" s="330">
        <f t="shared" ca="1" si="1"/>
        <v>1062.0999999999999</v>
      </c>
      <c r="F15" s="331">
        <f t="shared" ca="1" si="2"/>
        <v>1041</v>
      </c>
      <c r="G15" s="129">
        <v>0</v>
      </c>
      <c r="H15" s="129">
        <v>0</v>
      </c>
      <c r="I15" s="129">
        <v>0</v>
      </c>
      <c r="J15" s="129">
        <v>0</v>
      </c>
      <c r="K15" s="129">
        <v>0</v>
      </c>
      <c r="L15" s="129">
        <v>0</v>
      </c>
      <c r="M15" s="129">
        <v>0</v>
      </c>
      <c r="N15" s="129">
        <v>0</v>
      </c>
      <c r="O15" s="129">
        <v>0</v>
      </c>
      <c r="P15" s="129">
        <v>0</v>
      </c>
      <c r="Q15" s="129">
        <v>0</v>
      </c>
      <c r="R15" s="129">
        <v>0</v>
      </c>
      <c r="S15" s="129">
        <v>0</v>
      </c>
      <c r="T15" s="129">
        <v>0</v>
      </c>
      <c r="U15" s="129">
        <v>0</v>
      </c>
      <c r="V15" s="129">
        <v>0</v>
      </c>
      <c r="W15" s="133">
        <v>985</v>
      </c>
      <c r="X15" s="127">
        <v>1135</v>
      </c>
      <c r="Y15" s="129">
        <v>1029</v>
      </c>
      <c r="Z15" s="127">
        <v>980</v>
      </c>
      <c r="AA15" s="127">
        <v>919</v>
      </c>
      <c r="AB15" s="129">
        <v>928</v>
      </c>
      <c r="AC15" s="129">
        <v>941</v>
      </c>
      <c r="AD15" s="129">
        <v>964</v>
      </c>
      <c r="AE15" s="129">
        <v>1049</v>
      </c>
      <c r="AF15" s="129">
        <v>979</v>
      </c>
      <c r="AG15" s="127">
        <v>962</v>
      </c>
      <c r="AH15" s="127">
        <v>968</v>
      </c>
      <c r="AI15" s="127">
        <v>929</v>
      </c>
      <c r="AJ15" s="127">
        <v>887</v>
      </c>
      <c r="AK15" s="127">
        <v>860</v>
      </c>
      <c r="AL15" s="127">
        <v>853</v>
      </c>
      <c r="AM15" s="127">
        <v>872</v>
      </c>
      <c r="AN15" s="127">
        <v>878</v>
      </c>
      <c r="AO15" s="127">
        <v>910</v>
      </c>
      <c r="AP15" s="127">
        <v>909</v>
      </c>
      <c r="AQ15" s="127">
        <v>922</v>
      </c>
      <c r="AR15" s="127">
        <v>903</v>
      </c>
      <c r="AS15" s="127">
        <v>936</v>
      </c>
      <c r="AT15" s="127">
        <v>931</v>
      </c>
      <c r="AU15" s="127">
        <v>935</v>
      </c>
      <c r="AV15" s="127">
        <v>925</v>
      </c>
      <c r="AW15" s="127">
        <v>903</v>
      </c>
      <c r="AX15" s="127">
        <v>902</v>
      </c>
      <c r="AY15" s="127">
        <v>908</v>
      </c>
      <c r="AZ15" s="127">
        <v>905</v>
      </c>
      <c r="BA15" s="127">
        <v>878</v>
      </c>
      <c r="BB15" s="127">
        <v>885</v>
      </c>
      <c r="BC15" s="127">
        <v>890</v>
      </c>
      <c r="BD15" s="127">
        <v>877</v>
      </c>
      <c r="BE15" s="127">
        <v>925</v>
      </c>
      <c r="BF15" s="127">
        <v>965</v>
      </c>
      <c r="BG15" s="127">
        <v>930</v>
      </c>
      <c r="BH15" s="127">
        <v>922</v>
      </c>
      <c r="BI15" s="127">
        <v>937</v>
      </c>
      <c r="BJ15" s="127">
        <v>939</v>
      </c>
      <c r="BK15" s="127">
        <v>969</v>
      </c>
      <c r="BL15" s="127">
        <v>997</v>
      </c>
      <c r="BM15" s="127">
        <v>982</v>
      </c>
      <c r="BN15" s="127">
        <v>1079</v>
      </c>
      <c r="BO15" s="127">
        <v>1124</v>
      </c>
      <c r="BP15" s="127">
        <v>1088</v>
      </c>
      <c r="BQ15" s="129">
        <v>1086</v>
      </c>
      <c r="BR15" s="129">
        <v>1044</v>
      </c>
      <c r="BS15" s="129">
        <v>1062</v>
      </c>
      <c r="BT15" s="129">
        <v>1039</v>
      </c>
      <c r="BU15" s="129">
        <v>1058</v>
      </c>
      <c r="BV15" s="129">
        <v>1045</v>
      </c>
      <c r="BW15" s="129">
        <v>1045</v>
      </c>
      <c r="BX15" s="129">
        <v>1046</v>
      </c>
      <c r="BY15" s="129">
        <v>1052</v>
      </c>
      <c r="BZ15" s="129">
        <v>1049</v>
      </c>
      <c r="CA15" s="129">
        <v>1040</v>
      </c>
      <c r="CB15" s="129">
        <v>1034</v>
      </c>
      <c r="CC15" s="129">
        <v>1025</v>
      </c>
      <c r="CD15" s="129">
        <v>1033</v>
      </c>
      <c r="CE15" s="129">
        <v>1042</v>
      </c>
      <c r="CF15" s="129">
        <v>1060</v>
      </c>
      <c r="CG15" s="129">
        <v>1049</v>
      </c>
      <c r="CH15" s="129">
        <v>1044</v>
      </c>
      <c r="CI15" s="129">
        <v>1037</v>
      </c>
      <c r="CJ15" s="129">
        <v>1018</v>
      </c>
      <c r="CK15" s="129">
        <v>1021</v>
      </c>
      <c r="CL15" s="129">
        <v>1030</v>
      </c>
      <c r="CM15" s="129">
        <v>1035</v>
      </c>
      <c r="CN15" s="129">
        <v>1028</v>
      </c>
      <c r="CO15" s="129">
        <v>1027</v>
      </c>
      <c r="CP15" s="129">
        <v>1030</v>
      </c>
      <c r="CQ15" s="129">
        <v>1040</v>
      </c>
      <c r="CR15" s="129">
        <v>1041</v>
      </c>
      <c r="CS15" s="129">
        <v>1045</v>
      </c>
      <c r="CT15" s="129">
        <v>1051</v>
      </c>
      <c r="CU15" s="129">
        <v>1045</v>
      </c>
      <c r="CV15" s="129">
        <v>1047</v>
      </c>
      <c r="CW15" s="129">
        <v>1034</v>
      </c>
      <c r="CX15" s="129">
        <v>1034</v>
      </c>
      <c r="CY15" s="129">
        <v>1035</v>
      </c>
      <c r="CZ15" s="129">
        <v>1044</v>
      </c>
      <c r="DA15" s="129">
        <v>1049</v>
      </c>
      <c r="DB15" s="129">
        <v>1050</v>
      </c>
      <c r="DC15" s="129">
        <v>1041</v>
      </c>
      <c r="DD15" s="129">
        <v>1058</v>
      </c>
      <c r="DE15" s="129">
        <v>1058</v>
      </c>
      <c r="DF15" s="129">
        <v>1069</v>
      </c>
      <c r="DG15" s="129">
        <v>1089</v>
      </c>
      <c r="DH15" s="129">
        <v>1086</v>
      </c>
      <c r="DI15" s="129">
        <v>1110</v>
      </c>
      <c r="DJ15" s="129">
        <v>1091</v>
      </c>
      <c r="DK15" s="129">
        <v>1039</v>
      </c>
      <c r="DL15" s="129">
        <v>1055</v>
      </c>
      <c r="DM15" s="129">
        <v>1040</v>
      </c>
      <c r="DN15" s="129">
        <v>1050</v>
      </c>
      <c r="DO15" s="129">
        <v>1053</v>
      </c>
      <c r="DP15" s="129">
        <v>1064</v>
      </c>
      <c r="DQ15" s="129">
        <v>1087</v>
      </c>
      <c r="DR15" s="129">
        <v>1066</v>
      </c>
      <c r="DS15" s="129">
        <v>1073</v>
      </c>
      <c r="DT15" s="129">
        <v>1067</v>
      </c>
      <c r="DU15" s="129">
        <v>1074</v>
      </c>
      <c r="DV15" s="129">
        <v>1070</v>
      </c>
      <c r="DW15" s="129">
        <v>1074</v>
      </c>
      <c r="DX15" s="129">
        <v>1071</v>
      </c>
      <c r="DY15" s="129">
        <v>1051</v>
      </c>
      <c r="DZ15" s="129">
        <v>1063</v>
      </c>
      <c r="EA15" s="129">
        <v>1058</v>
      </c>
      <c r="EB15" s="129">
        <v>1055</v>
      </c>
      <c r="EC15" s="129">
        <v>1065</v>
      </c>
      <c r="ED15" s="129">
        <v>1082</v>
      </c>
      <c r="EE15" s="129">
        <v>1080</v>
      </c>
      <c r="EF15" s="129">
        <v>1079</v>
      </c>
      <c r="EG15" s="129">
        <v>1082</v>
      </c>
      <c r="EH15" s="129">
        <v>1106</v>
      </c>
      <c r="EI15" s="129">
        <v>1100</v>
      </c>
      <c r="EJ15" s="129">
        <v>1100</v>
      </c>
      <c r="EK15" s="129">
        <v>1105</v>
      </c>
      <c r="EL15" s="129">
        <v>1110</v>
      </c>
      <c r="EM15" s="129">
        <v>1105</v>
      </c>
      <c r="EN15" s="129">
        <v>1073</v>
      </c>
      <c r="EO15" s="129">
        <v>1079</v>
      </c>
      <c r="EP15" s="129">
        <v>1063</v>
      </c>
      <c r="EQ15" s="129">
        <v>1080</v>
      </c>
      <c r="ER15" s="129">
        <v>1074</v>
      </c>
      <c r="ES15" s="129">
        <v>1056</v>
      </c>
      <c r="ET15" s="129">
        <v>1055</v>
      </c>
      <c r="EU15" s="129">
        <v>1050</v>
      </c>
      <c r="EV15" s="129">
        <v>1050</v>
      </c>
      <c r="EW15" s="129">
        <v>1041</v>
      </c>
    </row>
    <row r="16" spans="1:153" x14ac:dyDescent="0.25">
      <c r="A16" s="357" t="str">
        <f>IPO監視一覧!H16</f>
        <v>D</v>
      </c>
      <c r="B16" s="84" t="str">
        <f>IPO監視一覧!B16</f>
        <v>マクロミル</v>
      </c>
      <c r="C16" s="332">
        <f>株価一覧!E15</f>
        <v>2895</v>
      </c>
      <c r="D16" s="354">
        <f t="shared" ca="1" si="0"/>
        <v>2771.8</v>
      </c>
      <c r="E16" s="330">
        <f t="shared" ca="1" si="1"/>
        <v>2674.5</v>
      </c>
      <c r="F16" s="331">
        <f t="shared" ca="1" si="2"/>
        <v>2551</v>
      </c>
      <c r="G16" s="129">
        <v>0</v>
      </c>
      <c r="H16" s="129">
        <v>0</v>
      </c>
      <c r="I16" s="129">
        <v>0</v>
      </c>
      <c r="J16" s="129">
        <v>0</v>
      </c>
      <c r="K16" s="129">
        <v>0</v>
      </c>
      <c r="L16" s="129">
        <v>0</v>
      </c>
      <c r="M16" s="129">
        <v>0</v>
      </c>
      <c r="N16" s="129">
        <v>0</v>
      </c>
      <c r="O16" s="129">
        <v>0</v>
      </c>
      <c r="P16" s="129">
        <v>0</v>
      </c>
      <c r="Q16" s="129">
        <v>0</v>
      </c>
      <c r="R16" s="129">
        <v>0</v>
      </c>
      <c r="S16" s="129">
        <v>0</v>
      </c>
      <c r="T16" s="129">
        <v>0</v>
      </c>
      <c r="U16" s="129">
        <v>0</v>
      </c>
      <c r="V16" s="129">
        <v>0</v>
      </c>
      <c r="W16" s="133">
        <v>1680</v>
      </c>
      <c r="X16" s="127">
        <v>1805</v>
      </c>
      <c r="Y16" s="129">
        <v>1753</v>
      </c>
      <c r="Z16" s="127">
        <v>1735</v>
      </c>
      <c r="AA16" s="127">
        <v>1719</v>
      </c>
      <c r="AB16" s="129">
        <v>1750</v>
      </c>
      <c r="AC16" s="129">
        <v>1822</v>
      </c>
      <c r="AD16" s="129">
        <v>1892</v>
      </c>
      <c r="AE16" s="129">
        <v>1801</v>
      </c>
      <c r="AF16" s="129">
        <v>1910</v>
      </c>
      <c r="AG16" s="127">
        <v>1888</v>
      </c>
      <c r="AH16" s="127">
        <v>1892</v>
      </c>
      <c r="AI16" s="127">
        <v>1910</v>
      </c>
      <c r="AJ16" s="127">
        <v>1940</v>
      </c>
      <c r="AK16" s="127">
        <v>1939</v>
      </c>
      <c r="AL16" s="127">
        <v>1915</v>
      </c>
      <c r="AM16" s="127">
        <v>1905</v>
      </c>
      <c r="AN16" s="127">
        <v>1927</v>
      </c>
      <c r="AO16" s="127">
        <v>1926</v>
      </c>
      <c r="AP16" s="127">
        <v>1947</v>
      </c>
      <c r="AQ16" s="127">
        <v>1951</v>
      </c>
      <c r="AR16" s="127">
        <v>1962</v>
      </c>
      <c r="AS16" s="127">
        <v>1935</v>
      </c>
      <c r="AT16" s="127">
        <v>1915</v>
      </c>
      <c r="AU16" s="127">
        <v>1950</v>
      </c>
      <c r="AV16" s="127">
        <v>1954</v>
      </c>
      <c r="AW16" s="127">
        <v>1961</v>
      </c>
      <c r="AX16" s="127">
        <v>2000</v>
      </c>
      <c r="AY16" s="127">
        <v>1973</v>
      </c>
      <c r="AZ16" s="127">
        <v>1958</v>
      </c>
      <c r="BA16" s="127">
        <v>1975</v>
      </c>
      <c r="BB16" s="127">
        <v>1999</v>
      </c>
      <c r="BC16" s="127">
        <v>1995</v>
      </c>
      <c r="BD16" s="127">
        <v>1992</v>
      </c>
      <c r="BE16" s="127">
        <v>1965</v>
      </c>
      <c r="BF16" s="127">
        <v>1951</v>
      </c>
      <c r="BG16" s="127">
        <v>1911</v>
      </c>
      <c r="BH16" s="127">
        <v>1973</v>
      </c>
      <c r="BI16" s="127">
        <v>1950</v>
      </c>
      <c r="BJ16" s="127">
        <v>1968</v>
      </c>
      <c r="BK16" s="127">
        <v>1995</v>
      </c>
      <c r="BL16" s="127">
        <v>2081</v>
      </c>
      <c r="BM16" s="127">
        <v>2065</v>
      </c>
      <c r="BN16" s="127">
        <v>2044</v>
      </c>
      <c r="BO16" s="127">
        <v>2052</v>
      </c>
      <c r="BP16" s="127">
        <v>2015</v>
      </c>
      <c r="BQ16" s="129">
        <v>2027</v>
      </c>
      <c r="BR16" s="129">
        <v>2038</v>
      </c>
      <c r="BS16" s="129">
        <v>2070</v>
      </c>
      <c r="BT16" s="129">
        <v>2087</v>
      </c>
      <c r="BU16" s="129">
        <v>2171</v>
      </c>
      <c r="BV16" s="129">
        <v>2245</v>
      </c>
      <c r="BW16" s="129">
        <v>2363</v>
      </c>
      <c r="BX16" s="129">
        <v>2304</v>
      </c>
      <c r="BY16" s="129">
        <v>2295</v>
      </c>
      <c r="BZ16" s="129">
        <v>2222</v>
      </c>
      <c r="CA16" s="129">
        <v>2167</v>
      </c>
      <c r="CB16" s="129">
        <v>2182</v>
      </c>
      <c r="CC16" s="129">
        <v>2266</v>
      </c>
      <c r="CD16" s="129">
        <v>2447</v>
      </c>
      <c r="CE16" s="129">
        <v>2544</v>
      </c>
      <c r="CF16" s="129">
        <v>2596</v>
      </c>
      <c r="CG16" s="129">
        <v>2522</v>
      </c>
      <c r="CH16" s="129">
        <v>2560</v>
      </c>
      <c r="CI16" s="129">
        <v>2567</v>
      </c>
      <c r="CJ16" s="129">
        <v>2405</v>
      </c>
      <c r="CK16" s="129">
        <v>2380</v>
      </c>
      <c r="CL16" s="129">
        <v>2369</v>
      </c>
      <c r="CM16" s="129">
        <v>2465</v>
      </c>
      <c r="CN16" s="129">
        <v>2479</v>
      </c>
      <c r="CO16" s="129">
        <v>2457</v>
      </c>
      <c r="CP16" s="129">
        <v>2463</v>
      </c>
      <c r="CQ16" s="129">
        <v>2546</v>
      </c>
      <c r="CR16" s="129">
        <v>2718</v>
      </c>
      <c r="CS16" s="129">
        <v>2616</v>
      </c>
      <c r="CT16" s="129">
        <v>2643</v>
      </c>
      <c r="CU16" s="129">
        <v>2675</v>
      </c>
      <c r="CV16" s="129">
        <v>2692</v>
      </c>
      <c r="CW16" s="129">
        <v>2667</v>
      </c>
      <c r="CX16" s="129">
        <v>2583</v>
      </c>
      <c r="CY16" s="129">
        <v>2797</v>
      </c>
      <c r="CZ16" s="129">
        <v>2683</v>
      </c>
      <c r="DA16" s="129">
        <v>2677</v>
      </c>
      <c r="DB16" s="129">
        <v>2714</v>
      </c>
      <c r="DC16" s="129">
        <v>2697</v>
      </c>
      <c r="DD16" s="129">
        <v>2596</v>
      </c>
      <c r="DE16" s="129">
        <v>2483</v>
      </c>
      <c r="DF16" s="129">
        <v>2497</v>
      </c>
      <c r="DG16" s="129">
        <v>2504</v>
      </c>
      <c r="DH16" s="129">
        <v>2588</v>
      </c>
      <c r="DI16" s="129">
        <v>2515</v>
      </c>
      <c r="DJ16" s="129">
        <v>2507</v>
      </c>
      <c r="DK16" s="129">
        <v>2477</v>
      </c>
      <c r="DL16" s="129">
        <v>2398</v>
      </c>
      <c r="DM16" s="129">
        <v>2361</v>
      </c>
      <c r="DN16" s="129">
        <v>2358</v>
      </c>
      <c r="DO16" s="129">
        <v>2378</v>
      </c>
      <c r="DP16" s="129">
        <v>2375</v>
      </c>
      <c r="DQ16" s="129">
        <v>2291</v>
      </c>
      <c r="DR16" s="129">
        <v>2267</v>
      </c>
      <c r="DS16" s="129">
        <v>2380</v>
      </c>
      <c r="DT16" s="129">
        <v>2412</v>
      </c>
      <c r="DU16" s="129">
        <v>2375</v>
      </c>
      <c r="DV16" s="129">
        <v>2361</v>
      </c>
      <c r="DW16" s="129">
        <v>2338</v>
      </c>
      <c r="DX16" s="129">
        <v>2321</v>
      </c>
      <c r="DY16" s="129">
        <v>2183</v>
      </c>
      <c r="DZ16" s="129">
        <v>2293</v>
      </c>
      <c r="EA16" s="129">
        <v>2424</v>
      </c>
      <c r="EB16" s="129">
        <v>2499</v>
      </c>
      <c r="EC16" s="129">
        <v>2522</v>
      </c>
      <c r="ED16" s="129">
        <v>2504</v>
      </c>
      <c r="EE16" s="129">
        <v>2554</v>
      </c>
      <c r="EF16" s="129">
        <v>2618</v>
      </c>
      <c r="EG16" s="129">
        <v>2622</v>
      </c>
      <c r="EH16" s="129">
        <v>2673</v>
      </c>
      <c r="EI16" s="129">
        <v>2668</v>
      </c>
      <c r="EJ16" s="129">
        <v>2535</v>
      </c>
      <c r="EK16" s="129">
        <v>2434</v>
      </c>
      <c r="EL16" s="129">
        <v>2447</v>
      </c>
      <c r="EM16" s="129">
        <v>2519</v>
      </c>
      <c r="EN16" s="129">
        <v>2495</v>
      </c>
      <c r="EO16" s="129">
        <v>2563</v>
      </c>
      <c r="EP16" s="129">
        <v>2551</v>
      </c>
      <c r="EQ16" s="129">
        <v>2552</v>
      </c>
      <c r="ER16" s="129">
        <v>2725</v>
      </c>
      <c r="ES16" s="129">
        <v>2766</v>
      </c>
      <c r="ET16" s="129">
        <v>2691</v>
      </c>
      <c r="EU16" s="129">
        <v>2702</v>
      </c>
      <c r="EV16" s="129">
        <v>2805</v>
      </c>
      <c r="EW16" s="129">
        <v>2895</v>
      </c>
    </row>
    <row r="17" spans="1:153" x14ac:dyDescent="0.25">
      <c r="A17" s="357" t="str">
        <f>IPO監視一覧!H17</f>
        <v>D</v>
      </c>
      <c r="B17" s="84" t="str">
        <f>IPO監視一覧!B17</f>
        <v>グリーンズ</v>
      </c>
      <c r="C17" s="332">
        <f>株価一覧!E16</f>
        <v>1406</v>
      </c>
      <c r="D17" s="354">
        <f t="shared" ca="1" si="0"/>
        <v>1406.2</v>
      </c>
      <c r="E17" s="330">
        <f t="shared" ca="1" si="1"/>
        <v>1405.4</v>
      </c>
      <c r="F17" s="331">
        <f t="shared" ca="1" si="2"/>
        <v>1380</v>
      </c>
      <c r="G17" s="129">
        <v>0</v>
      </c>
      <c r="H17" s="129">
        <v>0</v>
      </c>
      <c r="I17" s="129">
        <v>0</v>
      </c>
      <c r="J17" s="129">
        <v>0</v>
      </c>
      <c r="K17" s="129">
        <v>0</v>
      </c>
      <c r="L17" s="129">
        <v>0</v>
      </c>
      <c r="M17" s="129">
        <v>0</v>
      </c>
      <c r="N17" s="129">
        <v>0</v>
      </c>
      <c r="O17" s="129">
        <v>0</v>
      </c>
      <c r="P17" s="129">
        <v>0</v>
      </c>
      <c r="Q17" s="129">
        <v>0</v>
      </c>
      <c r="R17" s="129">
        <v>0</v>
      </c>
      <c r="S17" s="129">
        <v>0</v>
      </c>
      <c r="T17" s="129">
        <v>0</v>
      </c>
      <c r="U17" s="129">
        <v>0</v>
      </c>
      <c r="V17" s="129">
        <v>0</v>
      </c>
      <c r="W17" s="127">
        <v>0</v>
      </c>
      <c r="X17" s="131">
        <v>1579</v>
      </c>
      <c r="Y17" s="129">
        <v>1560</v>
      </c>
      <c r="Z17" s="127">
        <v>1502</v>
      </c>
      <c r="AA17" s="127">
        <v>1434</v>
      </c>
      <c r="AB17" s="129">
        <v>1489</v>
      </c>
      <c r="AC17" s="129">
        <v>1450</v>
      </c>
      <c r="AD17" s="129">
        <v>1453</v>
      </c>
      <c r="AE17" s="129">
        <v>1520</v>
      </c>
      <c r="AF17" s="129">
        <v>1382</v>
      </c>
      <c r="AG17" s="127">
        <v>1385</v>
      </c>
      <c r="AH17" s="127">
        <v>1352</v>
      </c>
      <c r="AI17" s="127">
        <v>1300</v>
      </c>
      <c r="AJ17" s="127">
        <v>1266</v>
      </c>
      <c r="AK17" s="127">
        <v>1295</v>
      </c>
      <c r="AL17" s="127">
        <v>1309</v>
      </c>
      <c r="AM17" s="127">
        <v>1297</v>
      </c>
      <c r="AN17" s="127">
        <v>1320</v>
      </c>
      <c r="AO17" s="127">
        <v>1355</v>
      </c>
      <c r="AP17" s="127">
        <v>1375</v>
      </c>
      <c r="AQ17" s="127">
        <v>1376</v>
      </c>
      <c r="AR17" s="127">
        <v>1380</v>
      </c>
      <c r="AS17" s="127">
        <v>1428</v>
      </c>
      <c r="AT17" s="127">
        <v>1405</v>
      </c>
      <c r="AU17" s="127">
        <v>1392</v>
      </c>
      <c r="AV17" s="127">
        <v>1403</v>
      </c>
      <c r="AW17" s="127">
        <v>1399</v>
      </c>
      <c r="AX17" s="127">
        <v>1403</v>
      </c>
      <c r="AY17" s="127">
        <v>1418</v>
      </c>
      <c r="AZ17" s="127">
        <v>1436</v>
      </c>
      <c r="BA17" s="127">
        <v>1449</v>
      </c>
      <c r="BB17" s="127">
        <v>1448</v>
      </c>
      <c r="BC17" s="127">
        <v>1424</v>
      </c>
      <c r="BD17" s="127">
        <v>1429</v>
      </c>
      <c r="BE17" s="127">
        <v>1406</v>
      </c>
      <c r="BF17" s="127">
        <v>1405</v>
      </c>
      <c r="BG17" s="127">
        <v>1370</v>
      </c>
      <c r="BH17" s="127">
        <v>1389</v>
      </c>
      <c r="BI17" s="127">
        <v>1420</v>
      </c>
      <c r="BJ17" s="127">
        <v>1478</v>
      </c>
      <c r="BK17" s="127">
        <v>1495</v>
      </c>
      <c r="BL17" s="127">
        <v>1455</v>
      </c>
      <c r="BM17" s="127">
        <v>1453</v>
      </c>
      <c r="BN17" s="127">
        <v>1438</v>
      </c>
      <c r="BO17" s="127">
        <v>1442</v>
      </c>
      <c r="BP17" s="127">
        <v>1437</v>
      </c>
      <c r="BQ17" s="129">
        <v>1450</v>
      </c>
      <c r="BR17" s="129">
        <v>1456</v>
      </c>
      <c r="BS17" s="129">
        <v>1435</v>
      </c>
      <c r="BT17" s="129">
        <v>1445</v>
      </c>
      <c r="BU17" s="129">
        <v>1438</v>
      </c>
      <c r="BV17" s="129">
        <v>1440</v>
      </c>
      <c r="BW17" s="129">
        <v>1437</v>
      </c>
      <c r="BX17" s="129">
        <v>1423</v>
      </c>
      <c r="BY17" s="129">
        <v>1397</v>
      </c>
      <c r="BZ17" s="129">
        <v>1398</v>
      </c>
      <c r="CA17" s="129">
        <v>1387</v>
      </c>
      <c r="CB17" s="129">
        <v>1408</v>
      </c>
      <c r="CC17" s="129">
        <v>1417</v>
      </c>
      <c r="CD17" s="129">
        <v>1403</v>
      </c>
      <c r="CE17" s="129">
        <v>1400</v>
      </c>
      <c r="CF17" s="129">
        <v>1408</v>
      </c>
      <c r="CG17" s="129">
        <v>1409</v>
      </c>
      <c r="CH17" s="129">
        <v>1434</v>
      </c>
      <c r="CI17" s="129">
        <v>1427</v>
      </c>
      <c r="CJ17" s="129">
        <v>1399</v>
      </c>
      <c r="CK17" s="129">
        <v>1404</v>
      </c>
      <c r="CL17" s="129">
        <v>1399</v>
      </c>
      <c r="CM17" s="129">
        <v>1409</v>
      </c>
      <c r="CN17" s="129">
        <v>1405</v>
      </c>
      <c r="CO17" s="129">
        <v>1412</v>
      </c>
      <c r="CP17" s="129">
        <v>1416</v>
      </c>
      <c r="CQ17" s="129">
        <v>1415</v>
      </c>
      <c r="CR17" s="129">
        <v>1426</v>
      </c>
      <c r="CS17" s="129">
        <v>1444</v>
      </c>
      <c r="CT17" s="129">
        <v>1425</v>
      </c>
      <c r="CU17" s="129">
        <v>1428</v>
      </c>
      <c r="CV17" s="129">
        <v>1437</v>
      </c>
      <c r="CW17" s="129">
        <v>1438</v>
      </c>
      <c r="CX17" s="129">
        <v>1440</v>
      </c>
      <c r="CY17" s="129">
        <v>1471</v>
      </c>
      <c r="CZ17" s="129">
        <v>1469</v>
      </c>
      <c r="DA17" s="129">
        <v>1498</v>
      </c>
      <c r="DB17" s="129">
        <v>1499</v>
      </c>
      <c r="DC17" s="129">
        <v>1480</v>
      </c>
      <c r="DD17" s="129">
        <v>1479</v>
      </c>
      <c r="DE17" s="129">
        <v>1460</v>
      </c>
      <c r="DF17" s="129">
        <v>1444</v>
      </c>
      <c r="DG17" s="129">
        <v>1421</v>
      </c>
      <c r="DH17" s="129">
        <v>1439</v>
      </c>
      <c r="DI17" s="129">
        <v>1439</v>
      </c>
      <c r="DJ17" s="129">
        <v>1453</v>
      </c>
      <c r="DK17" s="129">
        <v>1325</v>
      </c>
      <c r="DL17" s="129">
        <v>1325</v>
      </c>
      <c r="DM17" s="129">
        <v>1319</v>
      </c>
      <c r="DN17" s="129">
        <v>1316</v>
      </c>
      <c r="DO17" s="129">
        <v>1319</v>
      </c>
      <c r="DP17" s="129">
        <v>1339</v>
      </c>
      <c r="DQ17" s="129">
        <v>1338</v>
      </c>
      <c r="DR17" s="129">
        <v>1350</v>
      </c>
      <c r="DS17" s="129">
        <v>1330</v>
      </c>
      <c r="DT17" s="129">
        <v>1331</v>
      </c>
      <c r="DU17" s="129">
        <v>1320</v>
      </c>
      <c r="DV17" s="129">
        <v>1320</v>
      </c>
      <c r="DW17" s="129">
        <v>1325</v>
      </c>
      <c r="DX17" s="129">
        <v>1305</v>
      </c>
      <c r="DY17" s="129">
        <v>1265</v>
      </c>
      <c r="DZ17" s="129">
        <v>1260</v>
      </c>
      <c r="EA17" s="129">
        <v>1263</v>
      </c>
      <c r="EB17" s="129">
        <v>1273</v>
      </c>
      <c r="EC17" s="129">
        <v>1279</v>
      </c>
      <c r="ED17" s="129">
        <v>1282</v>
      </c>
      <c r="EE17" s="129">
        <v>1300</v>
      </c>
      <c r="EF17" s="129">
        <v>1286</v>
      </c>
      <c r="EG17" s="129">
        <v>1256</v>
      </c>
      <c r="EH17" s="129">
        <v>1278</v>
      </c>
      <c r="EI17" s="129">
        <v>1274</v>
      </c>
      <c r="EJ17" s="129">
        <v>1290</v>
      </c>
      <c r="EK17" s="129">
        <v>1279</v>
      </c>
      <c r="EL17" s="129">
        <v>1373</v>
      </c>
      <c r="EM17" s="129">
        <v>1372</v>
      </c>
      <c r="EN17" s="129">
        <v>1410</v>
      </c>
      <c r="EO17" s="129">
        <v>1380</v>
      </c>
      <c r="EP17" s="129">
        <v>1394</v>
      </c>
      <c r="EQ17" s="129">
        <v>1424</v>
      </c>
      <c r="ER17" s="129">
        <v>1415</v>
      </c>
      <c r="ES17" s="129">
        <v>1408</v>
      </c>
      <c r="ET17" s="129">
        <v>1400</v>
      </c>
      <c r="EU17" s="129">
        <v>1408</v>
      </c>
      <c r="EV17" s="129">
        <v>1409</v>
      </c>
      <c r="EW17" s="129">
        <v>1406</v>
      </c>
    </row>
    <row r="18" spans="1:153" x14ac:dyDescent="0.25">
      <c r="A18" s="357" t="str">
        <f>IPO監視一覧!H18</f>
        <v>C</v>
      </c>
      <c r="B18" s="84" t="str">
        <f>IPO監視一覧!B18</f>
        <v>オロ</v>
      </c>
      <c r="C18" s="332">
        <f>株価一覧!E17</f>
        <v>1791</v>
      </c>
      <c r="D18" s="354">
        <f t="shared" ca="1" si="0"/>
        <v>1757.6</v>
      </c>
      <c r="E18" s="330">
        <f t="shared" ca="1" si="1"/>
        <v>1711.4</v>
      </c>
      <c r="F18" s="331">
        <f t="shared" ca="1" si="2"/>
        <v>1643</v>
      </c>
      <c r="G18" s="129">
        <v>0</v>
      </c>
      <c r="H18" s="129">
        <v>0</v>
      </c>
      <c r="I18" s="129">
        <v>0</v>
      </c>
      <c r="J18" s="129">
        <v>0</v>
      </c>
      <c r="K18" s="129">
        <v>0</v>
      </c>
      <c r="L18" s="129">
        <v>0</v>
      </c>
      <c r="M18" s="129">
        <v>0</v>
      </c>
      <c r="N18" s="129">
        <v>0</v>
      </c>
      <c r="O18" s="129">
        <v>0</v>
      </c>
      <c r="P18" s="129">
        <v>0</v>
      </c>
      <c r="Q18" s="129">
        <v>0</v>
      </c>
      <c r="R18" s="129">
        <v>0</v>
      </c>
      <c r="S18" s="129">
        <v>0</v>
      </c>
      <c r="T18" s="129">
        <v>0</v>
      </c>
      <c r="U18" s="129">
        <v>0</v>
      </c>
      <c r="V18" s="129">
        <v>0</v>
      </c>
      <c r="W18" s="129">
        <v>0</v>
      </c>
      <c r="X18" s="129">
        <v>0</v>
      </c>
      <c r="Y18" s="133">
        <v>4390</v>
      </c>
      <c r="Z18" s="127">
        <v>3830</v>
      </c>
      <c r="AA18" s="127">
        <v>3560</v>
      </c>
      <c r="AB18" s="129">
        <v>3770</v>
      </c>
      <c r="AC18" s="129">
        <v>3895</v>
      </c>
      <c r="AD18" s="129">
        <v>3890</v>
      </c>
      <c r="AE18" s="129">
        <v>3665</v>
      </c>
      <c r="AF18" s="129">
        <v>3475</v>
      </c>
      <c r="AG18" s="127">
        <v>3300</v>
      </c>
      <c r="AH18" s="127">
        <v>3210</v>
      </c>
      <c r="AI18" s="127">
        <v>2999</v>
      </c>
      <c r="AJ18" s="127">
        <v>2734</v>
      </c>
      <c r="AK18" s="127">
        <v>2750</v>
      </c>
      <c r="AL18" s="127">
        <v>2660</v>
      </c>
      <c r="AM18" s="127">
        <v>2920</v>
      </c>
      <c r="AN18" s="127">
        <v>2971</v>
      </c>
      <c r="AO18" s="127">
        <v>3080</v>
      </c>
      <c r="AP18" s="127">
        <v>3400</v>
      </c>
      <c r="AQ18" s="127">
        <v>3215</v>
      </c>
      <c r="AR18" s="127">
        <v>3035</v>
      </c>
      <c r="AS18" s="127">
        <v>3210</v>
      </c>
      <c r="AT18" s="127">
        <v>3295</v>
      </c>
      <c r="AU18" s="127">
        <v>3290</v>
      </c>
      <c r="AV18" s="127">
        <v>3265</v>
      </c>
      <c r="AW18" s="127">
        <v>3495</v>
      </c>
      <c r="AX18" s="127">
        <v>3410</v>
      </c>
      <c r="AY18" s="127">
        <v>3370</v>
      </c>
      <c r="AZ18" s="127">
        <v>3310</v>
      </c>
      <c r="BA18" s="127">
        <v>3410</v>
      </c>
      <c r="BB18" s="127">
        <v>3330</v>
      </c>
      <c r="BC18" s="127">
        <v>3205</v>
      </c>
      <c r="BD18" s="127">
        <v>3430</v>
      </c>
      <c r="BE18" s="127">
        <v>3260</v>
      </c>
      <c r="BF18" s="127">
        <v>3160</v>
      </c>
      <c r="BG18" s="127">
        <v>3115</v>
      </c>
      <c r="BH18" s="127">
        <v>3190</v>
      </c>
      <c r="BI18" s="127">
        <v>3110</v>
      </c>
      <c r="BJ18" s="127">
        <v>3190</v>
      </c>
      <c r="BK18" s="127">
        <v>3185</v>
      </c>
      <c r="BL18" s="127">
        <v>3325</v>
      </c>
      <c r="BM18" s="127">
        <v>3335</v>
      </c>
      <c r="BN18" s="127">
        <v>3250</v>
      </c>
      <c r="BO18" s="127">
        <v>3485</v>
      </c>
      <c r="BP18" s="127">
        <v>3425</v>
      </c>
      <c r="BQ18" s="129">
        <v>3315</v>
      </c>
      <c r="BR18" s="129">
        <v>3290</v>
      </c>
      <c r="BS18" s="129">
        <v>3300</v>
      </c>
      <c r="BT18" s="129">
        <v>3225</v>
      </c>
      <c r="BU18" s="129">
        <v>3230</v>
      </c>
      <c r="BV18" s="129">
        <v>3215</v>
      </c>
      <c r="BW18" s="129">
        <v>3240</v>
      </c>
      <c r="BX18" s="129">
        <v>3125</v>
      </c>
      <c r="BY18" s="129">
        <v>3050</v>
      </c>
      <c r="BZ18" s="129">
        <v>3115</v>
      </c>
      <c r="CA18" s="129">
        <v>3070</v>
      </c>
      <c r="CB18" s="129">
        <v>3290</v>
      </c>
      <c r="CC18" s="129">
        <v>3295</v>
      </c>
      <c r="CD18" s="129">
        <v>3210</v>
      </c>
      <c r="CE18" s="129">
        <v>3185</v>
      </c>
      <c r="CF18" s="129">
        <v>3215</v>
      </c>
      <c r="CG18" s="129">
        <v>3150</v>
      </c>
      <c r="CH18" s="129">
        <v>3225</v>
      </c>
      <c r="CI18" s="129">
        <v>3245</v>
      </c>
      <c r="CJ18" s="129">
        <v>3235</v>
      </c>
      <c r="CK18" s="129">
        <v>3110</v>
      </c>
      <c r="CL18" s="129">
        <v>3130</v>
      </c>
      <c r="CM18" s="129">
        <v>3160</v>
      </c>
      <c r="CN18" s="129">
        <v>3120</v>
      </c>
      <c r="CO18" s="129">
        <v>3125</v>
      </c>
      <c r="CP18" s="129">
        <v>3110</v>
      </c>
      <c r="CQ18" s="129">
        <v>3135</v>
      </c>
      <c r="CR18" s="129">
        <v>3145</v>
      </c>
      <c r="CS18" s="129">
        <v>3260</v>
      </c>
      <c r="CT18" s="129">
        <v>3195</v>
      </c>
      <c r="CU18" s="129">
        <v>3195</v>
      </c>
      <c r="CV18" s="129">
        <v>3185</v>
      </c>
      <c r="CW18" s="129">
        <v>3175</v>
      </c>
      <c r="CX18" s="129">
        <v>3265</v>
      </c>
      <c r="CY18" s="129">
        <v>3220</v>
      </c>
      <c r="CZ18" s="129">
        <v>3210</v>
      </c>
      <c r="DA18" s="129">
        <v>3200</v>
      </c>
      <c r="DB18" s="129">
        <v>3210</v>
      </c>
      <c r="DC18" s="129">
        <v>3175</v>
      </c>
      <c r="DD18" s="129">
        <v>1575</v>
      </c>
      <c r="DE18" s="129">
        <v>1580</v>
      </c>
      <c r="DF18" s="129">
        <v>1599</v>
      </c>
      <c r="DG18" s="129">
        <v>1509</v>
      </c>
      <c r="DH18" s="129">
        <v>1490</v>
      </c>
      <c r="DI18" s="129">
        <v>1450</v>
      </c>
      <c r="DJ18" s="129">
        <v>1453</v>
      </c>
      <c r="DK18" s="129">
        <v>1482</v>
      </c>
      <c r="DL18" s="129">
        <v>1511</v>
      </c>
      <c r="DM18" s="129">
        <v>1506</v>
      </c>
      <c r="DN18" s="129">
        <v>1460</v>
      </c>
      <c r="DO18" s="129">
        <v>1429</v>
      </c>
      <c r="DP18" s="129">
        <v>1549</v>
      </c>
      <c r="DQ18" s="129">
        <v>1609</v>
      </c>
      <c r="DR18" s="129">
        <v>1678</v>
      </c>
      <c r="DS18" s="129">
        <v>1612</v>
      </c>
      <c r="DT18" s="129">
        <v>1555</v>
      </c>
      <c r="DU18" s="129">
        <v>1599</v>
      </c>
      <c r="DV18" s="129">
        <v>1616</v>
      </c>
      <c r="DW18" s="129">
        <v>1615</v>
      </c>
      <c r="DX18" s="129">
        <v>1578</v>
      </c>
      <c r="DY18" s="129">
        <v>1477</v>
      </c>
      <c r="DZ18" s="129">
        <v>1408</v>
      </c>
      <c r="EA18" s="129">
        <v>1478</v>
      </c>
      <c r="EB18" s="129">
        <v>1434</v>
      </c>
      <c r="EC18" s="129">
        <v>1463</v>
      </c>
      <c r="ED18" s="129">
        <v>1482</v>
      </c>
      <c r="EE18" s="129">
        <v>1466</v>
      </c>
      <c r="EF18" s="129">
        <v>1481</v>
      </c>
      <c r="EG18" s="129">
        <v>1501</v>
      </c>
      <c r="EH18" s="129">
        <v>1609</v>
      </c>
      <c r="EI18" s="129">
        <v>1613</v>
      </c>
      <c r="EJ18" s="129">
        <v>1629</v>
      </c>
      <c r="EK18" s="129">
        <v>1640</v>
      </c>
      <c r="EL18" s="129">
        <v>1663</v>
      </c>
      <c r="EM18" s="129">
        <v>1642</v>
      </c>
      <c r="EN18" s="129">
        <v>1660</v>
      </c>
      <c r="EO18" s="129">
        <v>1669</v>
      </c>
      <c r="EP18" s="129">
        <v>1684</v>
      </c>
      <c r="EQ18" s="129">
        <v>1670</v>
      </c>
      <c r="ER18" s="129">
        <v>1643</v>
      </c>
      <c r="ES18" s="129">
        <v>1657</v>
      </c>
      <c r="ET18" s="129">
        <v>1764</v>
      </c>
      <c r="EU18" s="129">
        <v>1777</v>
      </c>
      <c r="EV18" s="129">
        <v>1799</v>
      </c>
      <c r="EW18" s="129">
        <v>1791</v>
      </c>
    </row>
    <row r="19" spans="1:153" x14ac:dyDescent="0.25">
      <c r="A19" s="357" t="str">
        <f>IPO監視一覧!H19</f>
        <v>D</v>
      </c>
      <c r="B19" s="84" t="str">
        <f>IPO監視一覧!B19</f>
        <v>ソレイジア・ファーマ</v>
      </c>
      <c r="C19" s="332">
        <f>株価一覧!E18</f>
        <v>331</v>
      </c>
      <c r="D19" s="354">
        <f t="shared" ca="1" si="0"/>
        <v>331.6</v>
      </c>
      <c r="E19" s="330">
        <f t="shared" ca="1" si="1"/>
        <v>331</v>
      </c>
      <c r="F19" s="331">
        <f t="shared" ca="1" si="2"/>
        <v>324</v>
      </c>
      <c r="G19" s="129">
        <v>0</v>
      </c>
      <c r="H19" s="129">
        <v>0</v>
      </c>
      <c r="I19" s="129">
        <v>0</v>
      </c>
      <c r="J19" s="129">
        <v>0</v>
      </c>
      <c r="K19" s="129">
        <v>0</v>
      </c>
      <c r="L19" s="129">
        <v>0</v>
      </c>
      <c r="M19" s="129">
        <v>0</v>
      </c>
      <c r="N19" s="129">
        <v>0</v>
      </c>
      <c r="O19" s="129">
        <v>0</v>
      </c>
      <c r="P19" s="129">
        <v>0</v>
      </c>
      <c r="Q19" s="129">
        <v>0</v>
      </c>
      <c r="R19" s="129">
        <v>0</v>
      </c>
      <c r="S19" s="129">
        <v>0</v>
      </c>
      <c r="T19" s="129">
        <v>0</v>
      </c>
      <c r="U19" s="129">
        <v>0</v>
      </c>
      <c r="V19" s="129">
        <v>0</v>
      </c>
      <c r="W19" s="129">
        <v>0</v>
      </c>
      <c r="X19" s="129">
        <v>0</v>
      </c>
      <c r="Y19" s="133">
        <v>272</v>
      </c>
      <c r="Z19" s="127">
        <v>238</v>
      </c>
      <c r="AA19" s="127">
        <v>228</v>
      </c>
      <c r="AB19" s="129">
        <v>237</v>
      </c>
      <c r="AC19" s="129">
        <v>253</v>
      </c>
      <c r="AD19" s="129">
        <v>249</v>
      </c>
      <c r="AE19" s="129">
        <v>329</v>
      </c>
      <c r="AF19" s="129">
        <v>310</v>
      </c>
      <c r="AG19" s="127">
        <v>323</v>
      </c>
      <c r="AH19" s="127">
        <v>367</v>
      </c>
      <c r="AI19" s="127">
        <v>401</v>
      </c>
      <c r="AJ19" s="127">
        <v>384</v>
      </c>
      <c r="AK19" s="127">
        <v>391</v>
      </c>
      <c r="AL19" s="127">
        <v>397</v>
      </c>
      <c r="AM19" s="127">
        <v>444</v>
      </c>
      <c r="AN19" s="127">
        <v>459</v>
      </c>
      <c r="AO19" s="127">
        <v>539</v>
      </c>
      <c r="AP19" s="127">
        <v>606</v>
      </c>
      <c r="AQ19" s="127">
        <v>594</v>
      </c>
      <c r="AR19" s="127">
        <v>558</v>
      </c>
      <c r="AS19" s="127">
        <v>470</v>
      </c>
      <c r="AT19" s="127">
        <v>540</v>
      </c>
      <c r="AU19" s="127">
        <v>549</v>
      </c>
      <c r="AV19" s="127">
        <v>530</v>
      </c>
      <c r="AW19" s="127">
        <v>500</v>
      </c>
      <c r="AX19" s="127">
        <v>524</v>
      </c>
      <c r="AY19" s="127">
        <v>600</v>
      </c>
      <c r="AZ19" s="127">
        <v>560</v>
      </c>
      <c r="BA19" s="127">
        <v>594</v>
      </c>
      <c r="BB19" s="127">
        <v>598</v>
      </c>
      <c r="BC19" s="127">
        <v>576</v>
      </c>
      <c r="BD19" s="127">
        <v>548</v>
      </c>
      <c r="BE19" s="127">
        <v>625</v>
      </c>
      <c r="BF19" s="127">
        <v>615</v>
      </c>
      <c r="BG19" s="127">
        <v>623</v>
      </c>
      <c r="BH19" s="127">
        <v>627</v>
      </c>
      <c r="BI19" s="127">
        <v>607</v>
      </c>
      <c r="BJ19" s="127">
        <v>620</v>
      </c>
      <c r="BK19" s="127">
        <v>618</v>
      </c>
      <c r="BL19" s="127">
        <v>595</v>
      </c>
      <c r="BM19" s="127">
        <v>570</v>
      </c>
      <c r="BN19" s="127">
        <v>509</v>
      </c>
      <c r="BO19" s="127">
        <v>524</v>
      </c>
      <c r="BP19" s="127">
        <v>482</v>
      </c>
      <c r="BQ19" s="129">
        <v>486</v>
      </c>
      <c r="BR19" s="129">
        <v>562</v>
      </c>
      <c r="BS19" s="129">
        <v>532</v>
      </c>
      <c r="BT19" s="129">
        <v>506</v>
      </c>
      <c r="BU19" s="129">
        <v>514</v>
      </c>
      <c r="BV19" s="129">
        <v>498</v>
      </c>
      <c r="BW19" s="129">
        <v>505</v>
      </c>
      <c r="BX19" s="129">
        <v>573</v>
      </c>
      <c r="BY19" s="129">
        <v>545</v>
      </c>
      <c r="BZ19" s="129">
        <v>540</v>
      </c>
      <c r="CA19" s="129">
        <v>520</v>
      </c>
      <c r="CB19" s="129">
        <v>524</v>
      </c>
      <c r="CC19" s="129">
        <v>539</v>
      </c>
      <c r="CD19" s="129">
        <v>521</v>
      </c>
      <c r="CE19" s="129">
        <v>503</v>
      </c>
      <c r="CF19" s="129">
        <v>498</v>
      </c>
      <c r="CG19" s="129">
        <v>483</v>
      </c>
      <c r="CH19" s="129">
        <v>480</v>
      </c>
      <c r="CI19" s="129">
        <v>498</v>
      </c>
      <c r="CJ19" s="129">
        <v>483</v>
      </c>
      <c r="CK19" s="129">
        <v>411</v>
      </c>
      <c r="CL19" s="129">
        <v>379</v>
      </c>
      <c r="CM19" s="129">
        <v>387</v>
      </c>
      <c r="CN19" s="129">
        <v>394</v>
      </c>
      <c r="CO19" s="129">
        <v>382</v>
      </c>
      <c r="CP19" s="129">
        <v>343</v>
      </c>
      <c r="CQ19" s="129">
        <v>423</v>
      </c>
      <c r="CR19" s="129">
        <v>401</v>
      </c>
      <c r="CS19" s="129">
        <v>398</v>
      </c>
      <c r="CT19" s="129">
        <v>423</v>
      </c>
      <c r="CU19" s="129">
        <v>421</v>
      </c>
      <c r="CV19" s="129">
        <v>409</v>
      </c>
      <c r="CW19" s="129">
        <v>401</v>
      </c>
      <c r="CX19" s="129">
        <v>399</v>
      </c>
      <c r="CY19" s="129">
        <v>402</v>
      </c>
      <c r="CZ19" s="129">
        <v>402</v>
      </c>
      <c r="DA19" s="129">
        <v>395</v>
      </c>
      <c r="DB19" s="129">
        <v>389</v>
      </c>
      <c r="DC19" s="129">
        <v>397</v>
      </c>
      <c r="DD19" s="129">
        <v>387</v>
      </c>
      <c r="DE19" s="129">
        <v>367</v>
      </c>
      <c r="DF19" s="129">
        <v>351</v>
      </c>
      <c r="DG19" s="129">
        <v>332</v>
      </c>
      <c r="DH19" s="129">
        <v>334</v>
      </c>
      <c r="DI19" s="129">
        <v>333</v>
      </c>
      <c r="DJ19" s="129">
        <v>328</v>
      </c>
      <c r="DK19" s="129">
        <v>344</v>
      </c>
      <c r="DL19" s="129">
        <v>360</v>
      </c>
      <c r="DM19" s="129">
        <v>356</v>
      </c>
      <c r="DN19" s="129">
        <v>381</v>
      </c>
      <c r="DO19" s="129">
        <v>395</v>
      </c>
      <c r="DP19" s="129">
        <v>380</v>
      </c>
      <c r="DQ19" s="129">
        <v>357</v>
      </c>
      <c r="DR19" s="129">
        <v>350</v>
      </c>
      <c r="DS19" s="129">
        <v>358</v>
      </c>
      <c r="DT19" s="129">
        <v>349</v>
      </c>
      <c r="DU19" s="129">
        <v>343</v>
      </c>
      <c r="DV19" s="129">
        <v>341</v>
      </c>
      <c r="DW19" s="129">
        <v>334</v>
      </c>
      <c r="DX19" s="129">
        <v>318</v>
      </c>
      <c r="DY19" s="129">
        <v>301</v>
      </c>
      <c r="DZ19" s="129">
        <v>308</v>
      </c>
      <c r="EA19" s="129">
        <v>301</v>
      </c>
      <c r="EB19" s="129">
        <v>304</v>
      </c>
      <c r="EC19" s="129">
        <v>306</v>
      </c>
      <c r="ED19" s="129">
        <v>314</v>
      </c>
      <c r="EE19" s="129">
        <v>311</v>
      </c>
      <c r="EF19" s="129">
        <v>337</v>
      </c>
      <c r="EG19" s="129">
        <v>339</v>
      </c>
      <c r="EH19" s="129">
        <v>338</v>
      </c>
      <c r="EI19" s="129">
        <v>334</v>
      </c>
      <c r="EJ19" s="129">
        <v>331</v>
      </c>
      <c r="EK19" s="129">
        <v>325</v>
      </c>
      <c r="EL19" s="129">
        <v>328</v>
      </c>
      <c r="EM19" s="129">
        <v>321</v>
      </c>
      <c r="EN19" s="129">
        <v>324</v>
      </c>
      <c r="EO19" s="129">
        <v>324</v>
      </c>
      <c r="EP19" s="129">
        <v>329</v>
      </c>
      <c r="EQ19" s="129">
        <v>343</v>
      </c>
      <c r="ER19" s="129">
        <v>332</v>
      </c>
      <c r="ES19" s="129">
        <v>327</v>
      </c>
      <c r="ET19" s="129">
        <v>334</v>
      </c>
      <c r="EU19" s="129">
        <v>332</v>
      </c>
      <c r="EV19" s="129">
        <v>334</v>
      </c>
      <c r="EW19" s="129">
        <v>331</v>
      </c>
    </row>
    <row r="20" spans="1:153" x14ac:dyDescent="0.25">
      <c r="A20" s="357" t="str">
        <f>IPO監視一覧!H20</f>
        <v>D</v>
      </c>
      <c r="B20" s="84" t="str">
        <f>IPO監視一覧!B20</f>
        <v>ティーケーピー</v>
      </c>
      <c r="C20" s="332">
        <f>株価一覧!E19</f>
        <v>2451</v>
      </c>
      <c r="D20" s="354">
        <f t="shared" ca="1" si="0"/>
        <v>2449.8000000000002</v>
      </c>
      <c r="E20" s="330">
        <f t="shared" ca="1" si="1"/>
        <v>2444.1999999999998</v>
      </c>
      <c r="F20" s="331">
        <f t="shared" ca="1" si="2"/>
        <v>2381</v>
      </c>
      <c r="G20" s="129">
        <v>0</v>
      </c>
      <c r="H20" s="129">
        <v>0</v>
      </c>
      <c r="I20" s="129">
        <v>0</v>
      </c>
      <c r="J20" s="129">
        <v>0</v>
      </c>
      <c r="K20" s="129">
        <v>0</v>
      </c>
      <c r="L20" s="129">
        <v>0</v>
      </c>
      <c r="M20" s="129">
        <v>0</v>
      </c>
      <c r="N20" s="129">
        <v>0</v>
      </c>
      <c r="O20" s="129">
        <v>0</v>
      </c>
      <c r="P20" s="129">
        <v>0</v>
      </c>
      <c r="Q20" s="129">
        <v>0</v>
      </c>
      <c r="R20" s="129">
        <v>0</v>
      </c>
      <c r="S20" s="129">
        <v>0</v>
      </c>
      <c r="T20" s="129">
        <v>0</v>
      </c>
      <c r="U20" s="129">
        <v>0</v>
      </c>
      <c r="V20" s="129">
        <v>0</v>
      </c>
      <c r="W20" s="129">
        <v>0</v>
      </c>
      <c r="X20" s="129">
        <v>0</v>
      </c>
      <c r="Y20" s="129">
        <v>0</v>
      </c>
      <c r="Z20" s="131">
        <v>9970</v>
      </c>
      <c r="AA20" s="127">
        <v>11460</v>
      </c>
      <c r="AB20" s="129">
        <v>11340</v>
      </c>
      <c r="AC20" s="129">
        <v>12500</v>
      </c>
      <c r="AD20" s="129">
        <v>12920</v>
      </c>
      <c r="AE20" s="129">
        <v>13410</v>
      </c>
      <c r="AF20" s="129">
        <v>11770</v>
      </c>
      <c r="AG20" s="127">
        <v>11890</v>
      </c>
      <c r="AH20" s="127">
        <v>12610</v>
      </c>
      <c r="AI20" s="127">
        <v>11900</v>
      </c>
      <c r="AJ20" s="127">
        <v>10570</v>
      </c>
      <c r="AK20" s="127">
        <v>10450</v>
      </c>
      <c r="AL20" s="127">
        <v>10030</v>
      </c>
      <c r="AM20" s="127">
        <v>11400</v>
      </c>
      <c r="AN20" s="127">
        <v>12300</v>
      </c>
      <c r="AO20" s="127">
        <v>11900</v>
      </c>
      <c r="AP20" s="127">
        <v>11870</v>
      </c>
      <c r="AQ20" s="127">
        <v>11680</v>
      </c>
      <c r="AR20" s="127">
        <v>11080</v>
      </c>
      <c r="AS20" s="127">
        <v>12610</v>
      </c>
      <c r="AT20" s="127">
        <v>12820</v>
      </c>
      <c r="AU20" s="127">
        <v>13790</v>
      </c>
      <c r="AV20" s="127">
        <v>14200</v>
      </c>
      <c r="AW20" s="127">
        <v>14050</v>
      </c>
      <c r="AX20" s="127">
        <v>13690</v>
      </c>
      <c r="AY20" s="127">
        <v>13330</v>
      </c>
      <c r="AZ20" s="127">
        <v>14210</v>
      </c>
      <c r="BA20" s="127">
        <v>14000</v>
      </c>
      <c r="BB20" s="127">
        <v>13770</v>
      </c>
      <c r="BC20" s="127">
        <v>13850</v>
      </c>
      <c r="BD20" s="127">
        <v>13770</v>
      </c>
      <c r="BE20" s="127">
        <v>13400</v>
      </c>
      <c r="BF20" s="127">
        <v>14750</v>
      </c>
      <c r="BG20" s="127">
        <v>14760</v>
      </c>
      <c r="BH20" s="127">
        <v>14770</v>
      </c>
      <c r="BI20" s="127">
        <v>15090</v>
      </c>
      <c r="BJ20" s="127">
        <v>15200</v>
      </c>
      <c r="BK20" s="127">
        <v>15050</v>
      </c>
      <c r="BL20" s="127">
        <v>14820</v>
      </c>
      <c r="BM20" s="127">
        <v>14910</v>
      </c>
      <c r="BN20" s="127">
        <v>14750</v>
      </c>
      <c r="BO20" s="127">
        <v>14970</v>
      </c>
      <c r="BP20" s="127">
        <v>14760</v>
      </c>
      <c r="BQ20" s="129">
        <v>15390</v>
      </c>
      <c r="BR20" s="129">
        <v>14730</v>
      </c>
      <c r="BS20" s="129">
        <v>14810</v>
      </c>
      <c r="BT20" s="129">
        <v>14520</v>
      </c>
      <c r="BU20" s="129">
        <v>14280</v>
      </c>
      <c r="BV20" s="129">
        <v>14180</v>
      </c>
      <c r="BW20" s="129">
        <v>14580</v>
      </c>
      <c r="BX20" s="129">
        <v>14210</v>
      </c>
      <c r="BY20" s="129">
        <v>14540</v>
      </c>
      <c r="BZ20" s="129">
        <v>14680</v>
      </c>
      <c r="CA20" s="129">
        <v>15290</v>
      </c>
      <c r="CB20" s="129">
        <v>15300</v>
      </c>
      <c r="CC20" s="129">
        <v>14910</v>
      </c>
      <c r="CD20" s="129">
        <v>14750</v>
      </c>
      <c r="CE20" s="129">
        <v>14670</v>
      </c>
      <c r="CF20" s="129">
        <v>14770</v>
      </c>
      <c r="CG20" s="129">
        <v>14570</v>
      </c>
      <c r="CH20" s="129">
        <v>14710</v>
      </c>
      <c r="CI20" s="129">
        <v>14560</v>
      </c>
      <c r="CJ20" s="129">
        <v>14350</v>
      </c>
      <c r="CK20" s="129">
        <v>14110</v>
      </c>
      <c r="CL20" s="129">
        <v>14010</v>
      </c>
      <c r="CM20" s="129">
        <v>14360</v>
      </c>
      <c r="CN20" s="129">
        <v>14600</v>
      </c>
      <c r="CO20" s="129">
        <v>14430</v>
      </c>
      <c r="CP20" s="129">
        <v>14580</v>
      </c>
      <c r="CQ20" s="129">
        <v>14440</v>
      </c>
      <c r="CR20" s="129">
        <v>15010</v>
      </c>
      <c r="CS20" s="129">
        <v>14740</v>
      </c>
      <c r="CT20" s="129">
        <v>14650</v>
      </c>
      <c r="CU20" s="129">
        <v>14130</v>
      </c>
      <c r="CV20" s="129">
        <v>13710</v>
      </c>
      <c r="CW20" s="129">
        <v>13900</v>
      </c>
      <c r="CX20" s="129">
        <v>14050</v>
      </c>
      <c r="CY20" s="129">
        <v>14880</v>
      </c>
      <c r="CZ20" s="129">
        <v>14900</v>
      </c>
      <c r="DA20" s="129">
        <v>14990</v>
      </c>
      <c r="DB20" s="129">
        <v>15050</v>
      </c>
      <c r="DC20" s="129">
        <v>14670</v>
      </c>
      <c r="DD20" s="129">
        <v>14480</v>
      </c>
      <c r="DE20" s="129">
        <v>14630</v>
      </c>
      <c r="DF20" s="129">
        <v>14670</v>
      </c>
      <c r="DG20" s="129">
        <v>14500</v>
      </c>
      <c r="DH20" s="129">
        <v>14500</v>
      </c>
      <c r="DI20" s="129">
        <v>14500</v>
      </c>
      <c r="DJ20" s="129">
        <v>14650</v>
      </c>
      <c r="DK20" s="129">
        <f>ROUND(14810/7,0)</f>
        <v>2116</v>
      </c>
      <c r="DL20" s="129">
        <f>ROUND(15150/7,0)</f>
        <v>2164</v>
      </c>
      <c r="DM20" s="129">
        <f>ROUND(15020/7,0)</f>
        <v>2146</v>
      </c>
      <c r="DN20" s="129">
        <f>ROUND(15050/7,0)</f>
        <v>2150</v>
      </c>
      <c r="DO20" s="129">
        <f>ROUND(15680/7,0)</f>
        <v>2240</v>
      </c>
      <c r="DP20" s="129">
        <f>ROUND(16400/7,0)</f>
        <v>2343</v>
      </c>
      <c r="DQ20" s="129">
        <f>ROUND(17910/7,0)</f>
        <v>2559</v>
      </c>
      <c r="DR20" s="129">
        <f>ROUND(17250/7,0)</f>
        <v>2464</v>
      </c>
      <c r="DS20" s="129">
        <f>ROUND(17550/7,0)</f>
        <v>2507</v>
      </c>
      <c r="DT20" s="129">
        <v>2406</v>
      </c>
      <c r="DU20" s="129">
        <v>2305</v>
      </c>
      <c r="DV20" s="129">
        <v>2380</v>
      </c>
      <c r="DW20" s="129">
        <v>2489</v>
      </c>
      <c r="DX20" s="129">
        <v>2400</v>
      </c>
      <c r="DY20" s="129">
        <v>2186</v>
      </c>
      <c r="DZ20" s="129">
        <v>2270</v>
      </c>
      <c r="EA20" s="129">
        <v>2318</v>
      </c>
      <c r="EB20" s="129">
        <v>2268</v>
      </c>
      <c r="EC20" s="129">
        <v>2328</v>
      </c>
      <c r="ED20" s="129">
        <v>2524</v>
      </c>
      <c r="EE20" s="129">
        <v>2440</v>
      </c>
      <c r="EF20" s="129">
        <v>2365</v>
      </c>
      <c r="EG20" s="129">
        <v>2400</v>
      </c>
      <c r="EH20" s="129">
        <v>2450</v>
      </c>
      <c r="EI20" s="129">
        <v>2380</v>
      </c>
      <c r="EJ20" s="129">
        <v>2338</v>
      </c>
      <c r="EK20" s="129">
        <v>2280</v>
      </c>
      <c r="EL20" s="129">
        <v>2351</v>
      </c>
      <c r="EM20" s="129">
        <v>2332</v>
      </c>
      <c r="EN20" s="129">
        <v>2436</v>
      </c>
      <c r="EO20" s="129">
        <v>2407</v>
      </c>
      <c r="EP20" s="129">
        <v>2392</v>
      </c>
      <c r="EQ20" s="129">
        <v>2451</v>
      </c>
      <c r="ER20" s="129">
        <v>2507</v>
      </c>
      <c r="ES20" s="129">
        <v>2480</v>
      </c>
      <c r="ET20" s="129">
        <v>2381</v>
      </c>
      <c r="EU20" s="129">
        <v>2459</v>
      </c>
      <c r="EV20" s="129">
        <v>2478</v>
      </c>
      <c r="EW20" s="129">
        <v>2451</v>
      </c>
    </row>
    <row r="21" spans="1:153" x14ac:dyDescent="0.25">
      <c r="A21" s="357" t="str">
        <f>IPO監視一覧!H21</f>
        <v>D</v>
      </c>
      <c r="B21" s="84" t="str">
        <f>IPO監視一覧!B21</f>
        <v>ズーム</v>
      </c>
      <c r="C21" s="332">
        <f>株価一覧!E20</f>
        <v>2024</v>
      </c>
      <c r="D21" s="354">
        <f t="shared" ca="1" si="0"/>
        <v>1972.6</v>
      </c>
      <c r="E21" s="330">
        <f t="shared" ca="1" si="1"/>
        <v>1963.9</v>
      </c>
      <c r="F21" s="331">
        <f t="shared" ca="1" si="2"/>
        <v>1913</v>
      </c>
      <c r="G21" s="129">
        <v>0</v>
      </c>
      <c r="H21" s="129">
        <v>0</v>
      </c>
      <c r="I21" s="129">
        <v>0</v>
      </c>
      <c r="J21" s="129">
        <v>0</v>
      </c>
      <c r="K21" s="129">
        <v>0</v>
      </c>
      <c r="L21" s="129">
        <v>0</v>
      </c>
      <c r="M21" s="129">
        <v>0</v>
      </c>
      <c r="N21" s="129">
        <v>0</v>
      </c>
      <c r="O21" s="129">
        <v>0</v>
      </c>
      <c r="P21" s="129">
        <v>0</v>
      </c>
      <c r="Q21" s="129">
        <v>0</v>
      </c>
      <c r="R21" s="129">
        <v>0</v>
      </c>
      <c r="S21" s="129">
        <v>0</v>
      </c>
      <c r="T21" s="129">
        <v>0</v>
      </c>
      <c r="U21" s="129">
        <v>0</v>
      </c>
      <c r="V21" s="129">
        <v>0</v>
      </c>
      <c r="W21" s="129">
        <v>0</v>
      </c>
      <c r="X21" s="129">
        <v>0</v>
      </c>
      <c r="Y21" s="129">
        <v>0</v>
      </c>
      <c r="Z21" s="129">
        <v>0</v>
      </c>
      <c r="AA21" s="131">
        <v>1885</v>
      </c>
      <c r="AB21" s="129">
        <v>1820</v>
      </c>
      <c r="AC21" s="129">
        <v>1835</v>
      </c>
      <c r="AD21" s="129">
        <v>1812</v>
      </c>
      <c r="AE21" s="129">
        <v>1769</v>
      </c>
      <c r="AF21" s="129">
        <v>1636</v>
      </c>
      <c r="AG21" s="127">
        <v>1600</v>
      </c>
      <c r="AH21" s="127">
        <v>1685</v>
      </c>
      <c r="AI21" s="127">
        <v>1610</v>
      </c>
      <c r="AJ21" s="127">
        <v>1518</v>
      </c>
      <c r="AK21" s="127">
        <v>1500</v>
      </c>
      <c r="AL21" s="127">
        <v>1446</v>
      </c>
      <c r="AM21" s="127">
        <v>1447</v>
      </c>
      <c r="AN21" s="127">
        <v>1516</v>
      </c>
      <c r="AO21" s="127">
        <v>1530</v>
      </c>
      <c r="AP21" s="127">
        <v>1669</v>
      </c>
      <c r="AQ21" s="127">
        <v>1594</v>
      </c>
      <c r="AR21" s="127">
        <v>1540</v>
      </c>
      <c r="AS21" s="127">
        <v>1545</v>
      </c>
      <c r="AT21" s="127">
        <v>1575</v>
      </c>
      <c r="AU21" s="127">
        <v>1630</v>
      </c>
      <c r="AV21" s="127">
        <v>1606</v>
      </c>
      <c r="AW21" s="127">
        <v>1625</v>
      </c>
      <c r="AX21" s="127">
        <v>1623</v>
      </c>
      <c r="AY21" s="127">
        <v>1739</v>
      </c>
      <c r="AZ21" s="127">
        <v>1660</v>
      </c>
      <c r="BA21" s="127">
        <v>1599</v>
      </c>
      <c r="BB21" s="127">
        <v>1619</v>
      </c>
      <c r="BC21" s="127">
        <v>1607</v>
      </c>
      <c r="BD21" s="127">
        <v>1625</v>
      </c>
      <c r="BE21" s="127">
        <v>1680</v>
      </c>
      <c r="BF21" s="127">
        <v>1699</v>
      </c>
      <c r="BG21" s="127">
        <v>1695</v>
      </c>
      <c r="BH21" s="127">
        <v>1725</v>
      </c>
      <c r="BI21" s="127">
        <v>1761</v>
      </c>
      <c r="BJ21" s="127">
        <v>1837</v>
      </c>
      <c r="BK21" s="127">
        <v>1810</v>
      </c>
      <c r="BL21" s="127">
        <v>1952</v>
      </c>
      <c r="BM21" s="127">
        <v>1940</v>
      </c>
      <c r="BN21" s="127">
        <v>1890</v>
      </c>
      <c r="BO21" s="127">
        <v>1836</v>
      </c>
      <c r="BP21" s="127">
        <v>1943</v>
      </c>
      <c r="BQ21" s="129">
        <v>1915</v>
      </c>
      <c r="BR21" s="129">
        <v>1925</v>
      </c>
      <c r="BS21" s="129">
        <v>2020</v>
      </c>
      <c r="BT21" s="129">
        <v>2009</v>
      </c>
      <c r="BU21" s="129">
        <v>2002</v>
      </c>
      <c r="BV21" s="129">
        <v>1993</v>
      </c>
      <c r="BW21" s="129">
        <v>1991</v>
      </c>
      <c r="BX21" s="129">
        <v>1978</v>
      </c>
      <c r="BY21" s="129">
        <v>1904</v>
      </c>
      <c r="BZ21" s="129">
        <v>1902</v>
      </c>
      <c r="CA21" s="129">
        <v>1890</v>
      </c>
      <c r="CB21" s="129">
        <v>1969</v>
      </c>
      <c r="CC21" s="129">
        <v>1985</v>
      </c>
      <c r="CD21" s="129">
        <v>1931</v>
      </c>
      <c r="CE21" s="129">
        <v>1924</v>
      </c>
      <c r="CF21" s="129">
        <v>1924</v>
      </c>
      <c r="CG21" s="129">
        <v>1842</v>
      </c>
      <c r="CH21" s="129">
        <v>1798</v>
      </c>
      <c r="CI21" s="129">
        <v>1813</v>
      </c>
      <c r="CJ21" s="129">
        <v>1755</v>
      </c>
      <c r="CK21" s="129">
        <v>1750</v>
      </c>
      <c r="CL21" s="129">
        <v>1699</v>
      </c>
      <c r="CM21" s="129">
        <v>1708</v>
      </c>
      <c r="CN21" s="129">
        <v>1710</v>
      </c>
      <c r="CO21" s="129">
        <v>1799</v>
      </c>
      <c r="CP21" s="129">
        <v>1777</v>
      </c>
      <c r="CQ21" s="129">
        <v>1766</v>
      </c>
      <c r="CR21" s="129">
        <v>1807</v>
      </c>
      <c r="CS21" s="129">
        <v>1830</v>
      </c>
      <c r="CT21" s="129">
        <v>1808</v>
      </c>
      <c r="CU21" s="129">
        <v>1806</v>
      </c>
      <c r="CV21" s="129">
        <v>1802</v>
      </c>
      <c r="CW21" s="129">
        <v>1800</v>
      </c>
      <c r="CX21" s="129">
        <v>1799</v>
      </c>
      <c r="CY21" s="129">
        <v>1786</v>
      </c>
      <c r="CZ21" s="129">
        <v>1780</v>
      </c>
      <c r="DA21" s="129">
        <v>1769</v>
      </c>
      <c r="DB21" s="129">
        <v>1765</v>
      </c>
      <c r="DC21" s="129">
        <v>1762</v>
      </c>
      <c r="DD21" s="129">
        <v>1774</v>
      </c>
      <c r="DE21" s="129">
        <v>1784</v>
      </c>
      <c r="DF21" s="129">
        <v>1835</v>
      </c>
      <c r="DG21" s="129">
        <v>1790</v>
      </c>
      <c r="DH21" s="129">
        <v>1794</v>
      </c>
      <c r="DI21" s="129">
        <v>1730</v>
      </c>
      <c r="DJ21" s="129">
        <v>1726</v>
      </c>
      <c r="DK21" s="129">
        <v>1625</v>
      </c>
      <c r="DL21" s="129">
        <v>1671</v>
      </c>
      <c r="DM21" s="129">
        <v>1641</v>
      </c>
      <c r="DN21" s="129">
        <v>1690</v>
      </c>
      <c r="DO21" s="129">
        <v>1716</v>
      </c>
      <c r="DP21" s="129">
        <v>1721</v>
      </c>
      <c r="DQ21" s="129">
        <v>1709</v>
      </c>
      <c r="DR21" s="129">
        <v>1714</v>
      </c>
      <c r="DS21" s="129">
        <v>1746</v>
      </c>
      <c r="DT21" s="129">
        <v>1720</v>
      </c>
      <c r="DU21" s="129">
        <v>1706</v>
      </c>
      <c r="DV21" s="129">
        <v>1704</v>
      </c>
      <c r="DW21" s="129">
        <v>1690</v>
      </c>
      <c r="DX21" s="129">
        <v>1662</v>
      </c>
      <c r="DY21" s="129">
        <v>1610</v>
      </c>
      <c r="DZ21" s="129">
        <v>1619</v>
      </c>
      <c r="EA21" s="129">
        <v>1621</v>
      </c>
      <c r="EB21" s="129">
        <v>1613</v>
      </c>
      <c r="EC21" s="129">
        <v>1656</v>
      </c>
      <c r="ED21" s="129">
        <v>1672</v>
      </c>
      <c r="EE21" s="129">
        <v>1694</v>
      </c>
      <c r="EF21" s="129">
        <v>1685</v>
      </c>
      <c r="EG21" s="129">
        <v>1731</v>
      </c>
      <c r="EH21" s="129">
        <v>1835</v>
      </c>
      <c r="EI21" s="129">
        <v>1824</v>
      </c>
      <c r="EJ21" s="129">
        <v>1813</v>
      </c>
      <c r="EK21" s="129">
        <v>1783</v>
      </c>
      <c r="EL21" s="129">
        <v>1830</v>
      </c>
      <c r="EM21" s="129">
        <v>1865</v>
      </c>
      <c r="EN21" s="129">
        <v>1910</v>
      </c>
      <c r="EO21" s="129">
        <v>1934</v>
      </c>
      <c r="EP21" s="129">
        <v>1922</v>
      </c>
      <c r="EQ21" s="129">
        <v>1980</v>
      </c>
      <c r="ER21" s="129">
        <v>2030</v>
      </c>
      <c r="ES21" s="129">
        <v>1971</v>
      </c>
      <c r="ET21" s="129">
        <v>1913</v>
      </c>
      <c r="EU21" s="129">
        <v>1949</v>
      </c>
      <c r="EV21" s="129">
        <v>2006</v>
      </c>
      <c r="EW21" s="129">
        <v>2024</v>
      </c>
    </row>
    <row r="22" spans="1:153" x14ac:dyDescent="0.25">
      <c r="A22" s="357" t="str">
        <f>IPO監視一覧!H22</f>
        <v>A</v>
      </c>
      <c r="B22" s="84" t="str">
        <f>IPO監視一覧!B22</f>
        <v>Ｎｏ．１</v>
      </c>
      <c r="C22" s="332">
        <f>株価一覧!E21</f>
        <v>2217</v>
      </c>
      <c r="D22" s="354">
        <f t="shared" ca="1" si="0"/>
        <v>2205.6</v>
      </c>
      <c r="E22" s="330">
        <f t="shared" ca="1" si="1"/>
        <v>2101.6</v>
      </c>
      <c r="F22" s="331">
        <f t="shared" ca="1" si="2"/>
        <v>1988</v>
      </c>
      <c r="G22" s="129">
        <v>0</v>
      </c>
      <c r="H22" s="129">
        <v>0</v>
      </c>
      <c r="I22" s="129">
        <v>0</v>
      </c>
      <c r="J22" s="129">
        <v>0</v>
      </c>
      <c r="K22" s="129">
        <v>0</v>
      </c>
      <c r="L22" s="129">
        <v>0</v>
      </c>
      <c r="M22" s="129">
        <v>0</v>
      </c>
      <c r="N22" s="129">
        <v>0</v>
      </c>
      <c r="O22" s="129">
        <v>0</v>
      </c>
      <c r="P22" s="129">
        <v>0</v>
      </c>
      <c r="Q22" s="129">
        <v>0</v>
      </c>
      <c r="R22" s="129">
        <v>0</v>
      </c>
      <c r="S22" s="129">
        <v>0</v>
      </c>
      <c r="T22" s="129">
        <v>0</v>
      </c>
      <c r="U22" s="129">
        <v>0</v>
      </c>
      <c r="V22" s="129">
        <v>0</v>
      </c>
      <c r="W22" s="129">
        <v>0</v>
      </c>
      <c r="X22" s="129">
        <v>0</v>
      </c>
      <c r="Y22" s="129">
        <v>0</v>
      </c>
      <c r="Z22" s="129">
        <v>0</v>
      </c>
      <c r="AA22" s="131">
        <v>3220</v>
      </c>
      <c r="AB22" s="129">
        <v>3920</v>
      </c>
      <c r="AC22" s="129">
        <v>3650</v>
      </c>
      <c r="AD22" s="129">
        <v>3525</v>
      </c>
      <c r="AE22" s="129">
        <v>3480</v>
      </c>
      <c r="AF22" s="129">
        <v>2914</v>
      </c>
      <c r="AG22" s="127">
        <v>2800</v>
      </c>
      <c r="AH22" s="127">
        <v>2750</v>
      </c>
      <c r="AI22" s="127">
        <v>2694</v>
      </c>
      <c r="AJ22" s="127">
        <v>2525</v>
      </c>
      <c r="AK22" s="127">
        <v>2517</v>
      </c>
      <c r="AL22" s="127">
        <v>2455</v>
      </c>
      <c r="AM22" s="127">
        <v>2486</v>
      </c>
      <c r="AN22" s="127">
        <v>2674</v>
      </c>
      <c r="AO22" s="127">
        <v>2650</v>
      </c>
      <c r="AP22" s="127">
        <v>2701</v>
      </c>
      <c r="AQ22" s="127">
        <v>2656</v>
      </c>
      <c r="AR22" s="127">
        <v>2463</v>
      </c>
      <c r="AS22" s="127">
        <v>2505</v>
      </c>
      <c r="AT22" s="127">
        <v>2565</v>
      </c>
      <c r="AU22" s="127">
        <v>2575</v>
      </c>
      <c r="AV22" s="127">
        <v>2654</v>
      </c>
      <c r="AW22" s="127">
        <v>2700</v>
      </c>
      <c r="AX22" s="127">
        <v>2660</v>
      </c>
      <c r="AY22" s="127">
        <v>2682</v>
      </c>
      <c r="AZ22" s="127">
        <v>2628</v>
      </c>
      <c r="BA22" s="127">
        <v>2581</v>
      </c>
      <c r="BB22" s="127">
        <v>2557</v>
      </c>
      <c r="BC22" s="127">
        <v>2555</v>
      </c>
      <c r="BD22" s="127">
        <v>2755</v>
      </c>
      <c r="BE22" s="127">
        <v>2976</v>
      </c>
      <c r="BF22" s="127">
        <v>2811</v>
      </c>
      <c r="BG22" s="127">
        <v>2719</v>
      </c>
      <c r="BH22" s="127">
        <v>3030</v>
      </c>
      <c r="BI22" s="127">
        <v>3320</v>
      </c>
      <c r="BJ22" s="127">
        <v>3230</v>
      </c>
      <c r="BK22" s="127">
        <v>3315</v>
      </c>
      <c r="BL22" s="127">
        <v>3270</v>
      </c>
      <c r="BM22" s="127">
        <v>3125</v>
      </c>
      <c r="BN22" s="127">
        <v>2985</v>
      </c>
      <c r="BO22" s="127">
        <v>3000</v>
      </c>
      <c r="BP22" s="127">
        <v>2969</v>
      </c>
      <c r="BQ22" s="129">
        <v>3080</v>
      </c>
      <c r="BR22" s="129">
        <v>3010</v>
      </c>
      <c r="BS22" s="129">
        <v>2995</v>
      </c>
      <c r="BT22" s="129">
        <v>2907</v>
      </c>
      <c r="BU22" s="129">
        <v>2864</v>
      </c>
      <c r="BV22" s="129">
        <v>2940</v>
      </c>
      <c r="BW22" s="129">
        <v>2860</v>
      </c>
      <c r="BX22" s="129">
        <v>2843</v>
      </c>
      <c r="BY22" s="129">
        <v>2837</v>
      </c>
      <c r="BZ22" s="129">
        <v>2836</v>
      </c>
      <c r="CA22" s="129">
        <v>2738</v>
      </c>
      <c r="CB22" s="129">
        <v>2718</v>
      </c>
      <c r="CC22" s="129">
        <v>2781</v>
      </c>
      <c r="CD22" s="129">
        <v>2813</v>
      </c>
      <c r="CE22" s="129">
        <v>2848</v>
      </c>
      <c r="CF22" s="129">
        <v>2801</v>
      </c>
      <c r="CG22" s="129">
        <v>2766</v>
      </c>
      <c r="CH22" s="129">
        <v>2828</v>
      </c>
      <c r="CI22" s="129">
        <v>2807</v>
      </c>
      <c r="CJ22" s="129">
        <v>2741</v>
      </c>
      <c r="CK22" s="129">
        <v>2725</v>
      </c>
      <c r="CL22" s="129">
        <v>2659</v>
      </c>
      <c r="CM22" s="129">
        <v>2700</v>
      </c>
      <c r="CN22" s="129">
        <v>2737</v>
      </c>
      <c r="CO22" s="129">
        <v>2709</v>
      </c>
      <c r="CP22" s="129">
        <v>2720</v>
      </c>
      <c r="CQ22" s="129">
        <v>2700</v>
      </c>
      <c r="CR22" s="129">
        <v>2750</v>
      </c>
      <c r="CS22" s="129">
        <v>2715</v>
      </c>
      <c r="CT22" s="129">
        <v>2687</v>
      </c>
      <c r="CU22" s="129">
        <v>2788</v>
      </c>
      <c r="CV22" s="129">
        <v>2603</v>
      </c>
      <c r="CW22" s="129">
        <v>2504</v>
      </c>
      <c r="CX22" s="129">
        <v>2505</v>
      </c>
      <c r="CY22" s="129">
        <v>2493</v>
      </c>
      <c r="CZ22" s="129">
        <v>2451</v>
      </c>
      <c r="DA22" s="129">
        <v>2470</v>
      </c>
      <c r="DB22" s="129">
        <v>2500</v>
      </c>
      <c r="DC22" s="129">
        <v>2485</v>
      </c>
      <c r="DD22" s="129">
        <v>2480</v>
      </c>
      <c r="DE22" s="129">
        <v>2470</v>
      </c>
      <c r="DF22" s="129">
        <v>2432</v>
      </c>
      <c r="DG22" s="129">
        <v>2325</v>
      </c>
      <c r="DH22" s="129">
        <v>2335</v>
      </c>
      <c r="DI22" s="129">
        <v>2359</v>
      </c>
      <c r="DJ22" s="129">
        <v>2330</v>
      </c>
      <c r="DK22" s="129">
        <v>2182</v>
      </c>
      <c r="DL22" s="129">
        <v>2145</v>
      </c>
      <c r="DM22" s="129">
        <v>2119</v>
      </c>
      <c r="DN22" s="129">
        <v>2110</v>
      </c>
      <c r="DO22" s="129">
        <v>2105</v>
      </c>
      <c r="DP22" s="129">
        <v>2123</v>
      </c>
      <c r="DQ22" s="129">
        <v>2130</v>
      </c>
      <c r="DR22" s="129">
        <v>2139</v>
      </c>
      <c r="DS22" s="129">
        <v>2143</v>
      </c>
      <c r="DT22" s="129">
        <v>2198</v>
      </c>
      <c r="DU22" s="129">
        <v>2177</v>
      </c>
      <c r="DV22" s="129">
        <v>2188</v>
      </c>
      <c r="DW22" s="129">
        <v>2182</v>
      </c>
      <c r="DX22" s="129">
        <v>2131</v>
      </c>
      <c r="DY22" s="129">
        <v>2027</v>
      </c>
      <c r="DZ22" s="129">
        <v>2014</v>
      </c>
      <c r="EA22" s="129">
        <v>2030</v>
      </c>
      <c r="EB22" s="129">
        <v>2004</v>
      </c>
      <c r="EC22" s="129">
        <v>2010</v>
      </c>
      <c r="ED22" s="129">
        <v>2028</v>
      </c>
      <c r="EE22" s="129">
        <v>2045</v>
      </c>
      <c r="EF22" s="129">
        <v>2000</v>
      </c>
      <c r="EG22" s="129">
        <v>2030</v>
      </c>
      <c r="EH22" s="129">
        <v>2033</v>
      </c>
      <c r="EI22" s="129">
        <v>2023</v>
      </c>
      <c r="EJ22" s="129">
        <v>2015</v>
      </c>
      <c r="EK22" s="129">
        <v>1994</v>
      </c>
      <c r="EL22" s="129">
        <v>2010</v>
      </c>
      <c r="EM22" s="129">
        <v>2012</v>
      </c>
      <c r="EN22" s="129">
        <v>1998</v>
      </c>
      <c r="EO22" s="129">
        <v>1990</v>
      </c>
      <c r="EP22" s="129">
        <v>1996</v>
      </c>
      <c r="EQ22" s="129">
        <v>1988</v>
      </c>
      <c r="ER22" s="129">
        <v>2016</v>
      </c>
      <c r="ES22" s="129">
        <v>2270</v>
      </c>
      <c r="ET22" s="129">
        <v>2101</v>
      </c>
      <c r="EU22" s="129">
        <v>2195</v>
      </c>
      <c r="EV22" s="129">
        <v>2245</v>
      </c>
      <c r="EW22" s="129">
        <v>2217</v>
      </c>
    </row>
    <row r="23" spans="1:153" x14ac:dyDescent="0.25">
      <c r="A23" s="357" t="str">
        <f>IPO監視一覧!H23</f>
        <v>D</v>
      </c>
      <c r="B23" s="84" t="str">
        <f>IPO監視一覧!B23</f>
        <v>オークネット</v>
      </c>
      <c r="C23" s="332">
        <f>株価一覧!E22</f>
        <v>1426</v>
      </c>
      <c r="D23" s="354">
        <f t="shared" ca="1" si="0"/>
        <v>1437.2</v>
      </c>
      <c r="E23" s="330">
        <f t="shared" ca="1" si="1"/>
        <v>1436.4</v>
      </c>
      <c r="F23" s="331">
        <f t="shared" ca="1" si="2"/>
        <v>1426</v>
      </c>
      <c r="G23" s="129">
        <v>0</v>
      </c>
      <c r="H23" s="129">
        <v>0</v>
      </c>
      <c r="I23" s="129">
        <v>0</v>
      </c>
      <c r="J23" s="129">
        <v>0</v>
      </c>
      <c r="K23" s="129">
        <v>0</v>
      </c>
      <c r="L23" s="129">
        <v>0</v>
      </c>
      <c r="M23" s="129">
        <v>0</v>
      </c>
      <c r="N23" s="129">
        <v>0</v>
      </c>
      <c r="O23" s="129">
        <v>0</v>
      </c>
      <c r="P23" s="129">
        <v>0</v>
      </c>
      <c r="Q23" s="129">
        <v>0</v>
      </c>
      <c r="R23" s="129">
        <v>0</v>
      </c>
      <c r="S23" s="129">
        <v>0</v>
      </c>
      <c r="T23" s="129">
        <v>0</v>
      </c>
      <c r="U23" s="129">
        <v>0</v>
      </c>
      <c r="V23" s="129">
        <v>0</v>
      </c>
      <c r="W23" s="129">
        <v>0</v>
      </c>
      <c r="X23" s="129">
        <v>0</v>
      </c>
      <c r="Y23" s="129">
        <v>0</v>
      </c>
      <c r="Z23" s="129">
        <v>0</v>
      </c>
      <c r="AA23" s="129">
        <v>0</v>
      </c>
      <c r="AB23" s="133">
        <v>1235</v>
      </c>
      <c r="AC23" s="129">
        <v>1283</v>
      </c>
      <c r="AD23" s="129">
        <v>1233</v>
      </c>
      <c r="AE23" s="129">
        <v>1230</v>
      </c>
      <c r="AF23" s="129">
        <v>1216</v>
      </c>
      <c r="AG23" s="127">
        <v>1193</v>
      </c>
      <c r="AH23" s="127">
        <v>1247</v>
      </c>
      <c r="AI23" s="127">
        <v>1265</v>
      </c>
      <c r="AJ23" s="127">
        <v>1275</v>
      </c>
      <c r="AK23" s="127">
        <v>1325</v>
      </c>
      <c r="AL23" s="127">
        <v>1290</v>
      </c>
      <c r="AM23" s="127">
        <v>1295</v>
      </c>
      <c r="AN23" s="127">
        <v>1279</v>
      </c>
      <c r="AO23" s="127">
        <v>1302</v>
      </c>
      <c r="AP23" s="127">
        <v>1299</v>
      </c>
      <c r="AQ23" s="127">
        <v>1300</v>
      </c>
      <c r="AR23" s="127">
        <v>1306</v>
      </c>
      <c r="AS23" s="127">
        <v>1301</v>
      </c>
      <c r="AT23" s="127">
        <v>1305</v>
      </c>
      <c r="AU23" s="127">
        <v>1333</v>
      </c>
      <c r="AV23" s="127">
        <v>1345</v>
      </c>
      <c r="AW23" s="127">
        <v>1311</v>
      </c>
      <c r="AX23" s="127">
        <v>1270</v>
      </c>
      <c r="AY23" s="127">
        <v>1285</v>
      </c>
      <c r="AZ23" s="127">
        <v>1274</v>
      </c>
      <c r="BA23" s="127">
        <v>1266</v>
      </c>
      <c r="BB23" s="127">
        <v>1274</v>
      </c>
      <c r="BC23" s="127">
        <v>1272</v>
      </c>
      <c r="BD23" s="127">
        <v>1295</v>
      </c>
      <c r="BE23" s="127">
        <v>1274</v>
      </c>
      <c r="BF23" s="127">
        <v>1375</v>
      </c>
      <c r="BG23" s="127">
        <v>1367</v>
      </c>
      <c r="BH23" s="127">
        <v>1359</v>
      </c>
      <c r="BI23" s="127">
        <v>1350</v>
      </c>
      <c r="BJ23" s="127">
        <v>1400</v>
      </c>
      <c r="BK23" s="127">
        <v>1421</v>
      </c>
      <c r="BL23" s="127">
        <v>1424</v>
      </c>
      <c r="BM23" s="127">
        <v>1444</v>
      </c>
      <c r="BN23" s="127">
        <v>1423</v>
      </c>
      <c r="BO23" s="127">
        <v>1440</v>
      </c>
      <c r="BP23" s="127">
        <v>1406</v>
      </c>
      <c r="BQ23" s="129">
        <v>1390</v>
      </c>
      <c r="BR23" s="129">
        <v>1387</v>
      </c>
      <c r="BS23" s="129">
        <v>1381</v>
      </c>
      <c r="BT23" s="129">
        <v>1361</v>
      </c>
      <c r="BU23" s="129">
        <v>1372</v>
      </c>
      <c r="BV23" s="129">
        <v>1359</v>
      </c>
      <c r="BW23" s="129">
        <v>1364</v>
      </c>
      <c r="BX23" s="129">
        <v>1356</v>
      </c>
      <c r="BY23" s="129">
        <v>1340</v>
      </c>
      <c r="BZ23" s="129">
        <v>1333</v>
      </c>
      <c r="CA23" s="129">
        <v>1306</v>
      </c>
      <c r="CB23" s="129">
        <v>1324</v>
      </c>
      <c r="CC23" s="129">
        <v>1330</v>
      </c>
      <c r="CD23" s="129">
        <v>1333</v>
      </c>
      <c r="CE23" s="129">
        <v>1311</v>
      </c>
      <c r="CF23" s="129">
        <v>1335</v>
      </c>
      <c r="CG23" s="129">
        <v>1339</v>
      </c>
      <c r="CH23" s="129">
        <v>1351</v>
      </c>
      <c r="CI23" s="129">
        <v>1343</v>
      </c>
      <c r="CJ23" s="129">
        <v>1395</v>
      </c>
      <c r="CK23" s="129">
        <v>1402</v>
      </c>
      <c r="CL23" s="129">
        <v>1395</v>
      </c>
      <c r="CM23" s="129">
        <v>1404</v>
      </c>
      <c r="CN23" s="129">
        <v>1385</v>
      </c>
      <c r="CO23" s="129">
        <v>1397</v>
      </c>
      <c r="CP23" s="129">
        <v>1395</v>
      </c>
      <c r="CQ23" s="129">
        <v>1384</v>
      </c>
      <c r="CR23" s="129">
        <v>1414</v>
      </c>
      <c r="CS23" s="129">
        <v>1402</v>
      </c>
      <c r="CT23" s="129">
        <v>1390</v>
      </c>
      <c r="CU23" s="129">
        <v>1401</v>
      </c>
      <c r="CV23" s="129">
        <v>1387</v>
      </c>
      <c r="CW23" s="129">
        <v>1410</v>
      </c>
      <c r="CX23" s="129">
        <v>1379</v>
      </c>
      <c r="CY23" s="129">
        <v>1397</v>
      </c>
      <c r="CZ23" s="129">
        <v>1383</v>
      </c>
      <c r="DA23" s="129">
        <v>1401</v>
      </c>
      <c r="DB23" s="129">
        <v>1403</v>
      </c>
      <c r="DC23" s="129">
        <v>1413</v>
      </c>
      <c r="DD23" s="129">
        <v>1415</v>
      </c>
      <c r="DE23" s="129">
        <v>1419</v>
      </c>
      <c r="DF23" s="129">
        <v>1415</v>
      </c>
      <c r="DG23" s="129">
        <v>1460</v>
      </c>
      <c r="DH23" s="129">
        <v>1451</v>
      </c>
      <c r="DI23" s="129">
        <v>1438</v>
      </c>
      <c r="DJ23" s="129">
        <v>1438</v>
      </c>
      <c r="DK23" s="129">
        <v>1358</v>
      </c>
      <c r="DL23" s="129">
        <v>1351</v>
      </c>
      <c r="DM23" s="129">
        <v>1347</v>
      </c>
      <c r="DN23" s="129">
        <v>1347</v>
      </c>
      <c r="DO23" s="129">
        <v>1342</v>
      </c>
      <c r="DP23" s="129">
        <v>1337</v>
      </c>
      <c r="DQ23" s="129">
        <v>1321</v>
      </c>
      <c r="DR23" s="129">
        <v>1336</v>
      </c>
      <c r="DS23" s="129">
        <v>1361</v>
      </c>
      <c r="DT23" s="129">
        <v>1385</v>
      </c>
      <c r="DU23" s="129">
        <v>1392</v>
      </c>
      <c r="DV23" s="129">
        <v>1374</v>
      </c>
      <c r="DW23" s="129">
        <v>1361</v>
      </c>
      <c r="DX23" s="129">
        <v>1357</v>
      </c>
      <c r="DY23" s="129">
        <v>1354</v>
      </c>
      <c r="DZ23" s="129">
        <v>1358</v>
      </c>
      <c r="EA23" s="129">
        <v>1365</v>
      </c>
      <c r="EB23" s="129">
        <v>1358</v>
      </c>
      <c r="EC23" s="129">
        <v>1386</v>
      </c>
      <c r="ED23" s="129">
        <v>1404</v>
      </c>
      <c r="EE23" s="129">
        <v>1400</v>
      </c>
      <c r="EF23" s="129">
        <v>1433</v>
      </c>
      <c r="EG23" s="129">
        <v>1431</v>
      </c>
      <c r="EH23" s="129">
        <v>1415</v>
      </c>
      <c r="EI23" s="129">
        <v>1413</v>
      </c>
      <c r="EJ23" s="129">
        <v>1387</v>
      </c>
      <c r="EK23" s="129">
        <v>1409</v>
      </c>
      <c r="EL23" s="129">
        <v>1417</v>
      </c>
      <c r="EM23" s="129">
        <v>1429</v>
      </c>
      <c r="EN23" s="129">
        <v>1433</v>
      </c>
      <c r="EO23" s="129">
        <v>1438</v>
      </c>
      <c r="EP23" s="129">
        <v>1426</v>
      </c>
      <c r="EQ23" s="129">
        <v>1431</v>
      </c>
      <c r="ER23" s="129">
        <v>1450</v>
      </c>
      <c r="ES23" s="129">
        <v>1446</v>
      </c>
      <c r="ET23" s="129">
        <v>1431</v>
      </c>
      <c r="EU23" s="129">
        <v>1432</v>
      </c>
      <c r="EV23" s="129">
        <v>1451</v>
      </c>
      <c r="EW23" s="129">
        <v>1426</v>
      </c>
    </row>
    <row r="24" spans="1:153" x14ac:dyDescent="0.25">
      <c r="A24" s="357" t="str">
        <f>IPO監視一覧!H24</f>
        <v>D</v>
      </c>
      <c r="B24" s="84" t="str">
        <f>IPO監視一覧!B24</f>
        <v>スシローグローバルHD</v>
      </c>
      <c r="C24" s="332">
        <f>株価一覧!E23</f>
        <v>3625</v>
      </c>
      <c r="D24" s="354">
        <f t="shared" ca="1" si="0"/>
        <v>3614</v>
      </c>
      <c r="E24" s="330">
        <f t="shared" ca="1" si="1"/>
        <v>3584.5</v>
      </c>
      <c r="F24" s="331">
        <f t="shared" ca="1" si="2"/>
        <v>3470</v>
      </c>
      <c r="G24" s="129">
        <v>0</v>
      </c>
      <c r="H24" s="129">
        <v>0</v>
      </c>
      <c r="I24" s="129">
        <v>0</v>
      </c>
      <c r="J24" s="129">
        <v>0</v>
      </c>
      <c r="K24" s="129">
        <v>0</v>
      </c>
      <c r="L24" s="129">
        <v>0</v>
      </c>
      <c r="M24" s="129">
        <v>0</v>
      </c>
      <c r="N24" s="129">
        <v>0</v>
      </c>
      <c r="O24" s="129">
        <v>0</v>
      </c>
      <c r="P24" s="129">
        <v>0</v>
      </c>
      <c r="Q24" s="129">
        <v>0</v>
      </c>
      <c r="R24" s="129">
        <v>0</v>
      </c>
      <c r="S24" s="129">
        <v>0</v>
      </c>
      <c r="T24" s="129">
        <v>0</v>
      </c>
      <c r="U24" s="129">
        <v>0</v>
      </c>
      <c r="V24" s="129">
        <v>0</v>
      </c>
      <c r="W24" s="129">
        <v>0</v>
      </c>
      <c r="X24" s="129">
        <v>0</v>
      </c>
      <c r="Y24" s="129">
        <v>0</v>
      </c>
      <c r="Z24" s="129">
        <v>0</v>
      </c>
      <c r="AA24" s="129">
        <v>0</v>
      </c>
      <c r="AB24" s="129">
        <v>0</v>
      </c>
      <c r="AC24" s="133">
        <v>3410</v>
      </c>
      <c r="AD24" s="129">
        <v>3495</v>
      </c>
      <c r="AE24" s="129">
        <v>3515</v>
      </c>
      <c r="AF24" s="129">
        <v>3415</v>
      </c>
      <c r="AG24" s="127">
        <v>3415</v>
      </c>
      <c r="AH24" s="127">
        <v>3495</v>
      </c>
      <c r="AI24" s="127">
        <v>3540</v>
      </c>
      <c r="AJ24" s="127">
        <v>3525</v>
      </c>
      <c r="AK24" s="127">
        <v>3555</v>
      </c>
      <c r="AL24" s="127">
        <v>3545</v>
      </c>
      <c r="AM24" s="127">
        <v>3545</v>
      </c>
      <c r="AN24" s="127">
        <v>3590</v>
      </c>
      <c r="AO24" s="127">
        <v>3570</v>
      </c>
      <c r="AP24" s="127">
        <v>3525</v>
      </c>
      <c r="AQ24" s="127">
        <v>3515</v>
      </c>
      <c r="AR24" s="127">
        <v>3475</v>
      </c>
      <c r="AS24" s="127">
        <v>3435</v>
      </c>
      <c r="AT24" s="127">
        <v>3465</v>
      </c>
      <c r="AU24" s="127">
        <v>3535</v>
      </c>
      <c r="AV24" s="127">
        <v>3615</v>
      </c>
      <c r="AW24" s="127">
        <v>3595</v>
      </c>
      <c r="AX24" s="127">
        <v>3595</v>
      </c>
      <c r="AY24" s="127">
        <v>3550</v>
      </c>
      <c r="AZ24" s="127">
        <v>3480</v>
      </c>
      <c r="BA24" s="127">
        <v>3490</v>
      </c>
      <c r="BB24" s="127">
        <v>3555</v>
      </c>
      <c r="BC24" s="127">
        <v>3550</v>
      </c>
      <c r="BD24" s="127">
        <v>3535</v>
      </c>
      <c r="BE24" s="127">
        <v>3470</v>
      </c>
      <c r="BF24" s="127">
        <v>3455</v>
      </c>
      <c r="BG24" s="127">
        <v>3435</v>
      </c>
      <c r="BH24" s="127">
        <v>3435</v>
      </c>
      <c r="BI24" s="127">
        <v>3440</v>
      </c>
      <c r="BJ24" s="127">
        <v>3445</v>
      </c>
      <c r="BK24" s="127">
        <v>3445</v>
      </c>
      <c r="BL24" s="127">
        <v>3435</v>
      </c>
      <c r="BM24" s="127">
        <v>3425</v>
      </c>
      <c r="BN24" s="127">
        <v>3410</v>
      </c>
      <c r="BO24" s="127">
        <v>3395</v>
      </c>
      <c r="BP24" s="127">
        <v>3375</v>
      </c>
      <c r="BQ24" s="129">
        <v>3320</v>
      </c>
      <c r="BR24" s="129">
        <v>3315</v>
      </c>
      <c r="BS24" s="129">
        <v>3250</v>
      </c>
      <c r="BT24" s="129">
        <v>3295</v>
      </c>
      <c r="BU24" s="129">
        <v>3330</v>
      </c>
      <c r="BV24" s="129">
        <v>3400</v>
      </c>
      <c r="BW24" s="129">
        <v>3340</v>
      </c>
      <c r="BX24" s="129">
        <v>3275</v>
      </c>
      <c r="BY24" s="129">
        <v>3300</v>
      </c>
      <c r="BZ24" s="129">
        <v>3300</v>
      </c>
      <c r="CA24" s="129">
        <v>3325</v>
      </c>
      <c r="CB24" s="129">
        <v>3370</v>
      </c>
      <c r="CC24" s="129">
        <v>3410</v>
      </c>
      <c r="CD24" s="129">
        <v>3360</v>
      </c>
      <c r="CE24" s="129">
        <v>3340</v>
      </c>
      <c r="CF24" s="129">
        <v>3300</v>
      </c>
      <c r="CG24" s="129">
        <v>3340</v>
      </c>
      <c r="CH24" s="129">
        <v>3335</v>
      </c>
      <c r="CI24" s="129">
        <v>3315</v>
      </c>
      <c r="CJ24" s="129">
        <v>3325</v>
      </c>
      <c r="CK24" s="129">
        <v>3320</v>
      </c>
      <c r="CL24" s="129">
        <v>3310</v>
      </c>
      <c r="CM24" s="129">
        <v>3335</v>
      </c>
      <c r="CN24" s="129">
        <v>3300</v>
      </c>
      <c r="CO24" s="129">
        <v>3295</v>
      </c>
      <c r="CP24" s="129">
        <v>3295</v>
      </c>
      <c r="CQ24" s="129">
        <v>3335</v>
      </c>
      <c r="CR24" s="129">
        <v>3345</v>
      </c>
      <c r="CS24" s="129">
        <v>3395</v>
      </c>
      <c r="CT24" s="129">
        <v>3340</v>
      </c>
      <c r="CU24" s="129">
        <v>3340</v>
      </c>
      <c r="CV24" s="129">
        <v>3320</v>
      </c>
      <c r="CW24" s="129">
        <v>3345</v>
      </c>
      <c r="CX24" s="129">
        <v>3315</v>
      </c>
      <c r="CY24" s="129">
        <v>3345</v>
      </c>
      <c r="CZ24" s="129">
        <v>3330</v>
      </c>
      <c r="DA24" s="129">
        <v>3385</v>
      </c>
      <c r="DB24" s="129">
        <v>3450</v>
      </c>
      <c r="DC24" s="129">
        <v>3480</v>
      </c>
      <c r="DD24" s="129">
        <v>3480</v>
      </c>
      <c r="DE24" s="129">
        <v>3455</v>
      </c>
      <c r="DF24" s="129">
        <v>3485</v>
      </c>
      <c r="DG24" s="129">
        <v>3490</v>
      </c>
      <c r="DH24" s="129">
        <v>3435</v>
      </c>
      <c r="DI24" s="129">
        <v>3450</v>
      </c>
      <c r="DJ24" s="129">
        <v>3415</v>
      </c>
      <c r="DK24" s="129">
        <v>3445</v>
      </c>
      <c r="DL24" s="129">
        <v>3500</v>
      </c>
      <c r="DM24" s="129">
        <v>3440</v>
      </c>
      <c r="DN24" s="129">
        <v>3430</v>
      </c>
      <c r="DO24" s="129">
        <v>3405</v>
      </c>
      <c r="DP24" s="129">
        <v>3430</v>
      </c>
      <c r="DQ24" s="129">
        <v>3485</v>
      </c>
      <c r="DR24" s="129">
        <v>3495</v>
      </c>
      <c r="DS24" s="129">
        <v>3535</v>
      </c>
      <c r="DT24" s="129">
        <v>3480</v>
      </c>
      <c r="DU24" s="129">
        <v>3520</v>
      </c>
      <c r="DV24" s="129">
        <v>3515</v>
      </c>
      <c r="DW24" s="129">
        <v>3525</v>
      </c>
      <c r="DX24" s="129">
        <v>3530</v>
      </c>
      <c r="DY24" s="129">
        <v>3530</v>
      </c>
      <c r="DZ24" s="129">
        <v>3500</v>
      </c>
      <c r="EA24" s="129">
        <v>3520</v>
      </c>
      <c r="EB24" s="129">
        <v>3530</v>
      </c>
      <c r="EC24" s="129">
        <v>3545</v>
      </c>
      <c r="ED24" s="129">
        <v>3510</v>
      </c>
      <c r="EE24" s="129">
        <v>3535</v>
      </c>
      <c r="EF24" s="129">
        <v>3515</v>
      </c>
      <c r="EG24" s="129">
        <v>3500</v>
      </c>
      <c r="EH24" s="129">
        <v>3510</v>
      </c>
      <c r="EI24" s="129">
        <v>3500</v>
      </c>
      <c r="EJ24" s="129">
        <v>3455</v>
      </c>
      <c r="EK24" s="129">
        <v>3405</v>
      </c>
      <c r="EL24" s="129">
        <v>3415</v>
      </c>
      <c r="EM24" s="129">
        <v>3430</v>
      </c>
      <c r="EN24" s="129">
        <v>3425</v>
      </c>
      <c r="EO24" s="129">
        <v>3470</v>
      </c>
      <c r="EP24" s="129">
        <v>3610</v>
      </c>
      <c r="EQ24" s="129">
        <v>3630</v>
      </c>
      <c r="ER24" s="129">
        <v>3640</v>
      </c>
      <c r="ES24" s="129">
        <v>3640</v>
      </c>
      <c r="ET24" s="129">
        <v>3630</v>
      </c>
      <c r="EU24" s="129">
        <v>3570</v>
      </c>
      <c r="EV24" s="129">
        <v>3605</v>
      </c>
      <c r="EW24" s="129">
        <v>3625</v>
      </c>
    </row>
    <row r="25" spans="1:153" x14ac:dyDescent="0.25">
      <c r="A25" s="357" t="str">
        <f>IPO監視一覧!H25</f>
        <v>A</v>
      </c>
      <c r="B25" s="84" t="str">
        <f>IPO監視一覧!B25</f>
        <v>ユーザーローカル</v>
      </c>
      <c r="C25" s="332">
        <f>株価一覧!E24</f>
        <v>6280</v>
      </c>
      <c r="D25" s="354">
        <f t="shared" ca="1" si="0"/>
        <v>6272</v>
      </c>
      <c r="E25" s="330">
        <f t="shared" ca="1" si="1"/>
        <v>6430</v>
      </c>
      <c r="F25" s="331">
        <f t="shared" ca="1" si="2"/>
        <v>6160</v>
      </c>
      <c r="G25" s="129">
        <v>0</v>
      </c>
      <c r="H25" s="129">
        <v>0</v>
      </c>
      <c r="I25" s="129">
        <v>0</v>
      </c>
      <c r="J25" s="129">
        <v>0</v>
      </c>
      <c r="K25" s="129">
        <v>0</v>
      </c>
      <c r="L25" s="129">
        <v>0</v>
      </c>
      <c r="M25" s="129">
        <v>0</v>
      </c>
      <c r="N25" s="129">
        <v>0</v>
      </c>
      <c r="O25" s="129">
        <v>0</v>
      </c>
      <c r="P25" s="129">
        <v>0</v>
      </c>
      <c r="Q25" s="129">
        <v>0</v>
      </c>
      <c r="R25" s="129">
        <v>0</v>
      </c>
      <c r="S25" s="129">
        <v>0</v>
      </c>
      <c r="T25" s="129">
        <v>0</v>
      </c>
      <c r="U25" s="129">
        <v>0</v>
      </c>
      <c r="V25" s="129">
        <v>0</v>
      </c>
      <c r="W25" s="129">
        <v>0</v>
      </c>
      <c r="X25" s="129">
        <v>0</v>
      </c>
      <c r="Y25" s="129">
        <v>0</v>
      </c>
      <c r="Z25" s="129">
        <v>0</v>
      </c>
      <c r="AA25" s="129">
        <v>0</v>
      </c>
      <c r="AB25" s="129">
        <v>0</v>
      </c>
      <c r="AC25" s="132">
        <v>0</v>
      </c>
      <c r="AD25" s="133">
        <v>12470</v>
      </c>
      <c r="AE25" s="129">
        <v>11400</v>
      </c>
      <c r="AF25" s="129">
        <v>10960</v>
      </c>
      <c r="AG25" s="127">
        <v>10400</v>
      </c>
      <c r="AH25" s="127">
        <v>9620</v>
      </c>
      <c r="AI25" s="127">
        <v>8600</v>
      </c>
      <c r="AJ25" s="127">
        <v>7680</v>
      </c>
      <c r="AK25" s="127">
        <v>8400</v>
      </c>
      <c r="AL25" s="127">
        <v>7920</v>
      </c>
      <c r="AM25" s="127">
        <v>8220</v>
      </c>
      <c r="AN25" s="127">
        <v>8890</v>
      </c>
      <c r="AO25" s="127">
        <v>8720</v>
      </c>
      <c r="AP25" s="127">
        <v>10220</v>
      </c>
      <c r="AQ25" s="127">
        <v>9330</v>
      </c>
      <c r="AR25" s="127">
        <v>8770</v>
      </c>
      <c r="AS25" s="127">
        <v>9390</v>
      </c>
      <c r="AT25" s="127">
        <v>9570</v>
      </c>
      <c r="AU25" s="127">
        <v>9310</v>
      </c>
      <c r="AV25" s="127">
        <v>9400</v>
      </c>
      <c r="AW25" s="127">
        <v>9370</v>
      </c>
      <c r="AX25" s="127">
        <v>9490</v>
      </c>
      <c r="AY25" s="127">
        <v>9420</v>
      </c>
      <c r="AZ25" s="127">
        <v>9080</v>
      </c>
      <c r="BA25" s="127">
        <v>9000</v>
      </c>
      <c r="BB25" s="127">
        <v>9220</v>
      </c>
      <c r="BC25" s="127">
        <v>8930</v>
      </c>
      <c r="BD25" s="127">
        <v>8750</v>
      </c>
      <c r="BE25" s="127">
        <v>8610</v>
      </c>
      <c r="BF25" s="127">
        <v>8570</v>
      </c>
      <c r="BG25" s="127">
        <v>8280</v>
      </c>
      <c r="BH25" s="127">
        <v>8290</v>
      </c>
      <c r="BI25" s="127">
        <v>8270</v>
      </c>
      <c r="BJ25" s="127">
        <v>8610</v>
      </c>
      <c r="BK25" s="127">
        <v>10110</v>
      </c>
      <c r="BL25" s="127">
        <v>10140</v>
      </c>
      <c r="BM25" s="127">
        <v>9850</v>
      </c>
      <c r="BN25" s="127">
        <v>9890</v>
      </c>
      <c r="BO25" s="127">
        <v>9390</v>
      </c>
      <c r="BP25" s="127">
        <v>9290</v>
      </c>
      <c r="BQ25" s="129">
        <v>9090</v>
      </c>
      <c r="BR25" s="129">
        <v>9680</v>
      </c>
      <c r="BS25" s="129">
        <v>9570</v>
      </c>
      <c r="BT25" s="129">
        <v>9370</v>
      </c>
      <c r="BU25" s="129">
        <v>9290</v>
      </c>
      <c r="BV25" s="129">
        <v>9200</v>
      </c>
      <c r="BW25" s="129">
        <v>9260</v>
      </c>
      <c r="BX25" s="129">
        <v>9000</v>
      </c>
      <c r="BY25" s="129">
        <v>8850</v>
      </c>
      <c r="BZ25" s="129">
        <v>8740</v>
      </c>
      <c r="CA25" s="129">
        <v>8580</v>
      </c>
      <c r="CB25" s="129">
        <v>8710</v>
      </c>
      <c r="CC25" s="129">
        <v>8950</v>
      </c>
      <c r="CD25" s="129">
        <v>9110</v>
      </c>
      <c r="CE25" s="129">
        <v>9150</v>
      </c>
      <c r="CF25" s="129">
        <v>9100</v>
      </c>
      <c r="CG25" s="129">
        <v>8740</v>
      </c>
      <c r="CH25" s="129">
        <v>8820</v>
      </c>
      <c r="CI25" s="129">
        <v>8880</v>
      </c>
      <c r="CJ25" s="129">
        <v>8560</v>
      </c>
      <c r="CK25" s="129">
        <v>8710</v>
      </c>
      <c r="CL25" s="129">
        <v>8580</v>
      </c>
      <c r="CM25" s="129">
        <v>8430</v>
      </c>
      <c r="CN25" s="129">
        <v>8600</v>
      </c>
      <c r="CO25" s="129">
        <v>8550</v>
      </c>
      <c r="CP25" s="129">
        <v>8480</v>
      </c>
      <c r="CQ25" s="129">
        <v>8400</v>
      </c>
      <c r="CR25" s="129">
        <v>8450</v>
      </c>
      <c r="CS25" s="129">
        <v>8430</v>
      </c>
      <c r="CT25" s="129">
        <v>8370</v>
      </c>
      <c r="CU25" s="129">
        <v>8370</v>
      </c>
      <c r="CV25" s="129">
        <v>8410</v>
      </c>
      <c r="CW25" s="129">
        <v>8540</v>
      </c>
      <c r="CX25" s="129">
        <v>8510</v>
      </c>
      <c r="CY25" s="129">
        <v>8670</v>
      </c>
      <c r="CZ25" s="129">
        <v>8750</v>
      </c>
      <c r="DA25" s="129">
        <v>8760</v>
      </c>
      <c r="DB25" s="129">
        <v>8610</v>
      </c>
      <c r="DC25" s="129">
        <v>8590</v>
      </c>
      <c r="DD25" s="129">
        <v>8420</v>
      </c>
      <c r="DE25" s="129">
        <v>8320</v>
      </c>
      <c r="DF25" s="129">
        <v>8200</v>
      </c>
      <c r="DG25" s="129">
        <v>8120</v>
      </c>
      <c r="DH25" s="129">
        <v>8200</v>
      </c>
      <c r="DI25" s="129">
        <v>8100</v>
      </c>
      <c r="DJ25" s="129">
        <v>8110</v>
      </c>
      <c r="DK25" s="129">
        <v>7040</v>
      </c>
      <c r="DL25" s="129">
        <v>6970</v>
      </c>
      <c r="DM25" s="129">
        <v>6990</v>
      </c>
      <c r="DN25" s="129">
        <v>6990</v>
      </c>
      <c r="DO25" s="129">
        <v>7060</v>
      </c>
      <c r="DP25" s="129">
        <v>7000</v>
      </c>
      <c r="DQ25" s="129">
        <v>6920</v>
      </c>
      <c r="DR25" s="129">
        <v>6920</v>
      </c>
      <c r="DS25" s="129">
        <v>6910</v>
      </c>
      <c r="DT25" s="129">
        <v>6890</v>
      </c>
      <c r="DU25" s="129">
        <v>7020</v>
      </c>
      <c r="DV25" s="129">
        <v>7120</v>
      </c>
      <c r="DW25" s="129">
        <v>7080</v>
      </c>
      <c r="DX25" s="129">
        <v>6980</v>
      </c>
      <c r="DY25" s="129">
        <v>6540</v>
      </c>
      <c r="DZ25" s="129">
        <v>6440</v>
      </c>
      <c r="EA25" s="129">
        <v>6410</v>
      </c>
      <c r="EB25" s="129">
        <v>6380</v>
      </c>
      <c r="EC25" s="129">
        <v>6700</v>
      </c>
      <c r="ED25" s="129">
        <v>6760</v>
      </c>
      <c r="EE25" s="129">
        <v>6970</v>
      </c>
      <c r="EF25" s="129">
        <v>7090</v>
      </c>
      <c r="EG25" s="129">
        <v>6970</v>
      </c>
      <c r="EH25" s="129">
        <v>6980</v>
      </c>
      <c r="EI25" s="129">
        <v>7000</v>
      </c>
      <c r="EJ25" s="129">
        <v>7080</v>
      </c>
      <c r="EK25" s="129">
        <v>6980</v>
      </c>
      <c r="EL25" s="129">
        <v>6980</v>
      </c>
      <c r="EM25" s="129">
        <v>6940</v>
      </c>
      <c r="EN25" s="129">
        <v>6870</v>
      </c>
      <c r="EO25" s="129">
        <v>6690</v>
      </c>
      <c r="EP25" s="129">
        <v>6390</v>
      </c>
      <c r="EQ25" s="129">
        <v>6520</v>
      </c>
      <c r="ER25" s="129">
        <v>6470</v>
      </c>
      <c r="ES25" s="129">
        <v>6270</v>
      </c>
      <c r="ET25" s="129">
        <v>6380</v>
      </c>
      <c r="EU25" s="129">
        <v>6160</v>
      </c>
      <c r="EV25" s="129">
        <v>6270</v>
      </c>
      <c r="EW25" s="129">
        <v>6280</v>
      </c>
    </row>
    <row r="26" spans="1:153" x14ac:dyDescent="0.25">
      <c r="A26" s="357" t="str">
        <f>IPO監視一覧!H26</f>
        <v>B</v>
      </c>
      <c r="B26" s="84" t="str">
        <f>IPO監視一覧!B26</f>
        <v>ネットマーケティング</v>
      </c>
      <c r="C26" s="332">
        <f>株価一覧!E25</f>
        <v>1405</v>
      </c>
      <c r="D26" s="354">
        <f t="shared" ca="1" si="0"/>
        <v>1398.2</v>
      </c>
      <c r="E26" s="330">
        <f t="shared" ca="1" si="1"/>
        <v>1409.9</v>
      </c>
      <c r="F26" s="331">
        <f t="shared" ca="1" si="2"/>
        <v>1379</v>
      </c>
      <c r="G26" s="129">
        <v>0</v>
      </c>
      <c r="H26" s="129">
        <v>0</v>
      </c>
      <c r="I26" s="129">
        <v>0</v>
      </c>
      <c r="J26" s="129">
        <v>0</v>
      </c>
      <c r="K26" s="129">
        <v>0</v>
      </c>
      <c r="L26" s="129">
        <v>0</v>
      </c>
      <c r="M26" s="129">
        <v>0</v>
      </c>
      <c r="N26" s="129">
        <v>0</v>
      </c>
      <c r="O26" s="129">
        <v>0</v>
      </c>
      <c r="P26" s="129">
        <v>0</v>
      </c>
      <c r="Q26" s="129">
        <v>0</v>
      </c>
      <c r="R26" s="129">
        <v>0</v>
      </c>
      <c r="S26" s="129">
        <v>0</v>
      </c>
      <c r="T26" s="129">
        <v>0</v>
      </c>
      <c r="U26" s="129">
        <v>0</v>
      </c>
      <c r="V26" s="129">
        <v>0</v>
      </c>
      <c r="W26" s="129">
        <v>0</v>
      </c>
      <c r="X26" s="129">
        <v>0</v>
      </c>
      <c r="Y26" s="129">
        <v>0</v>
      </c>
      <c r="Z26" s="129">
        <v>0</v>
      </c>
      <c r="AA26" s="129">
        <v>0</v>
      </c>
      <c r="AB26" s="129">
        <v>0</v>
      </c>
      <c r="AC26" s="132">
        <v>0</v>
      </c>
      <c r="AD26" s="133">
        <v>1630</v>
      </c>
      <c r="AE26" s="129">
        <v>1530</v>
      </c>
      <c r="AF26" s="129">
        <v>1446</v>
      </c>
      <c r="AG26" s="127">
        <v>1310</v>
      </c>
      <c r="AH26" s="127">
        <v>1205</v>
      </c>
      <c r="AI26" s="127">
        <v>1240</v>
      </c>
      <c r="AJ26" s="127">
        <v>1115</v>
      </c>
      <c r="AK26" s="127">
        <v>1123</v>
      </c>
      <c r="AL26" s="127">
        <v>1300</v>
      </c>
      <c r="AM26" s="127">
        <v>1411</v>
      </c>
      <c r="AN26" s="127">
        <v>1370</v>
      </c>
      <c r="AO26" s="127">
        <v>1377</v>
      </c>
      <c r="AP26" s="127">
        <v>1440</v>
      </c>
      <c r="AQ26" s="127">
        <v>1345</v>
      </c>
      <c r="AR26" s="127">
        <v>1305</v>
      </c>
      <c r="AS26" s="127">
        <v>1311</v>
      </c>
      <c r="AT26" s="127">
        <v>1360</v>
      </c>
      <c r="AU26" s="127">
        <v>1329</v>
      </c>
      <c r="AV26" s="127">
        <v>1294</v>
      </c>
      <c r="AW26" s="127">
        <v>1336</v>
      </c>
      <c r="AX26" s="127">
        <v>1393</v>
      </c>
      <c r="AY26" s="127">
        <v>1469</v>
      </c>
      <c r="AZ26" s="127">
        <v>1470</v>
      </c>
      <c r="BA26" s="127">
        <v>1405</v>
      </c>
      <c r="BB26" s="127">
        <v>1340</v>
      </c>
      <c r="BC26" s="127">
        <v>1349</v>
      </c>
      <c r="BD26" s="127">
        <v>1369</v>
      </c>
      <c r="BE26" s="127">
        <v>1383</v>
      </c>
      <c r="BF26" s="127">
        <v>1357</v>
      </c>
      <c r="BG26" s="127">
        <v>1325</v>
      </c>
      <c r="BH26" s="127">
        <v>1318</v>
      </c>
      <c r="BI26" s="127">
        <v>1368</v>
      </c>
      <c r="BJ26" s="127">
        <v>1438</v>
      </c>
      <c r="BK26" s="127">
        <v>1435</v>
      </c>
      <c r="BL26" s="127">
        <v>1400</v>
      </c>
      <c r="BM26" s="127">
        <v>1342</v>
      </c>
      <c r="BN26" s="127">
        <v>1336</v>
      </c>
      <c r="BO26" s="127">
        <v>1331</v>
      </c>
      <c r="BP26" s="127">
        <v>1346</v>
      </c>
      <c r="BQ26" s="129">
        <v>1343</v>
      </c>
      <c r="BR26" s="129">
        <v>1336</v>
      </c>
      <c r="BS26" s="129">
        <v>1384</v>
      </c>
      <c r="BT26" s="129">
        <v>1420</v>
      </c>
      <c r="BU26" s="129">
        <v>1555</v>
      </c>
      <c r="BV26" s="129">
        <v>1511</v>
      </c>
      <c r="BW26" s="129">
        <v>1650</v>
      </c>
      <c r="BX26" s="129">
        <v>1520</v>
      </c>
      <c r="BY26" s="129">
        <v>1491</v>
      </c>
      <c r="BZ26" s="129">
        <v>1476</v>
      </c>
      <c r="CA26" s="129">
        <v>1448</v>
      </c>
      <c r="CB26" s="129">
        <v>1439</v>
      </c>
      <c r="CC26" s="129">
        <v>1462</v>
      </c>
      <c r="CD26" s="129">
        <v>1478</v>
      </c>
      <c r="CE26" s="129">
        <v>1446</v>
      </c>
      <c r="CF26" s="129">
        <v>1372</v>
      </c>
      <c r="CG26" s="129">
        <v>1340</v>
      </c>
      <c r="CH26" s="129">
        <v>1319</v>
      </c>
      <c r="CI26" s="129">
        <v>1316</v>
      </c>
      <c r="CJ26" s="129">
        <v>1296</v>
      </c>
      <c r="CK26" s="129">
        <v>1277</v>
      </c>
      <c r="CL26" s="129">
        <v>1273</v>
      </c>
      <c r="CM26" s="129">
        <v>1223</v>
      </c>
      <c r="CN26" s="129">
        <v>1190</v>
      </c>
      <c r="CO26" s="129">
        <v>1207</v>
      </c>
      <c r="CP26" s="129">
        <v>1177</v>
      </c>
      <c r="CQ26" s="129">
        <v>1163</v>
      </c>
      <c r="CR26" s="129">
        <v>1244</v>
      </c>
      <c r="CS26" s="129">
        <v>1230</v>
      </c>
      <c r="CT26" s="129">
        <v>1280</v>
      </c>
      <c r="CU26" s="129">
        <v>1262</v>
      </c>
      <c r="CV26" s="129">
        <v>1230</v>
      </c>
      <c r="CW26" s="129">
        <v>1207</v>
      </c>
      <c r="CX26" s="129">
        <v>1196</v>
      </c>
      <c r="CY26" s="129">
        <v>1224</v>
      </c>
      <c r="CZ26" s="129">
        <v>1195</v>
      </c>
      <c r="DA26" s="129">
        <v>1207</v>
      </c>
      <c r="DB26" s="129">
        <v>1214</v>
      </c>
      <c r="DC26" s="129">
        <v>1233</v>
      </c>
      <c r="DD26" s="129">
        <v>1268</v>
      </c>
      <c r="DE26" s="129">
        <v>1231</v>
      </c>
      <c r="DF26" s="129">
        <v>1242</v>
      </c>
      <c r="DG26" s="129">
        <v>1212</v>
      </c>
      <c r="DH26" s="129">
        <v>1230</v>
      </c>
      <c r="DI26" s="129">
        <v>1242</v>
      </c>
      <c r="DJ26" s="129">
        <v>1264</v>
      </c>
      <c r="DK26" s="129">
        <v>1355</v>
      </c>
      <c r="DL26" s="129">
        <v>1325</v>
      </c>
      <c r="DM26" s="129">
        <v>1300</v>
      </c>
      <c r="DN26" s="129">
        <v>1286</v>
      </c>
      <c r="DO26" s="129">
        <v>1288</v>
      </c>
      <c r="DP26" s="129">
        <v>1306</v>
      </c>
      <c r="DQ26" s="129">
        <v>1295</v>
      </c>
      <c r="DR26" s="129">
        <v>1388</v>
      </c>
      <c r="DS26" s="129">
        <v>1351</v>
      </c>
      <c r="DT26" s="129">
        <v>1447</v>
      </c>
      <c r="DU26" s="129">
        <v>1420</v>
      </c>
      <c r="DV26" s="129">
        <v>1444</v>
      </c>
      <c r="DW26" s="129">
        <v>1421</v>
      </c>
      <c r="DX26" s="129">
        <v>1362</v>
      </c>
      <c r="DY26" s="129">
        <v>1246</v>
      </c>
      <c r="DZ26" s="129">
        <v>1274</v>
      </c>
      <c r="EA26" s="129">
        <v>1238</v>
      </c>
      <c r="EB26" s="129">
        <v>1276</v>
      </c>
      <c r="EC26" s="129">
        <v>1357</v>
      </c>
      <c r="ED26" s="129">
        <v>1376</v>
      </c>
      <c r="EE26" s="129">
        <v>1381</v>
      </c>
      <c r="EF26" s="129">
        <v>1424</v>
      </c>
      <c r="EG26" s="129">
        <v>1443</v>
      </c>
      <c r="EH26" s="129">
        <v>1447</v>
      </c>
      <c r="EI26" s="129">
        <v>1442</v>
      </c>
      <c r="EJ26" s="129">
        <v>1396</v>
      </c>
      <c r="EK26" s="129">
        <v>1375</v>
      </c>
      <c r="EL26" s="129">
        <v>1390</v>
      </c>
      <c r="EM26" s="129">
        <v>1356</v>
      </c>
      <c r="EN26" s="129">
        <v>1371</v>
      </c>
      <c r="EO26" s="129">
        <v>1399</v>
      </c>
      <c r="EP26" s="129">
        <v>1431</v>
      </c>
      <c r="EQ26" s="129">
        <v>1458</v>
      </c>
      <c r="ER26" s="129">
        <v>1449</v>
      </c>
      <c r="ES26" s="129">
        <v>1420</v>
      </c>
      <c r="ET26" s="129">
        <v>1379</v>
      </c>
      <c r="EU26" s="129">
        <v>1381</v>
      </c>
      <c r="EV26" s="129">
        <v>1406</v>
      </c>
      <c r="EW26" s="129">
        <v>1405</v>
      </c>
    </row>
    <row r="27" spans="1:153" x14ac:dyDescent="0.25">
      <c r="A27" s="357" t="str">
        <f>IPO監視一覧!H27</f>
        <v>A</v>
      </c>
      <c r="B27" s="84" t="str">
        <f>IPO監視一覧!B27</f>
        <v>テモナ</v>
      </c>
      <c r="C27" s="332">
        <f>株価一覧!E26</f>
        <v>5530</v>
      </c>
      <c r="D27" s="354">
        <f t="shared" ca="1" si="0"/>
        <v>5698</v>
      </c>
      <c r="E27" s="330">
        <f t="shared" ca="1" si="1"/>
        <v>5767</v>
      </c>
      <c r="F27" s="331">
        <f t="shared" ca="1" si="2"/>
        <v>5530</v>
      </c>
      <c r="G27" s="129">
        <v>0</v>
      </c>
      <c r="H27" s="129">
        <v>0</v>
      </c>
      <c r="I27" s="129">
        <v>0</v>
      </c>
      <c r="J27" s="129">
        <v>0</v>
      </c>
      <c r="K27" s="129">
        <v>0</v>
      </c>
      <c r="L27" s="129">
        <v>0</v>
      </c>
      <c r="M27" s="129">
        <v>0</v>
      </c>
      <c r="N27" s="129">
        <v>0</v>
      </c>
      <c r="O27" s="129">
        <v>0</v>
      </c>
      <c r="P27" s="129">
        <v>0</v>
      </c>
      <c r="Q27" s="129">
        <v>0</v>
      </c>
      <c r="R27" s="129">
        <v>0</v>
      </c>
      <c r="S27" s="129">
        <v>0</v>
      </c>
      <c r="T27" s="129">
        <v>0</v>
      </c>
      <c r="U27" s="129">
        <v>0</v>
      </c>
      <c r="V27" s="129">
        <v>0</v>
      </c>
      <c r="W27" s="129">
        <v>0</v>
      </c>
      <c r="X27" s="129">
        <v>0</v>
      </c>
      <c r="Y27" s="129">
        <v>0</v>
      </c>
      <c r="Z27" s="129">
        <v>0</v>
      </c>
      <c r="AA27" s="129">
        <v>0</v>
      </c>
      <c r="AB27" s="129">
        <v>0</v>
      </c>
      <c r="AC27" s="129">
        <v>0</v>
      </c>
      <c r="AD27" s="129">
        <v>0</v>
      </c>
      <c r="AE27" s="129">
        <v>0</v>
      </c>
      <c r="AF27" s="129">
        <v>0</v>
      </c>
      <c r="AG27" s="131">
        <v>7800</v>
      </c>
      <c r="AH27" s="127">
        <v>7200</v>
      </c>
      <c r="AI27" s="127">
        <v>6460</v>
      </c>
      <c r="AJ27" s="127">
        <v>5840</v>
      </c>
      <c r="AK27" s="127">
        <v>5900</v>
      </c>
      <c r="AL27" s="127">
        <v>5280</v>
      </c>
      <c r="AM27" s="127">
        <v>5510</v>
      </c>
      <c r="AN27" s="127">
        <v>5980</v>
      </c>
      <c r="AO27" s="127">
        <v>5930</v>
      </c>
      <c r="AP27" s="127">
        <v>6930</v>
      </c>
      <c r="AQ27" s="127">
        <v>7930</v>
      </c>
      <c r="AR27" s="127">
        <v>6940</v>
      </c>
      <c r="AS27" s="127">
        <v>7940</v>
      </c>
      <c r="AT27" s="127">
        <v>8150</v>
      </c>
      <c r="AU27" s="127">
        <v>8100</v>
      </c>
      <c r="AV27" s="127">
        <v>9600</v>
      </c>
      <c r="AW27" s="127">
        <v>9150</v>
      </c>
      <c r="AX27" s="127">
        <v>9490</v>
      </c>
      <c r="AY27" s="127">
        <v>9250</v>
      </c>
      <c r="AZ27" s="127">
        <v>8690</v>
      </c>
      <c r="BA27" s="127">
        <v>8100</v>
      </c>
      <c r="BB27" s="127">
        <v>8450</v>
      </c>
      <c r="BC27" s="127">
        <v>8600</v>
      </c>
      <c r="BD27" s="127">
        <v>8260</v>
      </c>
      <c r="BE27" s="127">
        <v>8000</v>
      </c>
      <c r="BF27" s="127">
        <v>8130</v>
      </c>
      <c r="BG27" s="127">
        <v>7950</v>
      </c>
      <c r="BH27" s="127">
        <v>8370</v>
      </c>
      <c r="BI27" s="127">
        <v>8750</v>
      </c>
      <c r="BJ27" s="127">
        <v>8350</v>
      </c>
      <c r="BK27" s="127">
        <v>9090</v>
      </c>
      <c r="BL27" s="127">
        <v>9250</v>
      </c>
      <c r="BM27" s="127">
        <v>8900</v>
      </c>
      <c r="BN27" s="127">
        <v>8520</v>
      </c>
      <c r="BO27" s="127">
        <v>8280</v>
      </c>
      <c r="BP27" s="127">
        <v>8120</v>
      </c>
      <c r="BQ27" s="129">
        <v>8100</v>
      </c>
      <c r="BR27" s="129">
        <v>7880</v>
      </c>
      <c r="BS27" s="129">
        <v>8080</v>
      </c>
      <c r="BT27" s="129">
        <v>7790</v>
      </c>
      <c r="BU27" s="129">
        <v>7780</v>
      </c>
      <c r="BV27" s="129">
        <v>7850</v>
      </c>
      <c r="BW27" s="129">
        <v>7850</v>
      </c>
      <c r="BX27" s="129">
        <v>7890</v>
      </c>
      <c r="BY27" s="129">
        <v>7630</v>
      </c>
      <c r="BZ27" s="129">
        <v>7300</v>
      </c>
      <c r="CA27" s="129">
        <v>7070</v>
      </c>
      <c r="CB27" s="129">
        <v>7200</v>
      </c>
      <c r="CC27" s="129">
        <v>7130</v>
      </c>
      <c r="CD27" s="129">
        <v>7020</v>
      </c>
      <c r="CE27" s="129">
        <v>6900</v>
      </c>
      <c r="CF27" s="129">
        <v>7650</v>
      </c>
      <c r="CG27" s="129">
        <v>7090</v>
      </c>
      <c r="CH27" s="129">
        <v>7000</v>
      </c>
      <c r="CI27" s="129">
        <v>7130</v>
      </c>
      <c r="CJ27" s="129">
        <v>6800</v>
      </c>
      <c r="CK27" s="129">
        <v>6560</v>
      </c>
      <c r="CL27" s="129">
        <v>6320</v>
      </c>
      <c r="CM27" s="129">
        <v>6450</v>
      </c>
      <c r="CN27" s="129">
        <v>6410</v>
      </c>
      <c r="CO27" s="129">
        <v>6630</v>
      </c>
      <c r="CP27" s="129">
        <v>6660</v>
      </c>
      <c r="CQ27" s="129">
        <v>6600</v>
      </c>
      <c r="CR27" s="129">
        <v>6500</v>
      </c>
      <c r="CS27" s="129">
        <v>6590</v>
      </c>
      <c r="CT27" s="129">
        <v>6640</v>
      </c>
      <c r="CU27" s="129">
        <v>6950</v>
      </c>
      <c r="CV27" s="129">
        <v>7280</v>
      </c>
      <c r="CW27" s="129">
        <v>6930</v>
      </c>
      <c r="CX27" s="129">
        <v>6800</v>
      </c>
      <c r="CY27" s="129">
        <v>6710</v>
      </c>
      <c r="CZ27" s="129">
        <v>6560</v>
      </c>
      <c r="DA27" s="129">
        <v>6700</v>
      </c>
      <c r="DB27" s="129">
        <v>6640</v>
      </c>
      <c r="DC27" s="129">
        <v>7010</v>
      </c>
      <c r="DD27" s="129">
        <v>6930</v>
      </c>
      <c r="DE27" s="129">
        <v>6650</v>
      </c>
      <c r="DF27" s="129">
        <v>7060</v>
      </c>
      <c r="DG27" s="129">
        <v>6550</v>
      </c>
      <c r="DH27" s="129">
        <v>6720</v>
      </c>
      <c r="DI27" s="129">
        <v>6800</v>
      </c>
      <c r="DJ27" s="129">
        <v>6390</v>
      </c>
      <c r="DK27" s="129">
        <v>5970</v>
      </c>
      <c r="DL27" s="129">
        <v>6040</v>
      </c>
      <c r="DM27" s="129">
        <v>5910</v>
      </c>
      <c r="DN27" s="129">
        <v>5920</v>
      </c>
      <c r="DO27" s="129">
        <v>5810</v>
      </c>
      <c r="DP27" s="129">
        <v>5760</v>
      </c>
      <c r="DQ27" s="129">
        <v>5790</v>
      </c>
      <c r="DR27" s="129">
        <v>5810</v>
      </c>
      <c r="DS27" s="129">
        <v>5860</v>
      </c>
      <c r="DT27" s="129">
        <v>5960</v>
      </c>
      <c r="DU27" s="129">
        <v>6350</v>
      </c>
      <c r="DV27" s="129">
        <v>6270</v>
      </c>
      <c r="DW27" s="129">
        <v>6060</v>
      </c>
      <c r="DX27" s="129">
        <v>5720</v>
      </c>
      <c r="DY27" s="129">
        <v>5270</v>
      </c>
      <c r="DZ27" s="129">
        <v>5240</v>
      </c>
      <c r="EA27" s="129">
        <v>5120</v>
      </c>
      <c r="EB27" s="129">
        <v>5060</v>
      </c>
      <c r="EC27" s="129">
        <v>5250</v>
      </c>
      <c r="ED27" s="129">
        <v>5370</v>
      </c>
      <c r="EE27" s="129">
        <v>5350</v>
      </c>
      <c r="EF27" s="129">
        <v>5270</v>
      </c>
      <c r="EG27" s="129">
        <v>6270</v>
      </c>
      <c r="EH27" s="129">
        <v>6080</v>
      </c>
      <c r="EI27" s="129">
        <v>5980</v>
      </c>
      <c r="EJ27" s="129">
        <v>6020</v>
      </c>
      <c r="EK27" s="129">
        <v>5800</v>
      </c>
      <c r="EL27" s="129">
        <v>5850</v>
      </c>
      <c r="EM27" s="129">
        <v>5650</v>
      </c>
      <c r="EN27" s="129">
        <v>5760</v>
      </c>
      <c r="EO27" s="129">
        <v>5780</v>
      </c>
      <c r="EP27" s="129">
        <v>5900</v>
      </c>
      <c r="EQ27" s="129">
        <v>5840</v>
      </c>
      <c r="ER27" s="129">
        <v>5900</v>
      </c>
      <c r="ES27" s="129">
        <v>5850</v>
      </c>
      <c r="ET27" s="129">
        <v>5850</v>
      </c>
      <c r="EU27" s="129">
        <v>5690</v>
      </c>
      <c r="EV27" s="129">
        <v>5570</v>
      </c>
      <c r="EW27" s="129">
        <v>5530</v>
      </c>
    </row>
    <row r="28" spans="1:153" x14ac:dyDescent="0.25">
      <c r="A28" s="357" t="str">
        <f>IPO監視一覧!H28</f>
        <v>D</v>
      </c>
      <c r="B28" s="84" t="str">
        <f>IPO監視一覧!B28</f>
        <v>ウェーブロックHD</v>
      </c>
      <c r="C28" s="332">
        <f>株価一覧!E27</f>
        <v>1355</v>
      </c>
      <c r="D28" s="354">
        <f t="shared" ca="1" si="0"/>
        <v>1360.4</v>
      </c>
      <c r="E28" s="330">
        <f t="shared" ca="1" si="1"/>
        <v>1380.1</v>
      </c>
      <c r="F28" s="331">
        <f t="shared" ca="1" si="2"/>
        <v>1339</v>
      </c>
      <c r="G28" s="129">
        <v>0</v>
      </c>
      <c r="H28" s="129">
        <v>0</v>
      </c>
      <c r="I28" s="129">
        <v>0</v>
      </c>
      <c r="J28" s="129">
        <v>0</v>
      </c>
      <c r="K28" s="129">
        <v>0</v>
      </c>
      <c r="L28" s="129">
        <v>0</v>
      </c>
      <c r="M28" s="129">
        <v>0</v>
      </c>
      <c r="N28" s="129">
        <v>0</v>
      </c>
      <c r="O28" s="129">
        <v>0</v>
      </c>
      <c r="P28" s="129">
        <v>0</v>
      </c>
      <c r="Q28" s="129">
        <v>0</v>
      </c>
      <c r="R28" s="129">
        <v>0</v>
      </c>
      <c r="S28" s="129">
        <v>0</v>
      </c>
      <c r="T28" s="129">
        <v>0</v>
      </c>
      <c r="U28" s="129">
        <v>0</v>
      </c>
      <c r="V28" s="129">
        <v>0</v>
      </c>
      <c r="W28" s="129">
        <v>0</v>
      </c>
      <c r="X28" s="129">
        <v>0</v>
      </c>
      <c r="Y28" s="129">
        <v>0</v>
      </c>
      <c r="Z28" s="129">
        <v>0</v>
      </c>
      <c r="AA28" s="129">
        <v>0</v>
      </c>
      <c r="AB28" s="129">
        <v>0</v>
      </c>
      <c r="AC28" s="129">
        <v>0</v>
      </c>
      <c r="AD28" s="129">
        <v>0</v>
      </c>
      <c r="AE28" s="129">
        <v>0</v>
      </c>
      <c r="AF28" s="129">
        <v>0</v>
      </c>
      <c r="AG28" s="127">
        <v>0</v>
      </c>
      <c r="AH28" s="131">
        <v>693</v>
      </c>
      <c r="AI28" s="127">
        <v>655</v>
      </c>
      <c r="AJ28" s="127">
        <v>634</v>
      </c>
      <c r="AK28" s="127">
        <v>661</v>
      </c>
      <c r="AL28" s="127">
        <v>632</v>
      </c>
      <c r="AM28" s="127">
        <v>636</v>
      </c>
      <c r="AN28" s="127">
        <v>651</v>
      </c>
      <c r="AO28" s="127">
        <v>662</v>
      </c>
      <c r="AP28" s="127">
        <v>698</v>
      </c>
      <c r="AQ28" s="127">
        <v>675</v>
      </c>
      <c r="AR28" s="127">
        <v>671</v>
      </c>
      <c r="AS28" s="127">
        <v>688</v>
      </c>
      <c r="AT28" s="127">
        <v>694</v>
      </c>
      <c r="AU28" s="127">
        <v>692</v>
      </c>
      <c r="AV28" s="127">
        <v>681</v>
      </c>
      <c r="AW28" s="127">
        <v>690</v>
      </c>
      <c r="AX28" s="127">
        <v>704</v>
      </c>
      <c r="AY28" s="127">
        <v>718</v>
      </c>
      <c r="AZ28" s="127">
        <v>724</v>
      </c>
      <c r="BA28" s="127">
        <v>715</v>
      </c>
      <c r="BB28" s="127">
        <v>865</v>
      </c>
      <c r="BC28" s="127">
        <v>881</v>
      </c>
      <c r="BD28" s="127">
        <v>1031</v>
      </c>
      <c r="BE28" s="127">
        <v>1007</v>
      </c>
      <c r="BF28" s="127">
        <v>1000</v>
      </c>
      <c r="BG28" s="127">
        <v>956</v>
      </c>
      <c r="BH28" s="127">
        <v>914</v>
      </c>
      <c r="BI28" s="127">
        <v>944</v>
      </c>
      <c r="BJ28" s="127">
        <v>941</v>
      </c>
      <c r="BK28" s="127">
        <v>1091</v>
      </c>
      <c r="BL28" s="127">
        <v>1070</v>
      </c>
      <c r="BM28" s="127">
        <v>1234</v>
      </c>
      <c r="BN28" s="127">
        <v>1193</v>
      </c>
      <c r="BO28" s="127">
        <v>1227</v>
      </c>
      <c r="BP28" s="127">
        <v>1182</v>
      </c>
      <c r="BQ28" s="129">
        <v>1170</v>
      </c>
      <c r="BR28" s="129">
        <v>1108</v>
      </c>
      <c r="BS28" s="129">
        <v>1179</v>
      </c>
      <c r="BT28" s="129">
        <v>1199</v>
      </c>
      <c r="BU28" s="129">
        <v>1225</v>
      </c>
      <c r="BV28" s="129">
        <v>1172</v>
      </c>
      <c r="BW28" s="129">
        <v>1178</v>
      </c>
      <c r="BX28" s="129">
        <v>1160</v>
      </c>
      <c r="BY28" s="129">
        <v>1209</v>
      </c>
      <c r="BZ28" s="129">
        <v>1260</v>
      </c>
      <c r="CA28" s="129">
        <v>1280</v>
      </c>
      <c r="CB28" s="129">
        <v>1226</v>
      </c>
      <c r="CC28" s="129">
        <v>1230</v>
      </c>
      <c r="CD28" s="129">
        <v>1268</v>
      </c>
      <c r="CE28" s="129">
        <v>1310</v>
      </c>
      <c r="CF28" s="129">
        <v>1348</v>
      </c>
      <c r="CG28" s="129">
        <v>1260</v>
      </c>
      <c r="CH28" s="129">
        <v>1275</v>
      </c>
      <c r="CI28" s="129">
        <v>1249</v>
      </c>
      <c r="CJ28" s="129">
        <v>1138</v>
      </c>
      <c r="CK28" s="129">
        <v>1118</v>
      </c>
      <c r="CL28" s="129">
        <v>1112</v>
      </c>
      <c r="CM28" s="129">
        <v>1140</v>
      </c>
      <c r="CN28" s="129">
        <v>1170</v>
      </c>
      <c r="CO28" s="129">
        <v>1180</v>
      </c>
      <c r="CP28" s="129">
        <v>1148</v>
      </c>
      <c r="CQ28" s="129">
        <v>1149</v>
      </c>
      <c r="CR28" s="129">
        <v>1134</v>
      </c>
      <c r="CS28" s="129">
        <v>1233</v>
      </c>
      <c r="CT28" s="129">
        <v>1227</v>
      </c>
      <c r="CU28" s="129">
        <v>1206</v>
      </c>
      <c r="CV28" s="129">
        <v>1215</v>
      </c>
      <c r="CW28" s="129">
        <v>1241</v>
      </c>
      <c r="CX28" s="129">
        <v>1338</v>
      </c>
      <c r="CY28" s="129">
        <v>1412</v>
      </c>
      <c r="CZ28" s="129">
        <v>1406</v>
      </c>
      <c r="DA28" s="129">
        <v>1454</v>
      </c>
      <c r="DB28" s="129">
        <v>1490</v>
      </c>
      <c r="DC28" s="129">
        <v>1470</v>
      </c>
      <c r="DD28" s="129">
        <v>1405</v>
      </c>
      <c r="DE28" s="129">
        <v>1362</v>
      </c>
      <c r="DF28" s="129">
        <v>1376</v>
      </c>
      <c r="DG28" s="129">
        <v>1376</v>
      </c>
      <c r="DH28" s="129">
        <v>1343</v>
      </c>
      <c r="DI28" s="129">
        <v>1324</v>
      </c>
      <c r="DJ28" s="129">
        <v>1365</v>
      </c>
      <c r="DK28" s="129">
        <v>1316</v>
      </c>
      <c r="DL28" s="129">
        <v>1313</v>
      </c>
      <c r="DM28" s="129">
        <v>1376</v>
      </c>
      <c r="DN28" s="129">
        <v>1430</v>
      </c>
      <c r="DO28" s="129">
        <v>1384</v>
      </c>
      <c r="DP28" s="129">
        <v>1404</v>
      </c>
      <c r="DQ28" s="129">
        <v>1404</v>
      </c>
      <c r="DR28" s="129">
        <v>1380</v>
      </c>
      <c r="DS28" s="129">
        <v>1399</v>
      </c>
      <c r="DT28" s="129">
        <v>1369</v>
      </c>
      <c r="DU28" s="129">
        <v>1388</v>
      </c>
      <c r="DV28" s="129">
        <v>1411</v>
      </c>
      <c r="DW28" s="129">
        <v>1432</v>
      </c>
      <c r="DX28" s="129">
        <v>1379</v>
      </c>
      <c r="DY28" s="129">
        <v>1308</v>
      </c>
      <c r="DZ28" s="129">
        <v>1307</v>
      </c>
      <c r="EA28" s="129">
        <v>1285</v>
      </c>
      <c r="EB28" s="129">
        <v>1302</v>
      </c>
      <c r="EC28" s="129">
        <v>1328</v>
      </c>
      <c r="ED28" s="129">
        <v>1376</v>
      </c>
      <c r="EE28" s="129">
        <v>1372</v>
      </c>
      <c r="EF28" s="129">
        <v>1350</v>
      </c>
      <c r="EG28" s="129">
        <v>1410</v>
      </c>
      <c r="EH28" s="129">
        <v>1418</v>
      </c>
      <c r="EI28" s="129">
        <v>1386</v>
      </c>
      <c r="EJ28" s="129">
        <v>1404</v>
      </c>
      <c r="EK28" s="129">
        <v>1383</v>
      </c>
      <c r="EL28" s="129">
        <v>1392</v>
      </c>
      <c r="EM28" s="129">
        <v>1386</v>
      </c>
      <c r="EN28" s="129">
        <v>1406</v>
      </c>
      <c r="EO28" s="129">
        <v>1407</v>
      </c>
      <c r="EP28" s="129">
        <v>1391</v>
      </c>
      <c r="EQ28" s="129">
        <v>1398</v>
      </c>
      <c r="ER28" s="129">
        <v>1397</v>
      </c>
      <c r="ES28" s="129">
        <v>1379</v>
      </c>
      <c r="ET28" s="129">
        <v>1339</v>
      </c>
      <c r="EU28" s="129">
        <v>1360</v>
      </c>
      <c r="EV28" s="129">
        <v>1369</v>
      </c>
      <c r="EW28" s="129">
        <v>1355</v>
      </c>
    </row>
    <row r="29" spans="1:153" x14ac:dyDescent="0.25">
      <c r="A29" s="357" t="str">
        <f>IPO監視一覧!H29</f>
        <v>D</v>
      </c>
      <c r="B29" s="84" t="str">
        <f>IPO監視一覧!B29</f>
        <v>LIXILビバ</v>
      </c>
      <c r="C29" s="332">
        <f>株価一覧!E28</f>
        <v>1831</v>
      </c>
      <c r="D29" s="354">
        <f t="shared" ca="1" si="0"/>
        <v>1846</v>
      </c>
      <c r="E29" s="330">
        <f t="shared" ca="1" si="1"/>
        <v>1865.9</v>
      </c>
      <c r="F29" s="331">
        <f t="shared" ca="1" si="2"/>
        <v>1831</v>
      </c>
      <c r="G29" s="129">
        <v>0</v>
      </c>
      <c r="H29" s="129">
        <v>0</v>
      </c>
      <c r="I29" s="129">
        <v>0</v>
      </c>
      <c r="J29" s="129">
        <v>0</v>
      </c>
      <c r="K29" s="129">
        <v>0</v>
      </c>
      <c r="L29" s="129">
        <v>0</v>
      </c>
      <c r="M29" s="129">
        <v>0</v>
      </c>
      <c r="N29" s="129">
        <v>0</v>
      </c>
      <c r="O29" s="129">
        <v>0</v>
      </c>
      <c r="P29" s="129">
        <v>0</v>
      </c>
      <c r="Q29" s="129">
        <v>0</v>
      </c>
      <c r="R29" s="129">
        <v>0</v>
      </c>
      <c r="S29" s="129">
        <v>0</v>
      </c>
      <c r="T29" s="129">
        <v>0</v>
      </c>
      <c r="U29" s="129">
        <v>0</v>
      </c>
      <c r="V29" s="129">
        <v>0</v>
      </c>
      <c r="W29" s="129">
        <v>0</v>
      </c>
      <c r="X29" s="129">
        <v>0</v>
      </c>
      <c r="Y29" s="129">
        <v>0</v>
      </c>
      <c r="Z29" s="129">
        <v>0</v>
      </c>
      <c r="AA29" s="129">
        <v>0</v>
      </c>
      <c r="AB29" s="129">
        <v>0</v>
      </c>
      <c r="AC29" s="129">
        <v>0</v>
      </c>
      <c r="AD29" s="129">
        <v>0</v>
      </c>
      <c r="AE29" s="129">
        <v>0</v>
      </c>
      <c r="AF29" s="129">
        <v>0</v>
      </c>
      <c r="AG29" s="127">
        <v>0</v>
      </c>
      <c r="AH29" s="127">
        <v>0</v>
      </c>
      <c r="AI29" s="127">
        <v>0</v>
      </c>
      <c r="AJ29" s="131">
        <v>2055</v>
      </c>
      <c r="AK29" s="127">
        <v>2068</v>
      </c>
      <c r="AL29" s="127">
        <v>2072</v>
      </c>
      <c r="AM29" s="127">
        <v>2067</v>
      </c>
      <c r="AN29" s="127">
        <v>2072</v>
      </c>
      <c r="AO29" s="127">
        <v>2075</v>
      </c>
      <c r="AP29" s="127">
        <v>2027</v>
      </c>
      <c r="AQ29" s="127">
        <v>2037</v>
      </c>
      <c r="AR29" s="127">
        <v>2049</v>
      </c>
      <c r="AS29" s="127">
        <v>2043</v>
      </c>
      <c r="AT29" s="127">
        <v>2034</v>
      </c>
      <c r="AU29" s="127">
        <v>2016</v>
      </c>
      <c r="AV29" s="127">
        <v>2006</v>
      </c>
      <c r="AW29" s="127">
        <v>1991</v>
      </c>
      <c r="AX29" s="127">
        <v>2017</v>
      </c>
      <c r="AY29" s="127">
        <v>2024</v>
      </c>
      <c r="AZ29" s="127">
        <v>2029</v>
      </c>
      <c r="BA29" s="127">
        <v>2047</v>
      </c>
      <c r="BB29" s="127">
        <v>2079</v>
      </c>
      <c r="BC29" s="127">
        <v>2075</v>
      </c>
      <c r="BD29" s="127">
        <v>2080</v>
      </c>
      <c r="BE29" s="127">
        <v>2094</v>
      </c>
      <c r="BF29" s="127">
        <v>2070</v>
      </c>
      <c r="BG29" s="127">
        <v>2068</v>
      </c>
      <c r="BH29" s="127">
        <v>2054</v>
      </c>
      <c r="BI29" s="127">
        <v>2070</v>
      </c>
      <c r="BJ29" s="127">
        <v>2079</v>
      </c>
      <c r="BK29" s="127">
        <v>2097</v>
      </c>
      <c r="BL29" s="127">
        <v>2083</v>
      </c>
      <c r="BM29" s="127">
        <v>2077</v>
      </c>
      <c r="BN29" s="127">
        <v>2070</v>
      </c>
      <c r="BO29" s="127">
        <v>2066</v>
      </c>
      <c r="BP29" s="127">
        <v>2057</v>
      </c>
      <c r="BQ29" s="129">
        <v>2050</v>
      </c>
      <c r="BR29" s="129">
        <v>2011</v>
      </c>
      <c r="BS29" s="129">
        <v>1992</v>
      </c>
      <c r="BT29" s="129">
        <v>2047</v>
      </c>
      <c r="BU29" s="129">
        <v>2021</v>
      </c>
      <c r="BV29" s="129">
        <v>2037</v>
      </c>
      <c r="BW29" s="129">
        <v>2001</v>
      </c>
      <c r="BX29" s="129">
        <v>2026</v>
      </c>
      <c r="BY29" s="129">
        <v>2023</v>
      </c>
      <c r="BZ29" s="129">
        <v>2027</v>
      </c>
      <c r="CA29" s="129">
        <v>2057</v>
      </c>
      <c r="CB29" s="129">
        <v>2045</v>
      </c>
      <c r="CC29" s="129">
        <v>2035</v>
      </c>
      <c r="CD29" s="129">
        <v>2050</v>
      </c>
      <c r="CE29" s="129">
        <v>2038</v>
      </c>
      <c r="CF29" s="129">
        <v>2033</v>
      </c>
      <c r="CG29" s="129">
        <v>2013</v>
      </c>
      <c r="CH29" s="129">
        <v>2000</v>
      </c>
      <c r="CI29" s="129">
        <v>2009</v>
      </c>
      <c r="CJ29" s="129">
        <v>2003</v>
      </c>
      <c r="CK29" s="129">
        <v>2008</v>
      </c>
      <c r="CL29" s="129">
        <v>2027</v>
      </c>
      <c r="CM29" s="129">
        <v>2016</v>
      </c>
      <c r="CN29" s="129">
        <v>2017</v>
      </c>
      <c r="CO29" s="129">
        <v>2011</v>
      </c>
      <c r="CP29" s="129">
        <v>2015</v>
      </c>
      <c r="CQ29" s="129">
        <v>2000</v>
      </c>
      <c r="CR29" s="129">
        <v>2003</v>
      </c>
      <c r="CS29" s="129">
        <v>2004</v>
      </c>
      <c r="CT29" s="129">
        <v>1989</v>
      </c>
      <c r="CU29" s="129">
        <v>1979</v>
      </c>
      <c r="CV29" s="129">
        <v>1964</v>
      </c>
      <c r="CW29" s="129">
        <v>1987</v>
      </c>
      <c r="CX29" s="129">
        <v>1973</v>
      </c>
      <c r="CY29" s="129">
        <v>1961</v>
      </c>
      <c r="CZ29" s="129">
        <v>1973</v>
      </c>
      <c r="DA29" s="129">
        <v>1968</v>
      </c>
      <c r="DB29" s="129">
        <v>1950</v>
      </c>
      <c r="DC29" s="129">
        <v>1938</v>
      </c>
      <c r="DD29" s="129">
        <v>1937</v>
      </c>
      <c r="DE29" s="129">
        <v>1959</v>
      </c>
      <c r="DF29" s="129">
        <v>1945</v>
      </c>
      <c r="DG29" s="129">
        <v>1930</v>
      </c>
      <c r="DH29" s="129">
        <v>1922</v>
      </c>
      <c r="DI29" s="129">
        <v>1913</v>
      </c>
      <c r="DJ29" s="129">
        <v>1905</v>
      </c>
      <c r="DK29" s="129">
        <v>1852</v>
      </c>
      <c r="DL29" s="129">
        <v>1884</v>
      </c>
      <c r="DM29" s="129">
        <v>1885</v>
      </c>
      <c r="DN29" s="129">
        <v>1911</v>
      </c>
      <c r="DO29" s="129">
        <v>1971</v>
      </c>
      <c r="DP29" s="129">
        <v>1979</v>
      </c>
      <c r="DQ29" s="129">
        <v>1940</v>
      </c>
      <c r="DR29" s="129">
        <v>1948</v>
      </c>
      <c r="DS29" s="129">
        <v>1992</v>
      </c>
      <c r="DT29" s="129">
        <v>1970</v>
      </c>
      <c r="DU29" s="129">
        <v>1966</v>
      </c>
      <c r="DV29" s="129">
        <v>1958</v>
      </c>
      <c r="DW29" s="129">
        <v>1976</v>
      </c>
      <c r="DX29" s="129">
        <v>1980</v>
      </c>
      <c r="DY29" s="129">
        <v>1982</v>
      </c>
      <c r="DZ29" s="129">
        <v>1975</v>
      </c>
      <c r="EA29" s="129">
        <v>1960</v>
      </c>
      <c r="EB29" s="129">
        <v>1939</v>
      </c>
      <c r="EC29" s="129">
        <v>1946</v>
      </c>
      <c r="ED29" s="129">
        <v>1950</v>
      </c>
      <c r="EE29" s="129">
        <v>1950</v>
      </c>
      <c r="EF29" s="129">
        <v>1950</v>
      </c>
      <c r="EG29" s="129">
        <v>1956</v>
      </c>
      <c r="EH29" s="129">
        <v>1938</v>
      </c>
      <c r="EI29" s="129">
        <v>1908</v>
      </c>
      <c r="EJ29" s="129">
        <v>1864</v>
      </c>
      <c r="EK29" s="129">
        <v>1887</v>
      </c>
      <c r="EL29" s="129">
        <v>1873</v>
      </c>
      <c r="EM29" s="129">
        <v>1876</v>
      </c>
      <c r="EN29" s="129">
        <v>1871</v>
      </c>
      <c r="EO29" s="129">
        <v>1874</v>
      </c>
      <c r="EP29" s="129">
        <v>1874</v>
      </c>
      <c r="EQ29" s="129">
        <v>1915</v>
      </c>
      <c r="ER29" s="129">
        <v>1895</v>
      </c>
      <c r="ES29" s="129">
        <v>1867</v>
      </c>
      <c r="ET29" s="129">
        <v>1850</v>
      </c>
      <c r="EU29" s="129">
        <v>1850</v>
      </c>
      <c r="EV29" s="129">
        <v>1832</v>
      </c>
      <c r="EW29" s="129">
        <v>1831</v>
      </c>
    </row>
    <row r="30" spans="1:153" x14ac:dyDescent="0.25">
      <c r="A30" s="357" t="str">
        <f>IPO監視一覧!H30</f>
        <v>B</v>
      </c>
      <c r="B30" s="84" t="str">
        <f>IPO監視一覧!B30</f>
        <v>旅工房</v>
      </c>
      <c r="C30" s="332">
        <f>株価一覧!E29</f>
        <v>1295</v>
      </c>
      <c r="D30" s="354">
        <f t="shared" ca="1" si="0"/>
        <v>1377.2</v>
      </c>
      <c r="E30" s="330">
        <f t="shared" ca="1" si="1"/>
        <v>1345.2</v>
      </c>
      <c r="F30" s="331">
        <f t="shared" ca="1" si="2"/>
        <v>1275</v>
      </c>
      <c r="G30" s="129">
        <v>0</v>
      </c>
      <c r="H30" s="129">
        <v>0</v>
      </c>
      <c r="I30" s="129">
        <v>0</v>
      </c>
      <c r="J30" s="129">
        <v>0</v>
      </c>
      <c r="K30" s="129">
        <v>0</v>
      </c>
      <c r="L30" s="129">
        <v>0</v>
      </c>
      <c r="M30" s="129">
        <v>0</v>
      </c>
      <c r="N30" s="129">
        <v>0</v>
      </c>
      <c r="O30" s="129">
        <v>0</v>
      </c>
      <c r="P30" s="129">
        <v>0</v>
      </c>
      <c r="Q30" s="129">
        <v>0</v>
      </c>
      <c r="R30" s="129">
        <v>0</v>
      </c>
      <c r="S30" s="129">
        <v>0</v>
      </c>
      <c r="T30" s="129">
        <v>0</v>
      </c>
      <c r="U30" s="129">
        <v>0</v>
      </c>
      <c r="V30" s="129">
        <v>0</v>
      </c>
      <c r="W30" s="129">
        <v>0</v>
      </c>
      <c r="X30" s="129">
        <v>0</v>
      </c>
      <c r="Y30" s="129">
        <v>0</v>
      </c>
      <c r="Z30" s="129">
        <v>0</v>
      </c>
      <c r="AA30" s="129">
        <v>0</v>
      </c>
      <c r="AB30" s="129">
        <v>0</v>
      </c>
      <c r="AC30" s="129">
        <v>0</v>
      </c>
      <c r="AD30" s="129">
        <v>0</v>
      </c>
      <c r="AE30" s="129">
        <v>0</v>
      </c>
      <c r="AF30" s="129">
        <v>0</v>
      </c>
      <c r="AG30" s="129">
        <v>0</v>
      </c>
      <c r="AH30" s="129">
        <v>0</v>
      </c>
      <c r="AI30" s="129">
        <v>0</v>
      </c>
      <c r="AJ30" s="129">
        <v>0</v>
      </c>
      <c r="AK30" s="129">
        <v>0</v>
      </c>
      <c r="AL30" s="129">
        <v>0</v>
      </c>
      <c r="AM30" s="129">
        <v>0</v>
      </c>
      <c r="AN30" s="127">
        <v>0</v>
      </c>
      <c r="AO30" s="131">
        <v>4140</v>
      </c>
      <c r="AP30" s="127">
        <v>4840</v>
      </c>
      <c r="AQ30" s="127">
        <v>4995</v>
      </c>
      <c r="AR30" s="127">
        <v>4295</v>
      </c>
      <c r="AS30" s="127">
        <v>4995</v>
      </c>
      <c r="AT30" s="127">
        <v>4935</v>
      </c>
      <c r="AU30" s="127">
        <v>5070</v>
      </c>
      <c r="AV30" s="127">
        <v>4870</v>
      </c>
      <c r="AW30" s="127">
        <v>4630</v>
      </c>
      <c r="AX30" s="127">
        <v>4700</v>
      </c>
      <c r="AY30" s="127">
        <v>4720</v>
      </c>
      <c r="AZ30" s="127">
        <v>4600</v>
      </c>
      <c r="BA30" s="127">
        <v>4770</v>
      </c>
      <c r="BB30" s="127">
        <v>4680</v>
      </c>
      <c r="BC30" s="127">
        <v>4635</v>
      </c>
      <c r="BD30" s="127">
        <v>4290</v>
      </c>
      <c r="BE30" s="127">
        <v>4335</v>
      </c>
      <c r="BF30" s="127">
        <v>4380</v>
      </c>
      <c r="BG30" s="127">
        <v>4195</v>
      </c>
      <c r="BH30" s="127">
        <v>4175</v>
      </c>
      <c r="BI30" s="127">
        <v>4070</v>
      </c>
      <c r="BJ30" s="127">
        <v>4175</v>
      </c>
      <c r="BK30" s="127">
        <v>4425</v>
      </c>
      <c r="BL30" s="127">
        <v>4410</v>
      </c>
      <c r="BM30" s="127">
        <v>4240</v>
      </c>
      <c r="BN30" s="127">
        <v>4125</v>
      </c>
      <c r="BO30" s="127">
        <v>4075</v>
      </c>
      <c r="BP30" s="127">
        <v>4090</v>
      </c>
      <c r="BQ30" s="129">
        <v>4145</v>
      </c>
      <c r="BR30" s="129">
        <v>4065</v>
      </c>
      <c r="BS30" s="129">
        <v>4010</v>
      </c>
      <c r="BT30" s="129">
        <v>3885</v>
      </c>
      <c r="BU30" s="129">
        <v>3875</v>
      </c>
      <c r="BV30" s="129">
        <v>3815</v>
      </c>
      <c r="BW30" s="129">
        <v>3780</v>
      </c>
      <c r="BX30" s="129">
        <v>3610</v>
      </c>
      <c r="BY30" s="129">
        <v>3560</v>
      </c>
      <c r="BZ30" s="129">
        <v>3620</v>
      </c>
      <c r="CA30" s="129">
        <v>3655</v>
      </c>
      <c r="CB30" s="129">
        <v>3625</v>
      </c>
      <c r="CC30" s="129">
        <v>3645</v>
      </c>
      <c r="CD30" s="129">
        <v>3615</v>
      </c>
      <c r="CE30" s="129">
        <v>3625</v>
      </c>
      <c r="CF30" s="129">
        <v>3865</v>
      </c>
      <c r="CG30" s="129">
        <v>3885</v>
      </c>
      <c r="CH30" s="129">
        <v>3975</v>
      </c>
      <c r="CI30" s="129">
        <v>4000</v>
      </c>
      <c r="CJ30" s="129">
        <v>3945</v>
      </c>
      <c r="CK30" s="129">
        <v>3830</v>
      </c>
      <c r="CL30" s="129">
        <v>3755</v>
      </c>
      <c r="CM30" s="129">
        <v>3795</v>
      </c>
      <c r="CN30" s="129">
        <v>3675</v>
      </c>
      <c r="CO30" s="129">
        <v>3650</v>
      </c>
      <c r="CP30" s="129">
        <v>3610</v>
      </c>
      <c r="CQ30" s="129">
        <v>3590</v>
      </c>
      <c r="CR30" s="129">
        <v>3555</v>
      </c>
      <c r="CS30" s="129">
        <v>3530</v>
      </c>
      <c r="CT30" s="129">
        <v>3610</v>
      </c>
      <c r="CU30" s="129">
        <v>3580</v>
      </c>
      <c r="CV30" s="129">
        <v>3560</v>
      </c>
      <c r="CW30" s="129">
        <v>3565</v>
      </c>
      <c r="CX30" s="129">
        <v>3515</v>
      </c>
      <c r="CY30" s="129">
        <v>3490</v>
      </c>
      <c r="CZ30" s="129">
        <v>3440</v>
      </c>
      <c r="DA30" s="129">
        <v>3455</v>
      </c>
      <c r="DB30" s="129">
        <v>3530</v>
      </c>
      <c r="DC30" s="129">
        <v>3520</v>
      </c>
      <c r="DD30" s="129">
        <v>3480</v>
      </c>
      <c r="DE30" s="129">
        <v>3430</v>
      </c>
      <c r="DF30" s="129">
        <v>3330</v>
      </c>
      <c r="DG30" s="129">
        <v>3190</v>
      </c>
      <c r="DH30" s="129">
        <v>3200</v>
      </c>
      <c r="DI30" s="129">
        <v>3150</v>
      </c>
      <c r="DJ30" s="129">
        <v>3115</v>
      </c>
      <c r="DK30" s="129">
        <v>2838</v>
      </c>
      <c r="DL30" s="129">
        <v>2860</v>
      </c>
      <c r="DM30" s="129">
        <v>2874</v>
      </c>
      <c r="DN30" s="129">
        <v>2882</v>
      </c>
      <c r="DO30" s="129">
        <v>2937</v>
      </c>
      <c r="DP30" s="129">
        <v>2930</v>
      </c>
      <c r="DQ30" s="129">
        <v>2807</v>
      </c>
      <c r="DR30" s="129">
        <v>2786</v>
      </c>
      <c r="DS30" s="129">
        <v>2771</v>
      </c>
      <c r="DT30" s="129">
        <v>2750</v>
      </c>
      <c r="DU30" s="129">
        <v>2752</v>
      </c>
      <c r="DV30" s="129">
        <v>2811</v>
      </c>
      <c r="DW30" s="129">
        <v>2780</v>
      </c>
      <c r="DX30" s="129">
        <v>2725</v>
      </c>
      <c r="DY30" s="129">
        <v>2606</v>
      </c>
      <c r="DZ30" s="129">
        <v>2476</v>
      </c>
      <c r="EA30" s="129">
        <v>2439</v>
      </c>
      <c r="EB30" s="129">
        <v>2347</v>
      </c>
      <c r="EC30" s="129">
        <v>2381</v>
      </c>
      <c r="ED30" s="129">
        <v>2435</v>
      </c>
      <c r="EE30" s="129">
        <v>2436</v>
      </c>
      <c r="EF30" s="129">
        <v>2393</v>
      </c>
      <c r="EG30" s="129">
        <v>2380</v>
      </c>
      <c r="EH30" s="129">
        <v>2435</v>
      </c>
      <c r="EI30" s="129">
        <v>2494</v>
      </c>
      <c r="EJ30" s="129">
        <v>2495</v>
      </c>
      <c r="EK30" s="129">
        <v>2438</v>
      </c>
      <c r="EL30" s="129">
        <v>2450</v>
      </c>
      <c r="EM30" s="129">
        <v>2444</v>
      </c>
      <c r="EN30" s="129">
        <v>1270</v>
      </c>
      <c r="EO30" s="129">
        <v>1275</v>
      </c>
      <c r="EP30" s="129">
        <v>1295</v>
      </c>
      <c r="EQ30" s="129">
        <v>1346</v>
      </c>
      <c r="ER30" s="129">
        <v>1380</v>
      </c>
      <c r="ES30" s="129">
        <v>1477</v>
      </c>
      <c r="ET30" s="129">
        <v>1422</v>
      </c>
      <c r="EU30" s="129">
        <v>1363</v>
      </c>
      <c r="EV30" s="129">
        <v>1329</v>
      </c>
      <c r="EW30" s="129">
        <v>1295</v>
      </c>
    </row>
    <row r="31" spans="1:153" x14ac:dyDescent="0.25">
      <c r="A31" s="357" t="str">
        <f>IPO監視一覧!H31</f>
        <v>A</v>
      </c>
      <c r="B31" s="84" t="str">
        <f>IPO監視一覧!B31</f>
        <v>アセンテック</v>
      </c>
      <c r="C31" s="332">
        <f>株価一覧!E30</f>
        <v>4070</v>
      </c>
      <c r="D31" s="354">
        <f t="shared" ca="1" si="0"/>
        <v>4069</v>
      </c>
      <c r="E31" s="330">
        <f t="shared" ca="1" si="1"/>
        <v>4255.5</v>
      </c>
      <c r="F31" s="331">
        <f t="shared" ca="1" si="2"/>
        <v>3985</v>
      </c>
      <c r="G31" s="129">
        <v>0</v>
      </c>
      <c r="H31" s="129">
        <v>0</v>
      </c>
      <c r="I31" s="129">
        <v>0</v>
      </c>
      <c r="J31" s="129">
        <v>0</v>
      </c>
      <c r="K31" s="129">
        <v>0</v>
      </c>
      <c r="L31" s="129">
        <v>0</v>
      </c>
      <c r="M31" s="129">
        <v>0</v>
      </c>
      <c r="N31" s="129">
        <v>0</v>
      </c>
      <c r="O31" s="129">
        <v>0</v>
      </c>
      <c r="P31" s="129">
        <v>0</v>
      </c>
      <c r="Q31" s="129">
        <v>0</v>
      </c>
      <c r="R31" s="129">
        <v>0</v>
      </c>
      <c r="S31" s="129">
        <v>0</v>
      </c>
      <c r="T31" s="129">
        <v>0</v>
      </c>
      <c r="U31" s="129">
        <v>0</v>
      </c>
      <c r="V31" s="129">
        <v>0</v>
      </c>
      <c r="W31" s="129">
        <v>0</v>
      </c>
      <c r="X31" s="129">
        <v>0</v>
      </c>
      <c r="Y31" s="129">
        <v>0</v>
      </c>
      <c r="Z31" s="129">
        <v>0</v>
      </c>
      <c r="AA31" s="129">
        <v>0</v>
      </c>
      <c r="AB31" s="129">
        <v>0</v>
      </c>
      <c r="AC31" s="129">
        <v>0</v>
      </c>
      <c r="AD31" s="129">
        <v>0</v>
      </c>
      <c r="AE31" s="129">
        <v>0</v>
      </c>
      <c r="AF31" s="129">
        <v>0</v>
      </c>
      <c r="AG31" s="129">
        <v>0</v>
      </c>
      <c r="AH31" s="129">
        <v>0</v>
      </c>
      <c r="AI31" s="129">
        <v>0</v>
      </c>
      <c r="AJ31" s="129">
        <v>0</v>
      </c>
      <c r="AK31" s="129">
        <v>0</v>
      </c>
      <c r="AL31" s="129">
        <v>0</v>
      </c>
      <c r="AM31" s="129">
        <v>0</v>
      </c>
      <c r="AN31" s="129">
        <v>0</v>
      </c>
      <c r="AO31" s="129">
        <v>0</v>
      </c>
      <c r="AP31" s="129">
        <v>0</v>
      </c>
      <c r="AQ31" s="129">
        <v>0</v>
      </c>
      <c r="AR31" s="129">
        <v>0</v>
      </c>
      <c r="AS31" s="129">
        <v>0</v>
      </c>
      <c r="AT31" s="131">
        <v>6950</v>
      </c>
      <c r="AU31" s="127">
        <v>6660</v>
      </c>
      <c r="AV31" s="127">
        <v>6660</v>
      </c>
      <c r="AW31" s="127">
        <v>6890</v>
      </c>
      <c r="AX31" s="127">
        <v>6660</v>
      </c>
      <c r="AY31" s="127">
        <v>6750</v>
      </c>
      <c r="AZ31" s="127">
        <v>6700</v>
      </c>
      <c r="BA31" s="127">
        <v>6730</v>
      </c>
      <c r="BB31" s="127">
        <v>7730</v>
      </c>
      <c r="BC31" s="127">
        <v>7950</v>
      </c>
      <c r="BD31" s="127">
        <v>7510</v>
      </c>
      <c r="BE31" s="127">
        <v>7390</v>
      </c>
      <c r="BF31" s="127">
        <v>7240</v>
      </c>
      <c r="BG31" s="127">
        <v>6980</v>
      </c>
      <c r="BH31" s="127">
        <v>6730</v>
      </c>
      <c r="BI31" s="127">
        <v>6680</v>
      </c>
      <c r="BJ31" s="127">
        <v>6890</v>
      </c>
      <c r="BK31" s="127">
        <v>6960</v>
      </c>
      <c r="BL31" s="127">
        <v>6900</v>
      </c>
      <c r="BM31" s="127">
        <v>6500</v>
      </c>
      <c r="BN31" s="127">
        <v>6070</v>
      </c>
      <c r="BO31" s="127">
        <v>6340</v>
      </c>
      <c r="BP31" s="127">
        <v>6250</v>
      </c>
      <c r="BQ31" s="129">
        <v>6090</v>
      </c>
      <c r="BR31" s="129">
        <v>5860</v>
      </c>
      <c r="BS31" s="129">
        <v>6120</v>
      </c>
      <c r="BT31" s="129">
        <v>5950</v>
      </c>
      <c r="BU31" s="129">
        <v>6000</v>
      </c>
      <c r="BV31" s="129">
        <v>5900</v>
      </c>
      <c r="BW31" s="129">
        <v>6850</v>
      </c>
      <c r="BX31" s="129">
        <v>6350</v>
      </c>
      <c r="BY31" s="129">
        <v>6140</v>
      </c>
      <c r="BZ31" s="129">
        <v>6110</v>
      </c>
      <c r="CA31" s="129">
        <v>6100</v>
      </c>
      <c r="CB31" s="129">
        <v>5910</v>
      </c>
      <c r="CC31" s="129">
        <v>6020</v>
      </c>
      <c r="CD31" s="129">
        <v>5930</v>
      </c>
      <c r="CE31" s="129">
        <v>5980</v>
      </c>
      <c r="CF31" s="129">
        <v>6300</v>
      </c>
      <c r="CG31" s="129">
        <v>6090</v>
      </c>
      <c r="CH31" s="129">
        <v>6430</v>
      </c>
      <c r="CI31" s="129">
        <v>6470</v>
      </c>
      <c r="CJ31" s="129">
        <v>6100</v>
      </c>
      <c r="CK31" s="129">
        <v>6040</v>
      </c>
      <c r="CL31" s="129">
        <v>5990</v>
      </c>
      <c r="CM31" s="129">
        <v>6050</v>
      </c>
      <c r="CN31" s="129">
        <v>5970</v>
      </c>
      <c r="CO31" s="129">
        <v>5880</v>
      </c>
      <c r="CP31" s="129">
        <v>5950</v>
      </c>
      <c r="CQ31" s="129">
        <v>5860</v>
      </c>
      <c r="CR31" s="129">
        <v>5750</v>
      </c>
      <c r="CS31" s="129">
        <v>5670</v>
      </c>
      <c r="CT31" s="129">
        <v>5740</v>
      </c>
      <c r="CU31" s="129">
        <v>5680</v>
      </c>
      <c r="CV31" s="129">
        <v>5670</v>
      </c>
      <c r="CW31" s="129">
        <v>5420</v>
      </c>
      <c r="CX31" s="129">
        <v>5400</v>
      </c>
      <c r="CY31" s="129">
        <v>5370</v>
      </c>
      <c r="CZ31" s="129">
        <v>5400</v>
      </c>
      <c r="DA31" s="129">
        <v>5240</v>
      </c>
      <c r="DB31" s="129">
        <v>5520</v>
      </c>
      <c r="DC31" s="129">
        <v>5550</v>
      </c>
      <c r="DD31" s="129">
        <v>5450</v>
      </c>
      <c r="DE31" s="129">
        <v>5210</v>
      </c>
      <c r="DF31" s="129">
        <v>5040</v>
      </c>
      <c r="DG31" s="129">
        <v>4795</v>
      </c>
      <c r="DH31" s="129">
        <v>4935</v>
      </c>
      <c r="DI31" s="129">
        <v>5640</v>
      </c>
      <c r="DJ31" s="129">
        <v>6050</v>
      </c>
      <c r="DK31" s="129">
        <f>ROUND(6050/2,0)</f>
        <v>3025</v>
      </c>
      <c r="DL31" s="129">
        <f>ROUND(6370/2,0)</f>
        <v>3185</v>
      </c>
      <c r="DM31" s="129">
        <f>ROUND(6240/2,0)</f>
        <v>3120</v>
      </c>
      <c r="DN31" s="129">
        <f>ROUND(6460/2,0)</f>
        <v>3230</v>
      </c>
      <c r="DO31" s="129">
        <f>ROUND(6670/2,0)</f>
        <v>3335</v>
      </c>
      <c r="DP31" s="129">
        <f>ROUND(6480/2,0)</f>
        <v>3240</v>
      </c>
      <c r="DQ31" s="129">
        <f>ROUND(6370/2,0)</f>
        <v>3185</v>
      </c>
      <c r="DR31" s="129">
        <f>ROUND(7370/2,0)</f>
        <v>3685</v>
      </c>
      <c r="DS31" s="129">
        <f>ROUND(8120/2,0)</f>
        <v>4060</v>
      </c>
      <c r="DT31" s="129">
        <v>4225</v>
      </c>
      <c r="DU31" s="129">
        <v>4725</v>
      </c>
      <c r="DV31" s="129">
        <v>4525</v>
      </c>
      <c r="DW31" s="129">
        <v>4500</v>
      </c>
      <c r="DX31" s="129">
        <v>4390</v>
      </c>
      <c r="DY31" s="129">
        <v>3875</v>
      </c>
      <c r="DZ31" s="129">
        <v>3820</v>
      </c>
      <c r="EA31" s="129">
        <v>3850</v>
      </c>
      <c r="EB31" s="129">
        <v>4065</v>
      </c>
      <c r="EC31" s="129">
        <v>4210</v>
      </c>
      <c r="ED31" s="129">
        <v>4160</v>
      </c>
      <c r="EE31" s="129">
        <v>4330</v>
      </c>
      <c r="EF31" s="129">
        <v>4060</v>
      </c>
      <c r="EG31" s="129">
        <v>4290</v>
      </c>
      <c r="EH31" s="129">
        <v>4320</v>
      </c>
      <c r="EI31" s="129">
        <v>4420</v>
      </c>
      <c r="EJ31" s="129">
        <v>4575</v>
      </c>
      <c r="EK31" s="129">
        <v>4300</v>
      </c>
      <c r="EL31" s="129">
        <v>4250</v>
      </c>
      <c r="EM31" s="129">
        <v>4260</v>
      </c>
      <c r="EN31" s="129">
        <v>4550</v>
      </c>
      <c r="EO31" s="129">
        <v>4545</v>
      </c>
      <c r="EP31" s="129">
        <v>4440</v>
      </c>
      <c r="EQ31" s="129">
        <v>4350</v>
      </c>
      <c r="ER31" s="129">
        <v>4325</v>
      </c>
      <c r="ES31" s="129">
        <v>4090</v>
      </c>
      <c r="ET31" s="129">
        <v>3985</v>
      </c>
      <c r="EU31" s="129">
        <v>4065</v>
      </c>
      <c r="EV31" s="129">
        <v>4135</v>
      </c>
      <c r="EW31" s="129">
        <v>4070</v>
      </c>
    </row>
    <row r="32" spans="1:153" x14ac:dyDescent="0.25">
      <c r="A32" s="357" t="s">
        <v>463</v>
      </c>
      <c r="B32" s="84" t="str">
        <f>参加条件計算!B32</f>
        <v>アエリア</v>
      </c>
      <c r="C32" s="332">
        <f>株価一覧!E31</f>
        <v>2000</v>
      </c>
      <c r="D32" s="354">
        <f t="shared" ca="1" si="0"/>
        <v>2023.8</v>
      </c>
      <c r="E32" s="330">
        <f t="shared" ca="1" si="1"/>
        <v>2059.8000000000002</v>
      </c>
      <c r="F32" s="331">
        <f t="shared" ca="1" si="2"/>
        <v>1970</v>
      </c>
      <c r="G32" s="129">
        <v>0</v>
      </c>
      <c r="H32" s="129">
        <v>0</v>
      </c>
      <c r="I32" s="129">
        <v>0</v>
      </c>
      <c r="J32" s="129">
        <v>0</v>
      </c>
      <c r="K32" s="129">
        <v>0</v>
      </c>
      <c r="L32" s="129">
        <v>0</v>
      </c>
      <c r="M32" s="129">
        <v>0</v>
      </c>
      <c r="N32" s="129">
        <v>0</v>
      </c>
      <c r="O32" s="129">
        <v>0</v>
      </c>
      <c r="P32" s="129">
        <v>0</v>
      </c>
      <c r="Q32" s="129">
        <v>0</v>
      </c>
      <c r="R32" s="129">
        <v>0</v>
      </c>
      <c r="S32" s="129">
        <v>0</v>
      </c>
      <c r="T32" s="129">
        <v>0</v>
      </c>
      <c r="U32" s="129">
        <v>0</v>
      </c>
      <c r="V32" s="129">
        <v>0</v>
      </c>
      <c r="W32" s="129">
        <v>0</v>
      </c>
      <c r="X32" s="129">
        <v>0</v>
      </c>
      <c r="Y32" s="129">
        <v>0</v>
      </c>
      <c r="Z32" s="129">
        <v>0</v>
      </c>
      <c r="AA32" s="129">
        <v>0</v>
      </c>
      <c r="AB32" s="129">
        <v>0</v>
      </c>
      <c r="AC32" s="129">
        <v>0</v>
      </c>
      <c r="AD32" s="129">
        <v>0</v>
      </c>
      <c r="AE32" s="129">
        <v>0</v>
      </c>
      <c r="AF32" s="129">
        <v>0</v>
      </c>
      <c r="AG32" s="129">
        <v>0</v>
      </c>
      <c r="AH32" s="129">
        <v>0</v>
      </c>
      <c r="AI32" s="129">
        <v>0</v>
      </c>
      <c r="AJ32" s="129">
        <v>0</v>
      </c>
      <c r="AK32" s="129">
        <v>0</v>
      </c>
      <c r="AL32" s="129">
        <v>0</v>
      </c>
      <c r="AM32" s="129">
        <v>0</v>
      </c>
      <c r="AN32" s="129">
        <v>0</v>
      </c>
      <c r="AO32" s="129">
        <v>0</v>
      </c>
      <c r="AP32" s="129">
        <v>0</v>
      </c>
      <c r="AQ32" s="129">
        <v>0</v>
      </c>
      <c r="AR32" s="129">
        <v>0</v>
      </c>
      <c r="AS32" s="129">
        <v>0</v>
      </c>
      <c r="AT32" s="131">
        <v>0</v>
      </c>
      <c r="AU32" s="127">
        <v>0</v>
      </c>
      <c r="AV32" s="127">
        <v>0</v>
      </c>
      <c r="AW32" s="127">
        <v>0</v>
      </c>
      <c r="AX32" s="127">
        <v>0</v>
      </c>
      <c r="AY32" s="127">
        <v>0</v>
      </c>
      <c r="AZ32" s="127">
        <v>0</v>
      </c>
      <c r="BA32" s="127">
        <v>0</v>
      </c>
      <c r="BB32" s="127">
        <v>0</v>
      </c>
      <c r="BC32" s="127">
        <v>0</v>
      </c>
      <c r="BD32" s="127">
        <v>0</v>
      </c>
      <c r="BE32" s="127">
        <v>0</v>
      </c>
      <c r="BF32" s="127">
        <v>0</v>
      </c>
      <c r="BG32" s="361">
        <v>4510</v>
      </c>
      <c r="BH32" s="361">
        <v>4385</v>
      </c>
      <c r="BI32" s="361">
        <v>4420</v>
      </c>
      <c r="BJ32" s="361">
        <v>4515</v>
      </c>
      <c r="BK32" s="361">
        <v>4455</v>
      </c>
      <c r="BL32" s="361">
        <v>4365</v>
      </c>
      <c r="BM32" s="361">
        <v>4270</v>
      </c>
      <c r="BN32" s="361">
        <v>4085</v>
      </c>
      <c r="BO32" s="361">
        <v>4320</v>
      </c>
      <c r="BP32" s="361">
        <v>4405</v>
      </c>
      <c r="BQ32" s="129">
        <v>4360</v>
      </c>
      <c r="BR32" s="129">
        <v>4285</v>
      </c>
      <c r="BS32" s="129">
        <v>4985</v>
      </c>
      <c r="BT32" s="129">
        <v>5020</v>
      </c>
      <c r="BU32" s="129">
        <v>5290</v>
      </c>
      <c r="BV32" s="129">
        <v>5930</v>
      </c>
      <c r="BW32" s="129">
        <v>6130</v>
      </c>
      <c r="BX32" s="129">
        <v>5960</v>
      </c>
      <c r="BY32" s="129">
        <v>6470</v>
      </c>
      <c r="BZ32" s="129">
        <v>6310</v>
      </c>
      <c r="CA32" s="129">
        <v>5940</v>
      </c>
      <c r="CB32" s="129">
        <v>6440</v>
      </c>
      <c r="CC32" s="129">
        <v>6380</v>
      </c>
      <c r="CD32" s="129">
        <v>7100</v>
      </c>
      <c r="CE32" s="129">
        <v>6720</v>
      </c>
      <c r="CF32" s="129">
        <v>6770</v>
      </c>
      <c r="CG32" s="129">
        <v>6340</v>
      </c>
      <c r="CH32" s="129">
        <v>6230</v>
      </c>
      <c r="CI32" s="129">
        <v>6280</v>
      </c>
      <c r="CJ32" s="129">
        <v>2980</v>
      </c>
      <c r="CK32" s="129">
        <v>3225</v>
      </c>
      <c r="CL32" s="129">
        <v>3215</v>
      </c>
      <c r="CM32" s="129">
        <v>3570</v>
      </c>
      <c r="CN32" s="129">
        <v>3415</v>
      </c>
      <c r="CO32" s="129">
        <v>3285</v>
      </c>
      <c r="CP32" s="129">
        <v>3285</v>
      </c>
      <c r="CQ32" s="129">
        <v>3255</v>
      </c>
      <c r="CR32" s="129">
        <v>3225</v>
      </c>
      <c r="CS32" s="129">
        <v>3310</v>
      </c>
      <c r="CT32" s="129">
        <v>3270</v>
      </c>
      <c r="CU32" s="129">
        <v>3390</v>
      </c>
      <c r="CV32" s="129">
        <v>3340</v>
      </c>
      <c r="CW32" s="129">
        <v>3340</v>
      </c>
      <c r="CX32" s="129">
        <v>3265</v>
      </c>
      <c r="CY32" s="129">
        <v>3150</v>
      </c>
      <c r="CZ32" s="129">
        <v>3290</v>
      </c>
      <c r="DA32" s="129">
        <v>3210</v>
      </c>
      <c r="DB32" s="129">
        <v>3265</v>
      </c>
      <c r="DC32" s="129">
        <v>3150</v>
      </c>
      <c r="DD32" s="129">
        <v>3180</v>
      </c>
      <c r="DE32" s="129">
        <v>3090</v>
      </c>
      <c r="DF32" s="129">
        <v>3240</v>
      </c>
      <c r="DG32" s="129">
        <v>2558</v>
      </c>
      <c r="DH32" s="129">
        <v>2547</v>
      </c>
      <c r="DI32" s="129">
        <v>2224</v>
      </c>
      <c r="DJ32" s="129">
        <v>2266</v>
      </c>
      <c r="DK32" s="129">
        <v>2580</v>
      </c>
      <c r="DL32" s="129">
        <v>2654</v>
      </c>
      <c r="DM32" s="129">
        <v>2605</v>
      </c>
      <c r="DN32" s="129">
        <v>2578</v>
      </c>
      <c r="DO32" s="129">
        <v>2436</v>
      </c>
      <c r="DP32" s="129">
        <v>2372</v>
      </c>
      <c r="DQ32" s="129">
        <v>2424</v>
      </c>
      <c r="DR32" s="129">
        <v>2356</v>
      </c>
      <c r="DS32" s="129">
        <v>2414</v>
      </c>
      <c r="DT32" s="129">
        <v>2350</v>
      </c>
      <c r="DU32" s="129">
        <v>2366</v>
      </c>
      <c r="DV32" s="129">
        <v>2425</v>
      </c>
      <c r="DW32" s="129">
        <v>2361</v>
      </c>
      <c r="DX32" s="129">
        <v>2190</v>
      </c>
      <c r="DY32" s="129">
        <v>2071</v>
      </c>
      <c r="DZ32" s="129">
        <v>2100</v>
      </c>
      <c r="EA32" s="129">
        <v>2083</v>
      </c>
      <c r="EB32" s="129">
        <v>2085</v>
      </c>
      <c r="EC32" s="129">
        <v>2036</v>
      </c>
      <c r="ED32" s="129">
        <v>2145</v>
      </c>
      <c r="EE32" s="129">
        <v>2085</v>
      </c>
      <c r="EF32" s="129">
        <v>2052</v>
      </c>
      <c r="EG32" s="129">
        <v>2163</v>
      </c>
      <c r="EH32" s="129">
        <v>2281</v>
      </c>
      <c r="EI32" s="129">
        <v>2270</v>
      </c>
      <c r="EJ32" s="129">
        <v>2250</v>
      </c>
      <c r="EK32" s="129">
        <v>2122</v>
      </c>
      <c r="EL32" s="129">
        <v>2124</v>
      </c>
      <c r="EM32" s="129">
        <v>2097</v>
      </c>
      <c r="EN32" s="129">
        <v>2081</v>
      </c>
      <c r="EO32" s="129">
        <v>2108</v>
      </c>
      <c r="EP32" s="129">
        <v>2081</v>
      </c>
      <c r="EQ32" s="129">
        <v>2111</v>
      </c>
      <c r="ER32" s="129">
        <v>2098</v>
      </c>
      <c r="ES32" s="129">
        <v>2070</v>
      </c>
      <c r="ET32" s="129">
        <v>2001</v>
      </c>
      <c r="EU32" s="129">
        <v>2078</v>
      </c>
      <c r="EV32" s="129">
        <v>1970</v>
      </c>
      <c r="EW32" s="129">
        <v>2000</v>
      </c>
    </row>
    <row r="33" spans="1:153" x14ac:dyDescent="0.25">
      <c r="A33" s="357" t="s">
        <v>463</v>
      </c>
      <c r="B33" s="84" t="str">
        <f>参加条件計算!B33</f>
        <v>アカツキ</v>
      </c>
      <c r="C33" s="332">
        <f>株価一覧!E32</f>
        <v>8500</v>
      </c>
      <c r="D33" s="354">
        <f t="shared" ca="1" si="0"/>
        <v>8324</v>
      </c>
      <c r="E33" s="330">
        <f t="shared" ca="1" si="1"/>
        <v>8631</v>
      </c>
      <c r="F33" s="331">
        <f t="shared" ca="1" si="2"/>
        <v>7990</v>
      </c>
      <c r="G33" s="129">
        <v>0</v>
      </c>
      <c r="H33" s="129">
        <v>0</v>
      </c>
      <c r="I33" s="129">
        <v>0</v>
      </c>
      <c r="J33" s="129">
        <v>0</v>
      </c>
      <c r="K33" s="129">
        <v>0</v>
      </c>
      <c r="L33" s="129">
        <v>0</v>
      </c>
      <c r="M33" s="129">
        <v>0</v>
      </c>
      <c r="N33" s="129">
        <v>0</v>
      </c>
      <c r="O33" s="129">
        <v>0</v>
      </c>
      <c r="P33" s="129">
        <v>0</v>
      </c>
      <c r="Q33" s="129">
        <v>0</v>
      </c>
      <c r="R33" s="129">
        <v>0</v>
      </c>
      <c r="S33" s="129">
        <v>0</v>
      </c>
      <c r="T33" s="129">
        <v>0</v>
      </c>
      <c r="U33" s="129">
        <v>0</v>
      </c>
      <c r="V33" s="129">
        <v>0</v>
      </c>
      <c r="W33" s="129">
        <v>0</v>
      </c>
      <c r="X33" s="129">
        <v>0</v>
      </c>
      <c r="Y33" s="129">
        <v>0</v>
      </c>
      <c r="Z33" s="129">
        <v>0</v>
      </c>
      <c r="AA33" s="129">
        <v>0</v>
      </c>
      <c r="AB33" s="129">
        <v>0</v>
      </c>
      <c r="AC33" s="129">
        <v>0</v>
      </c>
      <c r="AD33" s="129">
        <v>0</v>
      </c>
      <c r="AE33" s="129">
        <v>0</v>
      </c>
      <c r="AF33" s="129">
        <v>0</v>
      </c>
      <c r="AG33" s="129">
        <v>0</v>
      </c>
      <c r="AH33" s="129">
        <v>0</v>
      </c>
      <c r="AI33" s="129">
        <v>0</v>
      </c>
      <c r="AJ33" s="129">
        <v>0</v>
      </c>
      <c r="AK33" s="129">
        <v>0</v>
      </c>
      <c r="AL33" s="129">
        <v>0</v>
      </c>
      <c r="AM33" s="129">
        <v>0</v>
      </c>
      <c r="AN33" s="129">
        <v>0</v>
      </c>
      <c r="AO33" s="129">
        <v>0</v>
      </c>
      <c r="AP33" s="129">
        <v>0</v>
      </c>
      <c r="AQ33" s="129">
        <v>0</v>
      </c>
      <c r="AR33" s="129">
        <v>0</v>
      </c>
      <c r="AS33" s="129">
        <v>0</v>
      </c>
      <c r="AT33" s="131">
        <v>0</v>
      </c>
      <c r="AU33" s="127">
        <v>0</v>
      </c>
      <c r="AV33" s="127">
        <v>0</v>
      </c>
      <c r="AW33" s="127">
        <v>0</v>
      </c>
      <c r="AX33" s="127">
        <v>0</v>
      </c>
      <c r="AY33" s="127">
        <v>0</v>
      </c>
      <c r="AZ33" s="127">
        <v>0</v>
      </c>
      <c r="BA33" s="127">
        <v>0</v>
      </c>
      <c r="BB33" s="127">
        <v>0</v>
      </c>
      <c r="BC33" s="127">
        <v>0</v>
      </c>
      <c r="BD33" s="127">
        <v>0</v>
      </c>
      <c r="BE33" s="127">
        <v>0</v>
      </c>
      <c r="BF33" s="127">
        <v>0</v>
      </c>
      <c r="BG33" s="361">
        <v>6270</v>
      </c>
      <c r="BH33" s="361">
        <v>6160</v>
      </c>
      <c r="BI33" s="361">
        <v>6210</v>
      </c>
      <c r="BJ33" s="361">
        <v>6170</v>
      </c>
      <c r="BK33" s="361">
        <v>6280</v>
      </c>
      <c r="BL33" s="361">
        <v>6180</v>
      </c>
      <c r="BM33" s="361">
        <v>6150</v>
      </c>
      <c r="BN33" s="361">
        <v>5820</v>
      </c>
      <c r="BO33" s="361">
        <v>5790</v>
      </c>
      <c r="BP33" s="361">
        <v>6120</v>
      </c>
      <c r="BQ33" s="129">
        <v>6060</v>
      </c>
      <c r="BR33" s="129">
        <v>6000</v>
      </c>
      <c r="BS33" s="129">
        <v>6350</v>
      </c>
      <c r="BT33" s="129">
        <v>6150</v>
      </c>
      <c r="BU33" s="129">
        <v>7150</v>
      </c>
      <c r="BV33" s="129">
        <v>7080</v>
      </c>
      <c r="BW33" s="129">
        <v>7300</v>
      </c>
      <c r="BX33" s="129">
        <v>7220</v>
      </c>
      <c r="BY33" s="129">
        <v>7770</v>
      </c>
      <c r="BZ33" s="129">
        <v>8270</v>
      </c>
      <c r="CA33" s="129">
        <v>7980</v>
      </c>
      <c r="CB33" s="129">
        <v>8290</v>
      </c>
      <c r="CC33" s="129">
        <v>8570</v>
      </c>
      <c r="CD33" s="129">
        <v>8820</v>
      </c>
      <c r="CE33" s="129">
        <v>8770</v>
      </c>
      <c r="CF33" s="129">
        <v>9240</v>
      </c>
      <c r="CG33" s="129">
        <v>8830</v>
      </c>
      <c r="CH33" s="129">
        <v>9330</v>
      </c>
      <c r="CI33" s="129">
        <v>9200</v>
      </c>
      <c r="CJ33" s="129">
        <v>8440</v>
      </c>
      <c r="CK33" s="129">
        <v>8760</v>
      </c>
      <c r="CL33" s="129">
        <v>8770</v>
      </c>
      <c r="CM33" s="129">
        <v>8620</v>
      </c>
      <c r="CN33" s="129">
        <v>8350</v>
      </c>
      <c r="CO33" s="129">
        <v>8570</v>
      </c>
      <c r="CP33" s="129">
        <v>8350</v>
      </c>
      <c r="CQ33" s="129">
        <v>8390</v>
      </c>
      <c r="CR33" s="129">
        <v>8810</v>
      </c>
      <c r="CS33" s="129">
        <v>8710</v>
      </c>
      <c r="CT33" s="129">
        <v>8670</v>
      </c>
      <c r="CU33" s="129">
        <v>8840</v>
      </c>
      <c r="CV33" s="129">
        <v>8730</v>
      </c>
      <c r="CW33" s="129">
        <v>8510</v>
      </c>
      <c r="CX33" s="129">
        <v>8630</v>
      </c>
      <c r="CY33" s="129">
        <v>8550</v>
      </c>
      <c r="CZ33" s="129">
        <v>8520</v>
      </c>
      <c r="DA33" s="129">
        <v>8340</v>
      </c>
      <c r="DB33" s="129">
        <v>8360</v>
      </c>
      <c r="DC33" s="129">
        <v>8470</v>
      </c>
      <c r="DD33" s="129">
        <v>9210</v>
      </c>
      <c r="DE33" s="129">
        <v>9750</v>
      </c>
      <c r="DF33" s="129">
        <v>9920</v>
      </c>
      <c r="DG33" s="129">
        <v>9080</v>
      </c>
      <c r="DH33" s="129">
        <v>9600</v>
      </c>
      <c r="DI33" s="129">
        <v>9430</v>
      </c>
      <c r="DJ33" s="129">
        <v>9760</v>
      </c>
      <c r="DK33" s="129">
        <v>10580</v>
      </c>
      <c r="DL33" s="129">
        <v>10500</v>
      </c>
      <c r="DM33" s="129">
        <v>10620</v>
      </c>
      <c r="DN33" s="129">
        <v>10170</v>
      </c>
      <c r="DO33" s="129">
        <v>10190</v>
      </c>
      <c r="DP33" s="129">
        <v>10120</v>
      </c>
      <c r="DQ33" s="129">
        <v>9760</v>
      </c>
      <c r="DR33" s="129">
        <v>9890</v>
      </c>
      <c r="DS33" s="129">
        <v>9810</v>
      </c>
      <c r="DT33" s="129">
        <v>9680</v>
      </c>
      <c r="DU33" s="129">
        <v>9600</v>
      </c>
      <c r="DV33" s="129">
        <v>10220</v>
      </c>
      <c r="DW33" s="129">
        <v>9770</v>
      </c>
      <c r="DX33" s="129">
        <v>9290</v>
      </c>
      <c r="DY33" s="129">
        <v>8650</v>
      </c>
      <c r="DZ33" s="129">
        <v>8840</v>
      </c>
      <c r="EA33" s="129">
        <v>8500</v>
      </c>
      <c r="EB33" s="129">
        <v>8900</v>
      </c>
      <c r="EC33" s="129">
        <v>9030</v>
      </c>
      <c r="ED33" s="129">
        <v>9060</v>
      </c>
      <c r="EE33" s="129">
        <v>9350</v>
      </c>
      <c r="EF33" s="129">
        <v>9120</v>
      </c>
      <c r="EG33" s="129">
        <v>9170</v>
      </c>
      <c r="EH33" s="129">
        <v>9290</v>
      </c>
      <c r="EI33" s="129">
        <v>9210</v>
      </c>
      <c r="EJ33" s="129">
        <v>9270</v>
      </c>
      <c r="EK33" s="129">
        <v>9130</v>
      </c>
      <c r="EL33" s="129">
        <v>9500</v>
      </c>
      <c r="EM33" s="129">
        <v>9310</v>
      </c>
      <c r="EN33" s="129">
        <v>9240</v>
      </c>
      <c r="EO33" s="129">
        <v>9010</v>
      </c>
      <c r="EP33" s="129">
        <v>8800</v>
      </c>
      <c r="EQ33" s="129">
        <v>8970</v>
      </c>
      <c r="ER33" s="129">
        <v>8670</v>
      </c>
      <c r="ES33" s="129">
        <v>8580</v>
      </c>
      <c r="ET33" s="129">
        <v>7990</v>
      </c>
      <c r="EU33" s="129">
        <v>8080</v>
      </c>
      <c r="EV33" s="129">
        <v>8470</v>
      </c>
      <c r="EW33" s="129">
        <v>8500</v>
      </c>
    </row>
    <row r="34" spans="1:153" x14ac:dyDescent="0.25">
      <c r="A34" s="357" t="s">
        <v>463</v>
      </c>
      <c r="B34" s="84" t="str">
        <f>参加条件計算!B34</f>
        <v>メイコー</v>
      </c>
      <c r="C34" s="332">
        <f>株価一覧!E33</f>
        <v>1975</v>
      </c>
      <c r="D34" s="354">
        <f t="shared" ca="1" si="0"/>
        <v>2020.6</v>
      </c>
      <c r="E34" s="330">
        <f t="shared" ca="1" si="1"/>
        <v>2072.1</v>
      </c>
      <c r="F34" s="331">
        <f t="shared" ca="1" si="2"/>
        <v>1975</v>
      </c>
      <c r="G34" s="129">
        <v>0</v>
      </c>
      <c r="H34" s="129">
        <v>0</v>
      </c>
      <c r="I34" s="129">
        <v>0</v>
      </c>
      <c r="J34" s="129">
        <v>0</v>
      </c>
      <c r="K34" s="129">
        <v>0</v>
      </c>
      <c r="L34" s="129">
        <v>0</v>
      </c>
      <c r="M34" s="129">
        <v>0</v>
      </c>
      <c r="N34" s="129">
        <v>0</v>
      </c>
      <c r="O34" s="129">
        <v>0</v>
      </c>
      <c r="P34" s="129">
        <v>0</v>
      </c>
      <c r="Q34" s="129">
        <v>0</v>
      </c>
      <c r="R34" s="129">
        <v>0</v>
      </c>
      <c r="S34" s="129">
        <v>0</v>
      </c>
      <c r="T34" s="129">
        <v>0</v>
      </c>
      <c r="U34" s="129">
        <v>0</v>
      </c>
      <c r="V34" s="129">
        <v>0</v>
      </c>
      <c r="W34" s="129">
        <v>0</v>
      </c>
      <c r="X34" s="129">
        <v>0</v>
      </c>
      <c r="Y34" s="129">
        <v>0</v>
      </c>
      <c r="Z34" s="129">
        <v>0</v>
      </c>
      <c r="AA34" s="129">
        <v>0</v>
      </c>
      <c r="AB34" s="129">
        <v>0</v>
      </c>
      <c r="AC34" s="129">
        <v>0</v>
      </c>
      <c r="AD34" s="129">
        <v>0</v>
      </c>
      <c r="AE34" s="129">
        <v>0</v>
      </c>
      <c r="AF34" s="129">
        <v>0</v>
      </c>
      <c r="AG34" s="129">
        <v>0</v>
      </c>
      <c r="AH34" s="129">
        <v>0</v>
      </c>
      <c r="AI34" s="129">
        <v>0</v>
      </c>
      <c r="AJ34" s="129">
        <v>0</v>
      </c>
      <c r="AK34" s="129">
        <v>0</v>
      </c>
      <c r="AL34" s="129">
        <v>0</v>
      </c>
      <c r="AM34" s="129">
        <v>0</v>
      </c>
      <c r="AN34" s="129">
        <v>0</v>
      </c>
      <c r="AO34" s="129">
        <v>0</v>
      </c>
      <c r="AP34" s="129">
        <v>0</v>
      </c>
      <c r="AQ34" s="129">
        <v>0</v>
      </c>
      <c r="AR34" s="129">
        <v>0</v>
      </c>
      <c r="AS34" s="129">
        <v>0</v>
      </c>
      <c r="AT34" s="131">
        <v>0</v>
      </c>
      <c r="AU34" s="127">
        <v>0</v>
      </c>
      <c r="AV34" s="127">
        <v>0</v>
      </c>
      <c r="AW34" s="127">
        <v>0</v>
      </c>
      <c r="AX34" s="127">
        <v>0</v>
      </c>
      <c r="AY34" s="127">
        <v>0</v>
      </c>
      <c r="AZ34" s="127">
        <v>0</v>
      </c>
      <c r="BA34" s="127">
        <v>0</v>
      </c>
      <c r="BB34" s="127">
        <v>0</v>
      </c>
      <c r="BC34" s="127">
        <v>0</v>
      </c>
      <c r="BD34" s="127">
        <v>0</v>
      </c>
      <c r="BE34" s="127">
        <v>0</v>
      </c>
      <c r="BF34" s="127">
        <v>0</v>
      </c>
      <c r="BG34" s="361">
        <v>1059</v>
      </c>
      <c r="BH34" s="361">
        <v>1142</v>
      </c>
      <c r="BI34" s="361">
        <v>1189</v>
      </c>
      <c r="BJ34" s="361">
        <v>1225</v>
      </c>
      <c r="BK34" s="361">
        <v>1237</v>
      </c>
      <c r="BL34" s="361">
        <v>1212</v>
      </c>
      <c r="BM34" s="361">
        <v>1325</v>
      </c>
      <c r="BN34" s="361">
        <v>1318</v>
      </c>
      <c r="BO34" s="361">
        <v>1292</v>
      </c>
      <c r="BP34" s="361">
        <v>1345</v>
      </c>
      <c r="BQ34" s="129">
        <v>1369</v>
      </c>
      <c r="BR34" s="129">
        <v>1411</v>
      </c>
      <c r="BS34" s="129">
        <v>1411</v>
      </c>
      <c r="BT34" s="129">
        <v>1390</v>
      </c>
      <c r="BU34" s="129">
        <v>1405</v>
      </c>
      <c r="BV34" s="129">
        <v>1380</v>
      </c>
      <c r="BW34" s="129">
        <v>1431</v>
      </c>
      <c r="BX34" s="129">
        <v>1325</v>
      </c>
      <c r="BY34" s="129">
        <v>1351</v>
      </c>
      <c r="BZ34" s="129">
        <v>1318</v>
      </c>
      <c r="CA34" s="129">
        <v>1300</v>
      </c>
      <c r="CB34" s="129">
        <v>1241</v>
      </c>
      <c r="CC34" s="129">
        <v>1277</v>
      </c>
      <c r="CD34" s="129">
        <v>1335</v>
      </c>
      <c r="CE34" s="129">
        <v>1337</v>
      </c>
      <c r="CF34" s="129">
        <v>1384</v>
      </c>
      <c r="CG34" s="129">
        <v>1433</v>
      </c>
      <c r="CH34" s="129">
        <v>1541</v>
      </c>
      <c r="CI34" s="129">
        <v>1500</v>
      </c>
      <c r="CJ34" s="129">
        <v>1453</v>
      </c>
      <c r="CK34" s="129">
        <v>1431</v>
      </c>
      <c r="CL34" s="129">
        <v>1431</v>
      </c>
      <c r="CM34" s="129">
        <v>1460</v>
      </c>
      <c r="CN34" s="129">
        <v>1397</v>
      </c>
      <c r="CO34" s="129">
        <v>1472</v>
      </c>
      <c r="CP34" s="129">
        <v>1464</v>
      </c>
      <c r="CQ34" s="129">
        <v>1481</v>
      </c>
      <c r="CR34" s="129">
        <v>1471</v>
      </c>
      <c r="CS34" s="129">
        <v>1496</v>
      </c>
      <c r="CT34" s="129">
        <v>1467</v>
      </c>
      <c r="CU34" s="129">
        <v>1535</v>
      </c>
      <c r="CV34" s="129">
        <v>1501</v>
      </c>
      <c r="CW34" s="129">
        <v>1498</v>
      </c>
      <c r="CX34" s="129">
        <v>1502</v>
      </c>
      <c r="CY34" s="129">
        <v>1503</v>
      </c>
      <c r="CZ34" s="129">
        <v>1576</v>
      </c>
      <c r="DA34" s="129">
        <v>1634</v>
      </c>
      <c r="DB34" s="129">
        <v>1710</v>
      </c>
      <c r="DC34" s="129">
        <v>1730</v>
      </c>
      <c r="DD34" s="129">
        <v>1688</v>
      </c>
      <c r="DE34" s="129">
        <v>1649</v>
      </c>
      <c r="DF34" s="129">
        <v>1661</v>
      </c>
      <c r="DG34" s="129">
        <v>1531</v>
      </c>
      <c r="DH34" s="129">
        <v>1649</v>
      </c>
      <c r="DI34" s="129">
        <v>1604</v>
      </c>
      <c r="DJ34" s="129">
        <v>1595</v>
      </c>
      <c r="DK34" s="129">
        <v>1490</v>
      </c>
      <c r="DL34" s="129">
        <v>1580</v>
      </c>
      <c r="DM34" s="129">
        <v>1543</v>
      </c>
      <c r="DN34" s="129">
        <v>1499</v>
      </c>
      <c r="DO34" s="129">
        <v>1478</v>
      </c>
      <c r="DP34" s="129">
        <v>1519</v>
      </c>
      <c r="DQ34" s="129">
        <v>1707</v>
      </c>
      <c r="DR34" s="129">
        <v>1826</v>
      </c>
      <c r="DS34" s="129">
        <v>1825</v>
      </c>
      <c r="DT34" s="129">
        <v>1982</v>
      </c>
      <c r="DU34" s="129">
        <v>2021</v>
      </c>
      <c r="DV34" s="129">
        <v>2064</v>
      </c>
      <c r="DW34" s="129">
        <v>2078</v>
      </c>
      <c r="DX34" s="129">
        <v>2083</v>
      </c>
      <c r="DY34" s="129">
        <v>1950</v>
      </c>
      <c r="DZ34" s="129">
        <v>1998</v>
      </c>
      <c r="EA34" s="129">
        <v>1955</v>
      </c>
      <c r="EB34" s="129">
        <v>1970</v>
      </c>
      <c r="EC34" s="129">
        <v>2052</v>
      </c>
      <c r="ED34" s="129">
        <v>2084</v>
      </c>
      <c r="EE34" s="129">
        <v>2148</v>
      </c>
      <c r="EF34" s="129">
        <v>2210</v>
      </c>
      <c r="EG34" s="129">
        <v>2269</v>
      </c>
      <c r="EH34" s="129">
        <v>2245</v>
      </c>
      <c r="EI34" s="129">
        <v>2194</v>
      </c>
      <c r="EJ34" s="129">
        <v>2152</v>
      </c>
      <c r="EK34" s="129">
        <v>2113</v>
      </c>
      <c r="EL34" s="129">
        <v>2113</v>
      </c>
      <c r="EM34" s="129">
        <v>1990</v>
      </c>
      <c r="EN34" s="129">
        <v>2069</v>
      </c>
      <c r="EO34" s="129">
        <v>2148</v>
      </c>
      <c r="EP34" s="129">
        <v>2107</v>
      </c>
      <c r="EQ34" s="129">
        <v>2140</v>
      </c>
      <c r="ER34" s="129">
        <v>2154</v>
      </c>
      <c r="ES34" s="129">
        <v>2060</v>
      </c>
      <c r="ET34" s="129">
        <v>2016</v>
      </c>
      <c r="EU34" s="129">
        <v>2021</v>
      </c>
      <c r="EV34" s="129">
        <v>2031</v>
      </c>
      <c r="EW34" s="129">
        <v>1975</v>
      </c>
    </row>
    <row r="35" spans="1:153" x14ac:dyDescent="0.25">
      <c r="A35" s="357" t="s">
        <v>463</v>
      </c>
      <c r="B35" s="84" t="str">
        <f>参加条件計算!B35</f>
        <v>クルーズ</v>
      </c>
      <c r="C35" s="332">
        <f>株価一覧!E34</f>
        <v>2434</v>
      </c>
      <c r="D35" s="354">
        <f t="shared" ca="1" si="0"/>
        <v>2386.8000000000002</v>
      </c>
      <c r="E35" s="330">
        <f t="shared" ca="1" si="1"/>
        <v>2383.6999999999998</v>
      </c>
      <c r="F35" s="331">
        <f t="shared" ca="1" si="2"/>
        <v>2323</v>
      </c>
      <c r="G35" s="129">
        <v>0</v>
      </c>
      <c r="H35" s="129">
        <v>0</v>
      </c>
      <c r="I35" s="129">
        <v>0</v>
      </c>
      <c r="J35" s="129">
        <v>0</v>
      </c>
      <c r="K35" s="129">
        <v>0</v>
      </c>
      <c r="L35" s="129">
        <v>0</v>
      </c>
      <c r="M35" s="129">
        <v>0</v>
      </c>
      <c r="N35" s="129">
        <v>0</v>
      </c>
      <c r="O35" s="129">
        <v>0</v>
      </c>
      <c r="P35" s="129">
        <v>0</v>
      </c>
      <c r="Q35" s="129">
        <v>0</v>
      </c>
      <c r="R35" s="129">
        <v>0</v>
      </c>
      <c r="S35" s="129">
        <v>0</v>
      </c>
      <c r="T35" s="129">
        <v>0</v>
      </c>
      <c r="U35" s="129">
        <v>0</v>
      </c>
      <c r="V35" s="129">
        <v>0</v>
      </c>
      <c r="W35" s="129">
        <v>0</v>
      </c>
      <c r="X35" s="129">
        <v>0</v>
      </c>
      <c r="Y35" s="129">
        <v>0</v>
      </c>
      <c r="Z35" s="129">
        <v>0</v>
      </c>
      <c r="AA35" s="129">
        <v>0</v>
      </c>
      <c r="AB35" s="129">
        <v>0</v>
      </c>
      <c r="AC35" s="129">
        <v>0</v>
      </c>
      <c r="AD35" s="129">
        <v>0</v>
      </c>
      <c r="AE35" s="129">
        <v>0</v>
      </c>
      <c r="AF35" s="129">
        <v>0</v>
      </c>
      <c r="AG35" s="129">
        <v>0</v>
      </c>
      <c r="AH35" s="129">
        <v>0</v>
      </c>
      <c r="AI35" s="129">
        <v>0</v>
      </c>
      <c r="AJ35" s="129">
        <v>0</v>
      </c>
      <c r="AK35" s="129">
        <v>0</v>
      </c>
      <c r="AL35" s="129">
        <v>0</v>
      </c>
      <c r="AM35" s="129">
        <v>0</v>
      </c>
      <c r="AN35" s="129">
        <v>0</v>
      </c>
      <c r="AO35" s="129">
        <v>0</v>
      </c>
      <c r="AP35" s="129">
        <v>0</v>
      </c>
      <c r="AQ35" s="129">
        <v>0</v>
      </c>
      <c r="AR35" s="129">
        <v>0</v>
      </c>
      <c r="AS35" s="129">
        <v>0</v>
      </c>
      <c r="AT35" s="131">
        <v>0</v>
      </c>
      <c r="AU35" s="127">
        <v>0</v>
      </c>
      <c r="AV35" s="127">
        <v>0</v>
      </c>
      <c r="AW35" s="127">
        <v>0</v>
      </c>
      <c r="AX35" s="127">
        <v>0</v>
      </c>
      <c r="AY35" s="127">
        <v>0</v>
      </c>
      <c r="AZ35" s="127">
        <v>0</v>
      </c>
      <c r="BA35" s="127">
        <v>0</v>
      </c>
      <c r="BB35" s="127">
        <v>0</v>
      </c>
      <c r="BC35" s="127">
        <v>0</v>
      </c>
      <c r="BD35" s="127">
        <v>0</v>
      </c>
      <c r="BE35" s="127">
        <v>0</v>
      </c>
      <c r="BF35" s="127">
        <v>0</v>
      </c>
      <c r="BG35" s="361">
        <v>2919</v>
      </c>
      <c r="BH35" s="361">
        <v>2900</v>
      </c>
      <c r="BI35" s="361">
        <v>2917</v>
      </c>
      <c r="BJ35" s="361">
        <v>2836</v>
      </c>
      <c r="BK35" s="361">
        <v>2856</v>
      </c>
      <c r="BL35" s="361">
        <v>2862</v>
      </c>
      <c r="BM35" s="361">
        <v>2831</v>
      </c>
      <c r="BN35" s="361">
        <v>2871</v>
      </c>
      <c r="BO35" s="361">
        <v>2966</v>
      </c>
      <c r="BP35" s="361">
        <v>2919</v>
      </c>
      <c r="BQ35" s="129">
        <v>2848</v>
      </c>
      <c r="BR35" s="129">
        <v>2830</v>
      </c>
      <c r="BS35" s="129">
        <v>2865</v>
      </c>
      <c r="BT35" s="129">
        <v>2898</v>
      </c>
      <c r="BU35" s="129">
        <v>2904</v>
      </c>
      <c r="BV35" s="129">
        <v>2970</v>
      </c>
      <c r="BW35" s="129">
        <v>2937</v>
      </c>
      <c r="BX35" s="129">
        <v>2871</v>
      </c>
      <c r="BY35" s="129">
        <v>2842</v>
      </c>
      <c r="BZ35" s="129">
        <v>2838</v>
      </c>
      <c r="CA35" s="129">
        <v>2810</v>
      </c>
      <c r="CB35" s="129">
        <v>2801</v>
      </c>
      <c r="CC35" s="129">
        <v>2852</v>
      </c>
      <c r="CD35" s="129">
        <v>2876</v>
      </c>
      <c r="CE35" s="129">
        <v>2832</v>
      </c>
      <c r="CF35" s="129">
        <v>2787</v>
      </c>
      <c r="CG35" s="129">
        <v>2768</v>
      </c>
      <c r="CH35" s="129">
        <v>2773</v>
      </c>
      <c r="CI35" s="129">
        <v>2766</v>
      </c>
      <c r="CJ35" s="129">
        <v>2693</v>
      </c>
      <c r="CK35" s="129">
        <v>2716</v>
      </c>
      <c r="CL35" s="129">
        <v>2687</v>
      </c>
      <c r="CM35" s="129">
        <v>2739</v>
      </c>
      <c r="CN35" s="129">
        <v>2725</v>
      </c>
      <c r="CO35" s="129">
        <v>2736</v>
      </c>
      <c r="CP35" s="129">
        <v>2783</v>
      </c>
      <c r="CQ35" s="129">
        <v>2789</v>
      </c>
      <c r="CR35" s="129">
        <v>2925</v>
      </c>
      <c r="CS35" s="129">
        <v>2956</v>
      </c>
      <c r="CT35" s="129">
        <v>2910</v>
      </c>
      <c r="CU35" s="129">
        <v>3040</v>
      </c>
      <c r="CV35" s="129">
        <v>2998</v>
      </c>
      <c r="CW35" s="129">
        <v>2973</v>
      </c>
      <c r="CX35" s="129">
        <v>2947</v>
      </c>
      <c r="CY35" s="129">
        <v>2901</v>
      </c>
      <c r="CZ35" s="129">
        <v>2941</v>
      </c>
      <c r="DA35" s="129">
        <v>2897</v>
      </c>
      <c r="DB35" s="129">
        <v>2931</v>
      </c>
      <c r="DC35" s="129">
        <v>2921</v>
      </c>
      <c r="DD35" s="129">
        <v>2910</v>
      </c>
      <c r="DE35" s="129">
        <v>2870</v>
      </c>
      <c r="DF35" s="129">
        <v>2875</v>
      </c>
      <c r="DG35" s="129">
        <v>2792</v>
      </c>
      <c r="DH35" s="129">
        <v>2812</v>
      </c>
      <c r="DI35" s="129">
        <v>2794</v>
      </c>
      <c r="DJ35" s="129">
        <v>2775</v>
      </c>
      <c r="DK35" s="129">
        <v>2440</v>
      </c>
      <c r="DL35" s="129">
        <v>2396</v>
      </c>
      <c r="DM35" s="129">
        <v>2327</v>
      </c>
      <c r="DN35" s="129">
        <v>2300</v>
      </c>
      <c r="DO35" s="129">
        <v>2334</v>
      </c>
      <c r="DP35" s="129">
        <v>2348</v>
      </c>
      <c r="DQ35" s="129">
        <v>2329</v>
      </c>
      <c r="DR35" s="129">
        <v>2335</v>
      </c>
      <c r="DS35" s="129">
        <v>2333</v>
      </c>
      <c r="DT35" s="129">
        <v>2343</v>
      </c>
      <c r="DU35" s="129">
        <v>2338</v>
      </c>
      <c r="DV35" s="129">
        <v>2340</v>
      </c>
      <c r="DW35" s="129">
        <v>2408</v>
      </c>
      <c r="DX35" s="129">
        <v>2343</v>
      </c>
      <c r="DY35" s="129">
        <v>2275</v>
      </c>
      <c r="DZ35" s="129">
        <v>2291</v>
      </c>
      <c r="EA35" s="129">
        <v>2350</v>
      </c>
      <c r="EB35" s="129">
        <v>2332</v>
      </c>
      <c r="EC35" s="129">
        <v>2400</v>
      </c>
      <c r="ED35" s="129">
        <v>2388</v>
      </c>
      <c r="EE35" s="129">
        <v>2394</v>
      </c>
      <c r="EF35" s="129">
        <v>2389</v>
      </c>
      <c r="EG35" s="129">
        <v>2368</v>
      </c>
      <c r="EH35" s="129">
        <v>2363</v>
      </c>
      <c r="EI35" s="129">
        <v>2364</v>
      </c>
      <c r="EJ35" s="129">
        <v>2363</v>
      </c>
      <c r="EK35" s="129">
        <v>2350</v>
      </c>
      <c r="EL35" s="129">
        <v>2317</v>
      </c>
      <c r="EM35" s="129">
        <v>2319</v>
      </c>
      <c r="EN35" s="129">
        <v>2387</v>
      </c>
      <c r="EO35" s="129">
        <v>2375</v>
      </c>
      <c r="EP35" s="129">
        <v>2360</v>
      </c>
      <c r="EQ35" s="129">
        <v>2377</v>
      </c>
      <c r="ER35" s="129">
        <v>2404</v>
      </c>
      <c r="ES35" s="129">
        <v>2416</v>
      </c>
      <c r="ET35" s="129">
        <v>2323</v>
      </c>
      <c r="EU35" s="129">
        <v>2383</v>
      </c>
      <c r="EV35" s="129">
        <v>2378</v>
      </c>
      <c r="EW35" s="129">
        <v>2434</v>
      </c>
    </row>
    <row r="36" spans="1:153" x14ac:dyDescent="0.25">
      <c r="A36" s="357" t="s">
        <v>463</v>
      </c>
      <c r="B36" s="84" t="str">
        <f>参加条件計算!B36</f>
        <v>サイバーステップ</v>
      </c>
      <c r="C36" s="332">
        <f>株価一覧!E35</f>
        <v>2671</v>
      </c>
      <c r="D36" s="354">
        <f t="shared" ca="1" si="0"/>
        <v>2942.8</v>
      </c>
      <c r="E36" s="330">
        <f t="shared" ca="1" si="1"/>
        <v>2921.9</v>
      </c>
      <c r="F36" s="331">
        <f t="shared" ca="1" si="2"/>
        <v>2661</v>
      </c>
      <c r="G36" s="129">
        <v>0</v>
      </c>
      <c r="H36" s="129">
        <v>0</v>
      </c>
      <c r="I36" s="129">
        <v>0</v>
      </c>
      <c r="J36" s="129">
        <v>0</v>
      </c>
      <c r="K36" s="129">
        <v>0</v>
      </c>
      <c r="L36" s="129">
        <v>0</v>
      </c>
      <c r="M36" s="129">
        <v>0</v>
      </c>
      <c r="N36" s="129">
        <v>0</v>
      </c>
      <c r="O36" s="129">
        <v>0</v>
      </c>
      <c r="P36" s="129">
        <v>0</v>
      </c>
      <c r="Q36" s="129">
        <v>0</v>
      </c>
      <c r="R36" s="129">
        <v>0</v>
      </c>
      <c r="S36" s="129">
        <v>0</v>
      </c>
      <c r="T36" s="129">
        <v>0</v>
      </c>
      <c r="U36" s="129">
        <v>0</v>
      </c>
      <c r="V36" s="129">
        <v>0</v>
      </c>
      <c r="W36" s="129">
        <v>0</v>
      </c>
      <c r="X36" s="129">
        <v>0</v>
      </c>
      <c r="Y36" s="129">
        <v>0</v>
      </c>
      <c r="Z36" s="129">
        <v>0</v>
      </c>
      <c r="AA36" s="129">
        <v>0</v>
      </c>
      <c r="AB36" s="129">
        <v>0</v>
      </c>
      <c r="AC36" s="129">
        <v>0</v>
      </c>
      <c r="AD36" s="129">
        <v>0</v>
      </c>
      <c r="AE36" s="129">
        <v>0</v>
      </c>
      <c r="AF36" s="129">
        <v>0</v>
      </c>
      <c r="AG36" s="129">
        <v>0</v>
      </c>
      <c r="AH36" s="129">
        <v>0</v>
      </c>
      <c r="AI36" s="129">
        <v>0</v>
      </c>
      <c r="AJ36" s="129">
        <v>0</v>
      </c>
      <c r="AK36" s="129">
        <v>0</v>
      </c>
      <c r="AL36" s="129">
        <v>0</v>
      </c>
      <c r="AM36" s="129">
        <v>0</v>
      </c>
      <c r="AN36" s="129">
        <v>0</v>
      </c>
      <c r="AO36" s="129">
        <v>0</v>
      </c>
      <c r="AP36" s="129">
        <v>0</v>
      </c>
      <c r="AQ36" s="129">
        <v>0</v>
      </c>
      <c r="AR36" s="129">
        <v>0</v>
      </c>
      <c r="AS36" s="129">
        <v>0</v>
      </c>
      <c r="AT36" s="131">
        <v>0</v>
      </c>
      <c r="AU36" s="127">
        <v>0</v>
      </c>
      <c r="AV36" s="127">
        <v>0</v>
      </c>
      <c r="AW36" s="127">
        <v>0</v>
      </c>
      <c r="AX36" s="127">
        <v>0</v>
      </c>
      <c r="AY36" s="127">
        <v>0</v>
      </c>
      <c r="AZ36" s="127">
        <v>0</v>
      </c>
      <c r="BA36" s="127">
        <v>0</v>
      </c>
      <c r="BB36" s="127">
        <v>0</v>
      </c>
      <c r="BC36" s="127">
        <v>0</v>
      </c>
      <c r="BD36" s="127">
        <v>0</v>
      </c>
      <c r="BE36" s="127">
        <v>0</v>
      </c>
      <c r="BF36" s="127">
        <v>0</v>
      </c>
      <c r="BG36" s="127">
        <v>0</v>
      </c>
      <c r="BH36" s="127">
        <v>0</v>
      </c>
      <c r="BI36" s="127">
        <v>2720</v>
      </c>
      <c r="BJ36" s="127">
        <v>2599</v>
      </c>
      <c r="BK36" s="127">
        <v>2614</v>
      </c>
      <c r="BL36" s="127">
        <v>2745</v>
      </c>
      <c r="BM36" s="127">
        <v>2636</v>
      </c>
      <c r="BN36" s="127">
        <v>2470</v>
      </c>
      <c r="BO36" s="127">
        <v>2451</v>
      </c>
      <c r="BP36" s="127">
        <v>2476</v>
      </c>
      <c r="BQ36" s="129">
        <v>2750</v>
      </c>
      <c r="BR36" s="129">
        <v>2970</v>
      </c>
      <c r="BS36" s="129">
        <v>3420</v>
      </c>
      <c r="BT36" s="129">
        <v>3120</v>
      </c>
      <c r="BU36" s="129">
        <v>3230</v>
      </c>
      <c r="BV36" s="129">
        <v>3610</v>
      </c>
      <c r="BW36" s="129">
        <v>4310</v>
      </c>
      <c r="BX36" s="129">
        <v>4115</v>
      </c>
      <c r="BY36" s="129">
        <v>3925</v>
      </c>
      <c r="BZ36" s="129">
        <v>3910</v>
      </c>
      <c r="CA36" s="129">
        <v>4050</v>
      </c>
      <c r="CB36" s="129">
        <v>4075</v>
      </c>
      <c r="CC36" s="129">
        <v>4735</v>
      </c>
      <c r="CD36" s="129">
        <v>4700</v>
      </c>
      <c r="CE36" s="129">
        <v>4945</v>
      </c>
      <c r="CF36" s="129">
        <v>5650</v>
      </c>
      <c r="CG36" s="129">
        <v>6000</v>
      </c>
      <c r="CH36" s="129">
        <v>7000</v>
      </c>
      <c r="CI36" s="129">
        <v>7240</v>
      </c>
      <c r="CJ36" s="129">
        <v>6070</v>
      </c>
      <c r="CK36" s="129">
        <v>6390</v>
      </c>
      <c r="CL36" s="129">
        <v>6350</v>
      </c>
      <c r="CM36" s="129">
        <v>7350</v>
      </c>
      <c r="CN36" s="129">
        <v>7450</v>
      </c>
      <c r="CO36" s="129">
        <v>6930</v>
      </c>
      <c r="CP36" s="129">
        <v>6370</v>
      </c>
      <c r="CQ36" s="129">
        <v>6730</v>
      </c>
      <c r="CR36" s="129">
        <v>7050</v>
      </c>
      <c r="CS36" s="129">
        <v>6910</v>
      </c>
      <c r="CT36" s="129">
        <v>6910</v>
      </c>
      <c r="CU36" s="129">
        <v>6390</v>
      </c>
      <c r="CV36" s="129">
        <v>6390</v>
      </c>
      <c r="CW36" s="129">
        <v>5390</v>
      </c>
      <c r="CX36" s="129">
        <v>4390</v>
      </c>
      <c r="CY36" s="129">
        <v>4080</v>
      </c>
      <c r="CZ36" s="129">
        <v>3710</v>
      </c>
      <c r="DA36" s="129">
        <v>3590</v>
      </c>
      <c r="DB36" s="129">
        <v>3900</v>
      </c>
      <c r="DC36" s="129">
        <v>4110</v>
      </c>
      <c r="DD36" s="129">
        <v>4025</v>
      </c>
      <c r="DE36" s="129">
        <v>3925</v>
      </c>
      <c r="DF36" s="129">
        <v>4040</v>
      </c>
      <c r="DG36" s="129">
        <v>3875</v>
      </c>
      <c r="DH36" s="129">
        <v>3850</v>
      </c>
      <c r="DI36" s="129">
        <v>3875</v>
      </c>
      <c r="DJ36" s="129">
        <v>3810</v>
      </c>
      <c r="DK36" s="129">
        <v>3295</v>
      </c>
      <c r="DL36" s="129">
        <v>3385</v>
      </c>
      <c r="DM36" s="129">
        <v>3160</v>
      </c>
      <c r="DN36" s="129">
        <v>3045</v>
      </c>
      <c r="DO36" s="129">
        <v>2867</v>
      </c>
      <c r="DP36" s="129">
        <v>2843</v>
      </c>
      <c r="DQ36" s="129">
        <v>2968</v>
      </c>
      <c r="DR36" s="129">
        <v>2898</v>
      </c>
      <c r="DS36" s="129">
        <v>3135</v>
      </c>
      <c r="DT36" s="129">
        <v>3030</v>
      </c>
      <c r="DU36" s="129">
        <v>3160</v>
      </c>
      <c r="DV36" s="129">
        <v>3050</v>
      </c>
      <c r="DW36" s="129">
        <v>3040</v>
      </c>
      <c r="DX36" s="129">
        <v>2940</v>
      </c>
      <c r="DY36" s="129">
        <v>2440</v>
      </c>
      <c r="DZ36" s="129">
        <v>2253</v>
      </c>
      <c r="EA36" s="129">
        <v>2177</v>
      </c>
      <c r="EB36" s="129">
        <v>2174</v>
      </c>
      <c r="EC36" s="129">
        <v>2212</v>
      </c>
      <c r="ED36" s="129">
        <v>2340</v>
      </c>
      <c r="EE36" s="129">
        <v>2260</v>
      </c>
      <c r="EF36" s="129">
        <v>2152</v>
      </c>
      <c r="EG36" s="129">
        <v>2248</v>
      </c>
      <c r="EH36" s="129">
        <v>2401</v>
      </c>
      <c r="EI36" s="129">
        <v>2283</v>
      </c>
      <c r="EJ36" s="129">
        <v>2215</v>
      </c>
      <c r="EK36" s="129">
        <v>2162</v>
      </c>
      <c r="EL36" s="129">
        <v>2191</v>
      </c>
      <c r="EM36" s="129">
        <v>2187</v>
      </c>
      <c r="EN36" s="129">
        <v>2500</v>
      </c>
      <c r="EO36" s="129">
        <v>2766</v>
      </c>
      <c r="EP36" s="129">
        <v>2809</v>
      </c>
      <c r="EQ36" s="129">
        <v>3300</v>
      </c>
      <c r="ER36" s="129">
        <v>3130</v>
      </c>
      <c r="ES36" s="129">
        <v>3315</v>
      </c>
      <c r="ET36" s="129">
        <v>3130</v>
      </c>
      <c r="EU36" s="129">
        <v>2937</v>
      </c>
      <c r="EV36" s="129">
        <v>2661</v>
      </c>
      <c r="EW36" s="129">
        <v>2671</v>
      </c>
    </row>
    <row r="37" spans="1:153" x14ac:dyDescent="0.25">
      <c r="A37" s="357" t="s">
        <v>463</v>
      </c>
      <c r="B37" s="84" t="str">
        <f>参加条件計算!B37</f>
        <v>アズジェント</v>
      </c>
      <c r="C37" s="332">
        <f>株価一覧!E36</f>
        <v>2769</v>
      </c>
      <c r="D37" s="354">
        <f t="shared" ref="D37" ca="1" si="3">AVERAGE(OFFSET(A37,0,COUNTA(G37:XFD37)+5,1,-5))</f>
        <v>2729.4</v>
      </c>
      <c r="E37" s="330">
        <f t="shared" ref="E37" ca="1" si="4">AVERAGE(OFFSET(A37,0,COUNTA(G37:XFD37)+5,1,-10))</f>
        <v>2812.5</v>
      </c>
      <c r="F37" s="331">
        <f t="shared" ref="F37" ca="1" si="5">MIN(OFFSET(B37,0,COUNTA(G37:XFD37)+5,1,-10))</f>
        <v>2641</v>
      </c>
      <c r="G37" s="129">
        <v>0</v>
      </c>
      <c r="H37" s="129">
        <v>0</v>
      </c>
      <c r="I37" s="129">
        <v>0</v>
      </c>
      <c r="J37" s="129">
        <v>0</v>
      </c>
      <c r="K37" s="129">
        <v>0</v>
      </c>
      <c r="L37" s="129">
        <v>0</v>
      </c>
      <c r="M37" s="129">
        <v>0</v>
      </c>
      <c r="N37" s="129">
        <v>0</v>
      </c>
      <c r="O37" s="129">
        <v>0</v>
      </c>
      <c r="P37" s="129">
        <v>0</v>
      </c>
      <c r="Q37" s="129">
        <v>0</v>
      </c>
      <c r="R37" s="129">
        <v>0</v>
      </c>
      <c r="S37" s="129">
        <v>0</v>
      </c>
      <c r="T37" s="129">
        <v>0</v>
      </c>
      <c r="U37" s="129">
        <v>0</v>
      </c>
      <c r="V37" s="129">
        <v>0</v>
      </c>
      <c r="W37" s="129">
        <v>0</v>
      </c>
      <c r="X37" s="129">
        <v>0</v>
      </c>
      <c r="Y37" s="129">
        <v>0</v>
      </c>
      <c r="Z37" s="129">
        <v>0</v>
      </c>
      <c r="AA37" s="129">
        <v>0</v>
      </c>
      <c r="AB37" s="129">
        <v>0</v>
      </c>
      <c r="AC37" s="129">
        <v>0</v>
      </c>
      <c r="AD37" s="129">
        <v>0</v>
      </c>
      <c r="AE37" s="129">
        <v>0</v>
      </c>
      <c r="AF37" s="129">
        <v>0</v>
      </c>
      <c r="AG37" s="129">
        <v>0</v>
      </c>
      <c r="AH37" s="129">
        <v>0</v>
      </c>
      <c r="AI37" s="129">
        <v>0</v>
      </c>
      <c r="AJ37" s="129">
        <v>0</v>
      </c>
      <c r="AK37" s="129">
        <v>0</v>
      </c>
      <c r="AL37" s="129">
        <v>0</v>
      </c>
      <c r="AM37" s="129">
        <v>0</v>
      </c>
      <c r="AN37" s="129">
        <v>0</v>
      </c>
      <c r="AO37" s="129">
        <v>0</v>
      </c>
      <c r="AP37" s="129">
        <v>0</v>
      </c>
      <c r="AQ37" s="129">
        <v>0</v>
      </c>
      <c r="AR37" s="129">
        <v>0</v>
      </c>
      <c r="AS37" s="129">
        <v>0</v>
      </c>
      <c r="AT37" s="131">
        <v>0</v>
      </c>
      <c r="AU37" s="127">
        <v>0</v>
      </c>
      <c r="AV37" s="127">
        <v>0</v>
      </c>
      <c r="AW37" s="127">
        <v>0</v>
      </c>
      <c r="AX37" s="127">
        <v>0</v>
      </c>
      <c r="AY37" s="127">
        <v>0</v>
      </c>
      <c r="AZ37" s="127">
        <v>0</v>
      </c>
      <c r="BA37" s="127">
        <v>0</v>
      </c>
      <c r="BB37" s="127">
        <v>0</v>
      </c>
      <c r="BC37" s="127">
        <v>0</v>
      </c>
      <c r="BD37" s="127">
        <v>0</v>
      </c>
      <c r="BE37" s="127">
        <v>0</v>
      </c>
      <c r="BF37" s="127">
        <v>0</v>
      </c>
      <c r="BG37" s="127">
        <v>0</v>
      </c>
      <c r="BH37" s="127">
        <v>0</v>
      </c>
      <c r="BI37" s="127">
        <v>0</v>
      </c>
      <c r="BJ37" s="127">
        <v>0</v>
      </c>
      <c r="BK37" s="127">
        <v>0</v>
      </c>
      <c r="BL37" s="127">
        <v>0</v>
      </c>
      <c r="BM37" s="127">
        <v>0</v>
      </c>
      <c r="BN37" s="127">
        <v>0</v>
      </c>
      <c r="BO37" s="127">
        <v>2324</v>
      </c>
      <c r="BP37" s="127">
        <v>2480</v>
      </c>
      <c r="BQ37" s="129">
        <v>2356</v>
      </c>
      <c r="BR37" s="129">
        <v>2398</v>
      </c>
      <c r="BS37" s="129">
        <v>2839</v>
      </c>
      <c r="BT37" s="129">
        <v>2670</v>
      </c>
      <c r="BU37" s="129">
        <v>2735</v>
      </c>
      <c r="BV37" s="129">
        <v>2815</v>
      </c>
      <c r="BW37" s="129">
        <v>2905</v>
      </c>
      <c r="BX37" s="129">
        <v>2673</v>
      </c>
      <c r="BY37" s="129">
        <v>2565</v>
      </c>
      <c r="BZ37" s="129">
        <v>2575</v>
      </c>
      <c r="CA37" s="129">
        <v>2560</v>
      </c>
      <c r="CB37" s="129">
        <v>2709</v>
      </c>
      <c r="CC37" s="129">
        <v>2825</v>
      </c>
      <c r="CD37" s="129">
        <v>3005</v>
      </c>
      <c r="CE37" s="129">
        <v>3220</v>
      </c>
      <c r="CF37" s="129">
        <v>3220</v>
      </c>
      <c r="CG37" s="129">
        <v>3100</v>
      </c>
      <c r="CH37" s="129">
        <v>3285</v>
      </c>
      <c r="CI37" s="129">
        <v>3550</v>
      </c>
      <c r="CJ37" s="129">
        <v>3425</v>
      </c>
      <c r="CK37" s="129">
        <v>4100</v>
      </c>
      <c r="CL37" s="129">
        <v>4135</v>
      </c>
      <c r="CM37" s="129">
        <v>4100</v>
      </c>
      <c r="CN37" s="129">
        <v>3955</v>
      </c>
      <c r="CO37" s="129">
        <v>3900</v>
      </c>
      <c r="CP37" s="129">
        <v>3955</v>
      </c>
      <c r="CQ37" s="129">
        <v>3965</v>
      </c>
      <c r="CR37" s="129">
        <v>4230</v>
      </c>
      <c r="CS37" s="129">
        <v>4000</v>
      </c>
      <c r="CT37" s="129">
        <v>4060</v>
      </c>
      <c r="CU37" s="129">
        <v>4030</v>
      </c>
      <c r="CV37" s="129">
        <v>4035</v>
      </c>
      <c r="CW37" s="129">
        <v>4090</v>
      </c>
      <c r="CX37" s="129">
        <v>4400</v>
      </c>
      <c r="CY37" s="129">
        <v>4190</v>
      </c>
      <c r="CZ37" s="129">
        <v>4220</v>
      </c>
      <c r="DA37" s="129">
        <v>4490</v>
      </c>
      <c r="DB37" s="129">
        <v>4660</v>
      </c>
      <c r="DC37" s="129">
        <v>4620</v>
      </c>
      <c r="DD37" s="129">
        <v>4450</v>
      </c>
      <c r="DE37" s="129">
        <v>4280</v>
      </c>
      <c r="DF37" s="129">
        <v>4270</v>
      </c>
      <c r="DG37" s="129">
        <v>3850</v>
      </c>
      <c r="DH37" s="129">
        <v>4065</v>
      </c>
      <c r="DI37" s="129">
        <v>4020</v>
      </c>
      <c r="DJ37" s="129">
        <v>4035</v>
      </c>
      <c r="DK37" s="129">
        <v>3295</v>
      </c>
      <c r="DL37" s="129">
        <v>3350</v>
      </c>
      <c r="DM37" s="129">
        <v>3190</v>
      </c>
      <c r="DN37" s="129">
        <v>3135</v>
      </c>
      <c r="DO37" s="129">
        <v>3170</v>
      </c>
      <c r="DP37" s="129">
        <v>3280</v>
      </c>
      <c r="DQ37" s="129">
        <v>3405</v>
      </c>
      <c r="DR37" s="129">
        <v>3535</v>
      </c>
      <c r="DS37" s="129">
        <v>3540</v>
      </c>
      <c r="DT37" s="129">
        <v>3540</v>
      </c>
      <c r="DU37" s="129">
        <v>3450</v>
      </c>
      <c r="DV37" s="129">
        <v>3450</v>
      </c>
      <c r="DW37" s="129">
        <v>3410</v>
      </c>
      <c r="DX37" s="129">
        <v>3220</v>
      </c>
      <c r="DY37" s="129">
        <v>3125</v>
      </c>
      <c r="DZ37" s="129">
        <v>3155</v>
      </c>
      <c r="EA37" s="129">
        <v>3065</v>
      </c>
      <c r="EB37" s="129">
        <v>3105</v>
      </c>
      <c r="EC37" s="129">
        <v>3180</v>
      </c>
      <c r="ED37" s="129">
        <v>3415</v>
      </c>
      <c r="EE37" s="129">
        <v>3335</v>
      </c>
      <c r="EF37" s="129">
        <v>3370</v>
      </c>
      <c r="EG37" s="129">
        <v>3300</v>
      </c>
      <c r="EH37" s="129">
        <v>3150</v>
      </c>
      <c r="EI37" s="129">
        <v>3120</v>
      </c>
      <c r="EJ37" s="129">
        <v>3100</v>
      </c>
      <c r="EK37" s="129">
        <v>2995</v>
      </c>
      <c r="EL37" s="129">
        <v>3035</v>
      </c>
      <c r="EM37" s="129">
        <v>2945</v>
      </c>
      <c r="EN37" s="129">
        <v>3035</v>
      </c>
      <c r="EO37" s="129">
        <v>2933</v>
      </c>
      <c r="EP37" s="129">
        <v>2808</v>
      </c>
      <c r="EQ37" s="129">
        <v>2872</v>
      </c>
      <c r="ER37" s="129">
        <v>2830</v>
      </c>
      <c r="ES37" s="129">
        <v>2740</v>
      </c>
      <c r="ET37" s="129">
        <v>2641</v>
      </c>
      <c r="EU37" s="129">
        <v>2731</v>
      </c>
      <c r="EV37" s="129">
        <v>2766</v>
      </c>
      <c r="EW37" s="129">
        <v>2769</v>
      </c>
    </row>
    <row r="38" spans="1:153" x14ac:dyDescent="0.25">
      <c r="A38" s="357" t="s">
        <v>463</v>
      </c>
      <c r="B38" s="84" t="str">
        <f>参加条件計算!B38</f>
        <v>リミックスポイント</v>
      </c>
      <c r="C38" s="332">
        <f>株価一覧!E37</f>
        <v>1006</v>
      </c>
      <c r="D38" s="354">
        <f t="shared" ref="D38" ca="1" si="6">AVERAGE(OFFSET(A38,0,COUNTA(G38:XFD38)+5,1,-5))</f>
        <v>1030.5999999999999</v>
      </c>
      <c r="E38" s="330">
        <f t="shared" ref="E38" ca="1" si="7">AVERAGE(OFFSET(A38,0,COUNTA(G38:XFD38)+5,1,-10))</f>
        <v>1092.9000000000001</v>
      </c>
      <c r="F38" s="331">
        <f t="shared" ref="F38" ca="1" si="8">MIN(OFFSET(B38,0,COUNTA(G38:XFD38)+5,1,-10))</f>
        <v>1005</v>
      </c>
      <c r="G38" s="129">
        <v>0</v>
      </c>
      <c r="H38" s="129">
        <v>0</v>
      </c>
      <c r="I38" s="129">
        <v>0</v>
      </c>
      <c r="J38" s="129">
        <v>0</v>
      </c>
      <c r="K38" s="129">
        <v>0</v>
      </c>
      <c r="L38" s="129">
        <v>0</v>
      </c>
      <c r="M38" s="129">
        <v>0</v>
      </c>
      <c r="N38" s="129">
        <v>0</v>
      </c>
      <c r="O38" s="129">
        <v>0</v>
      </c>
      <c r="P38" s="129">
        <v>0</v>
      </c>
      <c r="Q38" s="129">
        <v>0</v>
      </c>
      <c r="R38" s="129">
        <v>0</v>
      </c>
      <c r="S38" s="129">
        <v>0</v>
      </c>
      <c r="T38" s="129">
        <v>0</v>
      </c>
      <c r="U38" s="129">
        <v>0</v>
      </c>
      <c r="V38" s="129">
        <v>0</v>
      </c>
      <c r="W38" s="129">
        <v>0</v>
      </c>
      <c r="X38" s="129">
        <v>0</v>
      </c>
      <c r="Y38" s="129">
        <v>0</v>
      </c>
      <c r="Z38" s="129">
        <v>0</v>
      </c>
      <c r="AA38" s="129">
        <v>0</v>
      </c>
      <c r="AB38" s="129">
        <v>0</v>
      </c>
      <c r="AC38" s="129">
        <v>0</v>
      </c>
      <c r="AD38" s="129">
        <v>0</v>
      </c>
      <c r="AE38" s="129">
        <v>0</v>
      </c>
      <c r="AF38" s="129">
        <v>0</v>
      </c>
      <c r="AG38" s="129">
        <v>0</v>
      </c>
      <c r="AH38" s="129">
        <v>0</v>
      </c>
      <c r="AI38" s="129">
        <v>0</v>
      </c>
      <c r="AJ38" s="129">
        <v>0</v>
      </c>
      <c r="AK38" s="129">
        <v>0</v>
      </c>
      <c r="AL38" s="129">
        <v>0</v>
      </c>
      <c r="AM38" s="129">
        <v>0</v>
      </c>
      <c r="AN38" s="129">
        <v>0</v>
      </c>
      <c r="AO38" s="129">
        <v>0</v>
      </c>
      <c r="AP38" s="129">
        <v>0</v>
      </c>
      <c r="AQ38" s="129">
        <v>0</v>
      </c>
      <c r="AR38" s="129">
        <v>0</v>
      </c>
      <c r="AS38" s="129">
        <v>0</v>
      </c>
      <c r="AT38" s="131">
        <v>0</v>
      </c>
      <c r="AU38" s="127">
        <v>0</v>
      </c>
      <c r="AV38" s="127">
        <v>0</v>
      </c>
      <c r="AW38" s="127">
        <v>0</v>
      </c>
      <c r="AX38" s="127">
        <v>0</v>
      </c>
      <c r="AY38" s="127">
        <v>0</v>
      </c>
      <c r="AZ38" s="127">
        <v>0</v>
      </c>
      <c r="BA38" s="127">
        <v>0</v>
      </c>
      <c r="BB38" s="127">
        <v>0</v>
      </c>
      <c r="BC38" s="127">
        <v>0</v>
      </c>
      <c r="BD38" s="127">
        <v>0</v>
      </c>
      <c r="BE38" s="127">
        <v>0</v>
      </c>
      <c r="BF38" s="127">
        <v>0</v>
      </c>
      <c r="BG38" s="127">
        <v>0</v>
      </c>
      <c r="BH38" s="127">
        <v>0</v>
      </c>
      <c r="BI38" s="127">
        <v>0</v>
      </c>
      <c r="BJ38" s="127">
        <v>0</v>
      </c>
      <c r="BK38" s="127">
        <v>0</v>
      </c>
      <c r="BL38" s="127">
        <v>0</v>
      </c>
      <c r="BM38" s="127">
        <v>0</v>
      </c>
      <c r="BN38" s="127">
        <v>0</v>
      </c>
      <c r="BO38" s="127">
        <v>743</v>
      </c>
      <c r="BP38" s="127">
        <v>740</v>
      </c>
      <c r="BQ38" s="129">
        <v>890</v>
      </c>
      <c r="BR38" s="129">
        <v>890</v>
      </c>
      <c r="BS38" s="129">
        <v>777</v>
      </c>
      <c r="BT38" s="129">
        <v>818</v>
      </c>
      <c r="BU38" s="129">
        <v>968</v>
      </c>
      <c r="BV38" s="129">
        <v>1118</v>
      </c>
      <c r="BW38" s="129">
        <v>1418</v>
      </c>
      <c r="BX38" s="129">
        <v>1484</v>
      </c>
      <c r="BY38" s="129">
        <v>1360</v>
      </c>
      <c r="BZ38" s="129">
        <v>1274</v>
      </c>
      <c r="CA38" s="129">
        <v>1450</v>
      </c>
      <c r="CB38" s="129">
        <v>1670</v>
      </c>
      <c r="CC38" s="129">
        <v>1675</v>
      </c>
      <c r="CD38" s="129">
        <v>1630</v>
      </c>
      <c r="CE38" s="129">
        <v>1628</v>
      </c>
      <c r="CF38" s="129">
        <v>1535</v>
      </c>
      <c r="CG38" s="129">
        <v>1297</v>
      </c>
      <c r="CH38" s="129">
        <v>1597</v>
      </c>
      <c r="CI38" s="129">
        <v>1504</v>
      </c>
      <c r="CJ38" s="129">
        <v>1578</v>
      </c>
      <c r="CK38" s="129">
        <v>1589</v>
      </c>
      <c r="CL38" s="129">
        <v>1540</v>
      </c>
      <c r="CM38" s="129">
        <v>1425</v>
      </c>
      <c r="CN38" s="129">
        <v>1336</v>
      </c>
      <c r="CO38" s="129">
        <v>1130</v>
      </c>
      <c r="CP38" s="129">
        <v>1123</v>
      </c>
      <c r="CQ38" s="129">
        <v>1218</v>
      </c>
      <c r="CR38" s="129">
        <v>1140</v>
      </c>
      <c r="CS38" s="129">
        <v>1440</v>
      </c>
      <c r="CT38" s="129">
        <v>1303</v>
      </c>
      <c r="CU38" s="129">
        <v>1175</v>
      </c>
      <c r="CV38" s="129">
        <v>1200</v>
      </c>
      <c r="CW38" s="129">
        <v>1133</v>
      </c>
      <c r="CX38" s="129">
        <v>1051</v>
      </c>
      <c r="CY38" s="129">
        <v>1060</v>
      </c>
      <c r="CZ38" s="129">
        <v>1087</v>
      </c>
      <c r="DA38" s="129">
        <v>1158</v>
      </c>
      <c r="DB38" s="129">
        <v>1251</v>
      </c>
      <c r="DC38" s="129">
        <v>1250</v>
      </c>
      <c r="DD38" s="129">
        <v>1195</v>
      </c>
      <c r="DE38" s="129">
        <v>1222</v>
      </c>
      <c r="DF38" s="129">
        <v>1227</v>
      </c>
      <c r="DG38" s="129">
        <v>1079</v>
      </c>
      <c r="DH38" s="129">
        <v>1219</v>
      </c>
      <c r="DI38" s="129">
        <v>1160</v>
      </c>
      <c r="DJ38" s="129">
        <v>1120</v>
      </c>
      <c r="DK38" s="129">
        <v>1300</v>
      </c>
      <c r="DL38" s="129">
        <v>1385</v>
      </c>
      <c r="DM38" s="129">
        <v>1444</v>
      </c>
      <c r="DN38" s="129">
        <v>1303</v>
      </c>
      <c r="DO38" s="129">
        <v>1344</v>
      </c>
      <c r="DP38" s="129">
        <v>1407</v>
      </c>
      <c r="DQ38" s="129">
        <v>1391</v>
      </c>
      <c r="DR38" s="129">
        <v>1410</v>
      </c>
      <c r="DS38" s="129">
        <v>1392</v>
      </c>
      <c r="DT38" s="129">
        <v>1359</v>
      </c>
      <c r="DU38" s="129">
        <v>1377</v>
      </c>
      <c r="DV38" s="129">
        <v>1315</v>
      </c>
      <c r="DW38" s="129">
        <v>1320</v>
      </c>
      <c r="DX38" s="129">
        <v>1238</v>
      </c>
      <c r="DY38" s="129">
        <v>1100</v>
      </c>
      <c r="DZ38" s="129">
        <v>1107</v>
      </c>
      <c r="EA38" s="129">
        <v>1090</v>
      </c>
      <c r="EB38" s="129">
        <v>1081</v>
      </c>
      <c r="EC38" s="129">
        <v>1072</v>
      </c>
      <c r="ED38" s="129">
        <v>1077</v>
      </c>
      <c r="EE38" s="129">
        <v>1052</v>
      </c>
      <c r="EF38" s="129">
        <v>956</v>
      </c>
      <c r="EG38" s="129">
        <v>980</v>
      </c>
      <c r="EH38" s="129">
        <v>1000</v>
      </c>
      <c r="EI38" s="129">
        <v>1050</v>
      </c>
      <c r="EJ38" s="129">
        <v>1050</v>
      </c>
      <c r="EK38" s="129">
        <v>1009</v>
      </c>
      <c r="EL38" s="129">
        <v>1029</v>
      </c>
      <c r="EM38" s="129">
        <v>1043</v>
      </c>
      <c r="EN38" s="129">
        <v>1079</v>
      </c>
      <c r="EO38" s="129">
        <v>1199</v>
      </c>
      <c r="EP38" s="129">
        <v>1220</v>
      </c>
      <c r="EQ38" s="129">
        <v>1167</v>
      </c>
      <c r="ER38" s="129">
        <v>1111</v>
      </c>
      <c r="ES38" s="129">
        <v>1091</v>
      </c>
      <c r="ET38" s="129">
        <v>1027</v>
      </c>
      <c r="EU38" s="129">
        <v>1024</v>
      </c>
      <c r="EV38" s="129">
        <v>1005</v>
      </c>
      <c r="EW38" s="129">
        <v>1006</v>
      </c>
    </row>
    <row r="39" spans="1:153" x14ac:dyDescent="0.25">
      <c r="A39" s="357" t="s">
        <v>463</v>
      </c>
      <c r="B39" s="84" t="str">
        <f>参加条件計算!B39</f>
        <v>エムアップ</v>
      </c>
      <c r="C39" s="332">
        <f>株価一覧!E38</f>
        <v>1332</v>
      </c>
      <c r="D39" s="354">
        <f t="shared" ref="D39" ca="1" si="9">AVERAGE(OFFSET(A39,0,COUNTA(G39:XFD39)+5,1,-5))</f>
        <v>1346</v>
      </c>
      <c r="E39" s="330">
        <f t="shared" ref="E39" ca="1" si="10">AVERAGE(OFFSET(A39,0,COUNTA(G39:XFD39)+5,1,-10))</f>
        <v>1362.7</v>
      </c>
      <c r="F39" s="331">
        <f t="shared" ref="F39" ca="1" si="11">MIN(OFFSET(B39,0,COUNTA(G39:XFD39)+5,1,-10))</f>
        <v>1322</v>
      </c>
      <c r="G39" s="129">
        <v>0</v>
      </c>
      <c r="H39" s="129">
        <v>0</v>
      </c>
      <c r="I39" s="129">
        <v>0</v>
      </c>
      <c r="J39" s="129">
        <v>0</v>
      </c>
      <c r="K39" s="129">
        <v>0</v>
      </c>
      <c r="L39" s="129">
        <v>0</v>
      </c>
      <c r="M39" s="129">
        <v>0</v>
      </c>
      <c r="N39" s="129">
        <v>0</v>
      </c>
      <c r="O39" s="129">
        <v>0</v>
      </c>
      <c r="P39" s="129">
        <v>0</v>
      </c>
      <c r="Q39" s="129">
        <v>0</v>
      </c>
      <c r="R39" s="129">
        <v>0</v>
      </c>
      <c r="S39" s="129">
        <v>0</v>
      </c>
      <c r="T39" s="129">
        <v>0</v>
      </c>
      <c r="U39" s="129">
        <v>0</v>
      </c>
      <c r="V39" s="129">
        <v>0</v>
      </c>
      <c r="W39" s="129">
        <v>0</v>
      </c>
      <c r="X39" s="129">
        <v>0</v>
      </c>
      <c r="Y39" s="129">
        <v>0</v>
      </c>
      <c r="Z39" s="129">
        <v>0</v>
      </c>
      <c r="AA39" s="129">
        <v>0</v>
      </c>
      <c r="AB39" s="129">
        <v>0</v>
      </c>
      <c r="AC39" s="129">
        <v>0</v>
      </c>
      <c r="AD39" s="129">
        <v>0</v>
      </c>
      <c r="AE39" s="129">
        <v>0</v>
      </c>
      <c r="AF39" s="129">
        <v>0</v>
      </c>
      <c r="AG39" s="129">
        <v>0</v>
      </c>
      <c r="AH39" s="129">
        <v>0</v>
      </c>
      <c r="AI39" s="129">
        <v>0</v>
      </c>
      <c r="AJ39" s="129">
        <v>0</v>
      </c>
      <c r="AK39" s="129">
        <v>0</v>
      </c>
      <c r="AL39" s="129">
        <v>0</v>
      </c>
      <c r="AM39" s="129">
        <v>0</v>
      </c>
      <c r="AN39" s="129">
        <v>0</v>
      </c>
      <c r="AO39" s="129">
        <v>0</v>
      </c>
      <c r="AP39" s="129">
        <v>0</v>
      </c>
      <c r="AQ39" s="129">
        <v>0</v>
      </c>
      <c r="AR39" s="129">
        <v>0</v>
      </c>
      <c r="AS39" s="129">
        <v>0</v>
      </c>
      <c r="AT39" s="131">
        <v>0</v>
      </c>
      <c r="AU39" s="127">
        <v>0</v>
      </c>
      <c r="AV39" s="127">
        <v>0</v>
      </c>
      <c r="AW39" s="127">
        <v>0</v>
      </c>
      <c r="AX39" s="127">
        <v>0</v>
      </c>
      <c r="AY39" s="127">
        <v>0</v>
      </c>
      <c r="AZ39" s="127">
        <v>0</v>
      </c>
      <c r="BA39" s="127">
        <v>0</v>
      </c>
      <c r="BB39" s="127">
        <v>0</v>
      </c>
      <c r="BC39" s="127">
        <v>0</v>
      </c>
      <c r="BD39" s="127">
        <v>0</v>
      </c>
      <c r="BE39" s="127">
        <v>0</v>
      </c>
      <c r="BF39" s="127">
        <v>0</v>
      </c>
      <c r="BG39" s="127">
        <v>0</v>
      </c>
      <c r="BH39" s="127">
        <v>0</v>
      </c>
      <c r="BI39" s="127">
        <v>0</v>
      </c>
      <c r="BJ39" s="127">
        <v>0</v>
      </c>
      <c r="BK39" s="127">
        <v>0</v>
      </c>
      <c r="BL39" s="127">
        <v>0</v>
      </c>
      <c r="BM39" s="127">
        <v>0</v>
      </c>
      <c r="BN39" s="127">
        <v>0</v>
      </c>
      <c r="BO39" s="127">
        <v>0</v>
      </c>
      <c r="BP39" s="127">
        <v>0</v>
      </c>
      <c r="BQ39" s="127">
        <v>0</v>
      </c>
      <c r="BR39" s="127">
        <v>0</v>
      </c>
      <c r="BS39" s="127">
        <v>0</v>
      </c>
      <c r="BT39" s="127">
        <v>2399</v>
      </c>
      <c r="BU39" s="127">
        <v>2339</v>
      </c>
      <c r="BV39" s="127">
        <v>2222</v>
      </c>
      <c r="BW39" s="127">
        <v>2145</v>
      </c>
      <c r="BX39" s="127">
        <v>2171</v>
      </c>
      <c r="BY39" s="127">
        <v>2422</v>
      </c>
      <c r="BZ39" s="127">
        <v>2177</v>
      </c>
      <c r="CA39" s="127">
        <v>1860</v>
      </c>
      <c r="CB39" s="127">
        <v>1909</v>
      </c>
      <c r="CC39" s="127">
        <v>2030</v>
      </c>
      <c r="CD39" s="127">
        <v>2130</v>
      </c>
      <c r="CE39" s="127">
        <v>2000</v>
      </c>
      <c r="CF39" s="127">
        <v>1903</v>
      </c>
      <c r="CG39" s="127">
        <v>1864</v>
      </c>
      <c r="CH39" s="127">
        <v>1875</v>
      </c>
      <c r="CI39" s="127">
        <v>2123</v>
      </c>
      <c r="CJ39" s="127">
        <v>1929</v>
      </c>
      <c r="CK39" s="127">
        <v>1906</v>
      </c>
      <c r="CL39" s="127">
        <v>1928</v>
      </c>
      <c r="CM39" s="127">
        <v>1885</v>
      </c>
      <c r="CN39" s="127">
        <v>1830</v>
      </c>
      <c r="CO39" s="127">
        <v>1830</v>
      </c>
      <c r="CP39" s="127">
        <v>1810</v>
      </c>
      <c r="CQ39" s="127">
        <v>1830</v>
      </c>
      <c r="CR39" s="129">
        <v>1865</v>
      </c>
      <c r="CS39" s="129">
        <v>1833</v>
      </c>
      <c r="CT39" s="129">
        <v>1860</v>
      </c>
      <c r="CU39" s="129">
        <v>1833</v>
      </c>
      <c r="CV39" s="129">
        <v>1803</v>
      </c>
      <c r="CW39" s="129">
        <v>1800</v>
      </c>
      <c r="CX39" s="129">
        <v>1884</v>
      </c>
      <c r="CY39" s="129">
        <v>1731</v>
      </c>
      <c r="CZ39" s="129">
        <v>1764</v>
      </c>
      <c r="DA39" s="129">
        <v>1800</v>
      </c>
      <c r="DB39" s="129">
        <v>1748</v>
      </c>
      <c r="DC39" s="129">
        <v>1741</v>
      </c>
      <c r="DD39" s="129">
        <v>1713</v>
      </c>
      <c r="DE39" s="129">
        <v>1647</v>
      </c>
      <c r="DF39" s="129">
        <v>1930</v>
      </c>
      <c r="DG39" s="129">
        <v>2030</v>
      </c>
      <c r="DH39" s="129">
        <v>1938</v>
      </c>
      <c r="DI39" s="129">
        <v>2253</v>
      </c>
      <c r="DJ39" s="129">
        <v>1782</v>
      </c>
      <c r="DK39" s="129">
        <v>1519</v>
      </c>
      <c r="DL39" s="129">
        <v>1481</v>
      </c>
      <c r="DM39" s="129">
        <v>1467</v>
      </c>
      <c r="DN39" s="129">
        <v>1454</v>
      </c>
      <c r="DO39" s="129">
        <v>1459</v>
      </c>
      <c r="DP39" s="129">
        <v>1481</v>
      </c>
      <c r="DQ39" s="129">
        <v>1494</v>
      </c>
      <c r="DR39" s="129">
        <v>1464</v>
      </c>
      <c r="DS39" s="129">
        <v>1461</v>
      </c>
      <c r="DT39" s="129">
        <v>1482</v>
      </c>
      <c r="DU39" s="129">
        <v>1450</v>
      </c>
      <c r="DV39" s="129">
        <v>1458</v>
      </c>
      <c r="DW39" s="129">
        <v>1451</v>
      </c>
      <c r="DX39" s="129">
        <v>1411</v>
      </c>
      <c r="DY39" s="129">
        <v>1357</v>
      </c>
      <c r="DZ39" s="129">
        <v>1367</v>
      </c>
      <c r="EA39" s="129">
        <v>1318</v>
      </c>
      <c r="EB39" s="129">
        <v>1313</v>
      </c>
      <c r="EC39" s="129">
        <v>1358</v>
      </c>
      <c r="ED39" s="129">
        <v>1398</v>
      </c>
      <c r="EE39" s="129">
        <v>1390</v>
      </c>
      <c r="EF39" s="129">
        <v>1347</v>
      </c>
      <c r="EG39" s="129">
        <v>1368</v>
      </c>
      <c r="EH39" s="129">
        <v>1391</v>
      </c>
      <c r="EI39" s="129">
        <v>1388</v>
      </c>
      <c r="EJ39" s="129">
        <v>1409</v>
      </c>
      <c r="EK39" s="129">
        <v>1383</v>
      </c>
      <c r="EL39" s="129">
        <v>1385</v>
      </c>
      <c r="EM39" s="129">
        <v>1371</v>
      </c>
      <c r="EN39" s="129">
        <v>1379</v>
      </c>
      <c r="EO39" s="129">
        <v>1385</v>
      </c>
      <c r="EP39" s="129">
        <v>1372</v>
      </c>
      <c r="EQ39" s="129">
        <v>1385</v>
      </c>
      <c r="ER39" s="129">
        <v>1376</v>
      </c>
      <c r="ES39" s="129">
        <v>1366</v>
      </c>
      <c r="ET39" s="129">
        <v>1354</v>
      </c>
      <c r="EU39" s="129">
        <v>1322</v>
      </c>
      <c r="EV39" s="129">
        <v>1356</v>
      </c>
      <c r="EW39" s="129">
        <v>1332</v>
      </c>
    </row>
    <row r="40" spans="1:153" x14ac:dyDescent="0.25">
      <c r="A40" s="357" t="str">
        <f>IPO監視一覧!H32</f>
        <v>A</v>
      </c>
      <c r="B40" s="84" t="str">
        <f>IPO監視一覧!B32</f>
        <v>ビーブレイクシステムズ</v>
      </c>
      <c r="C40" s="332">
        <f>株価一覧!E39</f>
        <v>4080</v>
      </c>
      <c r="D40" s="354">
        <f t="shared" ca="1" si="0"/>
        <v>4074</v>
      </c>
      <c r="E40" s="330">
        <f t="shared" ca="1" si="1"/>
        <v>4139.5</v>
      </c>
      <c r="F40" s="331">
        <f t="shared" ca="1" si="2"/>
        <v>4020</v>
      </c>
      <c r="G40" s="129">
        <v>0</v>
      </c>
      <c r="H40" s="129">
        <v>0</v>
      </c>
      <c r="I40" s="129">
        <v>0</v>
      </c>
      <c r="J40" s="129">
        <v>0</v>
      </c>
      <c r="K40" s="129">
        <v>0</v>
      </c>
      <c r="L40" s="129">
        <v>0</v>
      </c>
      <c r="M40" s="129">
        <v>0</v>
      </c>
      <c r="N40" s="129">
        <v>0</v>
      </c>
      <c r="O40" s="129">
        <v>0</v>
      </c>
      <c r="P40" s="129">
        <v>0</v>
      </c>
      <c r="Q40" s="129">
        <v>0</v>
      </c>
      <c r="R40" s="129">
        <v>0</v>
      </c>
      <c r="S40" s="129">
        <v>0</v>
      </c>
      <c r="T40" s="129">
        <v>0</v>
      </c>
      <c r="U40" s="129">
        <v>0</v>
      </c>
      <c r="V40" s="129">
        <v>0</v>
      </c>
      <c r="W40" s="129">
        <v>0</v>
      </c>
      <c r="X40" s="129">
        <v>0</v>
      </c>
      <c r="Y40" s="129">
        <v>0</v>
      </c>
      <c r="Z40" s="129">
        <v>0</v>
      </c>
      <c r="AA40" s="129">
        <v>0</v>
      </c>
      <c r="AB40" s="129">
        <v>0</v>
      </c>
      <c r="AC40" s="129">
        <v>0</v>
      </c>
      <c r="AD40" s="129">
        <v>0</v>
      </c>
      <c r="AE40" s="129">
        <v>0</v>
      </c>
      <c r="AF40" s="129">
        <v>0</v>
      </c>
      <c r="AG40" s="129">
        <v>0</v>
      </c>
      <c r="AH40" s="129">
        <v>0</v>
      </c>
      <c r="AI40" s="129">
        <v>0</v>
      </c>
      <c r="AJ40" s="129">
        <v>0</v>
      </c>
      <c r="AK40" s="129">
        <v>0</v>
      </c>
      <c r="AL40" s="129">
        <v>0</v>
      </c>
      <c r="AM40" s="129">
        <v>0</v>
      </c>
      <c r="AN40" s="129">
        <v>0</v>
      </c>
      <c r="AO40" s="129">
        <v>0</v>
      </c>
      <c r="AP40" s="129">
        <v>0</v>
      </c>
      <c r="AQ40" s="129">
        <v>0</v>
      </c>
      <c r="AR40" s="129">
        <v>0</v>
      </c>
      <c r="AS40" s="129">
        <v>0</v>
      </c>
      <c r="AT40" s="129">
        <v>0</v>
      </c>
      <c r="AU40" s="129">
        <v>0</v>
      </c>
      <c r="AV40" s="129">
        <v>0</v>
      </c>
      <c r="AW40" s="129">
        <v>0</v>
      </c>
      <c r="AX40" s="129">
        <v>0</v>
      </c>
      <c r="AY40" s="129">
        <v>0</v>
      </c>
      <c r="AZ40" s="129">
        <v>0</v>
      </c>
      <c r="BA40" s="129">
        <v>0</v>
      </c>
      <c r="BB40" s="129">
        <v>0</v>
      </c>
      <c r="BC40" s="129">
        <v>0</v>
      </c>
      <c r="BD40" s="129">
        <v>0</v>
      </c>
      <c r="BE40" s="129">
        <v>0</v>
      </c>
      <c r="BF40" s="129">
        <v>0</v>
      </c>
      <c r="BG40" s="129">
        <v>0</v>
      </c>
      <c r="BH40" s="129">
        <v>0</v>
      </c>
      <c r="BI40" s="129">
        <v>0</v>
      </c>
      <c r="BJ40" s="129">
        <v>0</v>
      </c>
      <c r="BK40" s="129">
        <v>0</v>
      </c>
      <c r="BL40" s="129">
        <v>0</v>
      </c>
      <c r="BM40" s="129">
        <v>0</v>
      </c>
      <c r="BN40" s="129">
        <v>0</v>
      </c>
      <c r="BO40" s="129">
        <v>0</v>
      </c>
      <c r="BP40" s="129">
        <v>0</v>
      </c>
      <c r="BQ40" s="129">
        <v>0</v>
      </c>
      <c r="BR40" s="129">
        <v>0</v>
      </c>
      <c r="BS40" s="129">
        <v>0</v>
      </c>
      <c r="BT40" s="129">
        <v>0</v>
      </c>
      <c r="BU40" s="129">
        <v>0</v>
      </c>
      <c r="BV40" s="129">
        <v>0</v>
      </c>
      <c r="BW40" s="129">
        <v>0</v>
      </c>
      <c r="BX40" s="129">
        <v>0</v>
      </c>
      <c r="BY40" s="129">
        <v>0</v>
      </c>
      <c r="BZ40" s="129">
        <v>0</v>
      </c>
      <c r="CA40" s="129">
        <v>0</v>
      </c>
      <c r="CB40" s="129">
        <v>8200</v>
      </c>
      <c r="CC40" s="129">
        <v>6950</v>
      </c>
      <c r="CD40" s="129">
        <v>6700</v>
      </c>
      <c r="CE40" s="129">
        <v>7220</v>
      </c>
      <c r="CF40" s="129">
        <v>6850</v>
      </c>
      <c r="CG40" s="129">
        <v>6450</v>
      </c>
      <c r="CH40" s="129">
        <v>6170</v>
      </c>
      <c r="CI40" s="129">
        <v>6290</v>
      </c>
      <c r="CJ40" s="129">
        <v>5850</v>
      </c>
      <c r="CK40" s="129">
        <v>5740</v>
      </c>
      <c r="CL40" s="129">
        <v>5840</v>
      </c>
      <c r="CM40" s="129">
        <v>6200</v>
      </c>
      <c r="CN40" s="129">
        <v>6380</v>
      </c>
      <c r="CO40" s="129">
        <v>6240</v>
      </c>
      <c r="CP40" s="129">
        <v>5840</v>
      </c>
      <c r="CQ40" s="129">
        <v>5940</v>
      </c>
      <c r="CR40" s="129">
        <v>5940</v>
      </c>
      <c r="CS40" s="129">
        <v>6160</v>
      </c>
      <c r="CT40" s="129">
        <v>5990</v>
      </c>
      <c r="CU40" s="129">
        <v>6070</v>
      </c>
      <c r="CV40" s="129">
        <v>5950</v>
      </c>
      <c r="CW40" s="129">
        <v>5890</v>
      </c>
      <c r="CX40" s="129">
        <v>5860</v>
      </c>
      <c r="CY40" s="129">
        <v>5700</v>
      </c>
      <c r="CZ40" s="129">
        <v>5550</v>
      </c>
      <c r="DA40" s="129">
        <v>5330</v>
      </c>
      <c r="DB40" s="129">
        <v>5630</v>
      </c>
      <c r="DC40" s="129">
        <v>5510</v>
      </c>
      <c r="DD40" s="129">
        <v>5370</v>
      </c>
      <c r="DE40" s="129">
        <v>5180</v>
      </c>
      <c r="DF40" s="129">
        <v>4990</v>
      </c>
      <c r="DG40" s="129">
        <v>4700</v>
      </c>
      <c r="DH40" s="129">
        <v>4850</v>
      </c>
      <c r="DI40" s="129">
        <v>4750</v>
      </c>
      <c r="DJ40" s="129">
        <v>4845</v>
      </c>
      <c r="DK40" s="129">
        <v>4160</v>
      </c>
      <c r="DL40" s="129">
        <v>4160</v>
      </c>
      <c r="DM40" s="129">
        <v>4035</v>
      </c>
      <c r="DN40" s="129">
        <v>3960</v>
      </c>
      <c r="DO40" s="129">
        <v>3900</v>
      </c>
      <c r="DP40" s="129">
        <v>3945</v>
      </c>
      <c r="DQ40" s="129">
        <v>4095</v>
      </c>
      <c r="DR40" s="129">
        <v>4050</v>
      </c>
      <c r="DS40" s="129">
        <v>4005</v>
      </c>
      <c r="DT40" s="129">
        <v>4020</v>
      </c>
      <c r="DU40" s="129">
        <v>4580</v>
      </c>
      <c r="DV40" s="129">
        <v>4855</v>
      </c>
      <c r="DW40" s="129">
        <v>4605</v>
      </c>
      <c r="DX40" s="129">
        <v>4295</v>
      </c>
      <c r="DY40" s="129">
        <v>3930</v>
      </c>
      <c r="DZ40" s="129">
        <v>3890</v>
      </c>
      <c r="EA40" s="129">
        <v>4100</v>
      </c>
      <c r="EB40" s="129">
        <v>4075</v>
      </c>
      <c r="EC40" s="129">
        <v>4110</v>
      </c>
      <c r="ED40" s="129">
        <v>4395</v>
      </c>
      <c r="EE40" s="129">
        <v>4350</v>
      </c>
      <c r="EF40" s="129">
        <v>4300</v>
      </c>
      <c r="EG40" s="129">
        <v>4265</v>
      </c>
      <c r="EH40" s="129">
        <v>4360</v>
      </c>
      <c r="EI40" s="129">
        <v>4300</v>
      </c>
      <c r="EJ40" s="129">
        <v>4350</v>
      </c>
      <c r="EK40" s="129">
        <v>4420</v>
      </c>
      <c r="EL40" s="129">
        <v>4460</v>
      </c>
      <c r="EM40" s="129">
        <v>4330</v>
      </c>
      <c r="EN40" s="129">
        <v>4220</v>
      </c>
      <c r="EO40" s="129">
        <v>4300</v>
      </c>
      <c r="EP40" s="129">
        <v>4165</v>
      </c>
      <c r="EQ40" s="129">
        <v>4160</v>
      </c>
      <c r="ER40" s="129">
        <v>4180</v>
      </c>
      <c r="ES40" s="129">
        <v>4190</v>
      </c>
      <c r="ET40" s="129">
        <v>4030</v>
      </c>
      <c r="EU40" s="129">
        <v>4020</v>
      </c>
      <c r="EV40" s="129">
        <v>4050</v>
      </c>
      <c r="EW40" s="129">
        <v>4080</v>
      </c>
    </row>
    <row r="41" spans="1:153" x14ac:dyDescent="0.25">
      <c r="A41" s="357" t="str">
        <f>IPO監視一覧!H33</f>
        <v>A</v>
      </c>
      <c r="B41" s="84" t="str">
        <f>IPO監視一覧!B33</f>
        <v>ディーエムソリューションズ</v>
      </c>
      <c r="C41" s="332">
        <f>株価一覧!E40</f>
        <v>2365</v>
      </c>
      <c r="D41" s="354">
        <f t="shared" ca="1" si="0"/>
        <v>2407.8000000000002</v>
      </c>
      <c r="E41" s="330">
        <f t="shared" ca="1" si="1"/>
        <v>2473.4</v>
      </c>
      <c r="F41" s="331">
        <f t="shared" ca="1" si="2"/>
        <v>2355</v>
      </c>
      <c r="G41" s="129">
        <v>0</v>
      </c>
      <c r="H41" s="129">
        <v>0</v>
      </c>
      <c r="I41" s="129">
        <v>0</v>
      </c>
      <c r="J41" s="129">
        <v>0</v>
      </c>
      <c r="K41" s="129">
        <v>0</v>
      </c>
      <c r="L41" s="129">
        <v>0</v>
      </c>
      <c r="M41" s="129">
        <v>0</v>
      </c>
      <c r="N41" s="129">
        <v>0</v>
      </c>
      <c r="O41" s="129">
        <v>0</v>
      </c>
      <c r="P41" s="129">
        <v>0</v>
      </c>
      <c r="Q41" s="129">
        <v>0</v>
      </c>
      <c r="R41" s="129">
        <v>0</v>
      </c>
      <c r="S41" s="129">
        <v>0</v>
      </c>
      <c r="T41" s="129">
        <v>0</v>
      </c>
      <c r="U41" s="129">
        <v>0</v>
      </c>
      <c r="V41" s="129">
        <v>0</v>
      </c>
      <c r="W41" s="129">
        <v>0</v>
      </c>
      <c r="X41" s="129">
        <v>0</v>
      </c>
      <c r="Y41" s="129">
        <v>0</v>
      </c>
      <c r="Z41" s="129">
        <v>0</v>
      </c>
      <c r="AA41" s="129">
        <v>0</v>
      </c>
      <c r="AB41" s="129">
        <v>0</v>
      </c>
      <c r="AC41" s="129">
        <v>0</v>
      </c>
      <c r="AD41" s="129">
        <v>0</v>
      </c>
      <c r="AE41" s="129">
        <v>0</v>
      </c>
      <c r="AF41" s="129">
        <v>0</v>
      </c>
      <c r="AG41" s="129">
        <v>0</v>
      </c>
      <c r="AH41" s="129">
        <v>0</v>
      </c>
      <c r="AI41" s="129">
        <v>0</v>
      </c>
      <c r="AJ41" s="129">
        <v>0</v>
      </c>
      <c r="AK41" s="129">
        <v>0</v>
      </c>
      <c r="AL41" s="129">
        <v>0</v>
      </c>
      <c r="AM41" s="129">
        <v>0</v>
      </c>
      <c r="AN41" s="129">
        <v>0</v>
      </c>
      <c r="AO41" s="129">
        <v>0</v>
      </c>
      <c r="AP41" s="129">
        <v>0</v>
      </c>
      <c r="AQ41" s="129">
        <v>0</v>
      </c>
      <c r="AR41" s="129">
        <v>0</v>
      </c>
      <c r="AS41" s="129">
        <v>0</v>
      </c>
      <c r="AT41" s="129">
        <v>0</v>
      </c>
      <c r="AU41" s="129">
        <v>0</v>
      </c>
      <c r="AV41" s="129">
        <v>0</v>
      </c>
      <c r="AW41" s="129">
        <v>0</v>
      </c>
      <c r="AX41" s="129">
        <v>0</v>
      </c>
      <c r="AY41" s="129">
        <v>0</v>
      </c>
      <c r="AZ41" s="129">
        <v>0</v>
      </c>
      <c r="BA41" s="129">
        <v>0</v>
      </c>
      <c r="BB41" s="129">
        <v>0</v>
      </c>
      <c r="BC41" s="129">
        <v>0</v>
      </c>
      <c r="BD41" s="129">
        <v>0</v>
      </c>
      <c r="BE41" s="129">
        <v>0</v>
      </c>
      <c r="BF41" s="129">
        <v>0</v>
      </c>
      <c r="BG41" s="129">
        <v>0</v>
      </c>
      <c r="BH41" s="129">
        <v>0</v>
      </c>
      <c r="BI41" s="129">
        <v>0</v>
      </c>
      <c r="BJ41" s="129">
        <v>0</v>
      </c>
      <c r="BK41" s="129">
        <v>0</v>
      </c>
      <c r="BL41" s="129">
        <v>0</v>
      </c>
      <c r="BM41" s="129">
        <v>0</v>
      </c>
      <c r="BN41" s="129">
        <v>0</v>
      </c>
      <c r="BO41" s="129">
        <v>0</v>
      </c>
      <c r="BP41" s="129">
        <v>0</v>
      </c>
      <c r="BQ41" s="129">
        <v>0</v>
      </c>
      <c r="BR41" s="129">
        <v>0</v>
      </c>
      <c r="BS41" s="129">
        <v>0</v>
      </c>
      <c r="BT41" s="129">
        <v>0</v>
      </c>
      <c r="BU41" s="129">
        <v>0</v>
      </c>
      <c r="BV41" s="129">
        <v>0</v>
      </c>
      <c r="BW41" s="129">
        <v>0</v>
      </c>
      <c r="BX41" s="129">
        <v>0</v>
      </c>
      <c r="BY41" s="129">
        <v>0</v>
      </c>
      <c r="BZ41" s="129">
        <v>0</v>
      </c>
      <c r="CA41" s="129">
        <v>0</v>
      </c>
      <c r="CB41" s="129">
        <v>0</v>
      </c>
      <c r="CC41" s="129">
        <v>0</v>
      </c>
      <c r="CD41" s="129">
        <v>0</v>
      </c>
      <c r="CE41" s="129">
        <v>7000</v>
      </c>
      <c r="CF41" s="129">
        <v>7560</v>
      </c>
      <c r="CG41" s="129">
        <v>7000</v>
      </c>
      <c r="CH41" s="129">
        <v>6460</v>
      </c>
      <c r="CI41" s="129">
        <v>6460</v>
      </c>
      <c r="CJ41" s="129">
        <v>5690</v>
      </c>
      <c r="CK41" s="129">
        <v>5770</v>
      </c>
      <c r="CL41" s="129">
        <v>6000</v>
      </c>
      <c r="CM41" s="129">
        <v>5850</v>
      </c>
      <c r="CN41" s="129">
        <v>6760</v>
      </c>
      <c r="CO41" s="129">
        <v>6150</v>
      </c>
      <c r="CP41" s="129">
        <v>6000</v>
      </c>
      <c r="CQ41" s="129">
        <v>5880</v>
      </c>
      <c r="CR41" s="129">
        <v>5760</v>
      </c>
      <c r="CS41" s="129">
        <v>6020</v>
      </c>
      <c r="CT41" s="129">
        <v>5960</v>
      </c>
      <c r="CU41" s="129">
        <v>5930</v>
      </c>
      <c r="CV41" s="129">
        <v>5920</v>
      </c>
      <c r="CW41" s="129">
        <v>5880</v>
      </c>
      <c r="CX41" s="129">
        <v>6140</v>
      </c>
      <c r="CY41" s="129">
        <v>6040</v>
      </c>
      <c r="CZ41" s="129">
        <v>5950</v>
      </c>
      <c r="DA41" s="129">
        <v>5950</v>
      </c>
      <c r="DB41" s="129">
        <v>5960</v>
      </c>
      <c r="DC41" s="129">
        <v>5720</v>
      </c>
      <c r="DD41" s="129">
        <v>5690</v>
      </c>
      <c r="DE41" s="129">
        <v>5600</v>
      </c>
      <c r="DF41" s="129">
        <v>5310</v>
      </c>
      <c r="DG41" s="129">
        <v>4990</v>
      </c>
      <c r="DH41" s="129">
        <v>5010</v>
      </c>
      <c r="DI41" s="129">
        <v>5140</v>
      </c>
      <c r="DJ41" s="129">
        <v>5030</v>
      </c>
      <c r="DK41" s="129">
        <v>5420</v>
      </c>
      <c r="DL41" s="129">
        <v>5330</v>
      </c>
      <c r="DM41" s="129">
        <v>5430</v>
      </c>
      <c r="DN41" s="129">
        <v>5590</v>
      </c>
      <c r="DO41" s="129">
        <v>5660</v>
      </c>
      <c r="DP41" s="129">
        <v>5800</v>
      </c>
      <c r="DQ41" s="129">
        <v>5800</v>
      </c>
      <c r="DR41" s="129">
        <v>5680</v>
      </c>
      <c r="DS41" s="129">
        <v>5590</v>
      </c>
      <c r="DT41" s="129">
        <v>5410</v>
      </c>
      <c r="DU41" s="129">
        <v>5800</v>
      </c>
      <c r="DV41" s="129">
        <v>5870</v>
      </c>
      <c r="DW41" s="129">
        <v>5750</v>
      </c>
      <c r="DX41" s="129">
        <v>5820</v>
      </c>
      <c r="DY41" s="129">
        <v>5670</v>
      </c>
      <c r="DZ41" s="129">
        <v>5580</v>
      </c>
      <c r="EA41" s="129">
        <v>5580</v>
      </c>
      <c r="EB41" s="129">
        <v>5390</v>
      </c>
      <c r="EC41" s="129">
        <v>5530</v>
      </c>
      <c r="ED41" s="129">
        <v>5760</v>
      </c>
      <c r="EE41" s="129">
        <v>5700</v>
      </c>
      <c r="EF41" s="129">
        <v>5510</v>
      </c>
      <c r="EG41" s="129">
        <v>5490</v>
      </c>
      <c r="EH41" s="129">
        <v>5570</v>
      </c>
      <c r="EI41" s="129">
        <v>5320</v>
      </c>
      <c r="EJ41" s="129">
        <v>5380</v>
      </c>
      <c r="EK41" s="129">
        <v>5200</v>
      </c>
      <c r="EL41" s="129">
        <v>5230</v>
      </c>
      <c r="EM41" s="129">
        <v>5090</v>
      </c>
      <c r="EN41" s="129">
        <v>2589</v>
      </c>
      <c r="EO41" s="129">
        <v>2555</v>
      </c>
      <c r="EP41" s="129">
        <v>2500</v>
      </c>
      <c r="EQ41" s="129">
        <v>2460</v>
      </c>
      <c r="ER41" s="129">
        <v>2591</v>
      </c>
      <c r="ES41" s="129">
        <v>2522</v>
      </c>
      <c r="ET41" s="129">
        <v>2420</v>
      </c>
      <c r="EU41" s="129">
        <v>2377</v>
      </c>
      <c r="EV41" s="129">
        <v>2355</v>
      </c>
      <c r="EW41" s="129">
        <v>2365</v>
      </c>
    </row>
    <row r="42" spans="1:153" x14ac:dyDescent="0.25">
      <c r="A42" s="357" t="str">
        <f>IPO監視一覧!H34</f>
        <v>A</v>
      </c>
      <c r="B42" s="84" t="str">
        <f>IPO監視一覧!B34</f>
        <v>エコモット</v>
      </c>
      <c r="C42" s="332">
        <f>株価一覧!E41</f>
        <v>1830</v>
      </c>
      <c r="D42" s="354">
        <f t="shared" ca="1" si="0"/>
        <v>1823.8</v>
      </c>
      <c r="E42" s="330">
        <f t="shared" ca="1" si="1"/>
        <v>1819.8</v>
      </c>
      <c r="F42" s="331">
        <f t="shared" ca="1" si="2"/>
        <v>1800</v>
      </c>
      <c r="G42" s="129">
        <v>0</v>
      </c>
      <c r="H42" s="129">
        <v>0</v>
      </c>
      <c r="I42" s="129">
        <v>0</v>
      </c>
      <c r="J42" s="129">
        <v>0</v>
      </c>
      <c r="K42" s="129">
        <v>0</v>
      </c>
      <c r="L42" s="129">
        <v>0</v>
      </c>
      <c r="M42" s="129">
        <v>0</v>
      </c>
      <c r="N42" s="129">
        <v>0</v>
      </c>
      <c r="O42" s="129">
        <v>0</v>
      </c>
      <c r="P42" s="129">
        <v>0</v>
      </c>
      <c r="Q42" s="129">
        <v>0</v>
      </c>
      <c r="R42" s="129">
        <v>0</v>
      </c>
      <c r="S42" s="129">
        <v>0</v>
      </c>
      <c r="T42" s="129">
        <v>0</v>
      </c>
      <c r="U42" s="129">
        <v>0</v>
      </c>
      <c r="V42" s="129">
        <v>0</v>
      </c>
      <c r="W42" s="129">
        <v>0</v>
      </c>
      <c r="X42" s="129">
        <v>0</v>
      </c>
      <c r="Y42" s="129">
        <v>0</v>
      </c>
      <c r="Z42" s="129">
        <v>0</v>
      </c>
      <c r="AA42" s="129">
        <v>0</v>
      </c>
      <c r="AB42" s="129">
        <v>0</v>
      </c>
      <c r="AC42" s="129">
        <v>0</v>
      </c>
      <c r="AD42" s="129">
        <v>0</v>
      </c>
      <c r="AE42" s="129">
        <v>0</v>
      </c>
      <c r="AF42" s="129">
        <v>0</v>
      </c>
      <c r="AG42" s="129">
        <v>0</v>
      </c>
      <c r="AH42" s="129">
        <v>0</v>
      </c>
      <c r="AI42" s="129">
        <v>0</v>
      </c>
      <c r="AJ42" s="129">
        <v>0</v>
      </c>
      <c r="AK42" s="129">
        <v>0</v>
      </c>
      <c r="AL42" s="129">
        <v>0</v>
      </c>
      <c r="AM42" s="129">
        <v>0</v>
      </c>
      <c r="AN42" s="129">
        <v>0</v>
      </c>
      <c r="AO42" s="129">
        <v>0</v>
      </c>
      <c r="AP42" s="129">
        <v>0</v>
      </c>
      <c r="AQ42" s="129">
        <v>0</v>
      </c>
      <c r="AR42" s="129">
        <v>0</v>
      </c>
      <c r="AS42" s="129">
        <v>0</v>
      </c>
      <c r="AT42" s="129">
        <v>0</v>
      </c>
      <c r="AU42" s="129">
        <v>0</v>
      </c>
      <c r="AV42" s="129">
        <v>0</v>
      </c>
      <c r="AW42" s="129">
        <v>0</v>
      </c>
      <c r="AX42" s="129">
        <v>0</v>
      </c>
      <c r="AY42" s="129">
        <v>0</v>
      </c>
      <c r="AZ42" s="129">
        <v>0</v>
      </c>
      <c r="BA42" s="129">
        <v>0</v>
      </c>
      <c r="BB42" s="129">
        <v>0</v>
      </c>
      <c r="BC42" s="129">
        <v>0</v>
      </c>
      <c r="BD42" s="129">
        <v>0</v>
      </c>
      <c r="BE42" s="129">
        <v>0</v>
      </c>
      <c r="BF42" s="129">
        <v>0</v>
      </c>
      <c r="BG42" s="129">
        <v>0</v>
      </c>
      <c r="BH42" s="129">
        <v>0</v>
      </c>
      <c r="BI42" s="129">
        <v>0</v>
      </c>
      <c r="BJ42" s="129">
        <v>0</v>
      </c>
      <c r="BK42" s="129">
        <v>0</v>
      </c>
      <c r="BL42" s="129">
        <v>0</v>
      </c>
      <c r="BM42" s="129">
        <v>0</v>
      </c>
      <c r="BN42" s="129">
        <v>0</v>
      </c>
      <c r="BO42" s="129">
        <v>0</v>
      </c>
      <c r="BP42" s="129">
        <v>0</v>
      </c>
      <c r="BQ42" s="129">
        <v>0</v>
      </c>
      <c r="BR42" s="129">
        <v>0</v>
      </c>
      <c r="BS42" s="129">
        <v>0</v>
      </c>
      <c r="BT42" s="129">
        <v>0</v>
      </c>
      <c r="BU42" s="129">
        <v>0</v>
      </c>
      <c r="BV42" s="129">
        <v>0</v>
      </c>
      <c r="BW42" s="129">
        <v>0</v>
      </c>
      <c r="BX42" s="129">
        <v>0</v>
      </c>
      <c r="BY42" s="129">
        <v>0</v>
      </c>
      <c r="BZ42" s="129">
        <v>0</v>
      </c>
      <c r="CA42" s="129">
        <v>0</v>
      </c>
      <c r="CB42" s="129">
        <v>0</v>
      </c>
      <c r="CC42" s="129">
        <v>0</v>
      </c>
      <c r="CD42" s="129">
        <v>0</v>
      </c>
      <c r="CE42" s="129">
        <v>0</v>
      </c>
      <c r="CF42" s="129">
        <v>5600</v>
      </c>
      <c r="CG42" s="129">
        <v>5170</v>
      </c>
      <c r="CH42" s="129">
        <v>4320</v>
      </c>
      <c r="CI42" s="129">
        <v>4180</v>
      </c>
      <c r="CJ42" s="129">
        <v>3735</v>
      </c>
      <c r="CK42" s="129">
        <v>3775</v>
      </c>
      <c r="CL42" s="129">
        <v>3855</v>
      </c>
      <c r="CM42" s="129">
        <v>3920</v>
      </c>
      <c r="CN42" s="129">
        <v>3780</v>
      </c>
      <c r="CO42" s="129">
        <v>3775</v>
      </c>
      <c r="CP42" s="129">
        <v>3835</v>
      </c>
      <c r="CQ42" s="129">
        <v>3750</v>
      </c>
      <c r="CR42" s="129">
        <v>3810</v>
      </c>
      <c r="CS42" s="129">
        <v>3765</v>
      </c>
      <c r="CT42" s="129">
        <v>3720</v>
      </c>
      <c r="CU42" s="129">
        <v>3735</v>
      </c>
      <c r="CV42" s="129">
        <v>3750</v>
      </c>
      <c r="CW42" s="129">
        <v>3595</v>
      </c>
      <c r="CX42" s="129">
        <v>3355</v>
      </c>
      <c r="CY42" s="129">
        <v>3320</v>
      </c>
      <c r="CZ42" s="129">
        <v>3395</v>
      </c>
      <c r="DA42" s="129">
        <v>3315</v>
      </c>
      <c r="DB42" s="129">
        <v>3390</v>
      </c>
      <c r="DC42" s="129">
        <v>3325</v>
      </c>
      <c r="DD42" s="129">
        <v>3345</v>
      </c>
      <c r="DE42" s="129">
        <v>3275</v>
      </c>
      <c r="DF42" s="129">
        <v>3200</v>
      </c>
      <c r="DG42" s="129">
        <v>3020</v>
      </c>
      <c r="DH42" s="129">
        <v>3070</v>
      </c>
      <c r="DI42" s="129">
        <v>2987</v>
      </c>
      <c r="DJ42" s="129">
        <v>3010</v>
      </c>
      <c r="DK42" s="129">
        <v>3140</v>
      </c>
      <c r="DL42" s="129">
        <v>3090</v>
      </c>
      <c r="DM42" s="129">
        <v>3045</v>
      </c>
      <c r="DN42" s="129">
        <v>3265</v>
      </c>
      <c r="DO42" s="129">
        <v>3280</v>
      </c>
      <c r="DP42" s="129">
        <v>3380</v>
      </c>
      <c r="DQ42" s="129">
        <v>3390</v>
      </c>
      <c r="DR42" s="129">
        <v>3425</v>
      </c>
      <c r="DS42" s="129">
        <v>3410</v>
      </c>
      <c r="DT42" s="129">
        <v>3300</v>
      </c>
      <c r="DU42" s="129">
        <v>3335</v>
      </c>
      <c r="DV42" s="129">
        <v>3345</v>
      </c>
      <c r="DW42" s="129">
        <v>3400</v>
      </c>
      <c r="DX42" s="129">
        <v>3295</v>
      </c>
      <c r="DY42" s="129">
        <v>3280</v>
      </c>
      <c r="DZ42" s="129">
        <v>3240</v>
      </c>
      <c r="EA42" s="129">
        <v>3280</v>
      </c>
      <c r="EB42" s="129">
        <v>3290</v>
      </c>
      <c r="EC42" s="129">
        <v>3450</v>
      </c>
      <c r="ED42" s="129">
        <v>3450</v>
      </c>
      <c r="EE42" s="129">
        <v>3420</v>
      </c>
      <c r="EF42" s="129">
        <v>3440</v>
      </c>
      <c r="EG42" s="129">
        <v>3535</v>
      </c>
      <c r="EH42" s="129">
        <v>3510</v>
      </c>
      <c r="EI42" s="129">
        <v>3470</v>
      </c>
      <c r="EJ42" s="129">
        <v>3475</v>
      </c>
      <c r="EK42" s="129">
        <v>3555</v>
      </c>
      <c r="EL42" s="129">
        <v>3560</v>
      </c>
      <c r="EM42" s="129">
        <v>3600</v>
      </c>
      <c r="EN42" s="129">
        <v>1810</v>
      </c>
      <c r="EO42" s="129">
        <v>1815</v>
      </c>
      <c r="EP42" s="129">
        <v>1824</v>
      </c>
      <c r="EQ42" s="129">
        <v>1800</v>
      </c>
      <c r="ER42" s="129">
        <v>1830</v>
      </c>
      <c r="ES42" s="129">
        <v>1828</v>
      </c>
      <c r="ET42" s="129">
        <v>1819</v>
      </c>
      <c r="EU42" s="129">
        <v>1820</v>
      </c>
      <c r="EV42" s="129">
        <v>1822</v>
      </c>
      <c r="EW42" s="129">
        <v>1830</v>
      </c>
    </row>
    <row r="43" spans="1:153" x14ac:dyDescent="0.25">
      <c r="A43" s="357" t="str">
        <f>IPO監視一覧!H35</f>
        <v>B</v>
      </c>
      <c r="B43" s="84" t="str">
        <f>IPO監視一覧!B35</f>
        <v>Fringe81</v>
      </c>
      <c r="C43" s="332">
        <f>株価一覧!E42</f>
        <v>4360</v>
      </c>
      <c r="D43" s="354">
        <f t="shared" ref="D43:D48" ca="1" si="12">AVERAGE(OFFSET(A43,0,COUNTA(G43:XFD43)+5,1,-5))</f>
        <v>4251</v>
      </c>
      <c r="E43" s="330">
        <f t="shared" ref="E43" ca="1" si="13">AVERAGE(OFFSET(A43,0,COUNTA(G43:XFD43)+5,1,-10))</f>
        <v>4332</v>
      </c>
      <c r="F43" s="331">
        <f t="shared" ref="F43" ca="1" si="14">MIN(OFFSET(B43,0,COUNTA(G43:XFD43)+5,1,-10))</f>
        <v>4125</v>
      </c>
      <c r="G43" s="129">
        <v>0</v>
      </c>
      <c r="H43" s="129">
        <v>0</v>
      </c>
      <c r="I43" s="129">
        <v>0</v>
      </c>
      <c r="J43" s="129">
        <v>0</v>
      </c>
      <c r="K43" s="129">
        <v>0</v>
      </c>
      <c r="L43" s="129">
        <v>0</v>
      </c>
      <c r="M43" s="129">
        <v>0</v>
      </c>
      <c r="N43" s="129">
        <v>0</v>
      </c>
      <c r="O43" s="129">
        <v>0</v>
      </c>
      <c r="P43" s="129">
        <v>0</v>
      </c>
      <c r="Q43" s="129">
        <v>0</v>
      </c>
      <c r="R43" s="129">
        <v>0</v>
      </c>
      <c r="S43" s="129">
        <v>0</v>
      </c>
      <c r="T43" s="129">
        <v>0</v>
      </c>
      <c r="U43" s="129">
        <v>0</v>
      </c>
      <c r="V43" s="129">
        <v>0</v>
      </c>
      <c r="W43" s="129">
        <v>0</v>
      </c>
      <c r="X43" s="129">
        <v>0</v>
      </c>
      <c r="Y43" s="129">
        <v>0</v>
      </c>
      <c r="Z43" s="129">
        <v>0</v>
      </c>
      <c r="AA43" s="129">
        <v>0</v>
      </c>
      <c r="AB43" s="129">
        <v>0</v>
      </c>
      <c r="AC43" s="129">
        <v>0</v>
      </c>
      <c r="AD43" s="129">
        <v>0</v>
      </c>
      <c r="AE43" s="129">
        <v>0</v>
      </c>
      <c r="AF43" s="129">
        <v>0</v>
      </c>
      <c r="AG43" s="129">
        <v>0</v>
      </c>
      <c r="AH43" s="129">
        <v>0</v>
      </c>
      <c r="AI43" s="129">
        <v>0</v>
      </c>
      <c r="AJ43" s="129">
        <v>0</v>
      </c>
      <c r="AK43" s="129">
        <v>0</v>
      </c>
      <c r="AL43" s="129">
        <v>0</v>
      </c>
      <c r="AM43" s="129">
        <v>0</v>
      </c>
      <c r="AN43" s="129">
        <v>0</v>
      </c>
      <c r="AO43" s="129">
        <v>0</v>
      </c>
      <c r="AP43" s="129">
        <v>0</v>
      </c>
      <c r="AQ43" s="129">
        <v>0</v>
      </c>
      <c r="AR43" s="129">
        <v>0</v>
      </c>
      <c r="AS43" s="129">
        <v>0</v>
      </c>
      <c r="AT43" s="129">
        <v>0</v>
      </c>
      <c r="AU43" s="129">
        <v>0</v>
      </c>
      <c r="AV43" s="129">
        <v>0</v>
      </c>
      <c r="AW43" s="129">
        <v>0</v>
      </c>
      <c r="AX43" s="129">
        <v>0</v>
      </c>
      <c r="AY43" s="129">
        <v>0</v>
      </c>
      <c r="AZ43" s="129">
        <v>0</v>
      </c>
      <c r="BA43" s="129">
        <v>0</v>
      </c>
      <c r="BB43" s="129">
        <v>0</v>
      </c>
      <c r="BC43" s="129">
        <v>0</v>
      </c>
      <c r="BD43" s="129">
        <v>0</v>
      </c>
      <c r="BE43" s="129">
        <v>0</v>
      </c>
      <c r="BF43" s="129">
        <v>0</v>
      </c>
      <c r="BG43" s="129">
        <v>0</v>
      </c>
      <c r="BH43" s="129">
        <v>0</v>
      </c>
      <c r="BI43" s="129">
        <v>0</v>
      </c>
      <c r="BJ43" s="129">
        <v>0</v>
      </c>
      <c r="BK43" s="129">
        <v>0</v>
      </c>
      <c r="BL43" s="129">
        <v>0</v>
      </c>
      <c r="BM43" s="129">
        <v>0</v>
      </c>
      <c r="BN43" s="129">
        <v>0</v>
      </c>
      <c r="BO43" s="129">
        <v>0</v>
      </c>
      <c r="BP43" s="129">
        <v>0</v>
      </c>
      <c r="BQ43" s="129">
        <v>0</v>
      </c>
      <c r="BR43" s="129">
        <v>0</v>
      </c>
      <c r="BS43" s="129">
        <v>0</v>
      </c>
      <c r="BT43" s="129">
        <v>0</v>
      </c>
      <c r="BU43" s="129">
        <v>0</v>
      </c>
      <c r="BV43" s="129">
        <v>0</v>
      </c>
      <c r="BW43" s="129">
        <v>0</v>
      </c>
      <c r="BX43" s="129">
        <v>0</v>
      </c>
      <c r="BY43" s="129">
        <v>0</v>
      </c>
      <c r="BZ43" s="129">
        <v>0</v>
      </c>
      <c r="CA43" s="129">
        <v>0</v>
      </c>
      <c r="CB43" s="129">
        <v>0</v>
      </c>
      <c r="CC43" s="129">
        <v>0</v>
      </c>
      <c r="CD43" s="129">
        <v>0</v>
      </c>
      <c r="CE43" s="129">
        <v>0</v>
      </c>
      <c r="CF43" s="129">
        <v>0</v>
      </c>
      <c r="CG43" s="129">
        <v>0</v>
      </c>
      <c r="CH43" s="129">
        <v>0</v>
      </c>
      <c r="CI43" s="129">
        <v>6430</v>
      </c>
      <c r="CJ43" s="129">
        <v>5640</v>
      </c>
      <c r="CK43" s="129">
        <v>5300</v>
      </c>
      <c r="CL43" s="129">
        <v>4870</v>
      </c>
      <c r="CM43" s="129">
        <v>5550</v>
      </c>
      <c r="CN43" s="129">
        <v>5340</v>
      </c>
      <c r="CO43" s="129">
        <v>5380</v>
      </c>
      <c r="CP43" s="129">
        <v>5820</v>
      </c>
      <c r="CQ43" s="129">
        <v>5610</v>
      </c>
      <c r="CR43" s="129">
        <v>5900</v>
      </c>
      <c r="CS43" s="129">
        <v>6160</v>
      </c>
      <c r="CT43" s="129">
        <v>5660</v>
      </c>
      <c r="CU43" s="129">
        <v>5290</v>
      </c>
      <c r="CV43" s="129">
        <v>5470</v>
      </c>
      <c r="CW43" s="129">
        <v>5260</v>
      </c>
      <c r="CX43" s="129">
        <v>5260</v>
      </c>
      <c r="CY43" s="129">
        <v>5020</v>
      </c>
      <c r="CZ43" s="129">
        <v>4935</v>
      </c>
      <c r="DA43" s="129">
        <v>5140</v>
      </c>
      <c r="DB43" s="129">
        <v>5310</v>
      </c>
      <c r="DC43" s="129">
        <v>5340</v>
      </c>
      <c r="DD43" s="129">
        <v>5270</v>
      </c>
      <c r="DE43" s="129">
        <v>5010</v>
      </c>
      <c r="DF43" s="129">
        <v>5030</v>
      </c>
      <c r="DG43" s="129">
        <v>4560</v>
      </c>
      <c r="DH43" s="129">
        <v>4595</v>
      </c>
      <c r="DI43" s="129">
        <v>4390</v>
      </c>
      <c r="DJ43" s="129">
        <v>4360</v>
      </c>
      <c r="DK43" s="129">
        <v>3935</v>
      </c>
      <c r="DL43" s="129">
        <v>3845</v>
      </c>
      <c r="DM43" s="129">
        <v>4030</v>
      </c>
      <c r="DN43" s="129">
        <v>4040</v>
      </c>
      <c r="DO43" s="129">
        <v>4015</v>
      </c>
      <c r="DP43" s="129">
        <v>4250</v>
      </c>
      <c r="DQ43" s="129">
        <v>4330</v>
      </c>
      <c r="DR43" s="129">
        <v>4050</v>
      </c>
      <c r="DS43" s="129">
        <v>4005</v>
      </c>
      <c r="DT43" s="129">
        <v>4075</v>
      </c>
      <c r="DU43" s="129">
        <v>4115</v>
      </c>
      <c r="DV43" s="129">
        <v>4210</v>
      </c>
      <c r="DW43" s="129">
        <v>4090</v>
      </c>
      <c r="DX43" s="129">
        <v>4095</v>
      </c>
      <c r="DY43" s="129">
        <v>3720</v>
      </c>
      <c r="DZ43" s="129">
        <v>3575</v>
      </c>
      <c r="EA43" s="129">
        <v>3500</v>
      </c>
      <c r="EB43" s="129">
        <v>3310</v>
      </c>
      <c r="EC43" s="129">
        <v>3440</v>
      </c>
      <c r="ED43" s="129">
        <v>3740</v>
      </c>
      <c r="EE43" s="129">
        <v>3650</v>
      </c>
      <c r="EF43" s="129">
        <v>4010</v>
      </c>
      <c r="EG43" s="129">
        <v>4140</v>
      </c>
      <c r="EH43" s="129">
        <v>4055</v>
      </c>
      <c r="EI43" s="129">
        <v>4180</v>
      </c>
      <c r="EJ43" s="129">
        <v>4500</v>
      </c>
      <c r="EK43" s="129">
        <v>4320</v>
      </c>
      <c r="EL43" s="129">
        <v>4200</v>
      </c>
      <c r="EM43" s="129">
        <v>4100</v>
      </c>
      <c r="EN43" s="129">
        <v>4370</v>
      </c>
      <c r="EO43" s="129">
        <v>4425</v>
      </c>
      <c r="EP43" s="129">
        <v>4405</v>
      </c>
      <c r="EQ43" s="129">
        <v>4370</v>
      </c>
      <c r="ER43" s="129">
        <v>4495</v>
      </c>
      <c r="ES43" s="129">
        <v>4370</v>
      </c>
      <c r="ET43" s="129">
        <v>4125</v>
      </c>
      <c r="EU43" s="129">
        <v>4130</v>
      </c>
      <c r="EV43" s="129">
        <v>4270</v>
      </c>
      <c r="EW43" s="129">
        <v>4360</v>
      </c>
    </row>
    <row r="44" spans="1:153" x14ac:dyDescent="0.25">
      <c r="A44" s="357" t="s">
        <v>463</v>
      </c>
      <c r="B44" s="84" t="str">
        <f>参加条件計算!B44</f>
        <v>インフォテリア</v>
      </c>
      <c r="C44" s="332">
        <f>株価一覧!E43</f>
        <v>1256</v>
      </c>
      <c r="D44" s="354">
        <f ca="1">AVERAGE(OFFSET(A44,0,COUNTA(G44:XFD44)+5,1,-5))</f>
        <v>1280.2</v>
      </c>
      <c r="E44" s="330">
        <f t="shared" ref="E44:E48" ca="1" si="15">AVERAGE(OFFSET(A44,0,COUNTA(G44:XFD44)+5,1,-10))</f>
        <v>1320.6</v>
      </c>
      <c r="F44" s="331">
        <f t="shared" ref="F44:F48" ca="1" si="16">MIN(OFFSET(B44,0,COUNTA(G44:XFD44)+5,1,-10))</f>
        <v>1256</v>
      </c>
      <c r="G44" s="129">
        <v>0</v>
      </c>
      <c r="H44" s="129">
        <v>0</v>
      </c>
      <c r="I44" s="129">
        <v>0</v>
      </c>
      <c r="J44" s="129">
        <v>0</v>
      </c>
      <c r="K44" s="129">
        <v>0</v>
      </c>
      <c r="L44" s="129">
        <v>0</v>
      </c>
      <c r="M44" s="129">
        <v>0</v>
      </c>
      <c r="N44" s="129">
        <v>0</v>
      </c>
      <c r="O44" s="129">
        <v>0</v>
      </c>
      <c r="P44" s="129">
        <v>0</v>
      </c>
      <c r="Q44" s="129">
        <v>0</v>
      </c>
      <c r="R44" s="129">
        <v>0</v>
      </c>
      <c r="S44" s="129">
        <v>0</v>
      </c>
      <c r="T44" s="129">
        <v>0</v>
      </c>
      <c r="U44" s="129">
        <v>0</v>
      </c>
      <c r="V44" s="129">
        <v>0</v>
      </c>
      <c r="W44" s="129">
        <v>0</v>
      </c>
      <c r="X44" s="129">
        <v>0</v>
      </c>
      <c r="Y44" s="129">
        <v>0</v>
      </c>
      <c r="Z44" s="129">
        <v>0</v>
      </c>
      <c r="AA44" s="129">
        <v>0</v>
      </c>
      <c r="AB44" s="129">
        <v>0</v>
      </c>
      <c r="AC44" s="129">
        <v>0</v>
      </c>
      <c r="AD44" s="129">
        <v>0</v>
      </c>
      <c r="AE44" s="129">
        <v>0</v>
      </c>
      <c r="AF44" s="129">
        <v>0</v>
      </c>
      <c r="AG44" s="129">
        <v>0</v>
      </c>
      <c r="AH44" s="129">
        <v>0</v>
      </c>
      <c r="AI44" s="129">
        <v>0</v>
      </c>
      <c r="AJ44" s="129">
        <v>0</v>
      </c>
      <c r="AK44" s="129">
        <v>0</v>
      </c>
      <c r="AL44" s="129">
        <v>0</v>
      </c>
      <c r="AM44" s="129">
        <v>0</v>
      </c>
      <c r="AN44" s="129">
        <v>0</v>
      </c>
      <c r="AO44" s="129">
        <v>0</v>
      </c>
      <c r="AP44" s="129">
        <v>0</v>
      </c>
      <c r="AQ44" s="129">
        <v>0</v>
      </c>
      <c r="AR44" s="129">
        <v>0</v>
      </c>
      <c r="AS44" s="129">
        <v>0</v>
      </c>
      <c r="AT44" s="129">
        <v>0</v>
      </c>
      <c r="AU44" s="129">
        <v>0</v>
      </c>
      <c r="AV44" s="129">
        <v>0</v>
      </c>
      <c r="AW44" s="129">
        <v>0</v>
      </c>
      <c r="AX44" s="129">
        <v>0</v>
      </c>
      <c r="AY44" s="129">
        <v>0</v>
      </c>
      <c r="AZ44" s="129">
        <v>0</v>
      </c>
      <c r="BA44" s="129">
        <v>0</v>
      </c>
      <c r="BB44" s="129">
        <v>0</v>
      </c>
      <c r="BC44" s="129">
        <v>0</v>
      </c>
      <c r="BD44" s="129">
        <v>0</v>
      </c>
      <c r="BE44" s="129">
        <v>0</v>
      </c>
      <c r="BF44" s="129">
        <v>0</v>
      </c>
      <c r="BG44" s="129">
        <v>0</v>
      </c>
      <c r="BH44" s="129">
        <v>0</v>
      </c>
      <c r="BI44" s="129">
        <v>0</v>
      </c>
      <c r="BJ44" s="129">
        <v>0</v>
      </c>
      <c r="BK44" s="129">
        <v>0</v>
      </c>
      <c r="BL44" s="129">
        <v>0</v>
      </c>
      <c r="BM44" s="129">
        <v>0</v>
      </c>
      <c r="BN44" s="129">
        <v>0</v>
      </c>
      <c r="BO44" s="129">
        <v>0</v>
      </c>
      <c r="BP44" s="129">
        <v>0</v>
      </c>
      <c r="BQ44" s="129">
        <v>0</v>
      </c>
      <c r="BR44" s="129">
        <v>0</v>
      </c>
      <c r="BS44" s="129">
        <v>0</v>
      </c>
      <c r="BT44" s="129">
        <v>0</v>
      </c>
      <c r="BU44" s="129">
        <v>0</v>
      </c>
      <c r="BV44" s="129">
        <v>0</v>
      </c>
      <c r="BW44" s="129">
        <v>0</v>
      </c>
      <c r="BX44" s="129">
        <v>0</v>
      </c>
      <c r="BY44" s="129">
        <v>0</v>
      </c>
      <c r="BZ44" s="129">
        <v>0</v>
      </c>
      <c r="CA44" s="129">
        <v>0</v>
      </c>
      <c r="CB44" s="129">
        <v>0</v>
      </c>
      <c r="CC44" s="129">
        <v>0</v>
      </c>
      <c r="CD44" s="129">
        <v>0</v>
      </c>
      <c r="CE44" s="129">
        <v>0</v>
      </c>
      <c r="CF44" s="129">
        <v>0</v>
      </c>
      <c r="CG44" s="129">
        <v>0</v>
      </c>
      <c r="CH44" s="129">
        <v>0</v>
      </c>
      <c r="CI44" s="129">
        <v>0</v>
      </c>
      <c r="CJ44" s="129">
        <v>1080</v>
      </c>
      <c r="CK44" s="129">
        <v>1140</v>
      </c>
      <c r="CL44" s="129">
        <v>1178</v>
      </c>
      <c r="CM44" s="129">
        <v>1239</v>
      </c>
      <c r="CN44" s="129">
        <v>1220</v>
      </c>
      <c r="CO44" s="129">
        <v>1520</v>
      </c>
      <c r="CP44" s="129">
        <v>1484</v>
      </c>
      <c r="CQ44" s="129">
        <v>1490</v>
      </c>
      <c r="CR44" s="129">
        <v>1440</v>
      </c>
      <c r="CS44" s="129">
        <v>1417</v>
      </c>
      <c r="CT44" s="129">
        <v>1400</v>
      </c>
      <c r="CU44" s="129">
        <v>1376</v>
      </c>
      <c r="CV44" s="129">
        <v>1340</v>
      </c>
      <c r="CW44" s="129">
        <v>1342</v>
      </c>
      <c r="CX44" s="129">
        <v>1397</v>
      </c>
      <c r="CY44" s="129">
        <v>1384</v>
      </c>
      <c r="CZ44" s="129">
        <v>1410</v>
      </c>
      <c r="DA44" s="129">
        <v>1363</v>
      </c>
      <c r="DB44" s="129">
        <v>1339</v>
      </c>
      <c r="DC44" s="129">
        <v>1353</v>
      </c>
      <c r="DD44" s="129">
        <v>1374</v>
      </c>
      <c r="DE44" s="129">
        <v>1252</v>
      </c>
      <c r="DF44" s="129">
        <v>1201</v>
      </c>
      <c r="DG44" s="129">
        <v>1072</v>
      </c>
      <c r="DH44" s="129">
        <v>1128</v>
      </c>
      <c r="DI44" s="129">
        <v>1111</v>
      </c>
      <c r="DJ44" s="129">
        <v>1121</v>
      </c>
      <c r="DK44" s="129">
        <v>1440</v>
      </c>
      <c r="DL44" s="129">
        <v>1481</v>
      </c>
      <c r="DM44" s="129">
        <v>1466</v>
      </c>
      <c r="DN44" s="129">
        <v>1376</v>
      </c>
      <c r="DO44" s="129">
        <v>1388</v>
      </c>
      <c r="DP44" s="129">
        <v>1541</v>
      </c>
      <c r="DQ44" s="129">
        <v>1538</v>
      </c>
      <c r="DR44" s="129">
        <v>1490</v>
      </c>
      <c r="DS44" s="129">
        <v>1420</v>
      </c>
      <c r="DT44" s="129">
        <v>1377</v>
      </c>
      <c r="DU44" s="129">
        <v>1355</v>
      </c>
      <c r="DV44" s="129">
        <v>1405</v>
      </c>
      <c r="DW44" s="129">
        <v>1390</v>
      </c>
      <c r="DX44" s="129">
        <v>1300</v>
      </c>
      <c r="DY44" s="129">
        <v>1177</v>
      </c>
      <c r="DZ44" s="129">
        <v>1174</v>
      </c>
      <c r="EA44" s="129">
        <v>1223</v>
      </c>
      <c r="EB44" s="129">
        <v>1260</v>
      </c>
      <c r="EC44" s="129">
        <v>1266</v>
      </c>
      <c r="ED44" s="129">
        <v>1290</v>
      </c>
      <c r="EE44" s="129">
        <v>1243</v>
      </c>
      <c r="EF44" s="129">
        <v>1183</v>
      </c>
      <c r="EG44" s="129">
        <v>1197</v>
      </c>
      <c r="EH44" s="129">
        <v>1285</v>
      </c>
      <c r="EI44" s="129">
        <v>1292</v>
      </c>
      <c r="EJ44" s="129">
        <v>1389</v>
      </c>
      <c r="EK44" s="129">
        <v>1345</v>
      </c>
      <c r="EL44" s="129">
        <v>1390</v>
      </c>
      <c r="EM44" s="129">
        <v>1340</v>
      </c>
      <c r="EN44" s="129">
        <v>1342</v>
      </c>
      <c r="EO44" s="129">
        <v>1372</v>
      </c>
      <c r="EP44" s="129">
        <v>1357</v>
      </c>
      <c r="EQ44" s="129">
        <v>1336</v>
      </c>
      <c r="ER44" s="129">
        <v>1398</v>
      </c>
      <c r="ES44" s="129">
        <v>1345</v>
      </c>
      <c r="ET44" s="129">
        <v>1262</v>
      </c>
      <c r="EU44" s="129">
        <v>1264</v>
      </c>
      <c r="EV44" s="129">
        <v>1274</v>
      </c>
      <c r="EW44" s="129">
        <v>1256</v>
      </c>
    </row>
    <row r="45" spans="1:153" x14ac:dyDescent="0.25">
      <c r="A45" s="357" t="s">
        <v>463</v>
      </c>
      <c r="B45" s="84" t="str">
        <f>参加条件計算!B45</f>
        <v>GNIグループ</v>
      </c>
      <c r="C45" s="332">
        <f>株価一覧!E44</f>
        <v>407</v>
      </c>
      <c r="D45" s="354">
        <f t="shared" ca="1" si="12"/>
        <v>424.8</v>
      </c>
      <c r="E45" s="330">
        <f t="shared" ca="1" si="15"/>
        <v>440.6</v>
      </c>
      <c r="F45" s="331">
        <f t="shared" ca="1" si="16"/>
        <v>405</v>
      </c>
      <c r="G45" s="129">
        <v>0</v>
      </c>
      <c r="H45" s="129">
        <v>0</v>
      </c>
      <c r="I45" s="129">
        <v>0</v>
      </c>
      <c r="J45" s="129">
        <v>0</v>
      </c>
      <c r="K45" s="129">
        <v>0</v>
      </c>
      <c r="L45" s="129">
        <v>0</v>
      </c>
      <c r="M45" s="129">
        <v>0</v>
      </c>
      <c r="N45" s="129">
        <v>0</v>
      </c>
      <c r="O45" s="129">
        <v>0</v>
      </c>
      <c r="P45" s="129">
        <v>0</v>
      </c>
      <c r="Q45" s="129">
        <v>0</v>
      </c>
      <c r="R45" s="129">
        <v>0</v>
      </c>
      <c r="S45" s="129">
        <v>0</v>
      </c>
      <c r="T45" s="129">
        <v>0</v>
      </c>
      <c r="U45" s="129">
        <v>0</v>
      </c>
      <c r="V45" s="129">
        <v>0</v>
      </c>
      <c r="W45" s="129">
        <v>0</v>
      </c>
      <c r="X45" s="129">
        <v>0</v>
      </c>
      <c r="Y45" s="129">
        <v>0</v>
      </c>
      <c r="Z45" s="129">
        <v>0</v>
      </c>
      <c r="AA45" s="129">
        <v>0</v>
      </c>
      <c r="AB45" s="129">
        <v>0</v>
      </c>
      <c r="AC45" s="129">
        <v>0</v>
      </c>
      <c r="AD45" s="129">
        <v>0</v>
      </c>
      <c r="AE45" s="129">
        <v>0</v>
      </c>
      <c r="AF45" s="129">
        <v>0</v>
      </c>
      <c r="AG45" s="129">
        <v>0</v>
      </c>
      <c r="AH45" s="129">
        <v>0</v>
      </c>
      <c r="AI45" s="129">
        <v>0</v>
      </c>
      <c r="AJ45" s="129">
        <v>0</v>
      </c>
      <c r="AK45" s="129">
        <v>0</v>
      </c>
      <c r="AL45" s="129">
        <v>0</v>
      </c>
      <c r="AM45" s="129">
        <v>0</v>
      </c>
      <c r="AN45" s="129">
        <v>0</v>
      </c>
      <c r="AO45" s="129">
        <v>0</v>
      </c>
      <c r="AP45" s="129">
        <v>0</v>
      </c>
      <c r="AQ45" s="129">
        <v>0</v>
      </c>
      <c r="AR45" s="129">
        <v>0</v>
      </c>
      <c r="AS45" s="129">
        <v>0</v>
      </c>
      <c r="AT45" s="129">
        <v>0</v>
      </c>
      <c r="AU45" s="129">
        <v>0</v>
      </c>
      <c r="AV45" s="129">
        <v>0</v>
      </c>
      <c r="AW45" s="129">
        <v>0</v>
      </c>
      <c r="AX45" s="129">
        <v>0</v>
      </c>
      <c r="AY45" s="129">
        <v>0</v>
      </c>
      <c r="AZ45" s="129">
        <v>0</v>
      </c>
      <c r="BA45" s="129">
        <v>0</v>
      </c>
      <c r="BB45" s="129">
        <v>0</v>
      </c>
      <c r="BC45" s="129">
        <v>0</v>
      </c>
      <c r="BD45" s="129">
        <v>0</v>
      </c>
      <c r="BE45" s="129">
        <v>0</v>
      </c>
      <c r="BF45" s="129">
        <v>0</v>
      </c>
      <c r="BG45" s="129">
        <v>0</v>
      </c>
      <c r="BH45" s="129">
        <v>0</v>
      </c>
      <c r="BI45" s="129">
        <v>0</v>
      </c>
      <c r="BJ45" s="129">
        <v>0</v>
      </c>
      <c r="BK45" s="129">
        <v>0</v>
      </c>
      <c r="BL45" s="129">
        <v>0</v>
      </c>
      <c r="BM45" s="129">
        <v>0</v>
      </c>
      <c r="BN45" s="129">
        <v>0</v>
      </c>
      <c r="BO45" s="129">
        <v>0</v>
      </c>
      <c r="BP45" s="129">
        <v>0</v>
      </c>
      <c r="BQ45" s="129">
        <v>0</v>
      </c>
      <c r="BR45" s="129">
        <v>0</v>
      </c>
      <c r="BS45" s="129">
        <v>0</v>
      </c>
      <c r="BT45" s="129">
        <v>0</v>
      </c>
      <c r="BU45" s="129">
        <v>0</v>
      </c>
      <c r="BV45" s="129">
        <v>0</v>
      </c>
      <c r="BW45" s="129">
        <v>0</v>
      </c>
      <c r="BX45" s="129">
        <v>0</v>
      </c>
      <c r="BY45" s="129">
        <v>0</v>
      </c>
      <c r="BZ45" s="129">
        <v>0</v>
      </c>
      <c r="CA45" s="129">
        <v>0</v>
      </c>
      <c r="CB45" s="129">
        <v>0</v>
      </c>
      <c r="CC45" s="129">
        <v>0</v>
      </c>
      <c r="CD45" s="129">
        <v>0</v>
      </c>
      <c r="CE45" s="129">
        <v>0</v>
      </c>
      <c r="CF45" s="129">
        <v>0</v>
      </c>
      <c r="CG45" s="129">
        <v>0</v>
      </c>
      <c r="CH45" s="129">
        <v>0</v>
      </c>
      <c r="CI45" s="129">
        <v>0</v>
      </c>
      <c r="CJ45" s="129">
        <v>641</v>
      </c>
      <c r="CK45" s="129">
        <v>664</v>
      </c>
      <c r="CL45" s="129">
        <v>663</v>
      </c>
      <c r="CM45" s="129">
        <v>658</v>
      </c>
      <c r="CN45" s="129">
        <v>616</v>
      </c>
      <c r="CO45" s="129">
        <v>623</v>
      </c>
      <c r="CP45" s="129">
        <v>631</v>
      </c>
      <c r="CQ45" s="129">
        <v>655</v>
      </c>
      <c r="CR45" s="129">
        <v>641</v>
      </c>
      <c r="CS45" s="129">
        <v>642</v>
      </c>
      <c r="CT45" s="129">
        <v>634</v>
      </c>
      <c r="CU45" s="129">
        <v>637</v>
      </c>
      <c r="CV45" s="129">
        <v>623</v>
      </c>
      <c r="CW45" s="129">
        <v>673</v>
      </c>
      <c r="CX45" s="129">
        <v>672</v>
      </c>
      <c r="CY45" s="129">
        <v>676</v>
      </c>
      <c r="CZ45" s="129">
        <v>708</v>
      </c>
      <c r="DA45" s="129">
        <v>682</v>
      </c>
      <c r="DB45" s="129">
        <v>654</v>
      </c>
      <c r="DC45" s="129">
        <v>654</v>
      </c>
      <c r="DD45" s="129">
        <v>646</v>
      </c>
      <c r="DE45" s="129">
        <v>617</v>
      </c>
      <c r="DF45" s="129">
        <v>635</v>
      </c>
      <c r="DG45" s="129">
        <v>601</v>
      </c>
      <c r="DH45" s="129">
        <v>608</v>
      </c>
      <c r="DI45" s="129">
        <v>611</v>
      </c>
      <c r="DJ45" s="129">
        <v>602</v>
      </c>
      <c r="DK45" s="129">
        <v>539</v>
      </c>
      <c r="DL45" s="129">
        <v>518</v>
      </c>
      <c r="DM45" s="129">
        <v>502</v>
      </c>
      <c r="DN45" s="129">
        <v>497</v>
      </c>
      <c r="DO45" s="129">
        <v>514</v>
      </c>
      <c r="DP45" s="129">
        <v>498</v>
      </c>
      <c r="DQ45" s="129">
        <v>507</v>
      </c>
      <c r="DR45" s="129">
        <v>497</v>
      </c>
      <c r="DS45" s="129">
        <v>492</v>
      </c>
      <c r="DT45" s="129">
        <v>497</v>
      </c>
      <c r="DU45" s="129">
        <v>491</v>
      </c>
      <c r="DV45" s="129">
        <v>481</v>
      </c>
      <c r="DW45" s="129">
        <v>440</v>
      </c>
      <c r="DX45" s="129">
        <v>416</v>
      </c>
      <c r="DY45" s="129">
        <v>386</v>
      </c>
      <c r="DZ45" s="129">
        <v>399</v>
      </c>
      <c r="EA45" s="129">
        <v>367</v>
      </c>
      <c r="EB45" s="129">
        <v>394</v>
      </c>
      <c r="EC45" s="129">
        <v>407</v>
      </c>
      <c r="ED45" s="129">
        <v>428</v>
      </c>
      <c r="EE45" s="129">
        <v>418</v>
      </c>
      <c r="EF45" s="129">
        <v>390</v>
      </c>
      <c r="EG45" s="129">
        <v>403</v>
      </c>
      <c r="EH45" s="129">
        <v>420</v>
      </c>
      <c r="EI45" s="129">
        <v>408</v>
      </c>
      <c r="EJ45" s="129">
        <v>419</v>
      </c>
      <c r="EK45" s="129">
        <v>405</v>
      </c>
      <c r="EL45" s="129">
        <v>406</v>
      </c>
      <c r="EM45" s="129">
        <v>403</v>
      </c>
      <c r="EN45" s="129">
        <v>418</v>
      </c>
      <c r="EO45" s="129">
        <v>405</v>
      </c>
      <c r="EP45" s="129">
        <v>465</v>
      </c>
      <c r="EQ45" s="129">
        <v>523</v>
      </c>
      <c r="ER45" s="129">
        <v>471</v>
      </c>
      <c r="ES45" s="129">
        <v>446</v>
      </c>
      <c r="ET45" s="129">
        <v>441</v>
      </c>
      <c r="EU45" s="129">
        <v>418</v>
      </c>
      <c r="EV45" s="129">
        <v>412</v>
      </c>
      <c r="EW45" s="129">
        <v>407</v>
      </c>
    </row>
    <row r="46" spans="1:153" x14ac:dyDescent="0.25">
      <c r="A46" s="357" t="str">
        <f>IPO監視一覧!H36</f>
        <v>B</v>
      </c>
      <c r="B46" s="84" t="str">
        <f>IPO監視一覧!B36</f>
        <v>ツナグ・ソリューションズ</v>
      </c>
      <c r="C46" s="332">
        <f>株価一覧!E45</f>
        <v>4850</v>
      </c>
      <c r="D46" s="354">
        <f t="shared" ca="1" si="12"/>
        <v>4894</v>
      </c>
      <c r="E46" s="330">
        <f t="shared" ca="1" si="15"/>
        <v>4941</v>
      </c>
      <c r="F46" s="331">
        <f t="shared" ca="1" si="16"/>
        <v>4850</v>
      </c>
      <c r="G46" s="129">
        <v>0</v>
      </c>
      <c r="H46" s="129">
        <v>0</v>
      </c>
      <c r="I46" s="129">
        <v>0</v>
      </c>
      <c r="J46" s="129">
        <v>0</v>
      </c>
      <c r="K46" s="129">
        <v>0</v>
      </c>
      <c r="L46" s="129">
        <v>0</v>
      </c>
      <c r="M46" s="129">
        <v>0</v>
      </c>
      <c r="N46" s="129">
        <v>0</v>
      </c>
      <c r="O46" s="129">
        <v>0</v>
      </c>
      <c r="P46" s="129">
        <v>0</v>
      </c>
      <c r="Q46" s="129">
        <v>0</v>
      </c>
      <c r="R46" s="129">
        <v>0</v>
      </c>
      <c r="S46" s="129">
        <v>0</v>
      </c>
      <c r="T46" s="129">
        <v>0</v>
      </c>
      <c r="U46" s="129">
        <v>0</v>
      </c>
      <c r="V46" s="129">
        <v>0</v>
      </c>
      <c r="W46" s="129">
        <v>0</v>
      </c>
      <c r="X46" s="129">
        <v>0</v>
      </c>
      <c r="Y46" s="129">
        <v>0</v>
      </c>
      <c r="Z46" s="129">
        <v>0</v>
      </c>
      <c r="AA46" s="129">
        <v>0</v>
      </c>
      <c r="AB46" s="129">
        <v>0</v>
      </c>
      <c r="AC46" s="129">
        <v>0</v>
      </c>
      <c r="AD46" s="129">
        <v>0</v>
      </c>
      <c r="AE46" s="129">
        <v>0</v>
      </c>
      <c r="AF46" s="129">
        <v>0</v>
      </c>
      <c r="AG46" s="129">
        <v>0</v>
      </c>
      <c r="AH46" s="129">
        <v>0</v>
      </c>
      <c r="AI46" s="129">
        <v>0</v>
      </c>
      <c r="AJ46" s="129">
        <v>0</v>
      </c>
      <c r="AK46" s="129">
        <v>0</v>
      </c>
      <c r="AL46" s="129">
        <v>0</v>
      </c>
      <c r="AM46" s="129">
        <v>0</v>
      </c>
      <c r="AN46" s="129">
        <v>0</v>
      </c>
      <c r="AO46" s="129">
        <v>0</v>
      </c>
      <c r="AP46" s="129">
        <v>0</v>
      </c>
      <c r="AQ46" s="129">
        <v>0</v>
      </c>
      <c r="AR46" s="129">
        <v>0</v>
      </c>
      <c r="AS46" s="129">
        <v>0</v>
      </c>
      <c r="AT46" s="129">
        <v>0</v>
      </c>
      <c r="AU46" s="129">
        <v>0</v>
      </c>
      <c r="AV46" s="129">
        <v>0</v>
      </c>
      <c r="AW46" s="129">
        <v>0</v>
      </c>
      <c r="AX46" s="129">
        <v>0</v>
      </c>
      <c r="AY46" s="129">
        <v>0</v>
      </c>
      <c r="AZ46" s="129">
        <v>0</v>
      </c>
      <c r="BA46" s="129">
        <v>0</v>
      </c>
      <c r="BB46" s="129">
        <v>0</v>
      </c>
      <c r="BC46" s="129">
        <v>0</v>
      </c>
      <c r="BD46" s="129">
        <v>0</v>
      </c>
      <c r="BE46" s="129">
        <v>0</v>
      </c>
      <c r="BF46" s="129">
        <v>0</v>
      </c>
      <c r="BG46" s="129">
        <v>0</v>
      </c>
      <c r="BH46" s="129">
        <v>0</v>
      </c>
      <c r="BI46" s="129">
        <v>0</v>
      </c>
      <c r="BJ46" s="129">
        <v>0</v>
      </c>
      <c r="BK46" s="129">
        <v>0</v>
      </c>
      <c r="BL46" s="129">
        <v>0</v>
      </c>
      <c r="BM46" s="129">
        <v>0</v>
      </c>
      <c r="BN46" s="129">
        <v>0</v>
      </c>
      <c r="BO46" s="129">
        <v>0</v>
      </c>
      <c r="BP46" s="129">
        <v>0</v>
      </c>
      <c r="BQ46" s="129">
        <v>0</v>
      </c>
      <c r="BR46" s="129">
        <v>0</v>
      </c>
      <c r="BS46" s="129">
        <v>0</v>
      </c>
      <c r="BT46" s="129">
        <v>0</v>
      </c>
      <c r="BU46" s="129">
        <v>0</v>
      </c>
      <c r="BV46" s="129">
        <v>0</v>
      </c>
      <c r="BW46" s="129">
        <v>0</v>
      </c>
      <c r="BX46" s="129">
        <v>0</v>
      </c>
      <c r="BY46" s="129">
        <v>0</v>
      </c>
      <c r="BZ46" s="129">
        <v>0</v>
      </c>
      <c r="CA46" s="129">
        <v>0</v>
      </c>
      <c r="CB46" s="129">
        <v>0</v>
      </c>
      <c r="CC46" s="129">
        <v>0</v>
      </c>
      <c r="CD46" s="129">
        <v>0</v>
      </c>
      <c r="CE46" s="129">
        <v>0</v>
      </c>
      <c r="CF46" s="129">
        <v>0</v>
      </c>
      <c r="CG46" s="129">
        <v>0</v>
      </c>
      <c r="CH46" s="129">
        <v>0</v>
      </c>
      <c r="CI46" s="129">
        <v>0</v>
      </c>
      <c r="CJ46" s="129">
        <v>0</v>
      </c>
      <c r="CK46" s="129">
        <v>0</v>
      </c>
      <c r="CL46" s="129">
        <v>4700</v>
      </c>
      <c r="CM46" s="129">
        <v>5400</v>
      </c>
      <c r="CN46" s="129">
        <v>6090</v>
      </c>
      <c r="CO46" s="129">
        <v>5650</v>
      </c>
      <c r="CP46" s="129">
        <v>5350</v>
      </c>
      <c r="CQ46" s="129">
        <v>5800</v>
      </c>
      <c r="CR46" s="129">
        <v>5540</v>
      </c>
      <c r="CS46" s="129">
        <v>5350</v>
      </c>
      <c r="CT46" s="129">
        <v>4950</v>
      </c>
      <c r="CU46" s="129">
        <v>4845</v>
      </c>
      <c r="CV46" s="129">
        <v>5250</v>
      </c>
      <c r="CW46" s="129">
        <v>5320</v>
      </c>
      <c r="CX46" s="129">
        <v>5510</v>
      </c>
      <c r="CY46" s="129">
        <v>5180</v>
      </c>
      <c r="CZ46" s="129">
        <v>5060</v>
      </c>
      <c r="DA46" s="129">
        <v>5150</v>
      </c>
      <c r="DB46" s="129">
        <v>5950</v>
      </c>
      <c r="DC46" s="129">
        <v>6700</v>
      </c>
      <c r="DD46" s="129">
        <v>6140</v>
      </c>
      <c r="DE46" s="129">
        <v>5710</v>
      </c>
      <c r="DF46" s="129">
        <v>6040</v>
      </c>
      <c r="DG46" s="129">
        <v>5820</v>
      </c>
      <c r="DH46" s="129">
        <v>5780</v>
      </c>
      <c r="DI46" s="129">
        <v>5550</v>
      </c>
      <c r="DJ46" s="129">
        <v>5700</v>
      </c>
      <c r="DK46" s="129">
        <v>5200</v>
      </c>
      <c r="DL46" s="129">
        <v>5070</v>
      </c>
      <c r="DM46" s="129">
        <v>4910</v>
      </c>
      <c r="DN46" s="129">
        <v>4810</v>
      </c>
      <c r="DO46" s="129">
        <v>4920</v>
      </c>
      <c r="DP46" s="129">
        <v>4940</v>
      </c>
      <c r="DQ46" s="129">
        <v>5220</v>
      </c>
      <c r="DR46" s="129">
        <v>5130</v>
      </c>
      <c r="DS46" s="129">
        <v>5110</v>
      </c>
      <c r="DT46" s="129">
        <v>5000</v>
      </c>
      <c r="DU46" s="129">
        <v>5350</v>
      </c>
      <c r="DV46" s="129">
        <v>5250</v>
      </c>
      <c r="DW46" s="129">
        <v>5290</v>
      </c>
      <c r="DX46" s="129">
        <v>5060</v>
      </c>
      <c r="DY46" s="129">
        <v>4850</v>
      </c>
      <c r="DZ46" s="129">
        <v>4730</v>
      </c>
      <c r="EA46" s="129">
        <v>4630</v>
      </c>
      <c r="EB46" s="129">
        <v>4510</v>
      </c>
      <c r="EC46" s="129">
        <v>4490</v>
      </c>
      <c r="ED46" s="129">
        <v>4660</v>
      </c>
      <c r="EE46" s="129">
        <v>4570</v>
      </c>
      <c r="EF46" s="129">
        <v>4630</v>
      </c>
      <c r="EG46" s="129">
        <v>4715</v>
      </c>
      <c r="EH46" s="129">
        <v>4780</v>
      </c>
      <c r="EI46" s="129">
        <v>5150</v>
      </c>
      <c r="EJ46" s="129">
        <v>5070</v>
      </c>
      <c r="EK46" s="129">
        <v>4920</v>
      </c>
      <c r="EL46" s="129">
        <v>5070</v>
      </c>
      <c r="EM46" s="129">
        <v>4930</v>
      </c>
      <c r="EN46" s="129">
        <v>5020</v>
      </c>
      <c r="EO46" s="129">
        <v>4990</v>
      </c>
      <c r="EP46" s="129">
        <v>4900</v>
      </c>
      <c r="EQ46" s="129">
        <v>5000</v>
      </c>
      <c r="ER46" s="129">
        <v>5030</v>
      </c>
      <c r="ES46" s="129">
        <v>4905</v>
      </c>
      <c r="ET46" s="129">
        <v>4885</v>
      </c>
      <c r="EU46" s="129">
        <v>4965</v>
      </c>
      <c r="EV46" s="129">
        <v>4865</v>
      </c>
      <c r="EW46" s="129">
        <v>4850</v>
      </c>
    </row>
    <row r="47" spans="1:153" x14ac:dyDescent="0.25">
      <c r="A47" s="357" t="str">
        <f>IPO監視一覧!H37</f>
        <v>B</v>
      </c>
      <c r="B47" s="84" t="str">
        <f>IPO監視一覧!B37</f>
        <v>ＳＹＳホールディングス</v>
      </c>
      <c r="C47" s="332">
        <f>株価一覧!E46</f>
        <v>3535</v>
      </c>
      <c r="D47" s="354">
        <f t="shared" ca="1" si="12"/>
        <v>3548</v>
      </c>
      <c r="E47" s="330">
        <f t="shared" ca="1" si="15"/>
        <v>3636.5</v>
      </c>
      <c r="F47" s="331">
        <f t="shared" ca="1" si="16"/>
        <v>3500</v>
      </c>
      <c r="G47" s="129">
        <v>0</v>
      </c>
      <c r="H47" s="129">
        <v>0</v>
      </c>
      <c r="I47" s="129">
        <v>0</v>
      </c>
      <c r="J47" s="129">
        <v>0</v>
      </c>
      <c r="K47" s="129">
        <v>0</v>
      </c>
      <c r="L47" s="129">
        <v>0</v>
      </c>
      <c r="M47" s="129">
        <v>0</v>
      </c>
      <c r="N47" s="129">
        <v>0</v>
      </c>
      <c r="O47" s="129">
        <v>0</v>
      </c>
      <c r="P47" s="129">
        <v>0</v>
      </c>
      <c r="Q47" s="129">
        <v>0</v>
      </c>
      <c r="R47" s="129">
        <v>0</v>
      </c>
      <c r="S47" s="129">
        <v>0</v>
      </c>
      <c r="T47" s="129">
        <v>0</v>
      </c>
      <c r="U47" s="129">
        <v>0</v>
      </c>
      <c r="V47" s="129">
        <v>0</v>
      </c>
      <c r="W47" s="129">
        <v>0</v>
      </c>
      <c r="X47" s="129">
        <v>0</v>
      </c>
      <c r="Y47" s="129">
        <v>0</v>
      </c>
      <c r="Z47" s="129">
        <v>0</v>
      </c>
      <c r="AA47" s="129">
        <v>0</v>
      </c>
      <c r="AB47" s="129">
        <v>0</v>
      </c>
      <c r="AC47" s="129">
        <v>0</v>
      </c>
      <c r="AD47" s="129">
        <v>0</v>
      </c>
      <c r="AE47" s="129">
        <v>0</v>
      </c>
      <c r="AF47" s="129">
        <v>0</v>
      </c>
      <c r="AG47" s="129">
        <v>0</v>
      </c>
      <c r="AH47" s="129">
        <v>0</v>
      </c>
      <c r="AI47" s="129">
        <v>0</v>
      </c>
      <c r="AJ47" s="129">
        <v>0</v>
      </c>
      <c r="AK47" s="129">
        <v>0</v>
      </c>
      <c r="AL47" s="129">
        <v>0</v>
      </c>
      <c r="AM47" s="129">
        <v>0</v>
      </c>
      <c r="AN47" s="129">
        <v>0</v>
      </c>
      <c r="AO47" s="129">
        <v>0</v>
      </c>
      <c r="AP47" s="129">
        <v>0</v>
      </c>
      <c r="AQ47" s="129">
        <v>0</v>
      </c>
      <c r="AR47" s="129">
        <v>0</v>
      </c>
      <c r="AS47" s="129">
        <v>0</v>
      </c>
      <c r="AT47" s="129">
        <v>0</v>
      </c>
      <c r="AU47" s="129">
        <v>0</v>
      </c>
      <c r="AV47" s="129">
        <v>0</v>
      </c>
      <c r="AW47" s="129">
        <v>0</v>
      </c>
      <c r="AX47" s="129">
        <v>0</v>
      </c>
      <c r="AY47" s="129">
        <v>0</v>
      </c>
      <c r="AZ47" s="129">
        <v>0</v>
      </c>
      <c r="BA47" s="129">
        <v>0</v>
      </c>
      <c r="BB47" s="129">
        <v>0</v>
      </c>
      <c r="BC47" s="129">
        <v>0</v>
      </c>
      <c r="BD47" s="129">
        <v>0</v>
      </c>
      <c r="BE47" s="129">
        <v>0</v>
      </c>
      <c r="BF47" s="129">
        <v>0</v>
      </c>
      <c r="BG47" s="129">
        <v>0</v>
      </c>
      <c r="BH47" s="129">
        <v>0</v>
      </c>
      <c r="BI47" s="129">
        <v>0</v>
      </c>
      <c r="BJ47" s="129">
        <v>0</v>
      </c>
      <c r="BK47" s="129">
        <v>0</v>
      </c>
      <c r="BL47" s="129">
        <v>0</v>
      </c>
      <c r="BM47" s="129">
        <v>0</v>
      </c>
      <c r="BN47" s="129">
        <v>0</v>
      </c>
      <c r="BO47" s="129">
        <v>0</v>
      </c>
      <c r="BP47" s="129">
        <v>0</v>
      </c>
      <c r="BQ47" s="129">
        <v>0</v>
      </c>
      <c r="BR47" s="129">
        <v>0</v>
      </c>
      <c r="BS47" s="129">
        <v>0</v>
      </c>
      <c r="BT47" s="129">
        <v>0</v>
      </c>
      <c r="BU47" s="129">
        <v>0</v>
      </c>
      <c r="BV47" s="129">
        <v>0</v>
      </c>
      <c r="BW47" s="129">
        <v>0</v>
      </c>
      <c r="BX47" s="129">
        <v>0</v>
      </c>
      <c r="BY47" s="129">
        <v>0</v>
      </c>
      <c r="BZ47" s="129">
        <v>0</v>
      </c>
      <c r="CA47" s="129">
        <v>0</v>
      </c>
      <c r="CB47" s="129">
        <v>0</v>
      </c>
      <c r="CC47" s="129">
        <v>0</v>
      </c>
      <c r="CD47" s="129">
        <v>0</v>
      </c>
      <c r="CE47" s="129">
        <v>0</v>
      </c>
      <c r="CF47" s="129">
        <v>0</v>
      </c>
      <c r="CG47" s="129">
        <v>0</v>
      </c>
      <c r="CH47" s="129">
        <v>0</v>
      </c>
      <c r="CI47" s="129">
        <v>0</v>
      </c>
      <c r="CJ47" s="129">
        <v>0</v>
      </c>
      <c r="CK47" s="129">
        <v>0</v>
      </c>
      <c r="CL47" s="129">
        <v>4575</v>
      </c>
      <c r="CM47" s="129">
        <v>4475</v>
      </c>
      <c r="CN47" s="129">
        <v>4425</v>
      </c>
      <c r="CO47" s="129">
        <v>4270</v>
      </c>
      <c r="CP47" s="129">
        <v>4145</v>
      </c>
      <c r="CQ47" s="129">
        <v>4100</v>
      </c>
      <c r="CR47" s="129">
        <v>4240</v>
      </c>
      <c r="CS47" s="129">
        <v>4150</v>
      </c>
      <c r="CT47" s="129">
        <v>4030</v>
      </c>
      <c r="CU47" s="129">
        <v>4000</v>
      </c>
      <c r="CV47" s="129">
        <v>4115</v>
      </c>
      <c r="CW47" s="129">
        <v>4085</v>
      </c>
      <c r="CX47" s="129">
        <v>4025</v>
      </c>
      <c r="CY47" s="129">
        <v>3935</v>
      </c>
      <c r="CZ47" s="129">
        <v>3965</v>
      </c>
      <c r="DA47" s="129">
        <v>4010</v>
      </c>
      <c r="DB47" s="129">
        <v>4005</v>
      </c>
      <c r="DC47" s="129">
        <v>3990</v>
      </c>
      <c r="DD47" s="129">
        <v>4115</v>
      </c>
      <c r="DE47" s="129">
        <v>3975</v>
      </c>
      <c r="DF47" s="129">
        <v>3970</v>
      </c>
      <c r="DG47" s="129">
        <v>3730</v>
      </c>
      <c r="DH47" s="129">
        <v>3675</v>
      </c>
      <c r="DI47" s="129">
        <v>3615</v>
      </c>
      <c r="DJ47" s="129">
        <v>3450</v>
      </c>
      <c r="DK47" s="129">
        <v>3455</v>
      </c>
      <c r="DL47" s="129">
        <v>3440</v>
      </c>
      <c r="DM47" s="129">
        <v>3455</v>
      </c>
      <c r="DN47" s="129">
        <v>3420</v>
      </c>
      <c r="DO47" s="129">
        <v>3395</v>
      </c>
      <c r="DP47" s="129">
        <v>3270</v>
      </c>
      <c r="DQ47" s="129">
        <v>3185</v>
      </c>
      <c r="DR47" s="129">
        <v>3340</v>
      </c>
      <c r="DS47" s="129">
        <v>3370</v>
      </c>
      <c r="DT47" s="129">
        <v>3390</v>
      </c>
      <c r="DU47" s="129">
        <v>3370</v>
      </c>
      <c r="DV47" s="129">
        <v>3645</v>
      </c>
      <c r="DW47" s="129">
        <v>3635</v>
      </c>
      <c r="DX47" s="129">
        <v>3440</v>
      </c>
      <c r="DY47" s="129">
        <v>3295</v>
      </c>
      <c r="DZ47" s="129">
        <v>3210</v>
      </c>
      <c r="EA47" s="129">
        <v>3250</v>
      </c>
      <c r="EB47" s="129">
        <v>3185</v>
      </c>
      <c r="EC47" s="129">
        <v>3245</v>
      </c>
      <c r="ED47" s="129">
        <v>3270</v>
      </c>
      <c r="EE47" s="129">
        <v>3350</v>
      </c>
      <c r="EF47" s="129">
        <v>3520</v>
      </c>
      <c r="EG47" s="129">
        <v>3375</v>
      </c>
      <c r="EH47" s="129">
        <v>3385</v>
      </c>
      <c r="EI47" s="129">
        <v>3335</v>
      </c>
      <c r="EJ47" s="129">
        <v>3355</v>
      </c>
      <c r="EK47" s="129">
        <v>3265</v>
      </c>
      <c r="EL47" s="129">
        <v>3485</v>
      </c>
      <c r="EM47" s="129">
        <v>3495</v>
      </c>
      <c r="EN47" s="129">
        <v>3580</v>
      </c>
      <c r="EO47" s="129">
        <v>3665</v>
      </c>
      <c r="EP47" s="129">
        <v>3720</v>
      </c>
      <c r="EQ47" s="129">
        <v>3815</v>
      </c>
      <c r="ER47" s="129">
        <v>3845</v>
      </c>
      <c r="ES47" s="129">
        <v>3655</v>
      </c>
      <c r="ET47" s="129">
        <v>3535</v>
      </c>
      <c r="EU47" s="129">
        <v>3500</v>
      </c>
      <c r="EV47" s="129">
        <v>3515</v>
      </c>
      <c r="EW47" s="129">
        <v>3535</v>
      </c>
    </row>
    <row r="48" spans="1:153" x14ac:dyDescent="0.25">
      <c r="A48" s="357" t="str">
        <f>IPO監視一覧!H38</f>
        <v>B</v>
      </c>
      <c r="B48" s="84" t="str">
        <f>IPO監視一覧!B38</f>
        <v>GameWith</v>
      </c>
      <c r="C48" s="332">
        <f>株価一覧!E47</f>
        <v>3685</v>
      </c>
      <c r="D48" s="354">
        <f t="shared" ca="1" si="12"/>
        <v>3727</v>
      </c>
      <c r="E48" s="330">
        <f t="shared" ca="1" si="15"/>
        <v>3688.5</v>
      </c>
      <c r="F48" s="331">
        <f t="shared" ca="1" si="16"/>
        <v>3430</v>
      </c>
      <c r="G48" s="129">
        <v>0</v>
      </c>
      <c r="H48" s="129">
        <v>0</v>
      </c>
      <c r="I48" s="129">
        <v>0</v>
      </c>
      <c r="J48" s="129">
        <v>0</v>
      </c>
      <c r="K48" s="129">
        <v>0</v>
      </c>
      <c r="L48" s="129">
        <v>0</v>
      </c>
      <c r="M48" s="129">
        <v>0</v>
      </c>
      <c r="N48" s="129">
        <v>0</v>
      </c>
      <c r="O48" s="129">
        <v>0</v>
      </c>
      <c r="P48" s="129">
        <v>0</v>
      </c>
      <c r="Q48" s="129">
        <v>0</v>
      </c>
      <c r="R48" s="129">
        <v>0</v>
      </c>
      <c r="S48" s="129">
        <v>0</v>
      </c>
      <c r="T48" s="129">
        <v>0</v>
      </c>
      <c r="U48" s="129">
        <v>0</v>
      </c>
      <c r="V48" s="129">
        <v>0</v>
      </c>
      <c r="W48" s="129">
        <v>0</v>
      </c>
      <c r="X48" s="129">
        <v>0</v>
      </c>
      <c r="Y48" s="129">
        <v>0</v>
      </c>
      <c r="Z48" s="129">
        <v>0</v>
      </c>
      <c r="AA48" s="129">
        <v>0</v>
      </c>
      <c r="AB48" s="129">
        <v>0</v>
      </c>
      <c r="AC48" s="129">
        <v>0</v>
      </c>
      <c r="AD48" s="129">
        <v>0</v>
      </c>
      <c r="AE48" s="129">
        <v>0</v>
      </c>
      <c r="AF48" s="129">
        <v>0</v>
      </c>
      <c r="AG48" s="129">
        <v>0</v>
      </c>
      <c r="AH48" s="129">
        <v>0</v>
      </c>
      <c r="AI48" s="129">
        <v>0</v>
      </c>
      <c r="AJ48" s="129">
        <v>0</v>
      </c>
      <c r="AK48" s="129">
        <v>0</v>
      </c>
      <c r="AL48" s="129">
        <v>0</v>
      </c>
      <c r="AM48" s="129">
        <v>0</v>
      </c>
      <c r="AN48" s="129">
        <v>0</v>
      </c>
      <c r="AO48" s="129">
        <v>0</v>
      </c>
      <c r="AP48" s="129">
        <v>0</v>
      </c>
      <c r="AQ48" s="129">
        <v>0</v>
      </c>
      <c r="AR48" s="129">
        <v>0</v>
      </c>
      <c r="AS48" s="129">
        <v>0</v>
      </c>
      <c r="AT48" s="129">
        <v>0</v>
      </c>
      <c r="AU48" s="129">
        <v>0</v>
      </c>
      <c r="AV48" s="129">
        <v>0</v>
      </c>
      <c r="AW48" s="129">
        <v>0</v>
      </c>
      <c r="AX48" s="129">
        <v>0</v>
      </c>
      <c r="AY48" s="129">
        <v>0</v>
      </c>
      <c r="AZ48" s="129">
        <v>0</v>
      </c>
      <c r="BA48" s="129">
        <v>0</v>
      </c>
      <c r="BB48" s="129">
        <v>0</v>
      </c>
      <c r="BC48" s="129">
        <v>0</v>
      </c>
      <c r="BD48" s="129">
        <v>0</v>
      </c>
      <c r="BE48" s="129">
        <v>0</v>
      </c>
      <c r="BF48" s="129">
        <v>0</v>
      </c>
      <c r="BG48" s="129">
        <v>0</v>
      </c>
      <c r="BH48" s="129">
        <v>0</v>
      </c>
      <c r="BI48" s="129">
        <v>0</v>
      </c>
      <c r="BJ48" s="129">
        <v>0</v>
      </c>
      <c r="BK48" s="129">
        <v>0</v>
      </c>
      <c r="BL48" s="129">
        <v>0</v>
      </c>
      <c r="BM48" s="129">
        <v>0</v>
      </c>
      <c r="BN48" s="129">
        <v>0</v>
      </c>
      <c r="BO48" s="129">
        <v>0</v>
      </c>
      <c r="BP48" s="129">
        <v>0</v>
      </c>
      <c r="BQ48" s="129">
        <v>0</v>
      </c>
      <c r="BR48" s="129">
        <v>0</v>
      </c>
      <c r="BS48" s="129">
        <v>0</v>
      </c>
      <c r="BT48" s="129">
        <v>0</v>
      </c>
      <c r="BU48" s="129">
        <v>0</v>
      </c>
      <c r="BV48" s="129">
        <v>0</v>
      </c>
      <c r="BW48" s="129">
        <v>0</v>
      </c>
      <c r="BX48" s="129">
        <v>0</v>
      </c>
      <c r="BY48" s="129">
        <v>0</v>
      </c>
      <c r="BZ48" s="129">
        <v>0</v>
      </c>
      <c r="CA48" s="129">
        <v>0</v>
      </c>
      <c r="CB48" s="129">
        <v>0</v>
      </c>
      <c r="CC48" s="129">
        <v>0</v>
      </c>
      <c r="CD48" s="129">
        <v>0</v>
      </c>
      <c r="CE48" s="129">
        <v>0</v>
      </c>
      <c r="CF48" s="129">
        <v>0</v>
      </c>
      <c r="CG48" s="129">
        <v>0</v>
      </c>
      <c r="CH48" s="129">
        <v>0</v>
      </c>
      <c r="CI48" s="129">
        <v>0</v>
      </c>
      <c r="CJ48" s="129">
        <v>0</v>
      </c>
      <c r="CK48" s="129">
        <v>0</v>
      </c>
      <c r="CL48" s="129">
        <v>4505</v>
      </c>
      <c r="CM48" s="129">
        <v>4250</v>
      </c>
      <c r="CN48" s="129">
        <v>4085</v>
      </c>
      <c r="CO48" s="129">
        <v>4350</v>
      </c>
      <c r="CP48" s="129">
        <v>4205</v>
      </c>
      <c r="CQ48" s="129">
        <v>4100</v>
      </c>
      <c r="CR48" s="129">
        <v>4000</v>
      </c>
      <c r="CS48" s="129">
        <v>4020</v>
      </c>
      <c r="CT48" s="129">
        <v>4010</v>
      </c>
      <c r="CU48" s="129">
        <v>3630</v>
      </c>
      <c r="CV48" s="129">
        <v>3595</v>
      </c>
      <c r="CW48" s="129">
        <v>3860</v>
      </c>
      <c r="CX48" s="129">
        <v>3770</v>
      </c>
      <c r="CY48" s="129">
        <v>3710</v>
      </c>
      <c r="CZ48" s="129">
        <v>3730</v>
      </c>
      <c r="DA48" s="129">
        <v>3940</v>
      </c>
      <c r="DB48" s="129">
        <v>3805</v>
      </c>
      <c r="DC48" s="129">
        <v>3670</v>
      </c>
      <c r="DD48" s="129">
        <v>3730</v>
      </c>
      <c r="DE48" s="129">
        <v>3770</v>
      </c>
      <c r="DF48" s="129">
        <v>3870</v>
      </c>
      <c r="DG48" s="129">
        <v>3630</v>
      </c>
      <c r="DH48" s="129">
        <v>3700</v>
      </c>
      <c r="DI48" s="129">
        <v>3670</v>
      </c>
      <c r="DJ48" s="129">
        <v>3595</v>
      </c>
      <c r="DK48" s="129">
        <v>3015</v>
      </c>
      <c r="DL48" s="129">
        <v>2995</v>
      </c>
      <c r="DM48" s="129">
        <v>2959</v>
      </c>
      <c r="DN48" s="129">
        <v>3175</v>
      </c>
      <c r="DO48" s="129">
        <v>3205</v>
      </c>
      <c r="DP48" s="129">
        <v>3180</v>
      </c>
      <c r="DQ48" s="129">
        <v>3095</v>
      </c>
      <c r="DR48" s="129">
        <v>2990</v>
      </c>
      <c r="DS48" s="129">
        <v>3195</v>
      </c>
      <c r="DT48" s="129">
        <v>3190</v>
      </c>
      <c r="DU48" s="129">
        <v>3470</v>
      </c>
      <c r="DV48" s="129">
        <v>3235</v>
      </c>
      <c r="DW48" s="129">
        <v>3160</v>
      </c>
      <c r="DX48" s="129">
        <v>3120</v>
      </c>
      <c r="DY48" s="129">
        <v>2876</v>
      </c>
      <c r="DZ48" s="129">
        <v>2820</v>
      </c>
      <c r="EA48" s="129">
        <v>2791</v>
      </c>
      <c r="EB48" s="129">
        <v>2795</v>
      </c>
      <c r="EC48" s="129">
        <v>2877</v>
      </c>
      <c r="ED48" s="129">
        <v>2972</v>
      </c>
      <c r="EE48" s="129">
        <v>2940</v>
      </c>
      <c r="EF48" s="129">
        <v>2833</v>
      </c>
      <c r="EG48" s="129">
        <v>2889</v>
      </c>
      <c r="EH48" s="129">
        <v>2874</v>
      </c>
      <c r="EI48" s="129">
        <v>3130</v>
      </c>
      <c r="EJ48" s="129">
        <v>3300</v>
      </c>
      <c r="EK48" s="129">
        <v>3300</v>
      </c>
      <c r="EL48" s="129">
        <v>3200</v>
      </c>
      <c r="EM48" s="129">
        <v>3245</v>
      </c>
      <c r="EN48" s="129">
        <v>3305</v>
      </c>
      <c r="EO48" s="129">
        <v>3430</v>
      </c>
      <c r="EP48" s="129">
        <v>3980</v>
      </c>
      <c r="EQ48" s="129">
        <v>3835</v>
      </c>
      <c r="ER48" s="129">
        <v>3700</v>
      </c>
      <c r="ES48" s="129">
        <v>3820</v>
      </c>
      <c r="ET48" s="129">
        <v>3580</v>
      </c>
      <c r="EU48" s="129">
        <v>3775</v>
      </c>
      <c r="EV48" s="129">
        <v>3775</v>
      </c>
      <c r="EW48" s="129">
        <v>3685</v>
      </c>
    </row>
    <row r="49" spans="1:153" x14ac:dyDescent="0.25">
      <c r="A49" s="357" t="s">
        <v>463</v>
      </c>
      <c r="B49" s="84" t="str">
        <f>参加条件計算!B49</f>
        <v>アンジェス</v>
      </c>
      <c r="C49" s="332">
        <f>株価一覧!E48</f>
        <v>641</v>
      </c>
      <c r="D49" s="354">
        <f t="shared" ref="D49" ca="1" si="17">AVERAGE(OFFSET(A49,0,COUNTA(G49:XFD49)+5,1,-5))</f>
        <v>643.79999999999995</v>
      </c>
      <c r="E49" s="330">
        <f t="shared" ref="E49" ca="1" si="18">AVERAGE(OFFSET(A49,0,COUNTA(G49:XFD49)+5,1,-10))</f>
        <v>648.79999999999995</v>
      </c>
      <c r="F49" s="331">
        <f t="shared" ref="F49" ca="1" si="19">MIN(OFFSET(B49,0,COUNTA(G49:XFD49)+5,1,-10))</f>
        <v>641</v>
      </c>
      <c r="G49" s="129">
        <v>0</v>
      </c>
      <c r="H49" s="129">
        <v>0</v>
      </c>
      <c r="I49" s="129">
        <v>0</v>
      </c>
      <c r="J49" s="129">
        <v>0</v>
      </c>
      <c r="K49" s="129">
        <v>0</v>
      </c>
      <c r="L49" s="129">
        <v>0</v>
      </c>
      <c r="M49" s="129">
        <v>0</v>
      </c>
      <c r="N49" s="129">
        <v>0</v>
      </c>
      <c r="O49" s="129">
        <v>0</v>
      </c>
      <c r="P49" s="129">
        <v>0</v>
      </c>
      <c r="Q49" s="129">
        <v>0</v>
      </c>
      <c r="R49" s="129">
        <v>0</v>
      </c>
      <c r="S49" s="129">
        <v>0</v>
      </c>
      <c r="T49" s="129">
        <v>0</v>
      </c>
      <c r="U49" s="129">
        <v>0</v>
      </c>
      <c r="V49" s="129">
        <v>0</v>
      </c>
      <c r="W49" s="129">
        <v>0</v>
      </c>
      <c r="X49" s="129">
        <v>0</v>
      </c>
      <c r="Y49" s="129">
        <v>0</v>
      </c>
      <c r="Z49" s="129">
        <v>0</v>
      </c>
      <c r="AA49" s="129">
        <v>0</v>
      </c>
      <c r="AB49" s="129">
        <v>0</v>
      </c>
      <c r="AC49" s="129">
        <v>0</v>
      </c>
      <c r="AD49" s="129">
        <v>0</v>
      </c>
      <c r="AE49" s="129">
        <v>0</v>
      </c>
      <c r="AF49" s="129">
        <v>0</v>
      </c>
      <c r="AG49" s="129">
        <v>0</v>
      </c>
      <c r="AH49" s="129">
        <v>0</v>
      </c>
      <c r="AI49" s="129">
        <v>0</v>
      </c>
      <c r="AJ49" s="129">
        <v>0</v>
      </c>
      <c r="AK49" s="129">
        <v>0</v>
      </c>
      <c r="AL49" s="129">
        <v>0</v>
      </c>
      <c r="AM49" s="129">
        <v>0</v>
      </c>
      <c r="AN49" s="129">
        <v>0</v>
      </c>
      <c r="AO49" s="129">
        <v>0</v>
      </c>
      <c r="AP49" s="129">
        <v>0</v>
      </c>
      <c r="AQ49" s="129">
        <v>0</v>
      </c>
      <c r="AR49" s="129">
        <v>0</v>
      </c>
      <c r="AS49" s="129">
        <v>0</v>
      </c>
      <c r="AT49" s="129">
        <v>0</v>
      </c>
      <c r="AU49" s="129">
        <v>0</v>
      </c>
      <c r="AV49" s="129">
        <v>0</v>
      </c>
      <c r="AW49" s="129">
        <v>0</v>
      </c>
      <c r="AX49" s="129">
        <v>0</v>
      </c>
      <c r="AY49" s="129">
        <v>0</v>
      </c>
      <c r="AZ49" s="129">
        <v>0</v>
      </c>
      <c r="BA49" s="129">
        <v>0</v>
      </c>
      <c r="BB49" s="129">
        <v>0</v>
      </c>
      <c r="BC49" s="129">
        <v>0</v>
      </c>
      <c r="BD49" s="129">
        <v>0</v>
      </c>
      <c r="BE49" s="129">
        <v>0</v>
      </c>
      <c r="BF49" s="129">
        <v>0</v>
      </c>
      <c r="BG49" s="129">
        <v>0</v>
      </c>
      <c r="BH49" s="129">
        <v>0</v>
      </c>
      <c r="BI49" s="129">
        <v>0</v>
      </c>
      <c r="BJ49" s="129">
        <v>0</v>
      </c>
      <c r="BK49" s="129">
        <v>0</v>
      </c>
      <c r="BL49" s="129">
        <v>0</v>
      </c>
      <c r="BM49" s="129">
        <v>0</v>
      </c>
      <c r="BN49" s="129">
        <v>0</v>
      </c>
      <c r="BO49" s="129">
        <v>0</v>
      </c>
      <c r="BP49" s="129">
        <v>0</v>
      </c>
      <c r="BQ49" s="129">
        <v>0</v>
      </c>
      <c r="BR49" s="129">
        <v>0</v>
      </c>
      <c r="BS49" s="129">
        <v>0</v>
      </c>
      <c r="BT49" s="129">
        <v>0</v>
      </c>
      <c r="BU49" s="129">
        <v>0</v>
      </c>
      <c r="BV49" s="129">
        <v>0</v>
      </c>
      <c r="BW49" s="129">
        <v>0</v>
      </c>
      <c r="BX49" s="129">
        <v>0</v>
      </c>
      <c r="BY49" s="129">
        <v>0</v>
      </c>
      <c r="BZ49" s="129">
        <v>0</v>
      </c>
      <c r="CA49" s="129">
        <v>0</v>
      </c>
      <c r="CB49" s="129">
        <v>0</v>
      </c>
      <c r="CC49" s="129">
        <v>0</v>
      </c>
      <c r="CD49" s="129">
        <v>0</v>
      </c>
      <c r="CE49" s="129">
        <v>0</v>
      </c>
      <c r="CF49" s="129">
        <v>0</v>
      </c>
      <c r="CG49" s="129">
        <v>0</v>
      </c>
      <c r="CH49" s="129">
        <v>0</v>
      </c>
      <c r="CI49" s="129">
        <v>0</v>
      </c>
      <c r="CJ49" s="129">
        <v>0</v>
      </c>
      <c r="CK49" s="129">
        <v>0</v>
      </c>
      <c r="CL49" s="129">
        <v>0</v>
      </c>
      <c r="CM49" s="129">
        <v>0</v>
      </c>
      <c r="CN49" s="129">
        <v>0</v>
      </c>
      <c r="CO49" s="129">
        <v>0</v>
      </c>
      <c r="CP49" s="129">
        <v>652</v>
      </c>
      <c r="CQ49" s="129">
        <v>675</v>
      </c>
      <c r="CR49" s="129">
        <v>692</v>
      </c>
      <c r="CS49" s="129">
        <v>725</v>
      </c>
      <c r="CT49" s="129">
        <v>768</v>
      </c>
      <c r="CU49" s="129">
        <v>671</v>
      </c>
      <c r="CV49" s="129">
        <v>656</v>
      </c>
      <c r="CW49" s="129">
        <v>656</v>
      </c>
      <c r="CX49" s="129">
        <v>719</v>
      </c>
      <c r="CY49" s="129">
        <v>770</v>
      </c>
      <c r="CZ49" s="129">
        <v>840</v>
      </c>
      <c r="DA49" s="129">
        <v>810</v>
      </c>
      <c r="DB49" s="129">
        <v>814</v>
      </c>
      <c r="DC49" s="129">
        <v>864</v>
      </c>
      <c r="DD49" s="129">
        <v>831</v>
      </c>
      <c r="DE49" s="129">
        <v>837</v>
      </c>
      <c r="DF49" s="129">
        <v>755</v>
      </c>
      <c r="DG49" s="129">
        <v>625</v>
      </c>
      <c r="DH49" s="129">
        <v>683</v>
      </c>
      <c r="DI49" s="129">
        <v>636</v>
      </c>
      <c r="DJ49" s="129">
        <v>669</v>
      </c>
      <c r="DK49" s="129">
        <v>602</v>
      </c>
      <c r="DL49" s="129">
        <v>651</v>
      </c>
      <c r="DM49" s="129">
        <v>652</v>
      </c>
      <c r="DN49" s="129">
        <v>664</v>
      </c>
      <c r="DO49" s="129">
        <v>656</v>
      </c>
      <c r="DP49" s="129">
        <v>654</v>
      </c>
      <c r="DQ49" s="129">
        <v>672</v>
      </c>
      <c r="DR49" s="129">
        <v>671</v>
      </c>
      <c r="DS49" s="129">
        <v>760</v>
      </c>
      <c r="DT49" s="129">
        <v>668</v>
      </c>
      <c r="DU49" s="129">
        <v>644</v>
      </c>
      <c r="DV49" s="129">
        <v>631</v>
      </c>
      <c r="DW49" s="129">
        <v>640</v>
      </c>
      <c r="DX49" s="129">
        <v>612</v>
      </c>
      <c r="DY49" s="129">
        <v>573</v>
      </c>
      <c r="DZ49" s="129">
        <v>585</v>
      </c>
      <c r="EA49" s="129">
        <v>569</v>
      </c>
      <c r="EB49" s="129">
        <v>594</v>
      </c>
      <c r="EC49" s="129">
        <v>619</v>
      </c>
      <c r="ED49" s="129">
        <v>621</v>
      </c>
      <c r="EE49" s="129">
        <v>613</v>
      </c>
      <c r="EF49" s="129">
        <v>610</v>
      </c>
      <c r="EG49" s="129">
        <v>622</v>
      </c>
      <c r="EH49" s="129">
        <v>631</v>
      </c>
      <c r="EI49" s="129">
        <v>651</v>
      </c>
      <c r="EJ49" s="129">
        <v>649</v>
      </c>
      <c r="EK49" s="129">
        <v>626</v>
      </c>
      <c r="EL49" s="129">
        <v>625</v>
      </c>
      <c r="EM49" s="129">
        <v>617</v>
      </c>
      <c r="EN49" s="129">
        <v>642</v>
      </c>
      <c r="EO49" s="129">
        <v>645</v>
      </c>
      <c r="EP49" s="129">
        <v>661</v>
      </c>
      <c r="EQ49" s="129">
        <v>664</v>
      </c>
      <c r="ER49" s="129">
        <v>657</v>
      </c>
      <c r="ES49" s="129">
        <v>647</v>
      </c>
      <c r="ET49" s="129">
        <v>643</v>
      </c>
      <c r="EU49" s="129">
        <v>641</v>
      </c>
      <c r="EV49" s="129">
        <v>647</v>
      </c>
      <c r="EW49" s="129">
        <v>641</v>
      </c>
    </row>
    <row r="50" spans="1:153" x14ac:dyDescent="0.25">
      <c r="A50" s="357" t="s">
        <v>463</v>
      </c>
      <c r="B50" s="84" t="str">
        <f>参加条件計算!B50</f>
        <v>トレイダーズHD</v>
      </c>
      <c r="C50" s="332">
        <f>株価一覧!E49</f>
        <v>159</v>
      </c>
      <c r="D50" s="354">
        <f t="shared" ref="D50" ca="1" si="20">AVERAGE(OFFSET(A50,0,COUNTA(G50:XFD50)+5,1,-5))</f>
        <v>162.80000000000001</v>
      </c>
      <c r="E50" s="330">
        <f t="shared" ref="E50" ca="1" si="21">AVERAGE(OFFSET(A50,0,COUNTA(G50:XFD50)+5,1,-10))</f>
        <v>163.69999999999999</v>
      </c>
      <c r="F50" s="331">
        <f t="shared" ref="F50" ca="1" si="22">MIN(OFFSET(B50,0,COUNTA(G50:XFD50)+5,1,-10))</f>
        <v>159</v>
      </c>
      <c r="G50" s="129">
        <v>0</v>
      </c>
      <c r="H50" s="129">
        <v>0</v>
      </c>
      <c r="I50" s="129">
        <v>0</v>
      </c>
      <c r="J50" s="129">
        <v>0</v>
      </c>
      <c r="K50" s="129">
        <v>0</v>
      </c>
      <c r="L50" s="129">
        <v>0</v>
      </c>
      <c r="M50" s="129">
        <v>0</v>
      </c>
      <c r="N50" s="129">
        <v>0</v>
      </c>
      <c r="O50" s="129">
        <v>0</v>
      </c>
      <c r="P50" s="129">
        <v>0</v>
      </c>
      <c r="Q50" s="129">
        <v>0</v>
      </c>
      <c r="R50" s="129">
        <v>0</v>
      </c>
      <c r="S50" s="129">
        <v>0</v>
      </c>
      <c r="T50" s="129">
        <v>0</v>
      </c>
      <c r="U50" s="129">
        <v>0</v>
      </c>
      <c r="V50" s="129">
        <v>0</v>
      </c>
      <c r="W50" s="129">
        <v>0</v>
      </c>
      <c r="X50" s="129">
        <v>0</v>
      </c>
      <c r="Y50" s="129">
        <v>0</v>
      </c>
      <c r="Z50" s="129">
        <v>0</v>
      </c>
      <c r="AA50" s="129">
        <v>0</v>
      </c>
      <c r="AB50" s="129">
        <v>0</v>
      </c>
      <c r="AC50" s="129">
        <v>0</v>
      </c>
      <c r="AD50" s="129">
        <v>0</v>
      </c>
      <c r="AE50" s="129">
        <v>0</v>
      </c>
      <c r="AF50" s="129">
        <v>0</v>
      </c>
      <c r="AG50" s="129">
        <v>0</v>
      </c>
      <c r="AH50" s="129">
        <v>0</v>
      </c>
      <c r="AI50" s="129">
        <v>0</v>
      </c>
      <c r="AJ50" s="129">
        <v>0</v>
      </c>
      <c r="AK50" s="129">
        <v>0</v>
      </c>
      <c r="AL50" s="129">
        <v>0</v>
      </c>
      <c r="AM50" s="129">
        <v>0</v>
      </c>
      <c r="AN50" s="129">
        <v>0</v>
      </c>
      <c r="AO50" s="129">
        <v>0</v>
      </c>
      <c r="AP50" s="129">
        <v>0</v>
      </c>
      <c r="AQ50" s="129">
        <v>0</v>
      </c>
      <c r="AR50" s="129">
        <v>0</v>
      </c>
      <c r="AS50" s="129">
        <v>0</v>
      </c>
      <c r="AT50" s="129">
        <v>0</v>
      </c>
      <c r="AU50" s="129">
        <v>0</v>
      </c>
      <c r="AV50" s="129">
        <v>0</v>
      </c>
      <c r="AW50" s="129">
        <v>0</v>
      </c>
      <c r="AX50" s="129">
        <v>0</v>
      </c>
      <c r="AY50" s="129">
        <v>0</v>
      </c>
      <c r="AZ50" s="129">
        <v>0</v>
      </c>
      <c r="BA50" s="129">
        <v>0</v>
      </c>
      <c r="BB50" s="129">
        <v>0</v>
      </c>
      <c r="BC50" s="129">
        <v>0</v>
      </c>
      <c r="BD50" s="129">
        <v>0</v>
      </c>
      <c r="BE50" s="129">
        <v>0</v>
      </c>
      <c r="BF50" s="129">
        <v>0</v>
      </c>
      <c r="BG50" s="129">
        <v>0</v>
      </c>
      <c r="BH50" s="129">
        <v>0</v>
      </c>
      <c r="BI50" s="129">
        <v>0</v>
      </c>
      <c r="BJ50" s="129">
        <v>0</v>
      </c>
      <c r="BK50" s="129">
        <v>0</v>
      </c>
      <c r="BL50" s="129">
        <v>0</v>
      </c>
      <c r="BM50" s="129">
        <v>0</v>
      </c>
      <c r="BN50" s="129">
        <v>0</v>
      </c>
      <c r="BO50" s="129">
        <v>0</v>
      </c>
      <c r="BP50" s="129">
        <v>0</v>
      </c>
      <c r="BQ50" s="129">
        <v>0</v>
      </c>
      <c r="BR50" s="129">
        <v>0</v>
      </c>
      <c r="BS50" s="129">
        <v>0</v>
      </c>
      <c r="BT50" s="129">
        <v>0</v>
      </c>
      <c r="BU50" s="129">
        <v>0</v>
      </c>
      <c r="BV50" s="129">
        <v>0</v>
      </c>
      <c r="BW50" s="129">
        <v>0</v>
      </c>
      <c r="BX50" s="129">
        <v>0</v>
      </c>
      <c r="BY50" s="129">
        <v>0</v>
      </c>
      <c r="BZ50" s="129">
        <v>0</v>
      </c>
      <c r="CA50" s="129">
        <v>0</v>
      </c>
      <c r="CB50" s="129">
        <v>0</v>
      </c>
      <c r="CC50" s="129">
        <v>0</v>
      </c>
      <c r="CD50" s="129">
        <v>0</v>
      </c>
      <c r="CE50" s="129">
        <v>0</v>
      </c>
      <c r="CF50" s="129">
        <v>0</v>
      </c>
      <c r="CG50" s="129">
        <v>0</v>
      </c>
      <c r="CH50" s="129">
        <v>0</v>
      </c>
      <c r="CI50" s="129">
        <v>0</v>
      </c>
      <c r="CJ50" s="129">
        <v>0</v>
      </c>
      <c r="CK50" s="129">
        <v>0</v>
      </c>
      <c r="CL50" s="129">
        <v>0</v>
      </c>
      <c r="CM50" s="129">
        <v>0</v>
      </c>
      <c r="CN50" s="129">
        <v>0</v>
      </c>
      <c r="CO50" s="129">
        <v>0</v>
      </c>
      <c r="CP50" s="129">
        <v>328</v>
      </c>
      <c r="CQ50" s="129">
        <v>330</v>
      </c>
      <c r="CR50" s="129">
        <v>333</v>
      </c>
      <c r="CS50" s="129">
        <v>307</v>
      </c>
      <c r="CT50" s="129">
        <v>305</v>
      </c>
      <c r="CU50" s="129">
        <v>278</v>
      </c>
      <c r="CV50" s="129">
        <v>260</v>
      </c>
      <c r="CW50" s="129">
        <v>237</v>
      </c>
      <c r="CX50" s="129">
        <v>236</v>
      </c>
      <c r="CY50" s="129">
        <v>244</v>
      </c>
      <c r="CZ50" s="129">
        <v>271</v>
      </c>
      <c r="DA50" s="129">
        <v>277</v>
      </c>
      <c r="DB50" s="129">
        <v>278</v>
      </c>
      <c r="DC50" s="129">
        <v>269</v>
      </c>
      <c r="DD50" s="129">
        <v>248</v>
      </c>
      <c r="DE50" s="129">
        <v>219</v>
      </c>
      <c r="DF50" s="129">
        <v>215</v>
      </c>
      <c r="DG50" s="129">
        <v>177</v>
      </c>
      <c r="DH50" s="129">
        <v>184</v>
      </c>
      <c r="DI50" s="129">
        <v>172</v>
      </c>
      <c r="DJ50" s="129">
        <v>174</v>
      </c>
      <c r="DK50" s="129">
        <v>162</v>
      </c>
      <c r="DL50" s="129">
        <v>158</v>
      </c>
      <c r="DM50" s="129">
        <v>153</v>
      </c>
      <c r="DN50" s="129">
        <v>152</v>
      </c>
      <c r="DO50" s="129">
        <v>161</v>
      </c>
      <c r="DP50" s="129">
        <v>160</v>
      </c>
      <c r="DQ50" s="129">
        <v>165</v>
      </c>
      <c r="DR50" s="129">
        <v>161</v>
      </c>
      <c r="DS50" s="129">
        <v>169</v>
      </c>
      <c r="DT50" s="129">
        <v>166</v>
      </c>
      <c r="DU50" s="129">
        <v>164</v>
      </c>
      <c r="DV50" s="129">
        <v>159</v>
      </c>
      <c r="DW50" s="129">
        <v>160</v>
      </c>
      <c r="DX50" s="129">
        <v>155</v>
      </c>
      <c r="DY50" s="129">
        <v>144</v>
      </c>
      <c r="DZ50" s="129">
        <v>148</v>
      </c>
      <c r="EA50" s="129">
        <v>147</v>
      </c>
      <c r="EB50" s="129">
        <v>158</v>
      </c>
      <c r="EC50" s="129">
        <v>166</v>
      </c>
      <c r="ED50" s="129">
        <v>165</v>
      </c>
      <c r="EE50" s="129">
        <v>175</v>
      </c>
      <c r="EF50" s="129">
        <v>182</v>
      </c>
      <c r="EG50" s="129">
        <v>178</v>
      </c>
      <c r="EH50" s="129">
        <v>175</v>
      </c>
      <c r="EI50" s="129">
        <v>166</v>
      </c>
      <c r="EJ50" s="129">
        <v>166</v>
      </c>
      <c r="EK50" s="129">
        <v>160</v>
      </c>
      <c r="EL50" s="129">
        <v>160</v>
      </c>
      <c r="EM50" s="129">
        <v>158</v>
      </c>
      <c r="EN50" s="129">
        <v>159</v>
      </c>
      <c r="EO50" s="129">
        <v>166</v>
      </c>
      <c r="EP50" s="129">
        <v>164</v>
      </c>
      <c r="EQ50" s="129">
        <v>162</v>
      </c>
      <c r="ER50" s="129">
        <v>172</v>
      </c>
      <c r="ES50" s="129">
        <v>167</v>
      </c>
      <c r="ET50" s="129">
        <v>164</v>
      </c>
      <c r="EU50" s="129">
        <v>161</v>
      </c>
      <c r="EV50" s="129">
        <v>163</v>
      </c>
      <c r="EW50" s="129">
        <v>159</v>
      </c>
    </row>
    <row r="51" spans="1:153" x14ac:dyDescent="0.25">
      <c r="A51" s="357" t="str">
        <f>IPO監視一覧!H39</f>
        <v>B</v>
      </c>
      <c r="B51" s="84" t="str">
        <f>IPO監視一覧!B39</f>
        <v>ソウルドアウト</v>
      </c>
      <c r="C51" s="332">
        <f>株価一覧!E50</f>
        <v>2308</v>
      </c>
      <c r="D51" s="354">
        <f t="shared" ref="D51:D57" ca="1" si="23">AVERAGE(OFFSET(A51,0,COUNTA(G51:XFD51)+5,1,-5))</f>
        <v>2341.6</v>
      </c>
      <c r="E51" s="330">
        <f t="shared" ref="E51:E57" ca="1" si="24">AVERAGE(OFFSET(A51,0,COUNTA(G51:XFD51)+5,1,-10))</f>
        <v>2414.6999999999998</v>
      </c>
      <c r="F51" s="331">
        <f t="shared" ref="F51:F57" ca="1" si="25">MIN(OFFSET(B51,0,COUNTA(G51:XFD51)+5,1,-10))</f>
        <v>2303</v>
      </c>
      <c r="G51" s="129">
        <v>0</v>
      </c>
      <c r="H51" s="129">
        <v>0</v>
      </c>
      <c r="I51" s="129">
        <v>0</v>
      </c>
      <c r="J51" s="129">
        <v>0</v>
      </c>
      <c r="K51" s="129">
        <v>0</v>
      </c>
      <c r="L51" s="129">
        <v>0</v>
      </c>
      <c r="M51" s="129">
        <v>0</v>
      </c>
      <c r="N51" s="129">
        <v>0</v>
      </c>
      <c r="O51" s="129">
        <v>0</v>
      </c>
      <c r="P51" s="129">
        <v>0</v>
      </c>
      <c r="Q51" s="129">
        <v>0</v>
      </c>
      <c r="R51" s="129">
        <v>0</v>
      </c>
      <c r="S51" s="129">
        <v>0</v>
      </c>
      <c r="T51" s="129">
        <v>0</v>
      </c>
      <c r="U51" s="129">
        <v>0</v>
      </c>
      <c r="V51" s="129">
        <v>0</v>
      </c>
      <c r="W51" s="129">
        <v>0</v>
      </c>
      <c r="X51" s="129">
        <v>0</v>
      </c>
      <c r="Y51" s="129">
        <v>0</v>
      </c>
      <c r="Z51" s="129">
        <v>0</v>
      </c>
      <c r="AA51" s="129">
        <v>0</v>
      </c>
      <c r="AB51" s="129">
        <v>0</v>
      </c>
      <c r="AC51" s="129">
        <v>0</v>
      </c>
      <c r="AD51" s="129">
        <v>0</v>
      </c>
      <c r="AE51" s="129">
        <v>0</v>
      </c>
      <c r="AF51" s="129">
        <v>0</v>
      </c>
      <c r="AG51" s="129">
        <v>0</v>
      </c>
      <c r="AH51" s="129">
        <v>0</v>
      </c>
      <c r="AI51" s="129">
        <v>0</v>
      </c>
      <c r="AJ51" s="129">
        <v>0</v>
      </c>
      <c r="AK51" s="129">
        <v>0</v>
      </c>
      <c r="AL51" s="129">
        <v>0</v>
      </c>
      <c r="AM51" s="129">
        <v>0</v>
      </c>
      <c r="AN51" s="129">
        <v>0</v>
      </c>
      <c r="AO51" s="129">
        <v>0</v>
      </c>
      <c r="AP51" s="129">
        <v>0</v>
      </c>
      <c r="AQ51" s="129">
        <v>0</v>
      </c>
      <c r="AR51" s="129">
        <v>0</v>
      </c>
      <c r="AS51" s="129">
        <v>0</v>
      </c>
      <c r="AT51" s="129">
        <v>0</v>
      </c>
      <c r="AU51" s="129">
        <v>0</v>
      </c>
      <c r="AV51" s="129">
        <v>0</v>
      </c>
      <c r="AW51" s="129">
        <v>0</v>
      </c>
      <c r="AX51" s="129">
        <v>0</v>
      </c>
      <c r="AY51" s="129">
        <v>0</v>
      </c>
      <c r="AZ51" s="129">
        <v>0</v>
      </c>
      <c r="BA51" s="129">
        <v>0</v>
      </c>
      <c r="BB51" s="129">
        <v>0</v>
      </c>
      <c r="BC51" s="129">
        <v>0</v>
      </c>
      <c r="BD51" s="129">
        <v>0</v>
      </c>
      <c r="BE51" s="129">
        <v>0</v>
      </c>
      <c r="BF51" s="129">
        <v>0</v>
      </c>
      <c r="BG51" s="129">
        <v>0</v>
      </c>
      <c r="BH51" s="129">
        <v>0</v>
      </c>
      <c r="BI51" s="129">
        <v>0</v>
      </c>
      <c r="BJ51" s="129">
        <v>0</v>
      </c>
      <c r="BK51" s="129">
        <v>0</v>
      </c>
      <c r="BL51" s="129">
        <v>0</v>
      </c>
      <c r="BM51" s="129">
        <v>0</v>
      </c>
      <c r="BN51" s="129">
        <v>0</v>
      </c>
      <c r="BO51" s="129">
        <v>0</v>
      </c>
      <c r="BP51" s="129">
        <v>0</v>
      </c>
      <c r="BQ51" s="129">
        <v>0</v>
      </c>
      <c r="BR51" s="129">
        <v>0</v>
      </c>
      <c r="BS51" s="129">
        <v>0</v>
      </c>
      <c r="BT51" s="129">
        <v>0</v>
      </c>
      <c r="BU51" s="129">
        <v>0</v>
      </c>
      <c r="BV51" s="129">
        <v>0</v>
      </c>
      <c r="BW51" s="129">
        <v>0</v>
      </c>
      <c r="BX51" s="129">
        <v>0</v>
      </c>
      <c r="BY51" s="129">
        <v>0</v>
      </c>
      <c r="BZ51" s="129">
        <v>0</v>
      </c>
      <c r="CA51" s="129">
        <v>0</v>
      </c>
      <c r="CB51" s="129">
        <v>0</v>
      </c>
      <c r="CC51" s="129">
        <v>0</v>
      </c>
      <c r="CD51" s="129">
        <v>0</v>
      </c>
      <c r="CE51" s="129">
        <v>0</v>
      </c>
      <c r="CF51" s="129">
        <v>0</v>
      </c>
      <c r="CG51" s="129">
        <v>0</v>
      </c>
      <c r="CH51" s="129">
        <v>0</v>
      </c>
      <c r="CI51" s="129">
        <v>0</v>
      </c>
      <c r="CJ51" s="129">
        <v>0</v>
      </c>
      <c r="CK51" s="129">
        <v>0</v>
      </c>
      <c r="CL51" s="129">
        <v>0</v>
      </c>
      <c r="CM51" s="129">
        <v>0</v>
      </c>
      <c r="CN51" s="129">
        <v>0</v>
      </c>
      <c r="CO51" s="129">
        <v>0</v>
      </c>
      <c r="CP51" s="129">
        <v>0</v>
      </c>
      <c r="CQ51" s="129">
        <v>0</v>
      </c>
      <c r="CR51" s="129">
        <v>0</v>
      </c>
      <c r="CS51" s="129">
        <v>0</v>
      </c>
      <c r="CT51" s="129">
        <v>2143</v>
      </c>
      <c r="CU51" s="129">
        <v>2213</v>
      </c>
      <c r="CV51" s="129">
        <v>2713</v>
      </c>
      <c r="CW51" s="129">
        <v>2911</v>
      </c>
      <c r="CX51" s="129">
        <v>2693</v>
      </c>
      <c r="CY51" s="129">
        <v>2605</v>
      </c>
      <c r="CZ51" s="129">
        <v>2824</v>
      </c>
      <c r="DA51" s="129">
        <v>2697</v>
      </c>
      <c r="DB51" s="129">
        <v>2630</v>
      </c>
      <c r="DC51" s="129">
        <v>2540</v>
      </c>
      <c r="DD51" s="129">
        <v>2614</v>
      </c>
      <c r="DE51" s="129">
        <v>2339</v>
      </c>
      <c r="DF51" s="129">
        <v>2238</v>
      </c>
      <c r="DG51" s="129">
        <v>2262</v>
      </c>
      <c r="DH51" s="129">
        <v>2400</v>
      </c>
      <c r="DI51" s="129">
        <v>2320</v>
      </c>
      <c r="DJ51" s="129">
        <v>2230</v>
      </c>
      <c r="DK51" s="129">
        <v>2160</v>
      </c>
      <c r="DL51" s="129">
        <v>2220</v>
      </c>
      <c r="DM51" s="129">
        <v>2154</v>
      </c>
      <c r="DN51" s="129">
        <v>2220</v>
      </c>
      <c r="DO51" s="129">
        <v>2191</v>
      </c>
      <c r="DP51" s="129">
        <v>2207</v>
      </c>
      <c r="DQ51" s="129">
        <v>2235</v>
      </c>
      <c r="DR51" s="129">
        <v>2203</v>
      </c>
      <c r="DS51" s="129">
        <v>2202</v>
      </c>
      <c r="DT51" s="129">
        <v>2194</v>
      </c>
      <c r="DU51" s="129">
        <v>2428</v>
      </c>
      <c r="DV51" s="129">
        <v>2470</v>
      </c>
      <c r="DW51" s="129">
        <v>2411</v>
      </c>
      <c r="DX51" s="129">
        <v>2227</v>
      </c>
      <c r="DY51" s="129">
        <v>2005</v>
      </c>
      <c r="DZ51" s="129">
        <v>2011</v>
      </c>
      <c r="EA51" s="129">
        <v>2010</v>
      </c>
      <c r="EB51" s="129">
        <v>2000</v>
      </c>
      <c r="EC51" s="129">
        <v>2069</v>
      </c>
      <c r="ED51" s="129">
        <v>2202</v>
      </c>
      <c r="EE51" s="129">
        <v>2192</v>
      </c>
      <c r="EF51" s="129">
        <v>2329</v>
      </c>
      <c r="EG51" s="129">
        <v>2330</v>
      </c>
      <c r="EH51" s="129">
        <v>2318</v>
      </c>
      <c r="EI51" s="129">
        <v>2536</v>
      </c>
      <c r="EJ51" s="129">
        <v>2483</v>
      </c>
      <c r="EK51" s="129">
        <v>2443</v>
      </c>
      <c r="EL51" s="129">
        <v>2453</v>
      </c>
      <c r="EM51" s="129">
        <v>2327</v>
      </c>
      <c r="EN51" s="129">
        <v>2430</v>
      </c>
      <c r="EO51" s="129">
        <v>2430</v>
      </c>
      <c r="EP51" s="129">
        <v>2528</v>
      </c>
      <c r="EQ51" s="129">
        <v>2529</v>
      </c>
      <c r="ER51" s="129">
        <v>2522</v>
      </c>
      <c r="ES51" s="129">
        <v>2413</v>
      </c>
      <c r="ET51" s="129">
        <v>2340</v>
      </c>
      <c r="EU51" s="129">
        <v>2303</v>
      </c>
      <c r="EV51" s="129">
        <v>2344</v>
      </c>
      <c r="EW51" s="129">
        <v>2308</v>
      </c>
    </row>
    <row r="52" spans="1:153" x14ac:dyDescent="0.25">
      <c r="A52" s="357" t="str">
        <f>IPO監視一覧!H40</f>
        <v>B</v>
      </c>
      <c r="B52" s="84" t="str">
        <f>IPO監視一覧!B40</f>
        <v>ユニフォームネクスト</v>
      </c>
      <c r="C52" s="332">
        <f>株価一覧!E51</f>
        <v>4860</v>
      </c>
      <c r="D52" s="354">
        <f t="shared" ca="1" si="23"/>
        <v>4894</v>
      </c>
      <c r="E52" s="330">
        <f t="shared" ca="1" si="24"/>
        <v>4801.5</v>
      </c>
      <c r="F52" s="331">
        <f t="shared" ca="1" si="25"/>
        <v>4615</v>
      </c>
      <c r="G52" s="129">
        <v>0</v>
      </c>
      <c r="H52" s="129">
        <v>0</v>
      </c>
      <c r="I52" s="129">
        <v>0</v>
      </c>
      <c r="J52" s="129">
        <v>0</v>
      </c>
      <c r="K52" s="129">
        <v>0</v>
      </c>
      <c r="L52" s="129">
        <v>0</v>
      </c>
      <c r="M52" s="129">
        <v>0</v>
      </c>
      <c r="N52" s="129">
        <v>0</v>
      </c>
      <c r="O52" s="129">
        <v>0</v>
      </c>
      <c r="P52" s="129">
        <v>0</v>
      </c>
      <c r="Q52" s="129">
        <v>0</v>
      </c>
      <c r="R52" s="129">
        <v>0</v>
      </c>
      <c r="S52" s="129">
        <v>0</v>
      </c>
      <c r="T52" s="129">
        <v>0</v>
      </c>
      <c r="U52" s="129">
        <v>0</v>
      </c>
      <c r="V52" s="129">
        <v>0</v>
      </c>
      <c r="W52" s="129">
        <v>0</v>
      </c>
      <c r="X52" s="129">
        <v>0</v>
      </c>
      <c r="Y52" s="129">
        <v>0</v>
      </c>
      <c r="Z52" s="129">
        <v>0</v>
      </c>
      <c r="AA52" s="129">
        <v>0</v>
      </c>
      <c r="AB52" s="129">
        <v>0</v>
      </c>
      <c r="AC52" s="129">
        <v>0</v>
      </c>
      <c r="AD52" s="129">
        <v>0</v>
      </c>
      <c r="AE52" s="129">
        <v>0</v>
      </c>
      <c r="AF52" s="129">
        <v>0</v>
      </c>
      <c r="AG52" s="129">
        <v>0</v>
      </c>
      <c r="AH52" s="129">
        <v>0</v>
      </c>
      <c r="AI52" s="129">
        <v>0</v>
      </c>
      <c r="AJ52" s="129">
        <v>0</v>
      </c>
      <c r="AK52" s="129">
        <v>0</v>
      </c>
      <c r="AL52" s="129">
        <v>0</v>
      </c>
      <c r="AM52" s="129">
        <v>0</v>
      </c>
      <c r="AN52" s="129">
        <v>0</v>
      </c>
      <c r="AO52" s="129">
        <v>0</v>
      </c>
      <c r="AP52" s="129">
        <v>0</v>
      </c>
      <c r="AQ52" s="129">
        <v>0</v>
      </c>
      <c r="AR52" s="129">
        <v>0</v>
      </c>
      <c r="AS52" s="129">
        <v>0</v>
      </c>
      <c r="AT52" s="129">
        <v>0</v>
      </c>
      <c r="AU52" s="129">
        <v>0</v>
      </c>
      <c r="AV52" s="129">
        <v>0</v>
      </c>
      <c r="AW52" s="129">
        <v>0</v>
      </c>
      <c r="AX52" s="129">
        <v>0</v>
      </c>
      <c r="AY52" s="129">
        <v>0</v>
      </c>
      <c r="AZ52" s="129">
        <v>0</v>
      </c>
      <c r="BA52" s="129">
        <v>0</v>
      </c>
      <c r="BB52" s="129">
        <v>0</v>
      </c>
      <c r="BC52" s="129">
        <v>0</v>
      </c>
      <c r="BD52" s="129">
        <v>0</v>
      </c>
      <c r="BE52" s="129">
        <v>0</v>
      </c>
      <c r="BF52" s="129">
        <v>0</v>
      </c>
      <c r="BG52" s="129">
        <v>0</v>
      </c>
      <c r="BH52" s="129">
        <v>0</v>
      </c>
      <c r="BI52" s="129">
        <v>0</v>
      </c>
      <c r="BJ52" s="129">
        <v>0</v>
      </c>
      <c r="BK52" s="129">
        <v>0</v>
      </c>
      <c r="BL52" s="129">
        <v>0</v>
      </c>
      <c r="BM52" s="129">
        <v>0</v>
      </c>
      <c r="BN52" s="129">
        <v>0</v>
      </c>
      <c r="BO52" s="129">
        <v>0</v>
      </c>
      <c r="BP52" s="129">
        <v>0</v>
      </c>
      <c r="BQ52" s="129">
        <v>0</v>
      </c>
      <c r="BR52" s="129">
        <v>0</v>
      </c>
      <c r="BS52" s="129">
        <v>0</v>
      </c>
      <c r="BT52" s="129">
        <v>0</v>
      </c>
      <c r="BU52" s="129">
        <v>0</v>
      </c>
      <c r="BV52" s="129">
        <v>0</v>
      </c>
      <c r="BW52" s="129">
        <v>0</v>
      </c>
      <c r="BX52" s="129">
        <v>0</v>
      </c>
      <c r="BY52" s="129">
        <v>0</v>
      </c>
      <c r="BZ52" s="129">
        <v>0</v>
      </c>
      <c r="CA52" s="129">
        <v>0</v>
      </c>
      <c r="CB52" s="129">
        <v>0</v>
      </c>
      <c r="CC52" s="129">
        <v>0</v>
      </c>
      <c r="CD52" s="129">
        <v>0</v>
      </c>
      <c r="CE52" s="129">
        <v>0</v>
      </c>
      <c r="CF52" s="129">
        <v>0</v>
      </c>
      <c r="CG52" s="129">
        <v>0</v>
      </c>
      <c r="CH52" s="129">
        <v>0</v>
      </c>
      <c r="CI52" s="129">
        <v>0</v>
      </c>
      <c r="CJ52" s="129">
        <v>0</v>
      </c>
      <c r="CK52" s="129">
        <v>0</v>
      </c>
      <c r="CL52" s="129">
        <v>0</v>
      </c>
      <c r="CM52" s="129">
        <v>0</v>
      </c>
      <c r="CN52" s="129">
        <v>0</v>
      </c>
      <c r="CO52" s="129">
        <v>0</v>
      </c>
      <c r="CP52" s="129">
        <v>0</v>
      </c>
      <c r="CQ52" s="129">
        <v>0</v>
      </c>
      <c r="CR52" s="129">
        <v>0</v>
      </c>
      <c r="CS52" s="129">
        <v>0</v>
      </c>
      <c r="CT52" s="129">
        <v>0</v>
      </c>
      <c r="CU52" s="129">
        <v>0</v>
      </c>
      <c r="CV52" s="129">
        <v>0</v>
      </c>
      <c r="CW52" s="129">
        <v>0</v>
      </c>
      <c r="CX52" s="129">
        <v>0</v>
      </c>
      <c r="CY52" s="129">
        <v>5850</v>
      </c>
      <c r="CZ52" s="129">
        <v>5890</v>
      </c>
      <c r="DA52" s="129">
        <v>5610</v>
      </c>
      <c r="DB52" s="129">
        <v>6010</v>
      </c>
      <c r="DC52" s="129">
        <v>7010</v>
      </c>
      <c r="DD52" s="129">
        <v>8090</v>
      </c>
      <c r="DE52" s="129">
        <v>7810</v>
      </c>
      <c r="DF52" s="129">
        <v>7400</v>
      </c>
      <c r="DG52" s="129">
        <v>6500</v>
      </c>
      <c r="DH52" s="129">
        <v>6860</v>
      </c>
      <c r="DI52" s="129">
        <v>6940</v>
      </c>
      <c r="DJ52" s="129">
        <v>6540</v>
      </c>
      <c r="DK52" s="129">
        <v>6380</v>
      </c>
      <c r="DL52" s="129">
        <v>6210</v>
      </c>
      <c r="DM52" s="129">
        <v>6050</v>
      </c>
      <c r="DN52" s="129">
        <v>5870</v>
      </c>
      <c r="DO52" s="129">
        <v>6010</v>
      </c>
      <c r="DP52" s="129">
        <v>6020</v>
      </c>
      <c r="DQ52" s="129">
        <v>5930</v>
      </c>
      <c r="DR52" s="129">
        <v>5860</v>
      </c>
      <c r="DS52" s="129">
        <v>5740</v>
      </c>
      <c r="DT52" s="129">
        <v>5640</v>
      </c>
      <c r="DU52" s="129">
        <v>5660</v>
      </c>
      <c r="DV52" s="129">
        <v>5570</v>
      </c>
      <c r="DW52" s="129">
        <v>5460</v>
      </c>
      <c r="DX52" s="129">
        <v>5080</v>
      </c>
      <c r="DY52" s="129">
        <v>4655</v>
      </c>
      <c r="DZ52" s="129">
        <v>4630</v>
      </c>
      <c r="EA52" s="129">
        <v>4535</v>
      </c>
      <c r="EB52" s="129">
        <v>4570</v>
      </c>
      <c r="EC52" s="129">
        <v>4520</v>
      </c>
      <c r="ED52" s="129">
        <v>4430</v>
      </c>
      <c r="EE52" s="129">
        <v>5120</v>
      </c>
      <c r="EF52" s="129">
        <v>5100</v>
      </c>
      <c r="EG52" s="129">
        <v>5060</v>
      </c>
      <c r="EH52" s="129">
        <v>5010</v>
      </c>
      <c r="EI52" s="129">
        <v>4835</v>
      </c>
      <c r="EJ52" s="129">
        <v>4895</v>
      </c>
      <c r="EK52" s="129">
        <v>4610</v>
      </c>
      <c r="EL52" s="129">
        <v>4750</v>
      </c>
      <c r="EM52" s="129">
        <v>4705</v>
      </c>
      <c r="EN52" s="129">
        <v>4760</v>
      </c>
      <c r="EO52" s="129">
        <v>4615</v>
      </c>
      <c r="EP52" s="129">
        <v>4665</v>
      </c>
      <c r="EQ52" s="129">
        <v>4705</v>
      </c>
      <c r="ER52" s="129">
        <v>4800</v>
      </c>
      <c r="ES52" s="129">
        <v>4875</v>
      </c>
      <c r="ET52" s="129">
        <v>4945</v>
      </c>
      <c r="EU52" s="129">
        <v>4890</v>
      </c>
      <c r="EV52" s="129">
        <v>4900</v>
      </c>
      <c r="EW52" s="129">
        <v>4860</v>
      </c>
    </row>
    <row r="53" spans="1:153" x14ac:dyDescent="0.25">
      <c r="A53" s="357" t="str">
        <f>IPO監視一覧!H41</f>
        <v>D</v>
      </c>
      <c r="B53" s="84" t="str">
        <f>IPO監視一覧!B41</f>
        <v>ジェイ・エス・ビー</v>
      </c>
      <c r="C53" s="332">
        <f>株価一覧!E52</f>
        <v>4220</v>
      </c>
      <c r="D53" s="354">
        <f t="shared" ca="1" si="23"/>
        <v>4368</v>
      </c>
      <c r="E53" s="330">
        <f t="shared" ca="1" si="24"/>
        <v>4275.5</v>
      </c>
      <c r="F53" s="331">
        <f t="shared" ca="1" si="25"/>
        <v>4100</v>
      </c>
      <c r="G53" s="129">
        <v>0</v>
      </c>
      <c r="H53" s="129">
        <v>0</v>
      </c>
      <c r="I53" s="129">
        <v>0</v>
      </c>
      <c r="J53" s="129">
        <v>0</v>
      </c>
      <c r="K53" s="129">
        <v>0</v>
      </c>
      <c r="L53" s="129">
        <v>0</v>
      </c>
      <c r="M53" s="129">
        <v>0</v>
      </c>
      <c r="N53" s="129">
        <v>0</v>
      </c>
      <c r="O53" s="129">
        <v>0</v>
      </c>
      <c r="P53" s="129">
        <v>0</v>
      </c>
      <c r="Q53" s="129">
        <v>0</v>
      </c>
      <c r="R53" s="129">
        <v>0</v>
      </c>
      <c r="S53" s="129">
        <v>0</v>
      </c>
      <c r="T53" s="129">
        <v>0</v>
      </c>
      <c r="U53" s="129">
        <v>0</v>
      </c>
      <c r="V53" s="129">
        <v>0</v>
      </c>
      <c r="W53" s="129">
        <v>0</v>
      </c>
      <c r="X53" s="129">
        <v>0</v>
      </c>
      <c r="Y53" s="129">
        <v>0</v>
      </c>
      <c r="Z53" s="129">
        <v>0</v>
      </c>
      <c r="AA53" s="129">
        <v>0</v>
      </c>
      <c r="AB53" s="129">
        <v>0</v>
      </c>
      <c r="AC53" s="129">
        <v>0</v>
      </c>
      <c r="AD53" s="129">
        <v>0</v>
      </c>
      <c r="AE53" s="129">
        <v>0</v>
      </c>
      <c r="AF53" s="129">
        <v>0</v>
      </c>
      <c r="AG53" s="129">
        <v>0</v>
      </c>
      <c r="AH53" s="129">
        <v>0</v>
      </c>
      <c r="AI53" s="129">
        <v>0</v>
      </c>
      <c r="AJ53" s="129">
        <v>0</v>
      </c>
      <c r="AK53" s="129">
        <v>0</v>
      </c>
      <c r="AL53" s="129">
        <v>0</v>
      </c>
      <c r="AM53" s="129">
        <v>0</v>
      </c>
      <c r="AN53" s="129">
        <v>0</v>
      </c>
      <c r="AO53" s="129">
        <v>0</v>
      </c>
      <c r="AP53" s="129">
        <v>0</v>
      </c>
      <c r="AQ53" s="129">
        <v>0</v>
      </c>
      <c r="AR53" s="129">
        <v>0</v>
      </c>
      <c r="AS53" s="129">
        <v>0</v>
      </c>
      <c r="AT53" s="129">
        <v>0</v>
      </c>
      <c r="AU53" s="129">
        <v>0</v>
      </c>
      <c r="AV53" s="129">
        <v>0</v>
      </c>
      <c r="AW53" s="129">
        <v>0</v>
      </c>
      <c r="AX53" s="129">
        <v>0</v>
      </c>
      <c r="AY53" s="129">
        <v>0</v>
      </c>
      <c r="AZ53" s="129">
        <v>0</v>
      </c>
      <c r="BA53" s="129">
        <v>0</v>
      </c>
      <c r="BB53" s="129">
        <v>0</v>
      </c>
      <c r="BC53" s="129">
        <v>0</v>
      </c>
      <c r="BD53" s="129">
        <v>0</v>
      </c>
      <c r="BE53" s="129">
        <v>0</v>
      </c>
      <c r="BF53" s="129">
        <v>0</v>
      </c>
      <c r="BG53" s="129">
        <v>0</v>
      </c>
      <c r="BH53" s="129">
        <v>0</v>
      </c>
      <c r="BI53" s="129">
        <v>0</v>
      </c>
      <c r="BJ53" s="129">
        <v>0</v>
      </c>
      <c r="BK53" s="129">
        <v>0</v>
      </c>
      <c r="BL53" s="129">
        <v>0</v>
      </c>
      <c r="BM53" s="129">
        <v>0</v>
      </c>
      <c r="BN53" s="129">
        <v>0</v>
      </c>
      <c r="BO53" s="129">
        <v>0</v>
      </c>
      <c r="BP53" s="129">
        <v>0</v>
      </c>
      <c r="BQ53" s="129">
        <v>0</v>
      </c>
      <c r="BR53" s="129">
        <v>0</v>
      </c>
      <c r="BS53" s="129">
        <v>0</v>
      </c>
      <c r="BT53" s="129">
        <v>0</v>
      </c>
      <c r="BU53" s="129">
        <v>0</v>
      </c>
      <c r="BV53" s="129">
        <v>0</v>
      </c>
      <c r="BW53" s="129">
        <v>0</v>
      </c>
      <c r="BX53" s="129">
        <v>0</v>
      </c>
      <c r="BY53" s="129">
        <v>0</v>
      </c>
      <c r="BZ53" s="129">
        <v>0</v>
      </c>
      <c r="CA53" s="129">
        <v>0</v>
      </c>
      <c r="CB53" s="129">
        <v>0</v>
      </c>
      <c r="CC53" s="129">
        <v>0</v>
      </c>
      <c r="CD53" s="129">
        <v>0</v>
      </c>
      <c r="CE53" s="129">
        <v>0</v>
      </c>
      <c r="CF53" s="129">
        <v>0</v>
      </c>
      <c r="CG53" s="129">
        <v>0</v>
      </c>
      <c r="CH53" s="129">
        <v>0</v>
      </c>
      <c r="CI53" s="129">
        <v>0</v>
      </c>
      <c r="CJ53" s="129">
        <v>0</v>
      </c>
      <c r="CK53" s="129">
        <v>0</v>
      </c>
      <c r="CL53" s="129">
        <v>0</v>
      </c>
      <c r="CM53" s="129">
        <v>0</v>
      </c>
      <c r="CN53" s="129">
        <v>0</v>
      </c>
      <c r="CO53" s="129">
        <v>0</v>
      </c>
      <c r="CP53" s="129">
        <v>0</v>
      </c>
      <c r="CQ53" s="129">
        <v>0</v>
      </c>
      <c r="CR53" s="129">
        <v>0</v>
      </c>
      <c r="CS53" s="129">
        <v>0</v>
      </c>
      <c r="CT53" s="129">
        <v>0</v>
      </c>
      <c r="CU53" s="129">
        <v>0</v>
      </c>
      <c r="CV53" s="129">
        <v>0</v>
      </c>
      <c r="CW53" s="129">
        <v>0</v>
      </c>
      <c r="CX53" s="129">
        <v>0</v>
      </c>
      <c r="CY53" s="129">
        <v>4750</v>
      </c>
      <c r="CZ53" s="129">
        <v>4330</v>
      </c>
      <c r="DA53" s="129">
        <v>4390</v>
      </c>
      <c r="DB53" s="129">
        <v>4335</v>
      </c>
      <c r="DC53" s="129">
        <v>4205</v>
      </c>
      <c r="DD53" s="129">
        <v>4120</v>
      </c>
      <c r="DE53" s="129">
        <v>4260</v>
      </c>
      <c r="DF53" s="129">
        <v>4325</v>
      </c>
      <c r="DG53" s="129">
        <v>4300</v>
      </c>
      <c r="DH53" s="129">
        <v>4265</v>
      </c>
      <c r="DI53" s="129">
        <v>4225</v>
      </c>
      <c r="DJ53" s="129">
        <v>4160</v>
      </c>
      <c r="DK53" s="129">
        <v>4015</v>
      </c>
      <c r="DL53" s="129">
        <v>3925</v>
      </c>
      <c r="DM53" s="129">
        <v>3795</v>
      </c>
      <c r="DN53" s="129">
        <v>3845</v>
      </c>
      <c r="DO53" s="129">
        <v>3955</v>
      </c>
      <c r="DP53" s="129">
        <v>4005</v>
      </c>
      <c r="DQ53" s="129">
        <v>4095</v>
      </c>
      <c r="DR53" s="129">
        <v>4030</v>
      </c>
      <c r="DS53" s="129">
        <v>4195</v>
      </c>
      <c r="DT53" s="129">
        <v>4305</v>
      </c>
      <c r="DU53" s="129">
        <v>4370</v>
      </c>
      <c r="DV53" s="129">
        <v>4310</v>
      </c>
      <c r="DW53" s="129">
        <v>4315</v>
      </c>
      <c r="DX53" s="129">
        <v>4235</v>
      </c>
      <c r="DY53" s="129">
        <v>4000</v>
      </c>
      <c r="DZ53" s="129">
        <v>4185</v>
      </c>
      <c r="EA53" s="129">
        <v>4235</v>
      </c>
      <c r="EB53" s="129">
        <v>4175</v>
      </c>
      <c r="EC53" s="129">
        <v>4145</v>
      </c>
      <c r="ED53" s="129">
        <v>4310</v>
      </c>
      <c r="EE53" s="129">
        <v>4300</v>
      </c>
      <c r="EF53" s="129">
        <v>4250</v>
      </c>
      <c r="EG53" s="129">
        <v>4175</v>
      </c>
      <c r="EH53" s="129">
        <v>4055</v>
      </c>
      <c r="EI53" s="129">
        <v>4005</v>
      </c>
      <c r="EJ53" s="129">
        <v>4050</v>
      </c>
      <c r="EK53" s="129">
        <v>4020</v>
      </c>
      <c r="EL53" s="129">
        <v>4050</v>
      </c>
      <c r="EM53" s="129">
        <v>4175</v>
      </c>
      <c r="EN53" s="129">
        <v>4095</v>
      </c>
      <c r="EO53" s="129">
        <v>4100</v>
      </c>
      <c r="EP53" s="129">
        <v>4210</v>
      </c>
      <c r="EQ53" s="129">
        <v>4255</v>
      </c>
      <c r="ER53" s="129">
        <v>4255</v>
      </c>
      <c r="ES53" s="129">
        <v>4350</v>
      </c>
      <c r="ET53" s="129">
        <v>4345</v>
      </c>
      <c r="EU53" s="129">
        <v>4540</v>
      </c>
      <c r="EV53" s="129">
        <v>4385</v>
      </c>
      <c r="EW53" s="129">
        <v>4220</v>
      </c>
    </row>
    <row r="54" spans="1:153" x14ac:dyDescent="0.25">
      <c r="A54" s="357" t="str">
        <f>IPO監視一覧!H42</f>
        <v>C</v>
      </c>
      <c r="B54" s="84" t="str">
        <f>IPO監視一覧!B42</f>
        <v>クロスフォー</v>
      </c>
      <c r="C54" s="332">
        <f>株価一覧!E53</f>
        <v>1286</v>
      </c>
      <c r="D54" s="354">
        <f t="shared" ca="1" si="23"/>
        <v>1258.5999999999999</v>
      </c>
      <c r="E54" s="330">
        <f t="shared" ca="1" si="24"/>
        <v>1186</v>
      </c>
      <c r="F54" s="331">
        <f t="shared" ca="1" si="25"/>
        <v>1027</v>
      </c>
      <c r="G54" s="129">
        <v>0</v>
      </c>
      <c r="H54" s="129">
        <v>0</v>
      </c>
      <c r="I54" s="129">
        <v>0</v>
      </c>
      <c r="J54" s="129">
        <v>0</v>
      </c>
      <c r="K54" s="129">
        <v>0</v>
      </c>
      <c r="L54" s="129">
        <v>0</v>
      </c>
      <c r="M54" s="129">
        <v>0</v>
      </c>
      <c r="N54" s="129">
        <v>0</v>
      </c>
      <c r="O54" s="129">
        <v>0</v>
      </c>
      <c r="P54" s="129">
        <v>0</v>
      </c>
      <c r="Q54" s="129">
        <v>0</v>
      </c>
      <c r="R54" s="129">
        <v>0</v>
      </c>
      <c r="S54" s="129">
        <v>0</v>
      </c>
      <c r="T54" s="129">
        <v>0</v>
      </c>
      <c r="U54" s="129">
        <v>0</v>
      </c>
      <c r="V54" s="129">
        <v>0</v>
      </c>
      <c r="W54" s="129">
        <v>0</v>
      </c>
      <c r="X54" s="129">
        <v>0</v>
      </c>
      <c r="Y54" s="129">
        <v>0</v>
      </c>
      <c r="Z54" s="129">
        <v>0</v>
      </c>
      <c r="AA54" s="129">
        <v>0</v>
      </c>
      <c r="AB54" s="129">
        <v>0</v>
      </c>
      <c r="AC54" s="129">
        <v>0</v>
      </c>
      <c r="AD54" s="129">
        <v>0</v>
      </c>
      <c r="AE54" s="129">
        <v>0</v>
      </c>
      <c r="AF54" s="129">
        <v>0</v>
      </c>
      <c r="AG54" s="129">
        <v>0</v>
      </c>
      <c r="AH54" s="129">
        <v>0</v>
      </c>
      <c r="AI54" s="129">
        <v>0</v>
      </c>
      <c r="AJ54" s="129">
        <v>0</v>
      </c>
      <c r="AK54" s="129">
        <v>0</v>
      </c>
      <c r="AL54" s="129">
        <v>0</v>
      </c>
      <c r="AM54" s="129">
        <v>0</v>
      </c>
      <c r="AN54" s="129">
        <v>0</v>
      </c>
      <c r="AO54" s="129">
        <v>0</v>
      </c>
      <c r="AP54" s="129">
        <v>0</v>
      </c>
      <c r="AQ54" s="129">
        <v>0</v>
      </c>
      <c r="AR54" s="129">
        <v>0</v>
      </c>
      <c r="AS54" s="129">
        <v>0</v>
      </c>
      <c r="AT54" s="129">
        <v>0</v>
      </c>
      <c r="AU54" s="129">
        <v>0</v>
      </c>
      <c r="AV54" s="129">
        <v>0</v>
      </c>
      <c r="AW54" s="129">
        <v>0</v>
      </c>
      <c r="AX54" s="129">
        <v>0</v>
      </c>
      <c r="AY54" s="129">
        <v>0</v>
      </c>
      <c r="AZ54" s="129">
        <v>0</v>
      </c>
      <c r="BA54" s="129">
        <v>0</v>
      </c>
      <c r="BB54" s="129">
        <v>0</v>
      </c>
      <c r="BC54" s="129">
        <v>0</v>
      </c>
      <c r="BD54" s="129">
        <v>0</v>
      </c>
      <c r="BE54" s="129">
        <v>0</v>
      </c>
      <c r="BF54" s="129">
        <v>0</v>
      </c>
      <c r="BG54" s="129">
        <v>0</v>
      </c>
      <c r="BH54" s="129">
        <v>0</v>
      </c>
      <c r="BI54" s="129">
        <v>0</v>
      </c>
      <c r="BJ54" s="129">
        <v>0</v>
      </c>
      <c r="BK54" s="129">
        <v>0</v>
      </c>
      <c r="BL54" s="129">
        <v>0</v>
      </c>
      <c r="BM54" s="129">
        <v>0</v>
      </c>
      <c r="BN54" s="129">
        <v>0</v>
      </c>
      <c r="BO54" s="129">
        <v>0</v>
      </c>
      <c r="BP54" s="129">
        <v>0</v>
      </c>
      <c r="BQ54" s="129">
        <v>0</v>
      </c>
      <c r="BR54" s="129">
        <v>0</v>
      </c>
      <c r="BS54" s="129">
        <v>0</v>
      </c>
      <c r="BT54" s="129">
        <v>0</v>
      </c>
      <c r="BU54" s="129">
        <v>0</v>
      </c>
      <c r="BV54" s="129">
        <v>0</v>
      </c>
      <c r="BW54" s="129">
        <v>0</v>
      </c>
      <c r="BX54" s="129">
        <v>0</v>
      </c>
      <c r="BY54" s="129">
        <v>0</v>
      </c>
      <c r="BZ54" s="129">
        <v>0</v>
      </c>
      <c r="CA54" s="129">
        <v>0</v>
      </c>
      <c r="CB54" s="129">
        <v>0</v>
      </c>
      <c r="CC54" s="129">
        <v>0</v>
      </c>
      <c r="CD54" s="129">
        <v>0</v>
      </c>
      <c r="CE54" s="129">
        <v>0</v>
      </c>
      <c r="CF54" s="129">
        <v>0</v>
      </c>
      <c r="CG54" s="129">
        <v>0</v>
      </c>
      <c r="CH54" s="129">
        <v>0</v>
      </c>
      <c r="CI54" s="129">
        <v>0</v>
      </c>
      <c r="CJ54" s="129">
        <v>0</v>
      </c>
      <c r="CK54" s="129">
        <v>0</v>
      </c>
      <c r="CL54" s="129">
        <v>0</v>
      </c>
      <c r="CM54" s="129">
        <v>0</v>
      </c>
      <c r="CN54" s="129">
        <v>0</v>
      </c>
      <c r="CO54" s="129">
        <v>0</v>
      </c>
      <c r="CP54" s="129">
        <v>0</v>
      </c>
      <c r="CQ54" s="129">
        <v>0</v>
      </c>
      <c r="CR54" s="129">
        <v>0</v>
      </c>
      <c r="CS54" s="129">
        <v>0</v>
      </c>
      <c r="CT54" s="129">
        <v>0</v>
      </c>
      <c r="CU54" s="129">
        <v>0</v>
      </c>
      <c r="CV54" s="129">
        <v>0</v>
      </c>
      <c r="CW54" s="129">
        <v>0</v>
      </c>
      <c r="CX54" s="129">
        <v>0</v>
      </c>
      <c r="CY54" s="129">
        <v>1081</v>
      </c>
      <c r="CZ54" s="129">
        <v>1381</v>
      </c>
      <c r="DA54" s="129">
        <v>1570</v>
      </c>
      <c r="DB54" s="129">
        <v>1570</v>
      </c>
      <c r="DC54" s="129">
        <v>1500</v>
      </c>
      <c r="DD54" s="129">
        <v>1417</v>
      </c>
      <c r="DE54" s="129">
        <v>1441</v>
      </c>
      <c r="DF54" s="129">
        <v>1301</v>
      </c>
      <c r="DG54" s="129">
        <v>1233</v>
      </c>
      <c r="DH54" s="129">
        <v>1260</v>
      </c>
      <c r="DI54" s="129">
        <v>1206</v>
      </c>
      <c r="DJ54" s="129">
        <v>1200</v>
      </c>
      <c r="DK54" s="129">
        <v>1183</v>
      </c>
      <c r="DL54" s="129">
        <v>1191</v>
      </c>
      <c r="DM54" s="129">
        <v>1153</v>
      </c>
      <c r="DN54" s="129">
        <v>1120</v>
      </c>
      <c r="DO54" s="129">
        <v>1105</v>
      </c>
      <c r="DP54" s="129">
        <v>1112</v>
      </c>
      <c r="DQ54" s="129">
        <v>1103</v>
      </c>
      <c r="DR54" s="129">
        <v>1118</v>
      </c>
      <c r="DS54" s="129">
        <v>1202</v>
      </c>
      <c r="DT54" s="129">
        <v>1183</v>
      </c>
      <c r="DU54" s="129">
        <v>1231</v>
      </c>
      <c r="DV54" s="129">
        <v>1261</v>
      </c>
      <c r="DW54" s="129">
        <v>1224</v>
      </c>
      <c r="DX54" s="129">
        <v>1164</v>
      </c>
      <c r="DY54" s="129">
        <v>1075</v>
      </c>
      <c r="DZ54" s="129">
        <v>1089</v>
      </c>
      <c r="EA54" s="129">
        <v>1096</v>
      </c>
      <c r="EB54" s="129">
        <v>1082</v>
      </c>
      <c r="EC54" s="129">
        <v>1130</v>
      </c>
      <c r="ED54" s="129">
        <v>1150</v>
      </c>
      <c r="EE54" s="129">
        <v>1066</v>
      </c>
      <c r="EF54" s="129">
        <v>1013</v>
      </c>
      <c r="EG54" s="129">
        <v>1013</v>
      </c>
      <c r="EH54" s="129">
        <v>1031</v>
      </c>
      <c r="EI54" s="129">
        <v>1015</v>
      </c>
      <c r="EJ54" s="129">
        <v>1046</v>
      </c>
      <c r="EK54" s="129">
        <v>1037</v>
      </c>
      <c r="EL54" s="129">
        <v>1040</v>
      </c>
      <c r="EM54" s="129">
        <v>1035</v>
      </c>
      <c r="EN54" s="129">
        <v>1045</v>
      </c>
      <c r="EO54" s="129">
        <v>1027</v>
      </c>
      <c r="EP54" s="129">
        <v>1108</v>
      </c>
      <c r="EQ54" s="129">
        <v>1201</v>
      </c>
      <c r="ER54" s="129">
        <v>1186</v>
      </c>
      <c r="ES54" s="129">
        <v>1181</v>
      </c>
      <c r="ET54" s="129">
        <v>1266</v>
      </c>
      <c r="EU54" s="129">
        <v>1266</v>
      </c>
      <c r="EV54" s="129">
        <v>1294</v>
      </c>
      <c r="EW54" s="129">
        <v>1286</v>
      </c>
    </row>
    <row r="55" spans="1:153" x14ac:dyDescent="0.25">
      <c r="A55" s="357" t="str">
        <f>IPO監視一覧!H43</f>
        <v>A</v>
      </c>
      <c r="B55" s="84" t="str">
        <f>IPO監視一覧!B43</f>
        <v>シェアリングテクノロジー</v>
      </c>
      <c r="C55" s="332">
        <f>株価一覧!E54</f>
        <v>2163</v>
      </c>
      <c r="D55" s="321">
        <f t="shared" ca="1" si="23"/>
        <v>2226.6</v>
      </c>
      <c r="E55" s="333">
        <f t="shared" ca="1" si="24"/>
        <v>2270.9</v>
      </c>
      <c r="F55" s="334">
        <f t="shared" ca="1" si="25"/>
        <v>2163</v>
      </c>
      <c r="G55" s="129">
        <v>0</v>
      </c>
      <c r="H55" s="129">
        <v>0</v>
      </c>
      <c r="I55" s="129">
        <v>0</v>
      </c>
      <c r="J55" s="129">
        <v>0</v>
      </c>
      <c r="K55" s="129">
        <v>0</v>
      </c>
      <c r="L55" s="129">
        <v>0</v>
      </c>
      <c r="M55" s="129">
        <v>0</v>
      </c>
      <c r="N55" s="129">
        <v>0</v>
      </c>
      <c r="O55" s="129">
        <v>0</v>
      </c>
      <c r="P55" s="129">
        <v>0</v>
      </c>
      <c r="Q55" s="129">
        <v>0</v>
      </c>
      <c r="R55" s="129">
        <v>0</v>
      </c>
      <c r="S55" s="129">
        <v>0</v>
      </c>
      <c r="T55" s="129">
        <v>0</v>
      </c>
      <c r="U55" s="129">
        <v>0</v>
      </c>
      <c r="V55" s="129">
        <v>0</v>
      </c>
      <c r="W55" s="129">
        <v>0</v>
      </c>
      <c r="X55" s="129">
        <v>0</v>
      </c>
      <c r="Y55" s="129">
        <v>0</v>
      </c>
      <c r="Z55" s="129">
        <v>0</v>
      </c>
      <c r="AA55" s="129">
        <v>0</v>
      </c>
      <c r="AB55" s="129">
        <v>0</v>
      </c>
      <c r="AC55" s="129">
        <v>0</v>
      </c>
      <c r="AD55" s="129">
        <v>0</v>
      </c>
      <c r="AE55" s="129">
        <v>0</v>
      </c>
      <c r="AF55" s="129">
        <v>0</v>
      </c>
      <c r="AG55" s="129">
        <v>0</v>
      </c>
      <c r="AH55" s="129">
        <v>0</v>
      </c>
      <c r="AI55" s="129">
        <v>0</v>
      </c>
      <c r="AJ55" s="129">
        <v>0</v>
      </c>
      <c r="AK55" s="129">
        <v>0</v>
      </c>
      <c r="AL55" s="129">
        <v>0</v>
      </c>
      <c r="AM55" s="129">
        <v>0</v>
      </c>
      <c r="AN55" s="129">
        <v>0</v>
      </c>
      <c r="AO55" s="129">
        <v>0</v>
      </c>
      <c r="AP55" s="129">
        <v>0</v>
      </c>
      <c r="AQ55" s="129">
        <v>0</v>
      </c>
      <c r="AR55" s="129">
        <v>0</v>
      </c>
      <c r="AS55" s="129">
        <v>0</v>
      </c>
      <c r="AT55" s="129">
        <v>0</v>
      </c>
      <c r="AU55" s="129">
        <v>0</v>
      </c>
      <c r="AV55" s="129">
        <v>0</v>
      </c>
      <c r="AW55" s="129">
        <v>0</v>
      </c>
      <c r="AX55" s="129">
        <v>0</v>
      </c>
      <c r="AY55" s="129">
        <v>0</v>
      </c>
      <c r="AZ55" s="129">
        <v>0</v>
      </c>
      <c r="BA55" s="129">
        <v>0</v>
      </c>
      <c r="BB55" s="129">
        <v>0</v>
      </c>
      <c r="BC55" s="129">
        <v>0</v>
      </c>
      <c r="BD55" s="129">
        <v>0</v>
      </c>
      <c r="BE55" s="129">
        <v>0</v>
      </c>
      <c r="BF55" s="129">
        <v>0</v>
      </c>
      <c r="BG55" s="129">
        <v>0</v>
      </c>
      <c r="BH55" s="129">
        <v>0</v>
      </c>
      <c r="BI55" s="129">
        <v>0</v>
      </c>
      <c r="BJ55" s="129">
        <v>0</v>
      </c>
      <c r="BK55" s="129">
        <v>0</v>
      </c>
      <c r="BL55" s="129">
        <v>0</v>
      </c>
      <c r="BM55" s="129">
        <v>0</v>
      </c>
      <c r="BN55" s="129">
        <v>0</v>
      </c>
      <c r="BO55" s="129">
        <v>0</v>
      </c>
      <c r="BP55" s="129">
        <v>0</v>
      </c>
      <c r="BQ55" s="129">
        <v>0</v>
      </c>
      <c r="BR55" s="129">
        <v>0</v>
      </c>
      <c r="BS55" s="129">
        <v>0</v>
      </c>
      <c r="BT55" s="129">
        <v>0</v>
      </c>
      <c r="BU55" s="129">
        <v>0</v>
      </c>
      <c r="BV55" s="129">
        <v>0</v>
      </c>
      <c r="BW55" s="129">
        <v>0</v>
      </c>
      <c r="BX55" s="129">
        <v>0</v>
      </c>
      <c r="BY55" s="129">
        <v>0</v>
      </c>
      <c r="BZ55" s="129">
        <v>0</v>
      </c>
      <c r="CA55" s="129">
        <v>0</v>
      </c>
      <c r="CB55" s="129">
        <v>0</v>
      </c>
      <c r="CC55" s="129">
        <v>0</v>
      </c>
      <c r="CD55" s="129">
        <v>0</v>
      </c>
      <c r="CE55" s="129">
        <v>0</v>
      </c>
      <c r="CF55" s="129">
        <v>0</v>
      </c>
      <c r="CG55" s="129">
        <v>0</v>
      </c>
      <c r="CH55" s="129">
        <v>0</v>
      </c>
      <c r="CI55" s="129">
        <v>0</v>
      </c>
      <c r="CJ55" s="129">
        <v>0</v>
      </c>
      <c r="CK55" s="129">
        <v>0</v>
      </c>
      <c r="CL55" s="129">
        <v>0</v>
      </c>
      <c r="CM55" s="129">
        <v>0</v>
      </c>
      <c r="CN55" s="129">
        <v>0</v>
      </c>
      <c r="CO55" s="129">
        <v>0</v>
      </c>
      <c r="CP55" s="129">
        <v>0</v>
      </c>
      <c r="CQ55" s="129">
        <v>0</v>
      </c>
      <c r="CR55" s="129">
        <v>0</v>
      </c>
      <c r="CS55" s="129">
        <v>0</v>
      </c>
      <c r="CT55" s="129">
        <v>0</v>
      </c>
      <c r="CU55" s="129">
        <v>0</v>
      </c>
      <c r="CV55" s="129">
        <v>0</v>
      </c>
      <c r="CW55" s="129">
        <v>0</v>
      </c>
      <c r="CX55" s="129">
        <v>0</v>
      </c>
      <c r="CY55" s="129">
        <v>0</v>
      </c>
      <c r="CZ55" s="129">
        <v>0</v>
      </c>
      <c r="DA55" s="129">
        <v>0</v>
      </c>
      <c r="DB55" s="129">
        <v>0</v>
      </c>
      <c r="DC55" s="129">
        <v>0</v>
      </c>
      <c r="DD55" s="129">
        <v>0</v>
      </c>
      <c r="DE55" s="129">
        <v>0</v>
      </c>
      <c r="DF55" s="129">
        <v>0</v>
      </c>
      <c r="DG55" s="129">
        <v>0</v>
      </c>
      <c r="DH55" s="129">
        <v>0</v>
      </c>
      <c r="DI55" s="129">
        <v>0</v>
      </c>
      <c r="DJ55" s="129">
        <v>2540</v>
      </c>
      <c r="DK55" s="129">
        <v>2185</v>
      </c>
      <c r="DL55" s="129">
        <v>2200</v>
      </c>
      <c r="DM55" s="129">
        <v>2092</v>
      </c>
      <c r="DN55" s="129">
        <v>2032</v>
      </c>
      <c r="DO55" s="129">
        <v>2062</v>
      </c>
      <c r="DP55" s="129">
        <v>2049</v>
      </c>
      <c r="DQ55" s="129">
        <v>2275</v>
      </c>
      <c r="DR55" s="129">
        <v>2269</v>
      </c>
      <c r="DS55" s="129">
        <v>2240</v>
      </c>
      <c r="DT55" s="129">
        <v>2244</v>
      </c>
      <c r="DU55" s="129">
        <v>2330</v>
      </c>
      <c r="DV55" s="129">
        <v>2411</v>
      </c>
      <c r="DW55" s="129">
        <v>2376</v>
      </c>
      <c r="DX55" s="129">
        <v>2202</v>
      </c>
      <c r="DY55" s="129">
        <v>2005</v>
      </c>
      <c r="DZ55" s="129">
        <v>2015</v>
      </c>
      <c r="EA55" s="129">
        <v>2050</v>
      </c>
      <c r="EB55" s="129">
        <v>2018</v>
      </c>
      <c r="EC55" s="129">
        <v>2069</v>
      </c>
      <c r="ED55" s="129">
        <v>2218</v>
      </c>
      <c r="EE55" s="129">
        <v>2150</v>
      </c>
      <c r="EF55" s="129">
        <v>2075</v>
      </c>
      <c r="EG55" s="129">
        <v>2180</v>
      </c>
      <c r="EH55" s="129">
        <v>2235</v>
      </c>
      <c r="EI55" s="129">
        <v>2220</v>
      </c>
      <c r="EJ55" s="129">
        <v>2444</v>
      </c>
      <c r="EK55" s="129">
        <v>2600</v>
      </c>
      <c r="EL55" s="129">
        <v>2486</v>
      </c>
      <c r="EM55" s="129">
        <v>2323</v>
      </c>
      <c r="EN55" s="129">
        <v>2345</v>
      </c>
      <c r="EO55" s="129">
        <v>2252</v>
      </c>
      <c r="EP55" s="129">
        <v>2256</v>
      </c>
      <c r="EQ55" s="129">
        <v>2303</v>
      </c>
      <c r="ER55" s="129">
        <v>2420</v>
      </c>
      <c r="ES55" s="129">
        <v>2326</v>
      </c>
      <c r="ET55" s="129">
        <v>2256</v>
      </c>
      <c r="EU55" s="129">
        <v>2200</v>
      </c>
      <c r="EV55" s="129">
        <v>2188</v>
      </c>
      <c r="EW55" s="129">
        <v>2163</v>
      </c>
    </row>
    <row r="56" spans="1:153" x14ac:dyDescent="0.25">
      <c r="A56" s="357" t="str">
        <f>IPO監視一覧!H44</f>
        <v>A</v>
      </c>
      <c r="B56" s="84" t="str">
        <f>IPO監視一覧!B44</f>
        <v>トランザス</v>
      </c>
      <c r="C56" s="332">
        <f>株価一覧!E55</f>
        <v>2310</v>
      </c>
      <c r="D56" s="321">
        <f t="shared" ca="1" si="23"/>
        <v>2316.4</v>
      </c>
      <c r="E56" s="333">
        <f t="shared" ca="1" si="24"/>
        <v>2330.1</v>
      </c>
      <c r="F56" s="334">
        <f t="shared" ca="1" si="25"/>
        <v>2277</v>
      </c>
      <c r="G56" s="129">
        <v>0</v>
      </c>
      <c r="H56" s="129">
        <v>0</v>
      </c>
      <c r="I56" s="129">
        <v>0</v>
      </c>
      <c r="J56" s="129">
        <v>0</v>
      </c>
      <c r="K56" s="129">
        <v>0</v>
      </c>
      <c r="L56" s="129">
        <v>0</v>
      </c>
      <c r="M56" s="129">
        <v>0</v>
      </c>
      <c r="N56" s="129">
        <v>0</v>
      </c>
      <c r="O56" s="129">
        <v>0</v>
      </c>
      <c r="P56" s="129">
        <v>0</v>
      </c>
      <c r="Q56" s="129">
        <v>0</v>
      </c>
      <c r="R56" s="129">
        <v>0</v>
      </c>
      <c r="S56" s="129">
        <v>0</v>
      </c>
      <c r="T56" s="129">
        <v>0</v>
      </c>
      <c r="U56" s="129">
        <v>0</v>
      </c>
      <c r="V56" s="129">
        <v>0</v>
      </c>
      <c r="W56" s="129">
        <v>0</v>
      </c>
      <c r="X56" s="129">
        <v>0</v>
      </c>
      <c r="Y56" s="129">
        <v>0</v>
      </c>
      <c r="Z56" s="129">
        <v>0</v>
      </c>
      <c r="AA56" s="129">
        <v>0</v>
      </c>
      <c r="AB56" s="129">
        <v>0</v>
      </c>
      <c r="AC56" s="129">
        <v>0</v>
      </c>
      <c r="AD56" s="129">
        <v>0</v>
      </c>
      <c r="AE56" s="129">
        <v>0</v>
      </c>
      <c r="AF56" s="129">
        <v>0</v>
      </c>
      <c r="AG56" s="129">
        <v>0</v>
      </c>
      <c r="AH56" s="129">
        <v>0</v>
      </c>
      <c r="AI56" s="129">
        <v>0</v>
      </c>
      <c r="AJ56" s="129">
        <v>0</v>
      </c>
      <c r="AK56" s="129">
        <v>0</v>
      </c>
      <c r="AL56" s="129">
        <v>0</v>
      </c>
      <c r="AM56" s="129">
        <v>0</v>
      </c>
      <c r="AN56" s="129">
        <v>0</v>
      </c>
      <c r="AO56" s="129">
        <v>0</v>
      </c>
      <c r="AP56" s="129">
        <v>0</v>
      </c>
      <c r="AQ56" s="129">
        <v>0</v>
      </c>
      <c r="AR56" s="129">
        <v>0</v>
      </c>
      <c r="AS56" s="129">
        <v>0</v>
      </c>
      <c r="AT56" s="129">
        <v>0</v>
      </c>
      <c r="AU56" s="129">
        <v>0</v>
      </c>
      <c r="AV56" s="129">
        <v>0</v>
      </c>
      <c r="AW56" s="129">
        <v>0</v>
      </c>
      <c r="AX56" s="129">
        <v>0</v>
      </c>
      <c r="AY56" s="129">
        <v>0</v>
      </c>
      <c r="AZ56" s="129">
        <v>0</v>
      </c>
      <c r="BA56" s="129">
        <v>0</v>
      </c>
      <c r="BB56" s="129">
        <v>0</v>
      </c>
      <c r="BC56" s="129">
        <v>0</v>
      </c>
      <c r="BD56" s="129">
        <v>0</v>
      </c>
      <c r="BE56" s="129">
        <v>0</v>
      </c>
      <c r="BF56" s="129">
        <v>0</v>
      </c>
      <c r="BG56" s="129">
        <v>0</v>
      </c>
      <c r="BH56" s="129">
        <v>0</v>
      </c>
      <c r="BI56" s="129">
        <v>0</v>
      </c>
      <c r="BJ56" s="129">
        <v>0</v>
      </c>
      <c r="BK56" s="129">
        <v>0</v>
      </c>
      <c r="BL56" s="129">
        <v>0</v>
      </c>
      <c r="BM56" s="129">
        <v>0</v>
      </c>
      <c r="BN56" s="129">
        <v>0</v>
      </c>
      <c r="BO56" s="129">
        <v>0</v>
      </c>
      <c r="BP56" s="129">
        <v>0</v>
      </c>
      <c r="BQ56" s="129">
        <v>0</v>
      </c>
      <c r="BR56" s="129">
        <v>0</v>
      </c>
      <c r="BS56" s="129">
        <v>0</v>
      </c>
      <c r="BT56" s="129">
        <v>0</v>
      </c>
      <c r="BU56" s="129">
        <v>0</v>
      </c>
      <c r="BV56" s="129">
        <v>0</v>
      </c>
      <c r="BW56" s="129">
        <v>0</v>
      </c>
      <c r="BX56" s="129">
        <v>0</v>
      </c>
      <c r="BY56" s="129">
        <v>0</v>
      </c>
      <c r="BZ56" s="129">
        <v>0</v>
      </c>
      <c r="CA56" s="129">
        <v>0</v>
      </c>
      <c r="CB56" s="129">
        <v>0</v>
      </c>
      <c r="CC56" s="129">
        <v>0</v>
      </c>
      <c r="CD56" s="129">
        <v>0</v>
      </c>
      <c r="CE56" s="129">
        <v>0</v>
      </c>
      <c r="CF56" s="129">
        <v>0</v>
      </c>
      <c r="CG56" s="129">
        <v>0</v>
      </c>
      <c r="CH56" s="129">
        <v>0</v>
      </c>
      <c r="CI56" s="129">
        <v>0</v>
      </c>
      <c r="CJ56" s="129">
        <v>0</v>
      </c>
      <c r="CK56" s="129">
        <v>0</v>
      </c>
      <c r="CL56" s="129">
        <v>0</v>
      </c>
      <c r="CM56" s="129">
        <v>0</v>
      </c>
      <c r="CN56" s="129">
        <v>0</v>
      </c>
      <c r="CO56" s="129">
        <v>0</v>
      </c>
      <c r="CP56" s="129">
        <v>0</v>
      </c>
      <c r="CQ56" s="129">
        <v>0</v>
      </c>
      <c r="CR56" s="129">
        <v>0</v>
      </c>
      <c r="CS56" s="129">
        <v>0</v>
      </c>
      <c r="CT56" s="129">
        <v>0</v>
      </c>
      <c r="CU56" s="129">
        <v>0</v>
      </c>
      <c r="CV56" s="129">
        <v>0</v>
      </c>
      <c r="CW56" s="129">
        <v>0</v>
      </c>
      <c r="CX56" s="129">
        <v>0</v>
      </c>
      <c r="CY56" s="129">
        <v>0</v>
      </c>
      <c r="CZ56" s="129">
        <v>0</v>
      </c>
      <c r="DA56" s="129">
        <v>0</v>
      </c>
      <c r="DB56" s="129">
        <v>0</v>
      </c>
      <c r="DC56" s="129">
        <v>0</v>
      </c>
      <c r="DD56" s="129">
        <v>0</v>
      </c>
      <c r="DE56" s="129">
        <v>0</v>
      </c>
      <c r="DF56" s="129">
        <v>0</v>
      </c>
      <c r="DG56" s="129">
        <v>0</v>
      </c>
      <c r="DH56" s="129">
        <v>0</v>
      </c>
      <c r="DI56" s="129">
        <v>0</v>
      </c>
      <c r="DJ56" s="129">
        <v>0</v>
      </c>
      <c r="DK56" s="129">
        <v>2981</v>
      </c>
      <c r="DL56" s="129">
        <v>3170</v>
      </c>
      <c r="DM56" s="129">
        <v>3150</v>
      </c>
      <c r="DN56" s="129">
        <v>3060</v>
      </c>
      <c r="DO56" s="129">
        <v>3140</v>
      </c>
      <c r="DP56" s="129">
        <v>3100</v>
      </c>
      <c r="DQ56" s="129">
        <v>2980</v>
      </c>
      <c r="DR56" s="129">
        <v>3100</v>
      </c>
      <c r="DS56" s="129">
        <v>3010</v>
      </c>
      <c r="DT56" s="129">
        <v>2999</v>
      </c>
      <c r="DU56" s="129">
        <v>3035</v>
      </c>
      <c r="DV56" s="129">
        <v>2990</v>
      </c>
      <c r="DW56" s="129">
        <v>2836</v>
      </c>
      <c r="DX56" s="129">
        <v>2546</v>
      </c>
      <c r="DY56" s="129">
        <v>2431</v>
      </c>
      <c r="DZ56" s="129">
        <v>2465</v>
      </c>
      <c r="EA56" s="129">
        <v>2383</v>
      </c>
      <c r="EB56" s="129">
        <v>2317</v>
      </c>
      <c r="EC56" s="129">
        <v>2817</v>
      </c>
      <c r="ED56" s="129">
        <v>2618</v>
      </c>
      <c r="EE56" s="129">
        <v>2734</v>
      </c>
      <c r="EF56" s="129">
        <v>2605</v>
      </c>
      <c r="EG56" s="129">
        <v>2580</v>
      </c>
      <c r="EH56" s="129">
        <v>2605</v>
      </c>
      <c r="EI56" s="129">
        <v>2555</v>
      </c>
      <c r="EJ56" s="129">
        <v>2561</v>
      </c>
      <c r="EK56" s="129">
        <v>2393</v>
      </c>
      <c r="EL56" s="129">
        <v>2360</v>
      </c>
      <c r="EM56" s="129">
        <v>2345</v>
      </c>
      <c r="EN56" s="129">
        <v>2337</v>
      </c>
      <c r="EO56" s="129">
        <v>2310</v>
      </c>
      <c r="EP56" s="129">
        <v>2277</v>
      </c>
      <c r="EQ56" s="129">
        <v>2409</v>
      </c>
      <c r="ER56" s="129">
        <v>2386</v>
      </c>
      <c r="ES56" s="129">
        <v>2372</v>
      </c>
      <c r="ET56" s="129">
        <v>2284</v>
      </c>
      <c r="EU56" s="129">
        <v>2305</v>
      </c>
      <c r="EV56" s="129">
        <v>2311</v>
      </c>
      <c r="EW56" s="129">
        <v>2310</v>
      </c>
    </row>
    <row r="57" spans="1:153" x14ac:dyDescent="0.25">
      <c r="A57" s="357" t="str">
        <f>IPO監視一覧!H45</f>
        <v>A</v>
      </c>
      <c r="B57" s="84" t="str">
        <f>IPO監視一覧!B45</f>
        <v>ＵＵＵＭ</v>
      </c>
      <c r="C57" s="332">
        <f>株価一覧!E56</f>
        <v>5310</v>
      </c>
      <c r="D57" s="321">
        <f t="shared" ca="1" si="23"/>
        <v>5286</v>
      </c>
      <c r="E57" s="333">
        <f t="shared" ca="1" si="24"/>
        <v>5379</v>
      </c>
      <c r="F57" s="334">
        <f t="shared" ca="1" si="25"/>
        <v>5060</v>
      </c>
      <c r="G57" s="129">
        <v>0</v>
      </c>
      <c r="H57" s="129">
        <v>0</v>
      </c>
      <c r="I57" s="129">
        <v>0</v>
      </c>
      <c r="J57" s="129">
        <v>0</v>
      </c>
      <c r="K57" s="129">
        <v>0</v>
      </c>
      <c r="L57" s="129">
        <v>0</v>
      </c>
      <c r="M57" s="129">
        <v>0</v>
      </c>
      <c r="N57" s="129">
        <v>0</v>
      </c>
      <c r="O57" s="129">
        <v>0</v>
      </c>
      <c r="P57" s="129">
        <v>0</v>
      </c>
      <c r="Q57" s="129">
        <v>0</v>
      </c>
      <c r="R57" s="129">
        <v>0</v>
      </c>
      <c r="S57" s="129">
        <v>0</v>
      </c>
      <c r="T57" s="129">
        <v>0</v>
      </c>
      <c r="U57" s="129">
        <v>0</v>
      </c>
      <c r="V57" s="129">
        <v>0</v>
      </c>
      <c r="W57" s="129">
        <v>0</v>
      </c>
      <c r="X57" s="129">
        <v>0</v>
      </c>
      <c r="Y57" s="129">
        <v>0</v>
      </c>
      <c r="Z57" s="129">
        <v>0</v>
      </c>
      <c r="AA57" s="129">
        <v>0</v>
      </c>
      <c r="AB57" s="129">
        <v>0</v>
      </c>
      <c r="AC57" s="129">
        <v>0</v>
      </c>
      <c r="AD57" s="129">
        <v>0</v>
      </c>
      <c r="AE57" s="129">
        <v>0</v>
      </c>
      <c r="AF57" s="129">
        <v>0</v>
      </c>
      <c r="AG57" s="129">
        <v>0</v>
      </c>
      <c r="AH57" s="129">
        <v>0</v>
      </c>
      <c r="AI57" s="129">
        <v>0</v>
      </c>
      <c r="AJ57" s="129">
        <v>0</v>
      </c>
      <c r="AK57" s="129">
        <v>0</v>
      </c>
      <c r="AL57" s="129">
        <v>0</v>
      </c>
      <c r="AM57" s="129">
        <v>0</v>
      </c>
      <c r="AN57" s="129">
        <v>0</v>
      </c>
      <c r="AO57" s="129">
        <v>0</v>
      </c>
      <c r="AP57" s="129">
        <v>0</v>
      </c>
      <c r="AQ57" s="129">
        <v>0</v>
      </c>
      <c r="AR57" s="129">
        <v>0</v>
      </c>
      <c r="AS57" s="129">
        <v>0</v>
      </c>
      <c r="AT57" s="129">
        <v>0</v>
      </c>
      <c r="AU57" s="129">
        <v>0</v>
      </c>
      <c r="AV57" s="129">
        <v>0</v>
      </c>
      <c r="AW57" s="129">
        <v>0</v>
      </c>
      <c r="AX57" s="129">
        <v>0</v>
      </c>
      <c r="AY57" s="129">
        <v>0</v>
      </c>
      <c r="AZ57" s="129">
        <v>0</v>
      </c>
      <c r="BA57" s="129">
        <v>0</v>
      </c>
      <c r="BB57" s="129">
        <v>0</v>
      </c>
      <c r="BC57" s="129">
        <v>0</v>
      </c>
      <c r="BD57" s="129">
        <v>0</v>
      </c>
      <c r="BE57" s="129">
        <v>0</v>
      </c>
      <c r="BF57" s="129">
        <v>0</v>
      </c>
      <c r="BG57" s="129">
        <v>0</v>
      </c>
      <c r="BH57" s="129">
        <v>0</v>
      </c>
      <c r="BI57" s="129">
        <v>0</v>
      </c>
      <c r="BJ57" s="129">
        <v>0</v>
      </c>
      <c r="BK57" s="129">
        <v>0</v>
      </c>
      <c r="BL57" s="129">
        <v>0</v>
      </c>
      <c r="BM57" s="129">
        <v>0</v>
      </c>
      <c r="BN57" s="129">
        <v>0</v>
      </c>
      <c r="BO57" s="129">
        <v>0</v>
      </c>
      <c r="BP57" s="129">
        <v>0</v>
      </c>
      <c r="BQ57" s="129">
        <v>0</v>
      </c>
      <c r="BR57" s="129">
        <v>0</v>
      </c>
      <c r="BS57" s="129">
        <v>0</v>
      </c>
      <c r="BT57" s="129">
        <v>0</v>
      </c>
      <c r="BU57" s="129">
        <v>0</v>
      </c>
      <c r="BV57" s="129">
        <v>0</v>
      </c>
      <c r="BW57" s="129">
        <v>0</v>
      </c>
      <c r="BX57" s="129">
        <v>0</v>
      </c>
      <c r="BY57" s="129">
        <v>0</v>
      </c>
      <c r="BZ57" s="129">
        <v>0</v>
      </c>
      <c r="CA57" s="129">
        <v>0</v>
      </c>
      <c r="CB57" s="129">
        <v>0</v>
      </c>
      <c r="CC57" s="129">
        <v>0</v>
      </c>
      <c r="CD57" s="129">
        <v>0</v>
      </c>
      <c r="CE57" s="129">
        <v>0</v>
      </c>
      <c r="CF57" s="129">
        <v>0</v>
      </c>
      <c r="CG57" s="129">
        <v>0</v>
      </c>
      <c r="CH57" s="129">
        <v>0</v>
      </c>
      <c r="CI57" s="129">
        <v>0</v>
      </c>
      <c r="CJ57" s="129">
        <v>0</v>
      </c>
      <c r="CK57" s="129">
        <v>0</v>
      </c>
      <c r="CL57" s="129">
        <v>0</v>
      </c>
      <c r="CM57" s="129">
        <v>0</v>
      </c>
      <c r="CN57" s="129">
        <v>0</v>
      </c>
      <c r="CO57" s="129">
        <v>0</v>
      </c>
      <c r="CP57" s="129">
        <v>0</v>
      </c>
      <c r="CQ57" s="129">
        <v>0</v>
      </c>
      <c r="CR57" s="129">
        <v>0</v>
      </c>
      <c r="CS57" s="129">
        <v>0</v>
      </c>
      <c r="CT57" s="129">
        <v>0</v>
      </c>
      <c r="CU57" s="129">
        <v>0</v>
      </c>
      <c r="CV57" s="129">
        <v>0</v>
      </c>
      <c r="CW57" s="129">
        <v>0</v>
      </c>
      <c r="CX57" s="129">
        <v>0</v>
      </c>
      <c r="CY57" s="129">
        <v>0</v>
      </c>
      <c r="CZ57" s="129">
        <v>0</v>
      </c>
      <c r="DA57" s="129">
        <v>0</v>
      </c>
      <c r="DB57" s="129">
        <v>0</v>
      </c>
      <c r="DC57" s="129">
        <v>0</v>
      </c>
      <c r="DD57" s="129">
        <v>0</v>
      </c>
      <c r="DE57" s="129">
        <v>0</v>
      </c>
      <c r="DF57" s="129">
        <v>0</v>
      </c>
      <c r="DG57" s="129">
        <v>0</v>
      </c>
      <c r="DH57" s="129">
        <v>0</v>
      </c>
      <c r="DI57" s="129">
        <v>0</v>
      </c>
      <c r="DJ57" s="129">
        <v>0</v>
      </c>
      <c r="DK57" s="129">
        <v>0</v>
      </c>
      <c r="DL57" s="129">
        <v>0</v>
      </c>
      <c r="DM57" s="129">
        <v>0</v>
      </c>
      <c r="DN57" s="129">
        <v>0</v>
      </c>
      <c r="DO57" s="129">
        <v>0</v>
      </c>
      <c r="DP57" s="129">
        <v>0</v>
      </c>
      <c r="DQ57" s="129">
        <v>0</v>
      </c>
      <c r="DR57" s="129">
        <v>0</v>
      </c>
      <c r="DS57" s="129">
        <v>0</v>
      </c>
      <c r="DT57" s="129">
        <v>0</v>
      </c>
      <c r="DU57" s="129">
        <v>0</v>
      </c>
      <c r="DV57" s="129">
        <v>6160</v>
      </c>
      <c r="DW57" s="129">
        <v>5540</v>
      </c>
      <c r="DX57" s="129">
        <v>5040</v>
      </c>
      <c r="DY57" s="129">
        <v>5190</v>
      </c>
      <c r="DZ57" s="129">
        <v>4955</v>
      </c>
      <c r="EA57" s="129">
        <v>4670</v>
      </c>
      <c r="EB57" s="129">
        <v>4500</v>
      </c>
      <c r="EC57" s="129">
        <v>4850</v>
      </c>
      <c r="ED57" s="129">
        <v>4680</v>
      </c>
      <c r="EE57" s="129">
        <v>4750</v>
      </c>
      <c r="EF57" s="129">
        <v>4570</v>
      </c>
      <c r="EG57" s="129">
        <v>4615</v>
      </c>
      <c r="EH57" s="129">
        <v>4555</v>
      </c>
      <c r="EI57" s="129">
        <v>4610</v>
      </c>
      <c r="EJ57" s="129">
        <v>4905</v>
      </c>
      <c r="EK57" s="129">
        <v>5060</v>
      </c>
      <c r="EL57" s="129">
        <v>5270</v>
      </c>
      <c r="EM57" s="129">
        <v>5020</v>
      </c>
      <c r="EN57" s="129">
        <v>5390</v>
      </c>
      <c r="EO57" s="129">
        <v>5500</v>
      </c>
      <c r="EP57" s="129">
        <v>5680</v>
      </c>
      <c r="EQ57" s="129">
        <v>5530</v>
      </c>
      <c r="ER57" s="129">
        <v>5260</v>
      </c>
      <c r="ES57" s="129">
        <v>5060</v>
      </c>
      <c r="ET57" s="129">
        <v>5110</v>
      </c>
      <c r="EU57" s="129">
        <v>5460</v>
      </c>
      <c r="EV57" s="129">
        <v>5490</v>
      </c>
      <c r="EW57" s="129">
        <v>5310</v>
      </c>
    </row>
    <row r="58" spans="1:153" x14ac:dyDescent="0.25">
      <c r="A58" s="357" t="str">
        <f>IPO監視一覧!H46</f>
        <v>A</v>
      </c>
      <c r="B58" s="84" t="str">
        <f>IPO監視一覧!B46</f>
        <v>エスユーエス</v>
      </c>
      <c r="C58" s="332">
        <f>株価一覧!E57</f>
        <v>3750</v>
      </c>
      <c r="D58" s="321">
        <f t="shared" ref="D58:D61" ca="1" si="26">AVERAGE(OFFSET(A58,0,COUNTA(G58:XFD58)+5,1,-5))</f>
        <v>3770</v>
      </c>
      <c r="E58" s="333">
        <f t="shared" ref="E58:E61" ca="1" si="27">AVERAGE(OFFSET(A58,0,COUNTA(G58:XFD58)+5,1,-10))</f>
        <v>3775</v>
      </c>
      <c r="F58" s="334">
        <f t="shared" ref="F58:F61" ca="1" si="28">MIN(OFFSET(B58,0,COUNTA(G58:XFD58)+5,1,-10))</f>
        <v>3680</v>
      </c>
      <c r="G58" s="129">
        <v>0</v>
      </c>
      <c r="H58" s="129">
        <v>0</v>
      </c>
      <c r="I58" s="129">
        <v>0</v>
      </c>
      <c r="J58" s="129">
        <v>0</v>
      </c>
      <c r="K58" s="129">
        <v>0</v>
      </c>
      <c r="L58" s="129">
        <v>0</v>
      </c>
      <c r="M58" s="129">
        <v>0</v>
      </c>
      <c r="N58" s="129">
        <v>0</v>
      </c>
      <c r="O58" s="129">
        <v>0</v>
      </c>
      <c r="P58" s="129">
        <v>0</v>
      </c>
      <c r="Q58" s="129">
        <v>0</v>
      </c>
      <c r="R58" s="129">
        <v>0</v>
      </c>
      <c r="S58" s="129">
        <v>0</v>
      </c>
      <c r="T58" s="129">
        <v>0</v>
      </c>
      <c r="U58" s="129">
        <v>0</v>
      </c>
      <c r="V58" s="129">
        <v>0</v>
      </c>
      <c r="W58" s="129">
        <v>0</v>
      </c>
      <c r="X58" s="129">
        <v>0</v>
      </c>
      <c r="Y58" s="129">
        <v>0</v>
      </c>
      <c r="Z58" s="129">
        <v>0</v>
      </c>
      <c r="AA58" s="129">
        <v>0</v>
      </c>
      <c r="AB58" s="129">
        <v>0</v>
      </c>
      <c r="AC58" s="129">
        <v>0</v>
      </c>
      <c r="AD58" s="129">
        <v>0</v>
      </c>
      <c r="AE58" s="129">
        <v>0</v>
      </c>
      <c r="AF58" s="129">
        <v>0</v>
      </c>
      <c r="AG58" s="129">
        <v>0</v>
      </c>
      <c r="AH58" s="129">
        <v>0</v>
      </c>
      <c r="AI58" s="129">
        <v>0</v>
      </c>
      <c r="AJ58" s="129">
        <v>0</v>
      </c>
      <c r="AK58" s="129">
        <v>0</v>
      </c>
      <c r="AL58" s="129">
        <v>0</v>
      </c>
      <c r="AM58" s="129">
        <v>0</v>
      </c>
      <c r="AN58" s="129">
        <v>0</v>
      </c>
      <c r="AO58" s="129">
        <v>0</v>
      </c>
      <c r="AP58" s="129">
        <v>0</v>
      </c>
      <c r="AQ58" s="129">
        <v>0</v>
      </c>
      <c r="AR58" s="129">
        <v>0</v>
      </c>
      <c r="AS58" s="129">
        <v>0</v>
      </c>
      <c r="AT58" s="129">
        <v>0</v>
      </c>
      <c r="AU58" s="129">
        <v>0</v>
      </c>
      <c r="AV58" s="129">
        <v>0</v>
      </c>
      <c r="AW58" s="129">
        <v>0</v>
      </c>
      <c r="AX58" s="129">
        <v>0</v>
      </c>
      <c r="AY58" s="129">
        <v>0</v>
      </c>
      <c r="AZ58" s="129">
        <v>0</v>
      </c>
      <c r="BA58" s="129">
        <v>0</v>
      </c>
      <c r="BB58" s="129">
        <v>0</v>
      </c>
      <c r="BC58" s="129">
        <v>0</v>
      </c>
      <c r="BD58" s="129">
        <v>0</v>
      </c>
      <c r="BE58" s="129">
        <v>0</v>
      </c>
      <c r="BF58" s="129">
        <v>0</v>
      </c>
      <c r="BG58" s="129">
        <v>0</v>
      </c>
      <c r="BH58" s="129">
        <v>0</v>
      </c>
      <c r="BI58" s="129">
        <v>0</v>
      </c>
      <c r="BJ58" s="129">
        <v>0</v>
      </c>
      <c r="BK58" s="129">
        <v>0</v>
      </c>
      <c r="BL58" s="129">
        <v>0</v>
      </c>
      <c r="BM58" s="129">
        <v>0</v>
      </c>
      <c r="BN58" s="129">
        <v>0</v>
      </c>
      <c r="BO58" s="129">
        <v>0</v>
      </c>
      <c r="BP58" s="129">
        <v>0</v>
      </c>
      <c r="BQ58" s="129">
        <v>0</v>
      </c>
      <c r="BR58" s="129">
        <v>0</v>
      </c>
      <c r="BS58" s="129">
        <v>0</v>
      </c>
      <c r="BT58" s="129">
        <v>0</v>
      </c>
      <c r="BU58" s="129">
        <v>0</v>
      </c>
      <c r="BV58" s="129">
        <v>0</v>
      </c>
      <c r="BW58" s="129">
        <v>0</v>
      </c>
      <c r="BX58" s="129">
        <v>0</v>
      </c>
      <c r="BY58" s="129">
        <v>0</v>
      </c>
      <c r="BZ58" s="129">
        <v>0</v>
      </c>
      <c r="CA58" s="129">
        <v>0</v>
      </c>
      <c r="CB58" s="129">
        <v>0</v>
      </c>
      <c r="CC58" s="129">
        <v>0</v>
      </c>
      <c r="CD58" s="129">
        <v>0</v>
      </c>
      <c r="CE58" s="129">
        <v>0</v>
      </c>
      <c r="CF58" s="129">
        <v>0</v>
      </c>
      <c r="CG58" s="129">
        <v>0</v>
      </c>
      <c r="CH58" s="129">
        <v>0</v>
      </c>
      <c r="CI58" s="129">
        <v>0</v>
      </c>
      <c r="CJ58" s="129">
        <v>0</v>
      </c>
      <c r="CK58" s="129">
        <v>0</v>
      </c>
      <c r="CL58" s="129">
        <v>0</v>
      </c>
      <c r="CM58" s="129">
        <v>0</v>
      </c>
      <c r="CN58" s="129">
        <v>0</v>
      </c>
      <c r="CO58" s="129">
        <v>0</v>
      </c>
      <c r="CP58" s="129">
        <v>0</v>
      </c>
      <c r="CQ58" s="129">
        <v>0</v>
      </c>
      <c r="CR58" s="129">
        <v>0</v>
      </c>
      <c r="CS58" s="129">
        <v>0</v>
      </c>
      <c r="CT58" s="129">
        <v>0</v>
      </c>
      <c r="CU58" s="129">
        <v>0</v>
      </c>
      <c r="CV58" s="129">
        <v>0</v>
      </c>
      <c r="CW58" s="129">
        <v>0</v>
      </c>
      <c r="CX58" s="129">
        <v>0</v>
      </c>
      <c r="CY58" s="129">
        <v>0</v>
      </c>
      <c r="CZ58" s="129">
        <v>0</v>
      </c>
      <c r="DA58" s="129">
        <v>0</v>
      </c>
      <c r="DB58" s="129">
        <v>0</v>
      </c>
      <c r="DC58" s="129">
        <v>0</v>
      </c>
      <c r="DD58" s="129">
        <v>0</v>
      </c>
      <c r="DE58" s="129">
        <v>0</v>
      </c>
      <c r="DF58" s="129">
        <v>0</v>
      </c>
      <c r="DG58" s="129">
        <v>0</v>
      </c>
      <c r="DH58" s="129">
        <v>0</v>
      </c>
      <c r="DI58" s="129">
        <v>0</v>
      </c>
      <c r="DJ58" s="129">
        <v>0</v>
      </c>
      <c r="DK58" s="129">
        <v>0</v>
      </c>
      <c r="DL58" s="129">
        <v>0</v>
      </c>
      <c r="DM58" s="129">
        <v>0</v>
      </c>
      <c r="DN58" s="129">
        <v>0</v>
      </c>
      <c r="DO58" s="129">
        <v>0</v>
      </c>
      <c r="DP58" s="129">
        <v>0</v>
      </c>
      <c r="DQ58" s="129">
        <v>0</v>
      </c>
      <c r="DR58" s="129">
        <v>0</v>
      </c>
      <c r="DS58" s="129">
        <v>0</v>
      </c>
      <c r="DT58" s="129">
        <v>0</v>
      </c>
      <c r="DU58" s="129">
        <v>0</v>
      </c>
      <c r="DV58" s="129">
        <v>0</v>
      </c>
      <c r="DW58" s="129">
        <v>0</v>
      </c>
      <c r="DX58" s="129">
        <v>0</v>
      </c>
      <c r="DY58" s="129">
        <v>0</v>
      </c>
      <c r="DZ58" s="129">
        <v>0</v>
      </c>
      <c r="EA58" s="129">
        <v>0</v>
      </c>
      <c r="EB58" s="129">
        <v>0</v>
      </c>
      <c r="EC58" s="129">
        <v>0</v>
      </c>
      <c r="ED58" s="129">
        <v>0</v>
      </c>
      <c r="EE58" s="129">
        <v>0</v>
      </c>
      <c r="EF58" s="129">
        <v>4290</v>
      </c>
      <c r="EG58" s="129">
        <v>4110</v>
      </c>
      <c r="EH58" s="129">
        <v>3875</v>
      </c>
      <c r="EI58" s="129">
        <v>3895</v>
      </c>
      <c r="EJ58" s="129">
        <v>3990</v>
      </c>
      <c r="EK58" s="129">
        <v>3705</v>
      </c>
      <c r="EL58" s="129">
        <v>3715</v>
      </c>
      <c r="EM58" s="129">
        <v>3795</v>
      </c>
      <c r="EN58" s="129">
        <v>3840</v>
      </c>
      <c r="EO58" s="129">
        <v>3720</v>
      </c>
      <c r="EP58" s="129">
        <v>3680</v>
      </c>
      <c r="EQ58" s="129">
        <v>3885</v>
      </c>
      <c r="ER58" s="129">
        <v>3775</v>
      </c>
      <c r="ES58" s="129">
        <v>3705</v>
      </c>
      <c r="ET58" s="129">
        <v>3820</v>
      </c>
      <c r="EU58" s="129">
        <v>3775</v>
      </c>
      <c r="EV58" s="129">
        <v>3800</v>
      </c>
      <c r="EW58" s="129">
        <v>3750</v>
      </c>
    </row>
    <row r="59" spans="1:153" x14ac:dyDescent="0.25">
      <c r="A59" s="357" t="str">
        <f>IPO監視一覧!H47</f>
        <v>A</v>
      </c>
      <c r="B59" s="84" t="str">
        <f>IPO監視一覧!B47</f>
        <v>ウォンテッドリー</v>
      </c>
      <c r="C59" s="332">
        <f>株価一覧!E58</f>
        <v>3920</v>
      </c>
      <c r="D59" s="321">
        <f t="shared" ca="1" si="26"/>
        <v>3910</v>
      </c>
      <c r="E59" s="333">
        <f t="shared" ca="1" si="27"/>
        <v>4099.5</v>
      </c>
      <c r="F59" s="334">
        <f t="shared" ca="1" si="28"/>
        <v>3785</v>
      </c>
      <c r="G59" s="129">
        <v>0</v>
      </c>
      <c r="H59" s="129">
        <v>0</v>
      </c>
      <c r="I59" s="129">
        <v>0</v>
      </c>
      <c r="J59" s="129">
        <v>0</v>
      </c>
      <c r="K59" s="129">
        <v>0</v>
      </c>
      <c r="L59" s="129">
        <v>0</v>
      </c>
      <c r="M59" s="129">
        <v>0</v>
      </c>
      <c r="N59" s="129">
        <v>0</v>
      </c>
      <c r="O59" s="129">
        <v>0</v>
      </c>
      <c r="P59" s="129">
        <v>0</v>
      </c>
      <c r="Q59" s="129">
        <v>0</v>
      </c>
      <c r="R59" s="129">
        <v>0</v>
      </c>
      <c r="S59" s="129">
        <v>0</v>
      </c>
      <c r="T59" s="129">
        <v>0</v>
      </c>
      <c r="U59" s="129">
        <v>0</v>
      </c>
      <c r="V59" s="129">
        <v>0</v>
      </c>
      <c r="W59" s="129">
        <v>0</v>
      </c>
      <c r="X59" s="129">
        <v>0</v>
      </c>
      <c r="Y59" s="129">
        <v>0</v>
      </c>
      <c r="Z59" s="129">
        <v>0</v>
      </c>
      <c r="AA59" s="129">
        <v>0</v>
      </c>
      <c r="AB59" s="129">
        <v>0</v>
      </c>
      <c r="AC59" s="129">
        <v>0</v>
      </c>
      <c r="AD59" s="129">
        <v>0</v>
      </c>
      <c r="AE59" s="129">
        <v>0</v>
      </c>
      <c r="AF59" s="129">
        <v>0</v>
      </c>
      <c r="AG59" s="129">
        <v>0</v>
      </c>
      <c r="AH59" s="129">
        <v>0</v>
      </c>
      <c r="AI59" s="129">
        <v>0</v>
      </c>
      <c r="AJ59" s="129">
        <v>0</v>
      </c>
      <c r="AK59" s="129">
        <v>0</v>
      </c>
      <c r="AL59" s="129">
        <v>0</v>
      </c>
      <c r="AM59" s="129">
        <v>0</v>
      </c>
      <c r="AN59" s="129">
        <v>0</v>
      </c>
      <c r="AO59" s="129">
        <v>0</v>
      </c>
      <c r="AP59" s="129">
        <v>0</v>
      </c>
      <c r="AQ59" s="129">
        <v>0</v>
      </c>
      <c r="AR59" s="129">
        <v>0</v>
      </c>
      <c r="AS59" s="129">
        <v>0</v>
      </c>
      <c r="AT59" s="129">
        <v>0</v>
      </c>
      <c r="AU59" s="129">
        <v>0</v>
      </c>
      <c r="AV59" s="129">
        <v>0</v>
      </c>
      <c r="AW59" s="129">
        <v>0</v>
      </c>
      <c r="AX59" s="129">
        <v>0</v>
      </c>
      <c r="AY59" s="129">
        <v>0</v>
      </c>
      <c r="AZ59" s="129">
        <v>0</v>
      </c>
      <c r="BA59" s="129">
        <v>0</v>
      </c>
      <c r="BB59" s="129">
        <v>0</v>
      </c>
      <c r="BC59" s="129">
        <v>0</v>
      </c>
      <c r="BD59" s="129">
        <v>0</v>
      </c>
      <c r="BE59" s="129">
        <v>0</v>
      </c>
      <c r="BF59" s="129">
        <v>0</v>
      </c>
      <c r="BG59" s="129">
        <v>0</v>
      </c>
      <c r="BH59" s="129">
        <v>0</v>
      </c>
      <c r="BI59" s="129">
        <v>0</v>
      </c>
      <c r="BJ59" s="129">
        <v>0</v>
      </c>
      <c r="BK59" s="129">
        <v>0</v>
      </c>
      <c r="BL59" s="129">
        <v>0</v>
      </c>
      <c r="BM59" s="129">
        <v>0</v>
      </c>
      <c r="BN59" s="129">
        <v>0</v>
      </c>
      <c r="BO59" s="129">
        <v>0</v>
      </c>
      <c r="BP59" s="129">
        <v>0</v>
      </c>
      <c r="BQ59" s="129">
        <v>0</v>
      </c>
      <c r="BR59" s="129">
        <v>0</v>
      </c>
      <c r="BS59" s="129">
        <v>0</v>
      </c>
      <c r="BT59" s="129">
        <v>0</v>
      </c>
      <c r="BU59" s="129">
        <v>0</v>
      </c>
      <c r="BV59" s="129">
        <v>0</v>
      </c>
      <c r="BW59" s="129">
        <v>0</v>
      </c>
      <c r="BX59" s="129">
        <v>0</v>
      </c>
      <c r="BY59" s="129">
        <v>0</v>
      </c>
      <c r="BZ59" s="129">
        <v>0</v>
      </c>
      <c r="CA59" s="129">
        <v>0</v>
      </c>
      <c r="CB59" s="129">
        <v>0</v>
      </c>
      <c r="CC59" s="129">
        <v>0</v>
      </c>
      <c r="CD59" s="129">
        <v>0</v>
      </c>
      <c r="CE59" s="129">
        <v>0</v>
      </c>
      <c r="CF59" s="129">
        <v>0</v>
      </c>
      <c r="CG59" s="129">
        <v>0</v>
      </c>
      <c r="CH59" s="129">
        <v>0</v>
      </c>
      <c r="CI59" s="129">
        <v>0</v>
      </c>
      <c r="CJ59" s="129">
        <v>0</v>
      </c>
      <c r="CK59" s="129">
        <v>0</v>
      </c>
      <c r="CL59" s="129">
        <v>0</v>
      </c>
      <c r="CM59" s="129">
        <v>0</v>
      </c>
      <c r="CN59" s="129">
        <v>0</v>
      </c>
      <c r="CO59" s="129">
        <v>0</v>
      </c>
      <c r="CP59" s="129">
        <v>0</v>
      </c>
      <c r="CQ59" s="129">
        <v>0</v>
      </c>
      <c r="CR59" s="129">
        <v>0</v>
      </c>
      <c r="CS59" s="129">
        <v>0</v>
      </c>
      <c r="CT59" s="129">
        <v>0</v>
      </c>
      <c r="CU59" s="129">
        <v>0</v>
      </c>
      <c r="CV59" s="129">
        <v>0</v>
      </c>
      <c r="CW59" s="129">
        <v>0</v>
      </c>
      <c r="CX59" s="129">
        <v>0</v>
      </c>
      <c r="CY59" s="129">
        <v>0</v>
      </c>
      <c r="CZ59" s="129">
        <v>0</v>
      </c>
      <c r="DA59" s="129">
        <v>0</v>
      </c>
      <c r="DB59" s="129">
        <v>0</v>
      </c>
      <c r="DC59" s="129">
        <v>0</v>
      </c>
      <c r="DD59" s="129">
        <v>0</v>
      </c>
      <c r="DE59" s="129">
        <v>0</v>
      </c>
      <c r="DF59" s="129">
        <v>0</v>
      </c>
      <c r="DG59" s="129">
        <v>0</v>
      </c>
      <c r="DH59" s="129">
        <v>0</v>
      </c>
      <c r="DI59" s="129">
        <v>0</v>
      </c>
      <c r="DJ59" s="129">
        <v>0</v>
      </c>
      <c r="DK59" s="129">
        <v>0</v>
      </c>
      <c r="DL59" s="129">
        <v>0</v>
      </c>
      <c r="DM59" s="129">
        <v>0</v>
      </c>
      <c r="DN59" s="129">
        <v>0</v>
      </c>
      <c r="DO59" s="129">
        <v>0</v>
      </c>
      <c r="DP59" s="129">
        <v>0</v>
      </c>
      <c r="DQ59" s="129">
        <v>0</v>
      </c>
      <c r="DR59" s="129">
        <v>0</v>
      </c>
      <c r="DS59" s="129">
        <v>0</v>
      </c>
      <c r="DT59" s="129">
        <v>0</v>
      </c>
      <c r="DU59" s="129">
        <v>0</v>
      </c>
      <c r="DV59" s="129">
        <v>0</v>
      </c>
      <c r="DW59" s="129">
        <v>0</v>
      </c>
      <c r="DX59" s="129">
        <v>0</v>
      </c>
      <c r="DY59" s="129">
        <v>0</v>
      </c>
      <c r="DZ59" s="129">
        <v>0</v>
      </c>
      <c r="EA59" s="129">
        <v>0</v>
      </c>
      <c r="EB59" s="129">
        <v>0</v>
      </c>
      <c r="EC59" s="129">
        <v>0</v>
      </c>
      <c r="ED59" s="129">
        <v>0</v>
      </c>
      <c r="EE59" s="129">
        <v>0</v>
      </c>
      <c r="EF59" s="129">
        <v>0</v>
      </c>
      <c r="EG59" s="129">
        <v>4610</v>
      </c>
      <c r="EH59" s="129">
        <v>5310</v>
      </c>
      <c r="EI59" s="129">
        <v>4810</v>
      </c>
      <c r="EJ59" s="129">
        <v>4360</v>
      </c>
      <c r="EK59" s="129">
        <v>4070</v>
      </c>
      <c r="EL59" s="129">
        <v>3920</v>
      </c>
      <c r="EM59" s="129">
        <v>4015</v>
      </c>
      <c r="EN59" s="129">
        <v>3960</v>
      </c>
      <c r="EO59" s="129">
        <v>4000</v>
      </c>
      <c r="EP59" s="129">
        <v>4700</v>
      </c>
      <c r="EQ59" s="129">
        <v>4490</v>
      </c>
      <c r="ER59" s="129">
        <v>4295</v>
      </c>
      <c r="ES59" s="129">
        <v>4190</v>
      </c>
      <c r="ET59" s="129">
        <v>3860</v>
      </c>
      <c r="EU59" s="129">
        <v>3785</v>
      </c>
      <c r="EV59" s="129">
        <v>3795</v>
      </c>
      <c r="EW59" s="129">
        <v>3920</v>
      </c>
    </row>
    <row r="60" spans="1:153" x14ac:dyDescent="0.25">
      <c r="A60" s="357" t="str">
        <f>IPO監視一覧!H48</f>
        <v>A</v>
      </c>
      <c r="B60" s="84" t="str">
        <f>IPO監視一覧!B48</f>
        <v>ニーズウェル</v>
      </c>
      <c r="C60" s="332">
        <f>株価一覧!E59</f>
        <v>3330</v>
      </c>
      <c r="D60" s="321">
        <f t="shared" ca="1" si="26"/>
        <v>3262</v>
      </c>
      <c r="E60" s="333">
        <f t="shared" ca="1" si="27"/>
        <v>3270</v>
      </c>
      <c r="F60" s="334">
        <f t="shared" ca="1" si="28"/>
        <v>3100</v>
      </c>
      <c r="G60" s="129">
        <v>0</v>
      </c>
      <c r="H60" s="129">
        <v>0</v>
      </c>
      <c r="I60" s="129">
        <v>0</v>
      </c>
      <c r="J60" s="129">
        <v>0</v>
      </c>
      <c r="K60" s="129">
        <v>0</v>
      </c>
      <c r="L60" s="129">
        <v>0</v>
      </c>
      <c r="M60" s="129">
        <v>0</v>
      </c>
      <c r="N60" s="129">
        <v>0</v>
      </c>
      <c r="O60" s="129">
        <v>0</v>
      </c>
      <c r="P60" s="129">
        <v>0</v>
      </c>
      <c r="Q60" s="129">
        <v>0</v>
      </c>
      <c r="R60" s="129">
        <v>0</v>
      </c>
      <c r="S60" s="129">
        <v>0</v>
      </c>
      <c r="T60" s="129">
        <v>0</v>
      </c>
      <c r="U60" s="129">
        <v>0</v>
      </c>
      <c r="V60" s="129">
        <v>0</v>
      </c>
      <c r="W60" s="129">
        <v>0</v>
      </c>
      <c r="X60" s="129">
        <v>0</v>
      </c>
      <c r="Y60" s="129">
        <v>0</v>
      </c>
      <c r="Z60" s="129">
        <v>0</v>
      </c>
      <c r="AA60" s="129">
        <v>0</v>
      </c>
      <c r="AB60" s="129">
        <v>0</v>
      </c>
      <c r="AC60" s="129">
        <v>0</v>
      </c>
      <c r="AD60" s="129">
        <v>0</v>
      </c>
      <c r="AE60" s="129">
        <v>0</v>
      </c>
      <c r="AF60" s="129">
        <v>0</v>
      </c>
      <c r="AG60" s="129">
        <v>0</v>
      </c>
      <c r="AH60" s="129">
        <v>0</v>
      </c>
      <c r="AI60" s="129">
        <v>0</v>
      </c>
      <c r="AJ60" s="129">
        <v>0</v>
      </c>
      <c r="AK60" s="129">
        <v>0</v>
      </c>
      <c r="AL60" s="129">
        <v>0</v>
      </c>
      <c r="AM60" s="129">
        <v>0</v>
      </c>
      <c r="AN60" s="129">
        <v>0</v>
      </c>
      <c r="AO60" s="129">
        <v>0</v>
      </c>
      <c r="AP60" s="129">
        <v>0</v>
      </c>
      <c r="AQ60" s="129">
        <v>0</v>
      </c>
      <c r="AR60" s="129">
        <v>0</v>
      </c>
      <c r="AS60" s="129">
        <v>0</v>
      </c>
      <c r="AT60" s="129">
        <v>0</v>
      </c>
      <c r="AU60" s="129">
        <v>0</v>
      </c>
      <c r="AV60" s="129">
        <v>0</v>
      </c>
      <c r="AW60" s="129">
        <v>0</v>
      </c>
      <c r="AX60" s="129">
        <v>0</v>
      </c>
      <c r="AY60" s="129">
        <v>0</v>
      </c>
      <c r="AZ60" s="129">
        <v>0</v>
      </c>
      <c r="BA60" s="129">
        <v>0</v>
      </c>
      <c r="BB60" s="129">
        <v>0</v>
      </c>
      <c r="BC60" s="129">
        <v>0</v>
      </c>
      <c r="BD60" s="129">
        <v>0</v>
      </c>
      <c r="BE60" s="129">
        <v>0</v>
      </c>
      <c r="BF60" s="129">
        <v>0</v>
      </c>
      <c r="BG60" s="129">
        <v>0</v>
      </c>
      <c r="BH60" s="129">
        <v>0</v>
      </c>
      <c r="BI60" s="129">
        <v>0</v>
      </c>
      <c r="BJ60" s="129">
        <v>0</v>
      </c>
      <c r="BK60" s="129">
        <v>0</v>
      </c>
      <c r="BL60" s="129">
        <v>0</v>
      </c>
      <c r="BM60" s="129">
        <v>0</v>
      </c>
      <c r="BN60" s="129">
        <v>0</v>
      </c>
      <c r="BO60" s="129">
        <v>0</v>
      </c>
      <c r="BP60" s="129">
        <v>0</v>
      </c>
      <c r="BQ60" s="129">
        <v>0</v>
      </c>
      <c r="BR60" s="129">
        <v>0</v>
      </c>
      <c r="BS60" s="129">
        <v>0</v>
      </c>
      <c r="BT60" s="129">
        <v>0</v>
      </c>
      <c r="BU60" s="129">
        <v>0</v>
      </c>
      <c r="BV60" s="129">
        <v>0</v>
      </c>
      <c r="BW60" s="129">
        <v>0</v>
      </c>
      <c r="BX60" s="129">
        <v>0</v>
      </c>
      <c r="BY60" s="129">
        <v>0</v>
      </c>
      <c r="BZ60" s="129">
        <v>0</v>
      </c>
      <c r="CA60" s="129">
        <v>0</v>
      </c>
      <c r="CB60" s="129">
        <v>0</v>
      </c>
      <c r="CC60" s="129">
        <v>0</v>
      </c>
      <c r="CD60" s="129">
        <v>0</v>
      </c>
      <c r="CE60" s="129">
        <v>0</v>
      </c>
      <c r="CF60" s="129">
        <v>0</v>
      </c>
      <c r="CG60" s="129">
        <v>0</v>
      </c>
      <c r="CH60" s="129">
        <v>0</v>
      </c>
      <c r="CI60" s="129">
        <v>0</v>
      </c>
      <c r="CJ60" s="129">
        <v>0</v>
      </c>
      <c r="CK60" s="129">
        <v>0</v>
      </c>
      <c r="CL60" s="129">
        <v>0</v>
      </c>
      <c r="CM60" s="129">
        <v>0</v>
      </c>
      <c r="CN60" s="129">
        <v>0</v>
      </c>
      <c r="CO60" s="129">
        <v>0</v>
      </c>
      <c r="CP60" s="129">
        <v>0</v>
      </c>
      <c r="CQ60" s="129">
        <v>0</v>
      </c>
      <c r="CR60" s="129">
        <v>0</v>
      </c>
      <c r="CS60" s="129">
        <v>0</v>
      </c>
      <c r="CT60" s="129">
        <v>0</v>
      </c>
      <c r="CU60" s="129">
        <v>0</v>
      </c>
      <c r="CV60" s="129">
        <v>0</v>
      </c>
      <c r="CW60" s="129">
        <v>0</v>
      </c>
      <c r="CX60" s="129">
        <v>0</v>
      </c>
      <c r="CY60" s="129">
        <v>0</v>
      </c>
      <c r="CZ60" s="129">
        <v>0</v>
      </c>
      <c r="DA60" s="129">
        <v>0</v>
      </c>
      <c r="DB60" s="129">
        <v>0</v>
      </c>
      <c r="DC60" s="129">
        <v>0</v>
      </c>
      <c r="DD60" s="129">
        <v>0</v>
      </c>
      <c r="DE60" s="129">
        <v>0</v>
      </c>
      <c r="DF60" s="129">
        <v>0</v>
      </c>
      <c r="DG60" s="129">
        <v>0</v>
      </c>
      <c r="DH60" s="129">
        <v>0</v>
      </c>
      <c r="DI60" s="129">
        <v>0</v>
      </c>
      <c r="DJ60" s="129">
        <v>0</v>
      </c>
      <c r="DK60" s="129">
        <v>0</v>
      </c>
      <c r="DL60" s="129">
        <v>0</v>
      </c>
      <c r="DM60" s="129">
        <v>0</v>
      </c>
      <c r="DN60" s="129">
        <v>0</v>
      </c>
      <c r="DO60" s="129">
        <v>0</v>
      </c>
      <c r="DP60" s="129">
        <v>0</v>
      </c>
      <c r="DQ60" s="129">
        <v>0</v>
      </c>
      <c r="DR60" s="129">
        <v>0</v>
      </c>
      <c r="DS60" s="129">
        <v>0</v>
      </c>
      <c r="DT60" s="129">
        <v>0</v>
      </c>
      <c r="DU60" s="129">
        <v>0</v>
      </c>
      <c r="DV60" s="129">
        <v>0</v>
      </c>
      <c r="DW60" s="129">
        <v>0</v>
      </c>
      <c r="DX60" s="129">
        <v>0</v>
      </c>
      <c r="DY60" s="129">
        <v>0</v>
      </c>
      <c r="DZ60" s="129">
        <v>0</v>
      </c>
      <c r="EA60" s="129">
        <v>0</v>
      </c>
      <c r="EB60" s="129">
        <v>0</v>
      </c>
      <c r="EC60" s="129">
        <v>0</v>
      </c>
      <c r="ED60" s="129">
        <v>0</v>
      </c>
      <c r="EE60" s="129">
        <v>0</v>
      </c>
      <c r="EF60" s="129">
        <v>0</v>
      </c>
      <c r="EG60" s="129">
        <v>0</v>
      </c>
      <c r="EH60" s="129">
        <v>0</v>
      </c>
      <c r="EI60" s="129">
        <v>0</v>
      </c>
      <c r="EJ60" s="129">
        <v>3380</v>
      </c>
      <c r="EK60" s="129">
        <v>3200</v>
      </c>
      <c r="EL60" s="129">
        <v>3250</v>
      </c>
      <c r="EM60" s="129">
        <v>3150</v>
      </c>
      <c r="EN60" s="129">
        <v>3270</v>
      </c>
      <c r="EO60" s="129">
        <v>3100</v>
      </c>
      <c r="EP60" s="129">
        <v>3190</v>
      </c>
      <c r="EQ60" s="129">
        <v>3480</v>
      </c>
      <c r="ER60" s="129">
        <v>3350</v>
      </c>
      <c r="ES60" s="129">
        <v>3315</v>
      </c>
      <c r="ET60" s="129">
        <v>3175</v>
      </c>
      <c r="EU60" s="129">
        <v>3195</v>
      </c>
      <c r="EV60" s="129">
        <v>3295</v>
      </c>
      <c r="EW60" s="129">
        <v>3330</v>
      </c>
    </row>
    <row r="61" spans="1:153" x14ac:dyDescent="0.25">
      <c r="A61" s="357" t="str">
        <f>IPO監視一覧!H49</f>
        <v>A</v>
      </c>
      <c r="B61" s="84" t="str">
        <f>IPO監視一覧!B49</f>
        <v>PKSHA Technology</v>
      </c>
      <c r="C61" s="332">
        <f>株価一覧!E60</f>
        <v>12960</v>
      </c>
      <c r="D61" s="321">
        <f t="shared" ca="1" si="26"/>
        <v>11950</v>
      </c>
      <c r="E61" s="333">
        <f t="shared" ca="1" si="27"/>
        <v>10701</v>
      </c>
      <c r="F61" s="334">
        <f t="shared" ca="1" si="28"/>
        <v>8530</v>
      </c>
      <c r="G61" s="129">
        <v>0</v>
      </c>
      <c r="H61" s="129">
        <v>0</v>
      </c>
      <c r="I61" s="129">
        <v>0</v>
      </c>
      <c r="J61" s="129">
        <v>0</v>
      </c>
      <c r="K61" s="129">
        <v>0</v>
      </c>
      <c r="L61" s="129">
        <v>0</v>
      </c>
      <c r="M61" s="129">
        <v>0</v>
      </c>
      <c r="N61" s="129">
        <v>0</v>
      </c>
      <c r="O61" s="129">
        <v>0</v>
      </c>
      <c r="P61" s="129">
        <v>0</v>
      </c>
      <c r="Q61" s="129">
        <v>0</v>
      </c>
      <c r="R61" s="129">
        <v>0</v>
      </c>
      <c r="S61" s="129">
        <v>0</v>
      </c>
      <c r="T61" s="129">
        <v>0</v>
      </c>
      <c r="U61" s="129">
        <v>0</v>
      </c>
      <c r="V61" s="129">
        <v>0</v>
      </c>
      <c r="W61" s="129">
        <v>0</v>
      </c>
      <c r="X61" s="129">
        <v>0</v>
      </c>
      <c r="Y61" s="129">
        <v>0</v>
      </c>
      <c r="Z61" s="129">
        <v>0</v>
      </c>
      <c r="AA61" s="129">
        <v>0</v>
      </c>
      <c r="AB61" s="129">
        <v>0</v>
      </c>
      <c r="AC61" s="129">
        <v>0</v>
      </c>
      <c r="AD61" s="129">
        <v>0</v>
      </c>
      <c r="AE61" s="129">
        <v>0</v>
      </c>
      <c r="AF61" s="129">
        <v>0</v>
      </c>
      <c r="AG61" s="129">
        <v>0</v>
      </c>
      <c r="AH61" s="129">
        <v>0</v>
      </c>
      <c r="AI61" s="129">
        <v>0</v>
      </c>
      <c r="AJ61" s="129">
        <v>0</v>
      </c>
      <c r="AK61" s="129">
        <v>0</v>
      </c>
      <c r="AL61" s="129">
        <v>0</v>
      </c>
      <c r="AM61" s="129">
        <v>0</v>
      </c>
      <c r="AN61" s="129">
        <v>0</v>
      </c>
      <c r="AO61" s="129">
        <v>0</v>
      </c>
      <c r="AP61" s="129">
        <v>0</v>
      </c>
      <c r="AQ61" s="129">
        <v>0</v>
      </c>
      <c r="AR61" s="129">
        <v>0</v>
      </c>
      <c r="AS61" s="129">
        <v>0</v>
      </c>
      <c r="AT61" s="129">
        <v>0</v>
      </c>
      <c r="AU61" s="129">
        <v>0</v>
      </c>
      <c r="AV61" s="129">
        <v>0</v>
      </c>
      <c r="AW61" s="129">
        <v>0</v>
      </c>
      <c r="AX61" s="129">
        <v>0</v>
      </c>
      <c r="AY61" s="129">
        <v>0</v>
      </c>
      <c r="AZ61" s="129">
        <v>0</v>
      </c>
      <c r="BA61" s="129">
        <v>0</v>
      </c>
      <c r="BB61" s="129">
        <v>0</v>
      </c>
      <c r="BC61" s="129">
        <v>0</v>
      </c>
      <c r="BD61" s="129">
        <v>0</v>
      </c>
      <c r="BE61" s="129">
        <v>0</v>
      </c>
      <c r="BF61" s="129">
        <v>0</v>
      </c>
      <c r="BG61" s="129">
        <v>0</v>
      </c>
      <c r="BH61" s="129">
        <v>0</v>
      </c>
      <c r="BI61" s="129">
        <v>0</v>
      </c>
      <c r="BJ61" s="129">
        <v>0</v>
      </c>
      <c r="BK61" s="129">
        <v>0</v>
      </c>
      <c r="BL61" s="129">
        <v>0</v>
      </c>
      <c r="BM61" s="129">
        <v>0</v>
      </c>
      <c r="BN61" s="129">
        <v>0</v>
      </c>
      <c r="BO61" s="129">
        <v>0</v>
      </c>
      <c r="BP61" s="129">
        <v>0</v>
      </c>
      <c r="BQ61" s="129">
        <v>0</v>
      </c>
      <c r="BR61" s="129">
        <v>0</v>
      </c>
      <c r="BS61" s="129">
        <v>0</v>
      </c>
      <c r="BT61" s="129">
        <v>0</v>
      </c>
      <c r="BU61" s="129">
        <v>0</v>
      </c>
      <c r="BV61" s="129">
        <v>0</v>
      </c>
      <c r="BW61" s="129">
        <v>0</v>
      </c>
      <c r="BX61" s="129">
        <v>0</v>
      </c>
      <c r="BY61" s="129">
        <v>0</v>
      </c>
      <c r="BZ61" s="129">
        <v>0</v>
      </c>
      <c r="CA61" s="129">
        <v>0</v>
      </c>
      <c r="CB61" s="129">
        <v>0</v>
      </c>
      <c r="CC61" s="129">
        <v>0</v>
      </c>
      <c r="CD61" s="129">
        <v>0</v>
      </c>
      <c r="CE61" s="129">
        <v>0</v>
      </c>
      <c r="CF61" s="129">
        <v>0</v>
      </c>
      <c r="CG61" s="129">
        <v>0</v>
      </c>
      <c r="CH61" s="129">
        <v>0</v>
      </c>
      <c r="CI61" s="129">
        <v>0</v>
      </c>
      <c r="CJ61" s="129">
        <v>0</v>
      </c>
      <c r="CK61" s="129">
        <v>0</v>
      </c>
      <c r="CL61" s="129">
        <v>0</v>
      </c>
      <c r="CM61" s="129">
        <v>0</v>
      </c>
      <c r="CN61" s="129">
        <v>0</v>
      </c>
      <c r="CO61" s="129">
        <v>0</v>
      </c>
      <c r="CP61" s="129">
        <v>0</v>
      </c>
      <c r="CQ61" s="129">
        <v>0</v>
      </c>
      <c r="CR61" s="129">
        <v>0</v>
      </c>
      <c r="CS61" s="129">
        <v>0</v>
      </c>
      <c r="CT61" s="129">
        <v>0</v>
      </c>
      <c r="CU61" s="129">
        <v>0</v>
      </c>
      <c r="CV61" s="129">
        <v>0</v>
      </c>
      <c r="CW61" s="129">
        <v>0</v>
      </c>
      <c r="CX61" s="129">
        <v>0</v>
      </c>
      <c r="CY61" s="129">
        <v>0</v>
      </c>
      <c r="CZ61" s="129">
        <v>0</v>
      </c>
      <c r="DA61" s="129">
        <v>0</v>
      </c>
      <c r="DB61" s="129">
        <v>0</v>
      </c>
      <c r="DC61" s="129">
        <v>0</v>
      </c>
      <c r="DD61" s="129">
        <v>0</v>
      </c>
      <c r="DE61" s="129">
        <v>0</v>
      </c>
      <c r="DF61" s="129">
        <v>0</v>
      </c>
      <c r="DG61" s="129">
        <v>0</v>
      </c>
      <c r="DH61" s="129">
        <v>0</v>
      </c>
      <c r="DI61" s="129">
        <v>0</v>
      </c>
      <c r="DJ61" s="129">
        <v>0</v>
      </c>
      <c r="DK61" s="129">
        <v>0</v>
      </c>
      <c r="DL61" s="129">
        <v>0</v>
      </c>
      <c r="DM61" s="129">
        <v>0</v>
      </c>
      <c r="DN61" s="129">
        <v>0</v>
      </c>
      <c r="DO61" s="129">
        <v>0</v>
      </c>
      <c r="DP61" s="129">
        <v>0</v>
      </c>
      <c r="DQ61" s="129">
        <v>0</v>
      </c>
      <c r="DR61" s="129">
        <v>0</v>
      </c>
      <c r="DS61" s="129">
        <v>0</v>
      </c>
      <c r="DT61" s="129">
        <v>0</v>
      </c>
      <c r="DU61" s="129">
        <v>0</v>
      </c>
      <c r="DV61" s="129">
        <v>0</v>
      </c>
      <c r="DW61" s="129">
        <v>0</v>
      </c>
      <c r="DX61" s="129">
        <v>0</v>
      </c>
      <c r="DY61" s="129">
        <v>0</v>
      </c>
      <c r="DZ61" s="129">
        <v>0</v>
      </c>
      <c r="EA61" s="129">
        <v>0</v>
      </c>
      <c r="EB61" s="129">
        <v>0</v>
      </c>
      <c r="EC61" s="129">
        <v>0</v>
      </c>
      <c r="ED61" s="129">
        <v>0</v>
      </c>
      <c r="EE61" s="129">
        <v>0</v>
      </c>
      <c r="EF61" s="129">
        <v>0</v>
      </c>
      <c r="EG61" s="129">
        <v>0</v>
      </c>
      <c r="EH61" s="129">
        <v>0</v>
      </c>
      <c r="EI61" s="129">
        <v>0</v>
      </c>
      <c r="EJ61" s="129">
        <v>0</v>
      </c>
      <c r="EK61" s="129">
        <v>0</v>
      </c>
      <c r="EL61" s="129">
        <v>6840</v>
      </c>
      <c r="EM61" s="129">
        <v>7050</v>
      </c>
      <c r="EN61" s="129">
        <v>8550</v>
      </c>
      <c r="EO61" s="129">
        <v>8530</v>
      </c>
      <c r="EP61" s="129">
        <v>9350</v>
      </c>
      <c r="EQ61" s="129">
        <v>10770</v>
      </c>
      <c r="ER61" s="129">
        <v>10060</v>
      </c>
      <c r="ES61" s="129">
        <v>10320</v>
      </c>
      <c r="ET61" s="129">
        <v>10430</v>
      </c>
      <c r="EU61" s="129">
        <v>11800</v>
      </c>
      <c r="EV61" s="129">
        <v>14240</v>
      </c>
      <c r="EW61" s="129">
        <v>12960</v>
      </c>
    </row>
    <row r="62" spans="1:153" x14ac:dyDescent="0.25">
      <c r="A62" s="357" t="str">
        <f>IPO監視一覧!H50</f>
        <v>C</v>
      </c>
      <c r="B62" s="84" t="str">
        <f>IPO監視一覧!B50</f>
        <v>壽屋</v>
      </c>
      <c r="C62" s="332">
        <f>株価一覧!E61</f>
        <v>2652</v>
      </c>
      <c r="D62" s="321">
        <f t="shared" ref="D62:D75" ca="1" si="29">AVERAGE(OFFSET(A62,0,COUNTA(G62:XFD62)+5,1,-5))</f>
        <v>2540.1999999999998</v>
      </c>
      <c r="E62" s="333">
        <f t="shared" ref="E62:E75" ca="1" si="30">AVERAGE(OFFSET(A62,0,COUNTA(G62:XFD62)+5,1,-10))</f>
        <v>2635.9</v>
      </c>
      <c r="F62" s="334">
        <f t="shared" ref="F62:F75" ca="1" si="31">MIN(OFFSET(B62,0,COUNTA(G62:XFD62)+5,1,-10))</f>
        <v>2420</v>
      </c>
      <c r="G62" s="129">
        <v>0</v>
      </c>
      <c r="H62" s="129">
        <v>0</v>
      </c>
      <c r="I62" s="129">
        <v>0</v>
      </c>
      <c r="J62" s="129">
        <v>0</v>
      </c>
      <c r="K62" s="129">
        <v>0</v>
      </c>
      <c r="L62" s="129">
        <v>0</v>
      </c>
      <c r="M62" s="129">
        <v>0</v>
      </c>
      <c r="N62" s="129">
        <v>0</v>
      </c>
      <c r="O62" s="129">
        <v>0</v>
      </c>
      <c r="P62" s="129">
        <v>0</v>
      </c>
      <c r="Q62" s="129">
        <v>0</v>
      </c>
      <c r="R62" s="129">
        <v>0</v>
      </c>
      <c r="S62" s="129">
        <v>0</v>
      </c>
      <c r="T62" s="129">
        <v>0</v>
      </c>
      <c r="U62" s="129">
        <v>0</v>
      </c>
      <c r="V62" s="129">
        <v>0</v>
      </c>
      <c r="W62" s="129">
        <v>0</v>
      </c>
      <c r="X62" s="129">
        <v>0</v>
      </c>
      <c r="Y62" s="129">
        <v>0</v>
      </c>
      <c r="Z62" s="129">
        <v>0</v>
      </c>
      <c r="AA62" s="129">
        <v>0</v>
      </c>
      <c r="AB62" s="129">
        <v>0</v>
      </c>
      <c r="AC62" s="129">
        <v>0</v>
      </c>
      <c r="AD62" s="129">
        <v>0</v>
      </c>
      <c r="AE62" s="129">
        <v>0</v>
      </c>
      <c r="AF62" s="129">
        <v>0</v>
      </c>
      <c r="AG62" s="129">
        <v>0</v>
      </c>
      <c r="AH62" s="129">
        <v>0</v>
      </c>
      <c r="AI62" s="129">
        <v>0</v>
      </c>
      <c r="AJ62" s="129">
        <v>0</v>
      </c>
      <c r="AK62" s="129">
        <v>0</v>
      </c>
      <c r="AL62" s="129">
        <v>0</v>
      </c>
      <c r="AM62" s="129">
        <v>0</v>
      </c>
      <c r="AN62" s="129">
        <v>0</v>
      </c>
      <c r="AO62" s="129">
        <v>0</v>
      </c>
      <c r="AP62" s="129">
        <v>0</v>
      </c>
      <c r="AQ62" s="129">
        <v>0</v>
      </c>
      <c r="AR62" s="129">
        <v>0</v>
      </c>
      <c r="AS62" s="129">
        <v>0</v>
      </c>
      <c r="AT62" s="129">
        <v>0</v>
      </c>
      <c r="AU62" s="129">
        <v>0</v>
      </c>
      <c r="AV62" s="129">
        <v>0</v>
      </c>
      <c r="AW62" s="129">
        <v>0</v>
      </c>
      <c r="AX62" s="129">
        <v>0</v>
      </c>
      <c r="AY62" s="129">
        <v>0</v>
      </c>
      <c r="AZ62" s="129">
        <v>0</v>
      </c>
      <c r="BA62" s="129">
        <v>0</v>
      </c>
      <c r="BB62" s="129">
        <v>0</v>
      </c>
      <c r="BC62" s="129">
        <v>0</v>
      </c>
      <c r="BD62" s="129">
        <v>0</v>
      </c>
      <c r="BE62" s="129">
        <v>0</v>
      </c>
      <c r="BF62" s="129">
        <v>0</v>
      </c>
      <c r="BG62" s="129">
        <v>0</v>
      </c>
      <c r="BH62" s="129">
        <v>0</v>
      </c>
      <c r="BI62" s="129">
        <v>0</v>
      </c>
      <c r="BJ62" s="129">
        <v>0</v>
      </c>
      <c r="BK62" s="129">
        <v>0</v>
      </c>
      <c r="BL62" s="129">
        <v>0</v>
      </c>
      <c r="BM62" s="129">
        <v>0</v>
      </c>
      <c r="BN62" s="129">
        <v>0</v>
      </c>
      <c r="BO62" s="129">
        <v>0</v>
      </c>
      <c r="BP62" s="129">
        <v>0</v>
      </c>
      <c r="BQ62" s="129">
        <v>0</v>
      </c>
      <c r="BR62" s="129">
        <v>0</v>
      </c>
      <c r="BS62" s="129">
        <v>0</v>
      </c>
      <c r="BT62" s="129">
        <v>0</v>
      </c>
      <c r="BU62" s="129">
        <v>0</v>
      </c>
      <c r="BV62" s="129">
        <v>0</v>
      </c>
      <c r="BW62" s="129">
        <v>0</v>
      </c>
      <c r="BX62" s="129">
        <v>0</v>
      </c>
      <c r="BY62" s="129">
        <v>0</v>
      </c>
      <c r="BZ62" s="129">
        <v>0</v>
      </c>
      <c r="CA62" s="129">
        <v>0</v>
      </c>
      <c r="CB62" s="129">
        <v>0</v>
      </c>
      <c r="CC62" s="129">
        <v>0</v>
      </c>
      <c r="CD62" s="129">
        <v>0</v>
      </c>
      <c r="CE62" s="129">
        <v>0</v>
      </c>
      <c r="CF62" s="129">
        <v>0</v>
      </c>
      <c r="CG62" s="129">
        <v>0</v>
      </c>
      <c r="CH62" s="129">
        <v>0</v>
      </c>
      <c r="CI62" s="129">
        <v>0</v>
      </c>
      <c r="CJ62" s="129">
        <v>0</v>
      </c>
      <c r="CK62" s="129">
        <v>0</v>
      </c>
      <c r="CL62" s="129">
        <v>0</v>
      </c>
      <c r="CM62" s="129">
        <v>0</v>
      </c>
      <c r="CN62" s="129">
        <v>0</v>
      </c>
      <c r="CO62" s="129">
        <v>0</v>
      </c>
      <c r="CP62" s="129">
        <v>0</v>
      </c>
      <c r="CQ62" s="129">
        <v>0</v>
      </c>
      <c r="CR62" s="129">
        <v>0</v>
      </c>
      <c r="CS62" s="129">
        <v>0</v>
      </c>
      <c r="CT62" s="129">
        <v>0</v>
      </c>
      <c r="CU62" s="129">
        <v>0</v>
      </c>
      <c r="CV62" s="129">
        <v>0</v>
      </c>
      <c r="CW62" s="129">
        <v>0</v>
      </c>
      <c r="CX62" s="129">
        <v>0</v>
      </c>
      <c r="CY62" s="129">
        <v>0</v>
      </c>
      <c r="CZ62" s="129">
        <v>0</v>
      </c>
      <c r="DA62" s="129">
        <v>0</v>
      </c>
      <c r="DB62" s="129">
        <v>0</v>
      </c>
      <c r="DC62" s="129">
        <v>0</v>
      </c>
      <c r="DD62" s="129">
        <v>0</v>
      </c>
      <c r="DE62" s="129">
        <v>0</v>
      </c>
      <c r="DF62" s="129">
        <v>0</v>
      </c>
      <c r="DG62" s="129">
        <v>0</v>
      </c>
      <c r="DH62" s="129">
        <v>0</v>
      </c>
      <c r="DI62" s="129">
        <v>0</v>
      </c>
      <c r="DJ62" s="129">
        <v>0</v>
      </c>
      <c r="DK62" s="129">
        <v>0</v>
      </c>
      <c r="DL62" s="129">
        <v>0</v>
      </c>
      <c r="DM62" s="129">
        <v>0</v>
      </c>
      <c r="DN62" s="129">
        <v>0</v>
      </c>
      <c r="DO62" s="129">
        <v>0</v>
      </c>
      <c r="DP62" s="129">
        <v>0</v>
      </c>
      <c r="DQ62" s="129">
        <v>0</v>
      </c>
      <c r="DR62" s="129">
        <v>0</v>
      </c>
      <c r="DS62" s="129">
        <v>0</v>
      </c>
      <c r="DT62" s="129">
        <v>0</v>
      </c>
      <c r="DU62" s="129">
        <v>0</v>
      </c>
      <c r="DV62" s="129">
        <v>0</v>
      </c>
      <c r="DW62" s="129">
        <v>0</v>
      </c>
      <c r="DX62" s="129">
        <v>0</v>
      </c>
      <c r="DY62" s="129">
        <v>0</v>
      </c>
      <c r="DZ62" s="129">
        <v>0</v>
      </c>
      <c r="EA62" s="129">
        <v>0</v>
      </c>
      <c r="EB62" s="129">
        <v>0</v>
      </c>
      <c r="EC62" s="129">
        <v>0</v>
      </c>
      <c r="ED62" s="129">
        <v>0</v>
      </c>
      <c r="EE62" s="129">
        <v>0</v>
      </c>
      <c r="EF62" s="129">
        <v>0</v>
      </c>
      <c r="EG62" s="129">
        <v>0</v>
      </c>
      <c r="EH62" s="129">
        <v>0</v>
      </c>
      <c r="EI62" s="129">
        <v>0</v>
      </c>
      <c r="EJ62" s="129">
        <v>0</v>
      </c>
      <c r="EK62" s="129">
        <v>0</v>
      </c>
      <c r="EL62" s="129">
        <v>0</v>
      </c>
      <c r="EM62" s="129">
        <v>0</v>
      </c>
      <c r="EN62" s="129">
        <v>2930</v>
      </c>
      <c r="EO62" s="129">
        <v>2797</v>
      </c>
      <c r="EP62" s="129">
        <v>2669</v>
      </c>
      <c r="EQ62" s="129">
        <v>2632</v>
      </c>
      <c r="ER62" s="129">
        <v>2630</v>
      </c>
      <c r="ES62" s="129">
        <v>2498</v>
      </c>
      <c r="ET62" s="129">
        <v>2420</v>
      </c>
      <c r="EU62" s="129">
        <v>2532</v>
      </c>
      <c r="EV62" s="129">
        <v>2599</v>
      </c>
      <c r="EW62" s="129">
        <v>2652</v>
      </c>
    </row>
    <row r="63" spans="1:153" x14ac:dyDescent="0.25">
      <c r="A63" s="357" t="str">
        <f>IPO監視一覧!H51</f>
        <v>C</v>
      </c>
      <c r="B63" s="84" t="str">
        <f>IPO監視一覧!B51</f>
        <v>ロードスターキャピタル</v>
      </c>
      <c r="C63" s="332">
        <f>株価一覧!E62</f>
        <v>3975</v>
      </c>
      <c r="D63" s="321">
        <f t="shared" ca="1" si="29"/>
        <v>3536</v>
      </c>
      <c r="E63" s="333">
        <f t="shared" ca="1" si="30"/>
        <v>2881.6</v>
      </c>
      <c r="F63" s="334">
        <f t="shared" ca="1" si="31"/>
        <v>2498</v>
      </c>
      <c r="G63" s="129">
        <v>0</v>
      </c>
      <c r="H63" s="129">
        <v>0</v>
      </c>
      <c r="I63" s="129">
        <v>0</v>
      </c>
      <c r="J63" s="129">
        <v>0</v>
      </c>
      <c r="K63" s="129">
        <v>0</v>
      </c>
      <c r="L63" s="129">
        <v>0</v>
      </c>
      <c r="M63" s="129">
        <v>0</v>
      </c>
      <c r="N63" s="129">
        <v>0</v>
      </c>
      <c r="O63" s="129">
        <v>0</v>
      </c>
      <c r="P63" s="129">
        <v>0</v>
      </c>
      <c r="Q63" s="129">
        <v>0</v>
      </c>
      <c r="R63" s="129">
        <v>0</v>
      </c>
      <c r="S63" s="129">
        <v>0</v>
      </c>
      <c r="T63" s="129">
        <v>0</v>
      </c>
      <c r="U63" s="129">
        <v>0</v>
      </c>
      <c r="V63" s="129">
        <v>0</v>
      </c>
      <c r="W63" s="129">
        <v>0</v>
      </c>
      <c r="X63" s="129">
        <v>0</v>
      </c>
      <c r="Y63" s="129">
        <v>0</v>
      </c>
      <c r="Z63" s="129">
        <v>0</v>
      </c>
      <c r="AA63" s="129">
        <v>0</v>
      </c>
      <c r="AB63" s="129">
        <v>0</v>
      </c>
      <c r="AC63" s="129">
        <v>0</v>
      </c>
      <c r="AD63" s="129">
        <v>0</v>
      </c>
      <c r="AE63" s="129">
        <v>0</v>
      </c>
      <c r="AF63" s="129">
        <v>0</v>
      </c>
      <c r="AG63" s="129">
        <v>0</v>
      </c>
      <c r="AH63" s="129">
        <v>0</v>
      </c>
      <c r="AI63" s="129">
        <v>0</v>
      </c>
      <c r="AJ63" s="129">
        <v>0</v>
      </c>
      <c r="AK63" s="129">
        <v>0</v>
      </c>
      <c r="AL63" s="129">
        <v>0</v>
      </c>
      <c r="AM63" s="129">
        <v>0</v>
      </c>
      <c r="AN63" s="129">
        <v>0</v>
      </c>
      <c r="AO63" s="129">
        <v>0</v>
      </c>
      <c r="AP63" s="129">
        <v>0</v>
      </c>
      <c r="AQ63" s="129">
        <v>0</v>
      </c>
      <c r="AR63" s="129">
        <v>0</v>
      </c>
      <c r="AS63" s="129">
        <v>0</v>
      </c>
      <c r="AT63" s="129">
        <v>0</v>
      </c>
      <c r="AU63" s="129">
        <v>0</v>
      </c>
      <c r="AV63" s="129">
        <v>0</v>
      </c>
      <c r="AW63" s="129">
        <v>0</v>
      </c>
      <c r="AX63" s="129">
        <v>0</v>
      </c>
      <c r="AY63" s="129">
        <v>0</v>
      </c>
      <c r="AZ63" s="129">
        <v>0</v>
      </c>
      <c r="BA63" s="129">
        <v>0</v>
      </c>
      <c r="BB63" s="129">
        <v>0</v>
      </c>
      <c r="BC63" s="129">
        <v>0</v>
      </c>
      <c r="BD63" s="129">
        <v>0</v>
      </c>
      <c r="BE63" s="129">
        <v>0</v>
      </c>
      <c r="BF63" s="129">
        <v>0</v>
      </c>
      <c r="BG63" s="129">
        <v>0</v>
      </c>
      <c r="BH63" s="129">
        <v>0</v>
      </c>
      <c r="BI63" s="129">
        <v>0</v>
      </c>
      <c r="BJ63" s="129">
        <v>0</v>
      </c>
      <c r="BK63" s="129">
        <v>0</v>
      </c>
      <c r="BL63" s="129">
        <v>0</v>
      </c>
      <c r="BM63" s="129">
        <v>0</v>
      </c>
      <c r="BN63" s="129">
        <v>0</v>
      </c>
      <c r="BO63" s="129">
        <v>0</v>
      </c>
      <c r="BP63" s="129">
        <v>0</v>
      </c>
      <c r="BQ63" s="129">
        <v>0</v>
      </c>
      <c r="BR63" s="129">
        <v>0</v>
      </c>
      <c r="BS63" s="129">
        <v>0</v>
      </c>
      <c r="BT63" s="129">
        <v>0</v>
      </c>
      <c r="BU63" s="129">
        <v>0</v>
      </c>
      <c r="BV63" s="129">
        <v>0</v>
      </c>
      <c r="BW63" s="129">
        <v>0</v>
      </c>
      <c r="BX63" s="129">
        <v>0</v>
      </c>
      <c r="BY63" s="129">
        <v>0</v>
      </c>
      <c r="BZ63" s="129">
        <v>0</v>
      </c>
      <c r="CA63" s="129">
        <v>0</v>
      </c>
      <c r="CB63" s="129">
        <v>0</v>
      </c>
      <c r="CC63" s="129">
        <v>0</v>
      </c>
      <c r="CD63" s="129">
        <v>0</v>
      </c>
      <c r="CE63" s="129">
        <v>0</v>
      </c>
      <c r="CF63" s="129">
        <v>0</v>
      </c>
      <c r="CG63" s="129">
        <v>0</v>
      </c>
      <c r="CH63" s="129">
        <v>0</v>
      </c>
      <c r="CI63" s="129">
        <v>0</v>
      </c>
      <c r="CJ63" s="129">
        <v>0</v>
      </c>
      <c r="CK63" s="129">
        <v>0</v>
      </c>
      <c r="CL63" s="129">
        <v>0</v>
      </c>
      <c r="CM63" s="129">
        <v>0</v>
      </c>
      <c r="CN63" s="129">
        <v>0</v>
      </c>
      <c r="CO63" s="129">
        <v>0</v>
      </c>
      <c r="CP63" s="129">
        <v>0</v>
      </c>
      <c r="CQ63" s="129">
        <v>0</v>
      </c>
      <c r="CR63" s="129">
        <v>0</v>
      </c>
      <c r="CS63" s="129">
        <v>0</v>
      </c>
      <c r="CT63" s="129">
        <v>0</v>
      </c>
      <c r="CU63" s="129">
        <v>0</v>
      </c>
      <c r="CV63" s="129">
        <v>0</v>
      </c>
      <c r="CW63" s="129">
        <v>0</v>
      </c>
      <c r="CX63" s="129">
        <v>0</v>
      </c>
      <c r="CY63" s="129">
        <v>0</v>
      </c>
      <c r="CZ63" s="129">
        <v>0</v>
      </c>
      <c r="DA63" s="129">
        <v>0</v>
      </c>
      <c r="DB63" s="129">
        <v>0</v>
      </c>
      <c r="DC63" s="129">
        <v>0</v>
      </c>
      <c r="DD63" s="129">
        <v>0</v>
      </c>
      <c r="DE63" s="129">
        <v>0</v>
      </c>
      <c r="DF63" s="129">
        <v>0</v>
      </c>
      <c r="DG63" s="129">
        <v>0</v>
      </c>
      <c r="DH63" s="129">
        <v>0</v>
      </c>
      <c r="DI63" s="129">
        <v>0</v>
      </c>
      <c r="DJ63" s="129">
        <v>0</v>
      </c>
      <c r="DK63" s="129">
        <v>0</v>
      </c>
      <c r="DL63" s="129">
        <v>0</v>
      </c>
      <c r="DM63" s="129">
        <v>0</v>
      </c>
      <c r="DN63" s="129">
        <v>0</v>
      </c>
      <c r="DO63" s="129">
        <v>0</v>
      </c>
      <c r="DP63" s="129">
        <v>0</v>
      </c>
      <c r="DQ63" s="129">
        <v>0</v>
      </c>
      <c r="DR63" s="129">
        <v>0</v>
      </c>
      <c r="DS63" s="129">
        <v>0</v>
      </c>
      <c r="DT63" s="129">
        <v>0</v>
      </c>
      <c r="DU63" s="129">
        <v>0</v>
      </c>
      <c r="DV63" s="129">
        <v>0</v>
      </c>
      <c r="DW63" s="129">
        <v>0</v>
      </c>
      <c r="DX63" s="129">
        <v>0</v>
      </c>
      <c r="DY63" s="129">
        <v>0</v>
      </c>
      <c r="DZ63" s="129">
        <v>0</v>
      </c>
      <c r="EA63" s="129">
        <v>0</v>
      </c>
      <c r="EB63" s="129">
        <v>0</v>
      </c>
      <c r="EC63" s="129">
        <v>0</v>
      </c>
      <c r="ED63" s="129">
        <v>0</v>
      </c>
      <c r="EE63" s="129">
        <v>0</v>
      </c>
      <c r="EF63" s="129">
        <v>0</v>
      </c>
      <c r="EG63" s="129">
        <v>0</v>
      </c>
      <c r="EH63" s="129">
        <v>0</v>
      </c>
      <c r="EI63" s="129">
        <v>0</v>
      </c>
      <c r="EJ63" s="129">
        <v>0</v>
      </c>
      <c r="EK63" s="129">
        <v>0</v>
      </c>
      <c r="EL63" s="129">
        <v>0</v>
      </c>
      <c r="EM63" s="129">
        <v>0</v>
      </c>
      <c r="EN63" s="129">
        <v>0</v>
      </c>
      <c r="EO63" s="129">
        <v>2620</v>
      </c>
      <c r="EP63" s="129">
        <v>2498</v>
      </c>
      <c r="EQ63" s="129">
        <v>2998</v>
      </c>
      <c r="ER63" s="129">
        <v>3020</v>
      </c>
      <c r="ES63" s="129">
        <v>3150</v>
      </c>
      <c r="ET63" s="129">
        <v>3135</v>
      </c>
      <c r="EU63" s="129">
        <v>3360</v>
      </c>
      <c r="EV63" s="129">
        <v>4060</v>
      </c>
      <c r="EW63" s="129">
        <v>3975</v>
      </c>
    </row>
    <row r="64" spans="1:153" x14ac:dyDescent="0.25">
      <c r="A64" s="357" t="str">
        <f>IPO監視一覧!H52</f>
        <v>D</v>
      </c>
      <c r="B64" s="107" t="str">
        <f>IPO監視一覧!B52</f>
        <v>西本WismettacHD</v>
      </c>
      <c r="C64" s="332">
        <f>株価一覧!E63</f>
        <v>4330</v>
      </c>
      <c r="D64" s="321">
        <f t="shared" ca="1" si="29"/>
        <v>4299</v>
      </c>
      <c r="E64" s="333">
        <f t="shared" ca="1" si="30"/>
        <v>3440</v>
      </c>
      <c r="F64" s="334">
        <f t="shared" ca="1" si="31"/>
        <v>0</v>
      </c>
      <c r="G64" s="129">
        <v>0</v>
      </c>
      <c r="H64" s="129">
        <v>0</v>
      </c>
      <c r="I64" s="129">
        <v>0</v>
      </c>
      <c r="J64" s="129">
        <v>0</v>
      </c>
      <c r="K64" s="129">
        <v>0</v>
      </c>
      <c r="L64" s="129">
        <v>0</v>
      </c>
      <c r="M64" s="129">
        <v>0</v>
      </c>
      <c r="N64" s="129">
        <v>0</v>
      </c>
      <c r="O64" s="129">
        <v>0</v>
      </c>
      <c r="P64" s="129">
        <v>0</v>
      </c>
      <c r="Q64" s="129">
        <v>0</v>
      </c>
      <c r="R64" s="129">
        <v>0</v>
      </c>
      <c r="S64" s="129">
        <v>0</v>
      </c>
      <c r="T64" s="129">
        <v>0</v>
      </c>
      <c r="U64" s="129">
        <v>0</v>
      </c>
      <c r="V64" s="129">
        <v>0</v>
      </c>
      <c r="W64" s="129">
        <v>0</v>
      </c>
      <c r="X64" s="129">
        <v>0</v>
      </c>
      <c r="Y64" s="129">
        <v>0</v>
      </c>
      <c r="Z64" s="129">
        <v>0</v>
      </c>
      <c r="AA64" s="129">
        <v>0</v>
      </c>
      <c r="AB64" s="129">
        <v>0</v>
      </c>
      <c r="AC64" s="129">
        <v>0</v>
      </c>
      <c r="AD64" s="129">
        <v>0</v>
      </c>
      <c r="AE64" s="129">
        <v>0</v>
      </c>
      <c r="AF64" s="129">
        <v>0</v>
      </c>
      <c r="AG64" s="129">
        <v>0</v>
      </c>
      <c r="AH64" s="129">
        <v>0</v>
      </c>
      <c r="AI64" s="129">
        <v>0</v>
      </c>
      <c r="AJ64" s="129">
        <v>0</v>
      </c>
      <c r="AK64" s="129">
        <v>0</v>
      </c>
      <c r="AL64" s="129">
        <v>0</v>
      </c>
      <c r="AM64" s="129">
        <v>0</v>
      </c>
      <c r="AN64" s="129">
        <v>0</v>
      </c>
      <c r="AO64" s="129">
        <v>0</v>
      </c>
      <c r="AP64" s="129">
        <v>0</v>
      </c>
      <c r="AQ64" s="129">
        <v>0</v>
      </c>
      <c r="AR64" s="129">
        <v>0</v>
      </c>
      <c r="AS64" s="129">
        <v>0</v>
      </c>
      <c r="AT64" s="129">
        <v>0</v>
      </c>
      <c r="AU64" s="129">
        <v>0</v>
      </c>
      <c r="AV64" s="129">
        <v>0</v>
      </c>
      <c r="AW64" s="129">
        <v>0</v>
      </c>
      <c r="AX64" s="129">
        <v>0</v>
      </c>
      <c r="AY64" s="129">
        <v>0</v>
      </c>
      <c r="AZ64" s="129">
        <v>0</v>
      </c>
      <c r="BA64" s="129">
        <v>0</v>
      </c>
      <c r="BB64" s="129">
        <v>0</v>
      </c>
      <c r="BC64" s="129">
        <v>0</v>
      </c>
      <c r="BD64" s="129">
        <v>0</v>
      </c>
      <c r="BE64" s="129">
        <v>0</v>
      </c>
      <c r="BF64" s="129">
        <v>0</v>
      </c>
      <c r="BG64" s="129">
        <v>0</v>
      </c>
      <c r="BH64" s="129">
        <v>0</v>
      </c>
      <c r="BI64" s="129">
        <v>0</v>
      </c>
      <c r="BJ64" s="129">
        <v>0</v>
      </c>
      <c r="BK64" s="129">
        <v>0</v>
      </c>
      <c r="BL64" s="129">
        <v>0</v>
      </c>
      <c r="BM64" s="129">
        <v>0</v>
      </c>
      <c r="BN64" s="129">
        <v>0</v>
      </c>
      <c r="BO64" s="129">
        <v>0</v>
      </c>
      <c r="BP64" s="129">
        <v>0</v>
      </c>
      <c r="BQ64" s="129">
        <v>0</v>
      </c>
      <c r="BR64" s="129">
        <v>0</v>
      </c>
      <c r="BS64" s="129">
        <v>0</v>
      </c>
      <c r="BT64" s="129">
        <v>0</v>
      </c>
      <c r="BU64" s="129">
        <v>0</v>
      </c>
      <c r="BV64" s="129">
        <v>0</v>
      </c>
      <c r="BW64" s="129">
        <v>0</v>
      </c>
      <c r="BX64" s="129">
        <v>0</v>
      </c>
      <c r="BY64" s="129">
        <v>0</v>
      </c>
      <c r="BZ64" s="129">
        <v>0</v>
      </c>
      <c r="CA64" s="129">
        <v>0</v>
      </c>
      <c r="CB64" s="129">
        <v>0</v>
      </c>
      <c r="CC64" s="129">
        <v>0</v>
      </c>
      <c r="CD64" s="129">
        <v>0</v>
      </c>
      <c r="CE64" s="129">
        <v>0</v>
      </c>
      <c r="CF64" s="129">
        <v>0</v>
      </c>
      <c r="CG64" s="129">
        <v>0</v>
      </c>
      <c r="CH64" s="129">
        <v>0</v>
      </c>
      <c r="CI64" s="129">
        <v>0</v>
      </c>
      <c r="CJ64" s="129">
        <v>0</v>
      </c>
      <c r="CK64" s="129">
        <v>0</v>
      </c>
      <c r="CL64" s="129">
        <v>0</v>
      </c>
      <c r="CM64" s="129">
        <v>0</v>
      </c>
      <c r="CN64" s="129">
        <v>0</v>
      </c>
      <c r="CO64" s="129">
        <v>0</v>
      </c>
      <c r="CP64" s="129">
        <v>0</v>
      </c>
      <c r="CQ64" s="129">
        <v>0</v>
      </c>
      <c r="CR64" s="129">
        <v>0</v>
      </c>
      <c r="CS64" s="129">
        <v>0</v>
      </c>
      <c r="CT64" s="129">
        <v>0</v>
      </c>
      <c r="CU64" s="129">
        <v>0</v>
      </c>
      <c r="CV64" s="129">
        <v>0</v>
      </c>
      <c r="CW64" s="129">
        <v>0</v>
      </c>
      <c r="CX64" s="129">
        <v>0</v>
      </c>
      <c r="CY64" s="129">
        <v>0</v>
      </c>
      <c r="CZ64" s="129">
        <v>0</v>
      </c>
      <c r="DA64" s="129">
        <v>0</v>
      </c>
      <c r="DB64" s="129">
        <v>0</v>
      </c>
      <c r="DC64" s="129">
        <v>0</v>
      </c>
      <c r="DD64" s="129">
        <v>0</v>
      </c>
      <c r="DE64" s="129">
        <v>0</v>
      </c>
      <c r="DF64" s="129">
        <v>0</v>
      </c>
      <c r="DG64" s="129">
        <v>0</v>
      </c>
      <c r="DH64" s="129">
        <v>0</v>
      </c>
      <c r="DI64" s="129">
        <v>0</v>
      </c>
      <c r="DJ64" s="129">
        <v>0</v>
      </c>
      <c r="DK64" s="129">
        <v>0</v>
      </c>
      <c r="DL64" s="129">
        <v>0</v>
      </c>
      <c r="DM64" s="129">
        <v>0</v>
      </c>
      <c r="DN64" s="129">
        <v>0</v>
      </c>
      <c r="DO64" s="129">
        <v>0</v>
      </c>
      <c r="DP64" s="129">
        <v>0</v>
      </c>
      <c r="DQ64" s="129">
        <v>0</v>
      </c>
      <c r="DR64" s="129">
        <v>0</v>
      </c>
      <c r="DS64" s="129">
        <v>0</v>
      </c>
      <c r="DT64" s="129">
        <v>0</v>
      </c>
      <c r="DU64" s="129">
        <v>0</v>
      </c>
      <c r="DV64" s="129">
        <v>0</v>
      </c>
      <c r="DW64" s="129">
        <v>0</v>
      </c>
      <c r="DX64" s="129">
        <v>0</v>
      </c>
      <c r="DY64" s="129">
        <v>0</v>
      </c>
      <c r="DZ64" s="129">
        <v>0</v>
      </c>
      <c r="EA64" s="129">
        <v>0</v>
      </c>
      <c r="EB64" s="129">
        <v>0</v>
      </c>
      <c r="EC64" s="129">
        <v>0</v>
      </c>
      <c r="ED64" s="129">
        <v>0</v>
      </c>
      <c r="EE64" s="129">
        <v>0</v>
      </c>
      <c r="EF64" s="129">
        <v>0</v>
      </c>
      <c r="EG64" s="129">
        <v>0</v>
      </c>
      <c r="EH64" s="129">
        <v>0</v>
      </c>
      <c r="EI64" s="129">
        <v>0</v>
      </c>
      <c r="EJ64" s="129">
        <v>0</v>
      </c>
      <c r="EK64" s="129">
        <v>0</v>
      </c>
      <c r="EL64" s="129">
        <v>0</v>
      </c>
      <c r="EM64" s="129">
        <v>0</v>
      </c>
      <c r="EN64" s="129">
        <v>0</v>
      </c>
      <c r="EO64" s="129">
        <v>0</v>
      </c>
      <c r="EP64" s="129">
        <v>4375</v>
      </c>
      <c r="EQ64" s="129">
        <v>4115</v>
      </c>
      <c r="ER64" s="129">
        <v>4415</v>
      </c>
      <c r="ES64" s="129">
        <v>4325</v>
      </c>
      <c r="ET64" s="129">
        <v>4300</v>
      </c>
      <c r="EU64" s="129">
        <v>4300</v>
      </c>
      <c r="EV64" s="129">
        <v>4240</v>
      </c>
      <c r="EW64" s="129">
        <v>4330</v>
      </c>
    </row>
    <row r="65" spans="1:153" x14ac:dyDescent="0.25">
      <c r="A65" s="357" t="str">
        <f>IPO監視一覧!H53</f>
        <v>C</v>
      </c>
      <c r="B65" s="107" t="str">
        <f>IPO監視一覧!B53</f>
        <v>マネーフォワード</v>
      </c>
      <c r="C65" s="332">
        <f>株価一覧!E64</f>
        <v>3005</v>
      </c>
      <c r="D65" s="321">
        <f t="shared" ca="1" si="29"/>
        <v>2985.2</v>
      </c>
      <c r="E65" s="333">
        <f t="shared" ca="1" si="30"/>
        <v>2457.1</v>
      </c>
      <c r="F65" s="334">
        <f t="shared" ca="1" si="31"/>
        <v>0</v>
      </c>
      <c r="G65" s="129">
        <v>0</v>
      </c>
      <c r="H65" s="129">
        <v>0</v>
      </c>
      <c r="I65" s="129">
        <v>0</v>
      </c>
      <c r="J65" s="129">
        <v>0</v>
      </c>
      <c r="K65" s="129">
        <v>0</v>
      </c>
      <c r="L65" s="129">
        <v>0</v>
      </c>
      <c r="M65" s="129">
        <v>0</v>
      </c>
      <c r="N65" s="129">
        <v>0</v>
      </c>
      <c r="O65" s="129">
        <v>0</v>
      </c>
      <c r="P65" s="129">
        <v>0</v>
      </c>
      <c r="Q65" s="129">
        <v>0</v>
      </c>
      <c r="R65" s="129">
        <v>0</v>
      </c>
      <c r="S65" s="129">
        <v>0</v>
      </c>
      <c r="T65" s="129">
        <v>0</v>
      </c>
      <c r="U65" s="129">
        <v>0</v>
      </c>
      <c r="V65" s="129">
        <v>0</v>
      </c>
      <c r="W65" s="129">
        <v>0</v>
      </c>
      <c r="X65" s="129">
        <v>0</v>
      </c>
      <c r="Y65" s="129">
        <v>0</v>
      </c>
      <c r="Z65" s="129">
        <v>0</v>
      </c>
      <c r="AA65" s="129">
        <v>0</v>
      </c>
      <c r="AB65" s="129">
        <v>0</v>
      </c>
      <c r="AC65" s="129">
        <v>0</v>
      </c>
      <c r="AD65" s="129">
        <v>0</v>
      </c>
      <c r="AE65" s="129">
        <v>0</v>
      </c>
      <c r="AF65" s="129">
        <v>0</v>
      </c>
      <c r="AG65" s="129">
        <v>0</v>
      </c>
      <c r="AH65" s="129">
        <v>0</v>
      </c>
      <c r="AI65" s="129">
        <v>0</v>
      </c>
      <c r="AJ65" s="129">
        <v>0</v>
      </c>
      <c r="AK65" s="129">
        <v>0</v>
      </c>
      <c r="AL65" s="129">
        <v>0</v>
      </c>
      <c r="AM65" s="129">
        <v>0</v>
      </c>
      <c r="AN65" s="129">
        <v>0</v>
      </c>
      <c r="AO65" s="129">
        <v>0</v>
      </c>
      <c r="AP65" s="129">
        <v>0</v>
      </c>
      <c r="AQ65" s="129">
        <v>0</v>
      </c>
      <c r="AR65" s="129">
        <v>0</v>
      </c>
      <c r="AS65" s="129">
        <v>0</v>
      </c>
      <c r="AT65" s="129">
        <v>0</v>
      </c>
      <c r="AU65" s="129">
        <v>0</v>
      </c>
      <c r="AV65" s="129">
        <v>0</v>
      </c>
      <c r="AW65" s="129">
        <v>0</v>
      </c>
      <c r="AX65" s="129">
        <v>0</v>
      </c>
      <c r="AY65" s="129">
        <v>0</v>
      </c>
      <c r="AZ65" s="129">
        <v>0</v>
      </c>
      <c r="BA65" s="129">
        <v>0</v>
      </c>
      <c r="BB65" s="129">
        <v>0</v>
      </c>
      <c r="BC65" s="129">
        <v>0</v>
      </c>
      <c r="BD65" s="129">
        <v>0</v>
      </c>
      <c r="BE65" s="129">
        <v>0</v>
      </c>
      <c r="BF65" s="129">
        <v>0</v>
      </c>
      <c r="BG65" s="129">
        <v>0</v>
      </c>
      <c r="BH65" s="129">
        <v>0</v>
      </c>
      <c r="BI65" s="129">
        <v>0</v>
      </c>
      <c r="BJ65" s="129">
        <v>0</v>
      </c>
      <c r="BK65" s="129">
        <v>0</v>
      </c>
      <c r="BL65" s="129">
        <v>0</v>
      </c>
      <c r="BM65" s="129">
        <v>0</v>
      </c>
      <c r="BN65" s="129">
        <v>0</v>
      </c>
      <c r="BO65" s="129">
        <v>0</v>
      </c>
      <c r="BP65" s="129">
        <v>0</v>
      </c>
      <c r="BQ65" s="129">
        <v>0</v>
      </c>
      <c r="BR65" s="129">
        <v>0</v>
      </c>
      <c r="BS65" s="129">
        <v>0</v>
      </c>
      <c r="BT65" s="129">
        <v>0</v>
      </c>
      <c r="BU65" s="129">
        <v>0</v>
      </c>
      <c r="BV65" s="129">
        <v>0</v>
      </c>
      <c r="BW65" s="129">
        <v>0</v>
      </c>
      <c r="BX65" s="129">
        <v>0</v>
      </c>
      <c r="BY65" s="129">
        <v>0</v>
      </c>
      <c r="BZ65" s="129">
        <v>0</v>
      </c>
      <c r="CA65" s="129">
        <v>0</v>
      </c>
      <c r="CB65" s="129">
        <v>0</v>
      </c>
      <c r="CC65" s="129">
        <v>0</v>
      </c>
      <c r="CD65" s="129">
        <v>0</v>
      </c>
      <c r="CE65" s="129">
        <v>0</v>
      </c>
      <c r="CF65" s="129">
        <v>0</v>
      </c>
      <c r="CG65" s="129">
        <v>0</v>
      </c>
      <c r="CH65" s="129">
        <v>0</v>
      </c>
      <c r="CI65" s="129">
        <v>0</v>
      </c>
      <c r="CJ65" s="129">
        <v>0</v>
      </c>
      <c r="CK65" s="129">
        <v>0</v>
      </c>
      <c r="CL65" s="129">
        <v>0</v>
      </c>
      <c r="CM65" s="129">
        <v>0</v>
      </c>
      <c r="CN65" s="129">
        <v>0</v>
      </c>
      <c r="CO65" s="129">
        <v>0</v>
      </c>
      <c r="CP65" s="129">
        <v>0</v>
      </c>
      <c r="CQ65" s="129">
        <v>0</v>
      </c>
      <c r="CR65" s="129">
        <v>0</v>
      </c>
      <c r="CS65" s="129">
        <v>0</v>
      </c>
      <c r="CT65" s="129">
        <v>0</v>
      </c>
      <c r="CU65" s="129">
        <v>0</v>
      </c>
      <c r="CV65" s="129">
        <v>0</v>
      </c>
      <c r="CW65" s="129">
        <v>0</v>
      </c>
      <c r="CX65" s="129">
        <v>0</v>
      </c>
      <c r="CY65" s="129">
        <v>0</v>
      </c>
      <c r="CZ65" s="129">
        <v>0</v>
      </c>
      <c r="DA65" s="129">
        <v>0</v>
      </c>
      <c r="DB65" s="129">
        <v>0</v>
      </c>
      <c r="DC65" s="129">
        <v>0</v>
      </c>
      <c r="DD65" s="129">
        <v>0</v>
      </c>
      <c r="DE65" s="129">
        <v>0</v>
      </c>
      <c r="DF65" s="129">
        <v>0</v>
      </c>
      <c r="DG65" s="129">
        <v>0</v>
      </c>
      <c r="DH65" s="129">
        <v>0</v>
      </c>
      <c r="DI65" s="129">
        <v>0</v>
      </c>
      <c r="DJ65" s="129">
        <v>0</v>
      </c>
      <c r="DK65" s="129">
        <v>0</v>
      </c>
      <c r="DL65" s="129">
        <v>0</v>
      </c>
      <c r="DM65" s="129">
        <v>0</v>
      </c>
      <c r="DN65" s="129">
        <v>0</v>
      </c>
      <c r="DO65" s="129">
        <v>0</v>
      </c>
      <c r="DP65" s="129">
        <v>0</v>
      </c>
      <c r="DQ65" s="129">
        <v>0</v>
      </c>
      <c r="DR65" s="129">
        <v>0</v>
      </c>
      <c r="DS65" s="129">
        <v>0</v>
      </c>
      <c r="DT65" s="129">
        <v>0</v>
      </c>
      <c r="DU65" s="129">
        <v>0</v>
      </c>
      <c r="DV65" s="129">
        <v>0</v>
      </c>
      <c r="DW65" s="129">
        <v>0</v>
      </c>
      <c r="DX65" s="129">
        <v>0</v>
      </c>
      <c r="DY65" s="129">
        <v>0</v>
      </c>
      <c r="DZ65" s="129">
        <v>0</v>
      </c>
      <c r="EA65" s="129">
        <v>0</v>
      </c>
      <c r="EB65" s="129">
        <v>0</v>
      </c>
      <c r="EC65" s="129">
        <v>0</v>
      </c>
      <c r="ED65" s="129">
        <v>0</v>
      </c>
      <c r="EE65" s="129">
        <v>0</v>
      </c>
      <c r="EF65" s="129">
        <v>0</v>
      </c>
      <c r="EG65" s="129">
        <v>0</v>
      </c>
      <c r="EH65" s="129">
        <v>0</v>
      </c>
      <c r="EI65" s="129">
        <v>0</v>
      </c>
      <c r="EJ65" s="129">
        <v>0</v>
      </c>
      <c r="EK65" s="129">
        <v>0</v>
      </c>
      <c r="EL65" s="129">
        <v>0</v>
      </c>
      <c r="EM65" s="129">
        <v>0</v>
      </c>
      <c r="EN65" s="129">
        <v>0</v>
      </c>
      <c r="EO65" s="129">
        <v>0</v>
      </c>
      <c r="EP65" s="129">
        <v>3085</v>
      </c>
      <c r="EQ65" s="129">
        <v>3350</v>
      </c>
      <c r="ER65" s="129">
        <v>3210</v>
      </c>
      <c r="ES65" s="129">
        <v>3070</v>
      </c>
      <c r="ET65" s="129">
        <v>3055</v>
      </c>
      <c r="EU65" s="129">
        <v>3005</v>
      </c>
      <c r="EV65" s="129">
        <v>2791</v>
      </c>
      <c r="EW65" s="129">
        <v>3005</v>
      </c>
    </row>
    <row r="66" spans="1:153" x14ac:dyDescent="0.25">
      <c r="A66" s="357" t="str">
        <f>IPO監視一覧!H54</f>
        <v>C</v>
      </c>
      <c r="B66" s="107" t="str">
        <f>IPO監視一覧!B54</f>
        <v>テックポイント・インク</v>
      </c>
      <c r="C66" s="332">
        <f>株価一覧!E65</f>
        <v>2641</v>
      </c>
      <c r="D66" s="321">
        <f t="shared" ca="1" si="29"/>
        <v>2141.1999999999998</v>
      </c>
      <c r="E66" s="333">
        <f t="shared" ca="1" si="30"/>
        <v>1555.9</v>
      </c>
      <c r="F66" s="334">
        <f t="shared" ca="1" si="31"/>
        <v>0</v>
      </c>
      <c r="G66" s="129">
        <v>0</v>
      </c>
      <c r="H66" s="129">
        <v>0</v>
      </c>
      <c r="I66" s="129">
        <v>0</v>
      </c>
      <c r="J66" s="129">
        <v>0</v>
      </c>
      <c r="K66" s="129">
        <v>0</v>
      </c>
      <c r="L66" s="129">
        <v>0</v>
      </c>
      <c r="M66" s="129">
        <v>0</v>
      </c>
      <c r="N66" s="129">
        <v>0</v>
      </c>
      <c r="O66" s="129">
        <v>0</v>
      </c>
      <c r="P66" s="129">
        <v>0</v>
      </c>
      <c r="Q66" s="129">
        <v>0</v>
      </c>
      <c r="R66" s="129">
        <v>0</v>
      </c>
      <c r="S66" s="129">
        <v>0</v>
      </c>
      <c r="T66" s="129">
        <v>0</v>
      </c>
      <c r="U66" s="129">
        <v>0</v>
      </c>
      <c r="V66" s="129">
        <v>0</v>
      </c>
      <c r="W66" s="129">
        <v>0</v>
      </c>
      <c r="X66" s="129">
        <v>0</v>
      </c>
      <c r="Y66" s="129">
        <v>0</v>
      </c>
      <c r="Z66" s="129">
        <v>0</v>
      </c>
      <c r="AA66" s="129">
        <v>0</v>
      </c>
      <c r="AB66" s="129">
        <v>0</v>
      </c>
      <c r="AC66" s="129">
        <v>0</v>
      </c>
      <c r="AD66" s="129">
        <v>0</v>
      </c>
      <c r="AE66" s="129">
        <v>0</v>
      </c>
      <c r="AF66" s="129">
        <v>0</v>
      </c>
      <c r="AG66" s="129">
        <v>0</v>
      </c>
      <c r="AH66" s="129">
        <v>0</v>
      </c>
      <c r="AI66" s="129">
        <v>0</v>
      </c>
      <c r="AJ66" s="129">
        <v>0</v>
      </c>
      <c r="AK66" s="129">
        <v>0</v>
      </c>
      <c r="AL66" s="129">
        <v>0</v>
      </c>
      <c r="AM66" s="129">
        <v>0</v>
      </c>
      <c r="AN66" s="129">
        <v>0</v>
      </c>
      <c r="AO66" s="129">
        <v>0</v>
      </c>
      <c r="AP66" s="129">
        <v>0</v>
      </c>
      <c r="AQ66" s="129">
        <v>0</v>
      </c>
      <c r="AR66" s="129">
        <v>0</v>
      </c>
      <c r="AS66" s="129">
        <v>0</v>
      </c>
      <c r="AT66" s="129">
        <v>0</v>
      </c>
      <c r="AU66" s="129">
        <v>0</v>
      </c>
      <c r="AV66" s="129">
        <v>0</v>
      </c>
      <c r="AW66" s="129">
        <v>0</v>
      </c>
      <c r="AX66" s="129">
        <v>0</v>
      </c>
      <c r="AY66" s="129">
        <v>0</v>
      </c>
      <c r="AZ66" s="129">
        <v>0</v>
      </c>
      <c r="BA66" s="129">
        <v>0</v>
      </c>
      <c r="BB66" s="129">
        <v>0</v>
      </c>
      <c r="BC66" s="129">
        <v>0</v>
      </c>
      <c r="BD66" s="129">
        <v>0</v>
      </c>
      <c r="BE66" s="129">
        <v>0</v>
      </c>
      <c r="BF66" s="129">
        <v>0</v>
      </c>
      <c r="BG66" s="129">
        <v>0</v>
      </c>
      <c r="BH66" s="129">
        <v>0</v>
      </c>
      <c r="BI66" s="129">
        <v>0</v>
      </c>
      <c r="BJ66" s="129">
        <v>0</v>
      </c>
      <c r="BK66" s="129">
        <v>0</v>
      </c>
      <c r="BL66" s="129">
        <v>0</v>
      </c>
      <c r="BM66" s="129">
        <v>0</v>
      </c>
      <c r="BN66" s="129">
        <v>0</v>
      </c>
      <c r="BO66" s="129">
        <v>0</v>
      </c>
      <c r="BP66" s="129">
        <v>0</v>
      </c>
      <c r="BQ66" s="129">
        <v>0</v>
      </c>
      <c r="BR66" s="129">
        <v>0</v>
      </c>
      <c r="BS66" s="129">
        <v>0</v>
      </c>
      <c r="BT66" s="129">
        <v>0</v>
      </c>
      <c r="BU66" s="129">
        <v>0</v>
      </c>
      <c r="BV66" s="129">
        <v>0</v>
      </c>
      <c r="BW66" s="129">
        <v>0</v>
      </c>
      <c r="BX66" s="129">
        <v>0</v>
      </c>
      <c r="BY66" s="129">
        <v>0</v>
      </c>
      <c r="BZ66" s="129">
        <v>0</v>
      </c>
      <c r="CA66" s="129">
        <v>0</v>
      </c>
      <c r="CB66" s="129">
        <v>0</v>
      </c>
      <c r="CC66" s="129">
        <v>0</v>
      </c>
      <c r="CD66" s="129">
        <v>0</v>
      </c>
      <c r="CE66" s="129">
        <v>0</v>
      </c>
      <c r="CF66" s="129">
        <v>0</v>
      </c>
      <c r="CG66" s="129">
        <v>0</v>
      </c>
      <c r="CH66" s="129">
        <v>0</v>
      </c>
      <c r="CI66" s="129">
        <v>0</v>
      </c>
      <c r="CJ66" s="129">
        <v>0</v>
      </c>
      <c r="CK66" s="129">
        <v>0</v>
      </c>
      <c r="CL66" s="129">
        <v>0</v>
      </c>
      <c r="CM66" s="129">
        <v>0</v>
      </c>
      <c r="CN66" s="129">
        <v>0</v>
      </c>
      <c r="CO66" s="129">
        <v>0</v>
      </c>
      <c r="CP66" s="129">
        <v>0</v>
      </c>
      <c r="CQ66" s="129">
        <v>0</v>
      </c>
      <c r="CR66" s="129">
        <v>0</v>
      </c>
      <c r="CS66" s="129">
        <v>0</v>
      </c>
      <c r="CT66" s="129">
        <v>0</v>
      </c>
      <c r="CU66" s="129">
        <v>0</v>
      </c>
      <c r="CV66" s="129">
        <v>0</v>
      </c>
      <c r="CW66" s="129">
        <v>0</v>
      </c>
      <c r="CX66" s="129">
        <v>0</v>
      </c>
      <c r="CY66" s="129">
        <v>0</v>
      </c>
      <c r="CZ66" s="129">
        <v>0</v>
      </c>
      <c r="DA66" s="129">
        <v>0</v>
      </c>
      <c r="DB66" s="129">
        <v>0</v>
      </c>
      <c r="DC66" s="129">
        <v>0</v>
      </c>
      <c r="DD66" s="129">
        <v>0</v>
      </c>
      <c r="DE66" s="129">
        <v>0</v>
      </c>
      <c r="DF66" s="129">
        <v>0</v>
      </c>
      <c r="DG66" s="129">
        <v>0</v>
      </c>
      <c r="DH66" s="129">
        <v>0</v>
      </c>
      <c r="DI66" s="129">
        <v>0</v>
      </c>
      <c r="DJ66" s="129">
        <v>0</v>
      </c>
      <c r="DK66" s="129">
        <v>0</v>
      </c>
      <c r="DL66" s="129">
        <v>0</v>
      </c>
      <c r="DM66" s="129">
        <v>0</v>
      </c>
      <c r="DN66" s="129">
        <v>0</v>
      </c>
      <c r="DO66" s="129">
        <v>0</v>
      </c>
      <c r="DP66" s="129">
        <v>0</v>
      </c>
      <c r="DQ66" s="129">
        <v>0</v>
      </c>
      <c r="DR66" s="129">
        <v>0</v>
      </c>
      <c r="DS66" s="129">
        <v>0</v>
      </c>
      <c r="DT66" s="129">
        <v>0</v>
      </c>
      <c r="DU66" s="129">
        <v>0</v>
      </c>
      <c r="DV66" s="129">
        <v>0</v>
      </c>
      <c r="DW66" s="129">
        <v>0</v>
      </c>
      <c r="DX66" s="129">
        <v>0</v>
      </c>
      <c r="DY66" s="129">
        <v>0</v>
      </c>
      <c r="DZ66" s="129">
        <v>0</v>
      </c>
      <c r="EA66" s="129">
        <v>0</v>
      </c>
      <c r="EB66" s="129">
        <v>0</v>
      </c>
      <c r="EC66" s="129">
        <v>0</v>
      </c>
      <c r="ED66" s="129">
        <v>0</v>
      </c>
      <c r="EE66" s="129">
        <v>0</v>
      </c>
      <c r="EF66" s="129">
        <v>0</v>
      </c>
      <c r="EG66" s="129">
        <v>0</v>
      </c>
      <c r="EH66" s="129">
        <v>0</v>
      </c>
      <c r="EI66" s="129">
        <v>0</v>
      </c>
      <c r="EJ66" s="129">
        <v>0</v>
      </c>
      <c r="EK66" s="129">
        <v>0</v>
      </c>
      <c r="EL66" s="129">
        <v>0</v>
      </c>
      <c r="EM66" s="129">
        <v>0</v>
      </c>
      <c r="EN66" s="129">
        <v>0</v>
      </c>
      <c r="EO66" s="129">
        <v>0</v>
      </c>
      <c r="EP66" s="129">
        <v>1372</v>
      </c>
      <c r="EQ66" s="129">
        <v>1672</v>
      </c>
      <c r="ER66" s="129">
        <v>1809</v>
      </c>
      <c r="ES66" s="129">
        <v>2156</v>
      </c>
      <c r="ET66" s="129">
        <v>1880</v>
      </c>
      <c r="EU66" s="129">
        <v>1888</v>
      </c>
      <c r="EV66" s="129">
        <v>2141</v>
      </c>
      <c r="EW66" s="129">
        <v>2641</v>
      </c>
    </row>
    <row r="67" spans="1:153" x14ac:dyDescent="0.25">
      <c r="A67" s="357" t="str">
        <f>IPO監視一覧!H55</f>
        <v>D</v>
      </c>
      <c r="B67" s="107" t="str">
        <f>IPO監視一覧!B55</f>
        <v>MS&amp;Consulting</v>
      </c>
      <c r="C67" s="332">
        <f>株価一覧!E66</f>
        <v>1139</v>
      </c>
      <c r="D67" s="321">
        <f t="shared" ca="1" si="29"/>
        <v>941.4</v>
      </c>
      <c r="E67" s="333">
        <f t="shared" ca="1" si="30"/>
        <v>470.7</v>
      </c>
      <c r="F67" s="334">
        <f t="shared" ca="1" si="31"/>
        <v>0</v>
      </c>
      <c r="G67" s="129">
        <v>0</v>
      </c>
      <c r="H67" s="129">
        <v>0</v>
      </c>
      <c r="I67" s="129">
        <v>0</v>
      </c>
      <c r="J67" s="129">
        <v>0</v>
      </c>
      <c r="K67" s="129">
        <v>0</v>
      </c>
      <c r="L67" s="129">
        <v>0</v>
      </c>
      <c r="M67" s="129">
        <v>0</v>
      </c>
      <c r="N67" s="129">
        <v>0</v>
      </c>
      <c r="O67" s="129">
        <v>0</v>
      </c>
      <c r="P67" s="129">
        <v>0</v>
      </c>
      <c r="Q67" s="129">
        <v>0</v>
      </c>
      <c r="R67" s="129">
        <v>0</v>
      </c>
      <c r="S67" s="129">
        <v>0</v>
      </c>
      <c r="T67" s="129">
        <v>0</v>
      </c>
      <c r="U67" s="129">
        <v>0</v>
      </c>
      <c r="V67" s="129">
        <v>0</v>
      </c>
      <c r="W67" s="129">
        <v>0</v>
      </c>
      <c r="X67" s="129">
        <v>0</v>
      </c>
      <c r="Y67" s="129">
        <v>0</v>
      </c>
      <c r="Z67" s="129">
        <v>0</v>
      </c>
      <c r="AA67" s="129">
        <v>0</v>
      </c>
      <c r="AB67" s="129">
        <v>0</v>
      </c>
      <c r="AC67" s="129">
        <v>0</v>
      </c>
      <c r="AD67" s="129">
        <v>0</v>
      </c>
      <c r="AE67" s="129">
        <v>0</v>
      </c>
      <c r="AF67" s="129">
        <v>0</v>
      </c>
      <c r="AG67" s="129">
        <v>0</v>
      </c>
      <c r="AH67" s="129">
        <v>0</v>
      </c>
      <c r="AI67" s="129">
        <v>0</v>
      </c>
      <c r="AJ67" s="129">
        <v>0</v>
      </c>
      <c r="AK67" s="129">
        <v>0</v>
      </c>
      <c r="AL67" s="129">
        <v>0</v>
      </c>
      <c r="AM67" s="129">
        <v>0</v>
      </c>
      <c r="AN67" s="129">
        <v>0</v>
      </c>
      <c r="AO67" s="129">
        <v>0</v>
      </c>
      <c r="AP67" s="129">
        <v>0</v>
      </c>
      <c r="AQ67" s="129">
        <v>0</v>
      </c>
      <c r="AR67" s="129">
        <v>0</v>
      </c>
      <c r="AS67" s="129">
        <v>0</v>
      </c>
      <c r="AT67" s="129">
        <v>0</v>
      </c>
      <c r="AU67" s="129">
        <v>0</v>
      </c>
      <c r="AV67" s="129">
        <v>0</v>
      </c>
      <c r="AW67" s="129">
        <v>0</v>
      </c>
      <c r="AX67" s="129">
        <v>0</v>
      </c>
      <c r="AY67" s="129">
        <v>0</v>
      </c>
      <c r="AZ67" s="129">
        <v>0</v>
      </c>
      <c r="BA67" s="129">
        <v>0</v>
      </c>
      <c r="BB67" s="129">
        <v>0</v>
      </c>
      <c r="BC67" s="129">
        <v>0</v>
      </c>
      <c r="BD67" s="129">
        <v>0</v>
      </c>
      <c r="BE67" s="129">
        <v>0</v>
      </c>
      <c r="BF67" s="129">
        <v>0</v>
      </c>
      <c r="BG67" s="129">
        <v>0</v>
      </c>
      <c r="BH67" s="129">
        <v>0</v>
      </c>
      <c r="BI67" s="129">
        <v>0</v>
      </c>
      <c r="BJ67" s="129">
        <v>0</v>
      </c>
      <c r="BK67" s="129">
        <v>0</v>
      </c>
      <c r="BL67" s="129">
        <v>0</v>
      </c>
      <c r="BM67" s="129">
        <v>0</v>
      </c>
      <c r="BN67" s="129">
        <v>0</v>
      </c>
      <c r="BO67" s="129">
        <v>0</v>
      </c>
      <c r="BP67" s="129">
        <v>0</v>
      </c>
      <c r="BQ67" s="129">
        <v>0</v>
      </c>
      <c r="BR67" s="129">
        <v>0</v>
      </c>
      <c r="BS67" s="129">
        <v>0</v>
      </c>
      <c r="BT67" s="129">
        <v>0</v>
      </c>
      <c r="BU67" s="129">
        <v>0</v>
      </c>
      <c r="BV67" s="129">
        <v>0</v>
      </c>
      <c r="BW67" s="129">
        <v>0</v>
      </c>
      <c r="BX67" s="129">
        <v>0</v>
      </c>
      <c r="BY67" s="129">
        <v>0</v>
      </c>
      <c r="BZ67" s="129">
        <v>0</v>
      </c>
      <c r="CA67" s="129">
        <v>0</v>
      </c>
      <c r="CB67" s="129">
        <v>0</v>
      </c>
      <c r="CC67" s="129">
        <v>0</v>
      </c>
      <c r="CD67" s="129">
        <v>0</v>
      </c>
      <c r="CE67" s="129">
        <v>0</v>
      </c>
      <c r="CF67" s="129">
        <v>0</v>
      </c>
      <c r="CG67" s="129">
        <v>0</v>
      </c>
      <c r="CH67" s="129">
        <v>0</v>
      </c>
      <c r="CI67" s="129">
        <v>0</v>
      </c>
      <c r="CJ67" s="129">
        <v>0</v>
      </c>
      <c r="CK67" s="129">
        <v>0</v>
      </c>
      <c r="CL67" s="129">
        <v>0</v>
      </c>
      <c r="CM67" s="129">
        <v>0</v>
      </c>
      <c r="CN67" s="129">
        <v>0</v>
      </c>
      <c r="CO67" s="129">
        <v>0</v>
      </c>
      <c r="CP67" s="129">
        <v>0</v>
      </c>
      <c r="CQ67" s="129">
        <v>0</v>
      </c>
      <c r="CR67" s="129">
        <v>0</v>
      </c>
      <c r="CS67" s="129">
        <v>0</v>
      </c>
      <c r="CT67" s="129">
        <v>0</v>
      </c>
      <c r="CU67" s="129">
        <v>0</v>
      </c>
      <c r="CV67" s="129">
        <v>0</v>
      </c>
      <c r="CW67" s="129">
        <v>0</v>
      </c>
      <c r="CX67" s="129">
        <v>0</v>
      </c>
      <c r="CY67" s="129">
        <v>0</v>
      </c>
      <c r="CZ67" s="129">
        <v>0</v>
      </c>
      <c r="DA67" s="129">
        <v>0</v>
      </c>
      <c r="DB67" s="129">
        <v>0</v>
      </c>
      <c r="DC67" s="129">
        <v>0</v>
      </c>
      <c r="DD67" s="129">
        <v>0</v>
      </c>
      <c r="DE67" s="129">
        <v>0</v>
      </c>
      <c r="DF67" s="129">
        <v>0</v>
      </c>
      <c r="DG67" s="129">
        <v>0</v>
      </c>
      <c r="DH67" s="129">
        <v>0</v>
      </c>
      <c r="DI67" s="129">
        <v>0</v>
      </c>
      <c r="DJ67" s="129">
        <v>0</v>
      </c>
      <c r="DK67" s="129">
        <v>0</v>
      </c>
      <c r="DL67" s="129">
        <v>0</v>
      </c>
      <c r="DM67" s="129">
        <v>0</v>
      </c>
      <c r="DN67" s="129">
        <v>0</v>
      </c>
      <c r="DO67" s="129">
        <v>0</v>
      </c>
      <c r="DP67" s="129">
        <v>0</v>
      </c>
      <c r="DQ67" s="129">
        <v>0</v>
      </c>
      <c r="DR67" s="129">
        <v>0</v>
      </c>
      <c r="DS67" s="129">
        <v>0</v>
      </c>
      <c r="DT67" s="129">
        <v>0</v>
      </c>
      <c r="DU67" s="129">
        <v>0</v>
      </c>
      <c r="DV67" s="129">
        <v>0</v>
      </c>
      <c r="DW67" s="129">
        <v>0</v>
      </c>
      <c r="DX67" s="129">
        <v>0</v>
      </c>
      <c r="DY67" s="129">
        <v>0</v>
      </c>
      <c r="DZ67" s="129">
        <v>0</v>
      </c>
      <c r="EA67" s="129">
        <v>0</v>
      </c>
      <c r="EB67" s="129">
        <v>0</v>
      </c>
      <c r="EC67" s="129">
        <v>0</v>
      </c>
      <c r="ED67" s="129">
        <v>0</v>
      </c>
      <c r="EE67" s="129">
        <v>0</v>
      </c>
      <c r="EF67" s="129">
        <v>0</v>
      </c>
      <c r="EG67" s="129">
        <v>0</v>
      </c>
      <c r="EH67" s="129">
        <v>0</v>
      </c>
      <c r="EI67" s="129">
        <v>0</v>
      </c>
      <c r="EJ67" s="129">
        <v>0</v>
      </c>
      <c r="EK67" s="129">
        <v>0</v>
      </c>
      <c r="EL67" s="129">
        <v>0</v>
      </c>
      <c r="EM67" s="129">
        <v>0</v>
      </c>
      <c r="EN67" s="129">
        <v>0</v>
      </c>
      <c r="EO67" s="129">
        <v>0</v>
      </c>
      <c r="EP67" s="129">
        <v>0</v>
      </c>
      <c r="EQ67" s="129">
        <v>0</v>
      </c>
      <c r="ER67" s="129">
        <v>0</v>
      </c>
      <c r="ES67" s="129">
        <v>0</v>
      </c>
      <c r="ET67" s="129">
        <v>1229</v>
      </c>
      <c r="EU67" s="129">
        <v>1219</v>
      </c>
      <c r="EV67" s="129">
        <v>1120</v>
      </c>
      <c r="EW67" s="129">
        <v>1139</v>
      </c>
    </row>
    <row r="68" spans="1:153" x14ac:dyDescent="0.25">
      <c r="A68" s="357" t="str">
        <f>IPO監視一覧!H56</f>
        <v>D</v>
      </c>
      <c r="B68" s="107" t="str">
        <f>IPO監視一覧!B56</f>
        <v>大阪油化工業</v>
      </c>
      <c r="C68" s="332">
        <f>株価一覧!E67</f>
        <v>3905</v>
      </c>
      <c r="D68" s="321">
        <f t="shared" ca="1" si="29"/>
        <v>3220</v>
      </c>
      <c r="E68" s="333">
        <f t="shared" ca="1" si="30"/>
        <v>1610</v>
      </c>
      <c r="F68" s="334">
        <f t="shared" ca="1" si="31"/>
        <v>0</v>
      </c>
      <c r="G68" s="129">
        <v>0</v>
      </c>
      <c r="H68" s="129">
        <v>0</v>
      </c>
      <c r="I68" s="129">
        <v>0</v>
      </c>
      <c r="J68" s="129">
        <v>0</v>
      </c>
      <c r="K68" s="129">
        <v>0</v>
      </c>
      <c r="L68" s="129">
        <v>0</v>
      </c>
      <c r="M68" s="129">
        <v>0</v>
      </c>
      <c r="N68" s="129">
        <v>0</v>
      </c>
      <c r="O68" s="129">
        <v>0</v>
      </c>
      <c r="P68" s="129">
        <v>0</v>
      </c>
      <c r="Q68" s="129">
        <v>0</v>
      </c>
      <c r="R68" s="129">
        <v>0</v>
      </c>
      <c r="S68" s="129">
        <v>0</v>
      </c>
      <c r="T68" s="129">
        <v>0</v>
      </c>
      <c r="U68" s="129">
        <v>0</v>
      </c>
      <c r="V68" s="129">
        <v>0</v>
      </c>
      <c r="W68" s="129">
        <v>0</v>
      </c>
      <c r="X68" s="129">
        <v>0</v>
      </c>
      <c r="Y68" s="129">
        <v>0</v>
      </c>
      <c r="Z68" s="129">
        <v>0</v>
      </c>
      <c r="AA68" s="129">
        <v>0</v>
      </c>
      <c r="AB68" s="129">
        <v>0</v>
      </c>
      <c r="AC68" s="129">
        <v>0</v>
      </c>
      <c r="AD68" s="129">
        <v>0</v>
      </c>
      <c r="AE68" s="129">
        <v>0</v>
      </c>
      <c r="AF68" s="129">
        <v>0</v>
      </c>
      <c r="AG68" s="129">
        <v>0</v>
      </c>
      <c r="AH68" s="129">
        <v>0</v>
      </c>
      <c r="AI68" s="129">
        <v>0</v>
      </c>
      <c r="AJ68" s="129">
        <v>0</v>
      </c>
      <c r="AK68" s="129">
        <v>0</v>
      </c>
      <c r="AL68" s="129">
        <v>0</v>
      </c>
      <c r="AM68" s="129">
        <v>0</v>
      </c>
      <c r="AN68" s="129">
        <v>0</v>
      </c>
      <c r="AO68" s="129">
        <v>0</v>
      </c>
      <c r="AP68" s="129">
        <v>0</v>
      </c>
      <c r="AQ68" s="129">
        <v>0</v>
      </c>
      <c r="AR68" s="129">
        <v>0</v>
      </c>
      <c r="AS68" s="129">
        <v>0</v>
      </c>
      <c r="AT68" s="129">
        <v>0</v>
      </c>
      <c r="AU68" s="129">
        <v>0</v>
      </c>
      <c r="AV68" s="129">
        <v>0</v>
      </c>
      <c r="AW68" s="129">
        <v>0</v>
      </c>
      <c r="AX68" s="129">
        <v>0</v>
      </c>
      <c r="AY68" s="129">
        <v>0</v>
      </c>
      <c r="AZ68" s="129">
        <v>0</v>
      </c>
      <c r="BA68" s="129">
        <v>0</v>
      </c>
      <c r="BB68" s="129">
        <v>0</v>
      </c>
      <c r="BC68" s="129">
        <v>0</v>
      </c>
      <c r="BD68" s="129">
        <v>0</v>
      </c>
      <c r="BE68" s="129">
        <v>0</v>
      </c>
      <c r="BF68" s="129">
        <v>0</v>
      </c>
      <c r="BG68" s="129">
        <v>0</v>
      </c>
      <c r="BH68" s="129">
        <v>0</v>
      </c>
      <c r="BI68" s="129">
        <v>0</v>
      </c>
      <c r="BJ68" s="129">
        <v>0</v>
      </c>
      <c r="BK68" s="129">
        <v>0</v>
      </c>
      <c r="BL68" s="129">
        <v>0</v>
      </c>
      <c r="BM68" s="129">
        <v>0</v>
      </c>
      <c r="BN68" s="129">
        <v>0</v>
      </c>
      <c r="BO68" s="129">
        <v>0</v>
      </c>
      <c r="BP68" s="129">
        <v>0</v>
      </c>
      <c r="BQ68" s="129">
        <v>0</v>
      </c>
      <c r="BR68" s="129">
        <v>0</v>
      </c>
      <c r="BS68" s="129">
        <v>0</v>
      </c>
      <c r="BT68" s="129">
        <v>0</v>
      </c>
      <c r="BU68" s="129">
        <v>0</v>
      </c>
      <c r="BV68" s="129">
        <v>0</v>
      </c>
      <c r="BW68" s="129">
        <v>0</v>
      </c>
      <c r="BX68" s="129">
        <v>0</v>
      </c>
      <c r="BY68" s="129">
        <v>0</v>
      </c>
      <c r="BZ68" s="129">
        <v>0</v>
      </c>
      <c r="CA68" s="129">
        <v>0</v>
      </c>
      <c r="CB68" s="129">
        <v>0</v>
      </c>
      <c r="CC68" s="129">
        <v>0</v>
      </c>
      <c r="CD68" s="129">
        <v>0</v>
      </c>
      <c r="CE68" s="129">
        <v>0</v>
      </c>
      <c r="CF68" s="129">
        <v>0</v>
      </c>
      <c r="CG68" s="129">
        <v>0</v>
      </c>
      <c r="CH68" s="129">
        <v>0</v>
      </c>
      <c r="CI68" s="129">
        <v>0</v>
      </c>
      <c r="CJ68" s="129">
        <v>0</v>
      </c>
      <c r="CK68" s="129">
        <v>0</v>
      </c>
      <c r="CL68" s="129">
        <v>0</v>
      </c>
      <c r="CM68" s="129">
        <v>0</v>
      </c>
      <c r="CN68" s="129">
        <v>0</v>
      </c>
      <c r="CO68" s="129">
        <v>0</v>
      </c>
      <c r="CP68" s="129">
        <v>0</v>
      </c>
      <c r="CQ68" s="129">
        <v>0</v>
      </c>
      <c r="CR68" s="129">
        <v>0</v>
      </c>
      <c r="CS68" s="129">
        <v>0</v>
      </c>
      <c r="CT68" s="129">
        <v>0</v>
      </c>
      <c r="CU68" s="129">
        <v>0</v>
      </c>
      <c r="CV68" s="129">
        <v>0</v>
      </c>
      <c r="CW68" s="129">
        <v>0</v>
      </c>
      <c r="CX68" s="129">
        <v>0</v>
      </c>
      <c r="CY68" s="129">
        <v>0</v>
      </c>
      <c r="CZ68" s="129">
        <v>0</v>
      </c>
      <c r="DA68" s="129">
        <v>0</v>
      </c>
      <c r="DB68" s="129">
        <v>0</v>
      </c>
      <c r="DC68" s="129">
        <v>0</v>
      </c>
      <c r="DD68" s="129">
        <v>0</v>
      </c>
      <c r="DE68" s="129">
        <v>0</v>
      </c>
      <c r="DF68" s="129">
        <v>0</v>
      </c>
      <c r="DG68" s="129">
        <v>0</v>
      </c>
      <c r="DH68" s="129">
        <v>0</v>
      </c>
      <c r="DI68" s="129">
        <v>0</v>
      </c>
      <c r="DJ68" s="129">
        <v>0</v>
      </c>
      <c r="DK68" s="129">
        <v>0</v>
      </c>
      <c r="DL68" s="129">
        <v>0</v>
      </c>
      <c r="DM68" s="129">
        <v>0</v>
      </c>
      <c r="DN68" s="129">
        <v>0</v>
      </c>
      <c r="DO68" s="129">
        <v>0</v>
      </c>
      <c r="DP68" s="129">
        <v>0</v>
      </c>
      <c r="DQ68" s="129">
        <v>0</v>
      </c>
      <c r="DR68" s="129">
        <v>0</v>
      </c>
      <c r="DS68" s="129">
        <v>0</v>
      </c>
      <c r="DT68" s="129">
        <v>0</v>
      </c>
      <c r="DU68" s="129">
        <v>0</v>
      </c>
      <c r="DV68" s="129">
        <v>0</v>
      </c>
      <c r="DW68" s="129">
        <v>0</v>
      </c>
      <c r="DX68" s="129">
        <v>0</v>
      </c>
      <c r="DY68" s="129">
        <v>0</v>
      </c>
      <c r="DZ68" s="129">
        <v>0</v>
      </c>
      <c r="EA68" s="129">
        <v>0</v>
      </c>
      <c r="EB68" s="129">
        <v>0</v>
      </c>
      <c r="EC68" s="129">
        <v>0</v>
      </c>
      <c r="ED68" s="129">
        <v>0</v>
      </c>
      <c r="EE68" s="129">
        <v>0</v>
      </c>
      <c r="EF68" s="129">
        <v>0</v>
      </c>
      <c r="EG68" s="129">
        <v>0</v>
      </c>
      <c r="EH68" s="129">
        <v>0</v>
      </c>
      <c r="EI68" s="129">
        <v>0</v>
      </c>
      <c r="EJ68" s="129">
        <v>0</v>
      </c>
      <c r="EK68" s="129">
        <v>0</v>
      </c>
      <c r="EL68" s="129">
        <v>0</v>
      </c>
      <c r="EM68" s="129">
        <v>0</v>
      </c>
      <c r="EN68" s="129">
        <v>0</v>
      </c>
      <c r="EO68" s="129">
        <v>0</v>
      </c>
      <c r="EP68" s="129">
        <v>0</v>
      </c>
      <c r="EQ68" s="129">
        <v>0</v>
      </c>
      <c r="ER68" s="129">
        <v>0</v>
      </c>
      <c r="ES68" s="129">
        <v>0</v>
      </c>
      <c r="ET68" s="129">
        <v>3800</v>
      </c>
      <c r="EU68" s="129">
        <v>4145</v>
      </c>
      <c r="EV68" s="129">
        <v>4250</v>
      </c>
      <c r="EW68" s="129">
        <v>3905</v>
      </c>
    </row>
    <row r="69" spans="1:153" x14ac:dyDescent="0.25">
      <c r="A69" s="357" t="str">
        <f>IPO監視一覧!H57</f>
        <v>D</v>
      </c>
      <c r="B69" s="107" t="str">
        <f>IPO監視一覧!B57</f>
        <v>ウェルビー</v>
      </c>
      <c r="C69" s="332">
        <f>株価一覧!E68</f>
        <v>2929</v>
      </c>
      <c r="D69" s="321">
        <f t="shared" ca="1" si="29"/>
        <v>2391.8000000000002</v>
      </c>
      <c r="E69" s="333">
        <f t="shared" ca="1" si="30"/>
        <v>1195.9000000000001</v>
      </c>
      <c r="F69" s="334">
        <f t="shared" ca="1" si="31"/>
        <v>0</v>
      </c>
      <c r="G69" s="129">
        <v>0</v>
      </c>
      <c r="H69" s="129">
        <v>0</v>
      </c>
      <c r="I69" s="129">
        <v>0</v>
      </c>
      <c r="J69" s="129">
        <v>0</v>
      </c>
      <c r="K69" s="129">
        <v>0</v>
      </c>
      <c r="L69" s="129">
        <v>0</v>
      </c>
      <c r="M69" s="129">
        <v>0</v>
      </c>
      <c r="N69" s="129">
        <v>0</v>
      </c>
      <c r="O69" s="129">
        <v>0</v>
      </c>
      <c r="P69" s="129">
        <v>0</v>
      </c>
      <c r="Q69" s="129">
        <v>0</v>
      </c>
      <c r="R69" s="129">
        <v>0</v>
      </c>
      <c r="S69" s="129">
        <v>0</v>
      </c>
      <c r="T69" s="129">
        <v>0</v>
      </c>
      <c r="U69" s="129">
        <v>0</v>
      </c>
      <c r="V69" s="129">
        <v>0</v>
      </c>
      <c r="W69" s="129">
        <v>0</v>
      </c>
      <c r="X69" s="129">
        <v>0</v>
      </c>
      <c r="Y69" s="129">
        <v>0</v>
      </c>
      <c r="Z69" s="129">
        <v>0</v>
      </c>
      <c r="AA69" s="129">
        <v>0</v>
      </c>
      <c r="AB69" s="129">
        <v>0</v>
      </c>
      <c r="AC69" s="129">
        <v>0</v>
      </c>
      <c r="AD69" s="129">
        <v>0</v>
      </c>
      <c r="AE69" s="129">
        <v>0</v>
      </c>
      <c r="AF69" s="129">
        <v>0</v>
      </c>
      <c r="AG69" s="129">
        <v>0</v>
      </c>
      <c r="AH69" s="129">
        <v>0</v>
      </c>
      <c r="AI69" s="129">
        <v>0</v>
      </c>
      <c r="AJ69" s="129">
        <v>0</v>
      </c>
      <c r="AK69" s="129">
        <v>0</v>
      </c>
      <c r="AL69" s="129">
        <v>0</v>
      </c>
      <c r="AM69" s="129">
        <v>0</v>
      </c>
      <c r="AN69" s="129">
        <v>0</v>
      </c>
      <c r="AO69" s="129">
        <v>0</v>
      </c>
      <c r="AP69" s="129">
        <v>0</v>
      </c>
      <c r="AQ69" s="129">
        <v>0</v>
      </c>
      <c r="AR69" s="129">
        <v>0</v>
      </c>
      <c r="AS69" s="129">
        <v>0</v>
      </c>
      <c r="AT69" s="129">
        <v>0</v>
      </c>
      <c r="AU69" s="129">
        <v>0</v>
      </c>
      <c r="AV69" s="129">
        <v>0</v>
      </c>
      <c r="AW69" s="129">
        <v>0</v>
      </c>
      <c r="AX69" s="129">
        <v>0</v>
      </c>
      <c r="AY69" s="129">
        <v>0</v>
      </c>
      <c r="AZ69" s="129">
        <v>0</v>
      </c>
      <c r="BA69" s="129">
        <v>0</v>
      </c>
      <c r="BB69" s="129">
        <v>0</v>
      </c>
      <c r="BC69" s="129">
        <v>0</v>
      </c>
      <c r="BD69" s="129">
        <v>0</v>
      </c>
      <c r="BE69" s="129">
        <v>0</v>
      </c>
      <c r="BF69" s="129">
        <v>0</v>
      </c>
      <c r="BG69" s="129">
        <v>0</v>
      </c>
      <c r="BH69" s="129">
        <v>0</v>
      </c>
      <c r="BI69" s="129">
        <v>0</v>
      </c>
      <c r="BJ69" s="129">
        <v>0</v>
      </c>
      <c r="BK69" s="129">
        <v>0</v>
      </c>
      <c r="BL69" s="129">
        <v>0</v>
      </c>
      <c r="BM69" s="129">
        <v>0</v>
      </c>
      <c r="BN69" s="129">
        <v>0</v>
      </c>
      <c r="BO69" s="129">
        <v>0</v>
      </c>
      <c r="BP69" s="129">
        <v>0</v>
      </c>
      <c r="BQ69" s="129">
        <v>0</v>
      </c>
      <c r="BR69" s="129">
        <v>0</v>
      </c>
      <c r="BS69" s="129">
        <v>0</v>
      </c>
      <c r="BT69" s="129">
        <v>0</v>
      </c>
      <c r="BU69" s="129">
        <v>0</v>
      </c>
      <c r="BV69" s="129">
        <v>0</v>
      </c>
      <c r="BW69" s="129">
        <v>0</v>
      </c>
      <c r="BX69" s="129">
        <v>0</v>
      </c>
      <c r="BY69" s="129">
        <v>0</v>
      </c>
      <c r="BZ69" s="129">
        <v>0</v>
      </c>
      <c r="CA69" s="129">
        <v>0</v>
      </c>
      <c r="CB69" s="129">
        <v>0</v>
      </c>
      <c r="CC69" s="129">
        <v>0</v>
      </c>
      <c r="CD69" s="129">
        <v>0</v>
      </c>
      <c r="CE69" s="129">
        <v>0</v>
      </c>
      <c r="CF69" s="129">
        <v>0</v>
      </c>
      <c r="CG69" s="129">
        <v>0</v>
      </c>
      <c r="CH69" s="129">
        <v>0</v>
      </c>
      <c r="CI69" s="129">
        <v>0</v>
      </c>
      <c r="CJ69" s="129">
        <v>0</v>
      </c>
      <c r="CK69" s="129">
        <v>0</v>
      </c>
      <c r="CL69" s="129">
        <v>0</v>
      </c>
      <c r="CM69" s="129">
        <v>0</v>
      </c>
      <c r="CN69" s="129">
        <v>0</v>
      </c>
      <c r="CO69" s="129">
        <v>0</v>
      </c>
      <c r="CP69" s="129">
        <v>0</v>
      </c>
      <c r="CQ69" s="129">
        <v>0</v>
      </c>
      <c r="CR69" s="129">
        <v>0</v>
      </c>
      <c r="CS69" s="129">
        <v>0</v>
      </c>
      <c r="CT69" s="129">
        <v>0</v>
      </c>
      <c r="CU69" s="129">
        <v>0</v>
      </c>
      <c r="CV69" s="129">
        <v>0</v>
      </c>
      <c r="CW69" s="129">
        <v>0</v>
      </c>
      <c r="CX69" s="129">
        <v>0</v>
      </c>
      <c r="CY69" s="129">
        <v>0</v>
      </c>
      <c r="CZ69" s="129">
        <v>0</v>
      </c>
      <c r="DA69" s="129">
        <v>0</v>
      </c>
      <c r="DB69" s="129">
        <v>0</v>
      </c>
      <c r="DC69" s="129">
        <v>0</v>
      </c>
      <c r="DD69" s="129">
        <v>0</v>
      </c>
      <c r="DE69" s="129">
        <v>0</v>
      </c>
      <c r="DF69" s="129">
        <v>0</v>
      </c>
      <c r="DG69" s="129">
        <v>0</v>
      </c>
      <c r="DH69" s="129">
        <v>0</v>
      </c>
      <c r="DI69" s="129">
        <v>0</v>
      </c>
      <c r="DJ69" s="129">
        <v>0</v>
      </c>
      <c r="DK69" s="129">
        <v>0</v>
      </c>
      <c r="DL69" s="129">
        <v>0</v>
      </c>
      <c r="DM69" s="129">
        <v>0</v>
      </c>
      <c r="DN69" s="129">
        <v>0</v>
      </c>
      <c r="DO69" s="129">
        <v>0</v>
      </c>
      <c r="DP69" s="129">
        <v>0</v>
      </c>
      <c r="DQ69" s="129">
        <v>0</v>
      </c>
      <c r="DR69" s="129">
        <v>0</v>
      </c>
      <c r="DS69" s="129">
        <v>0</v>
      </c>
      <c r="DT69" s="129">
        <v>0</v>
      </c>
      <c r="DU69" s="129">
        <v>0</v>
      </c>
      <c r="DV69" s="129">
        <v>0</v>
      </c>
      <c r="DW69" s="129">
        <v>0</v>
      </c>
      <c r="DX69" s="129">
        <v>0</v>
      </c>
      <c r="DY69" s="129">
        <v>0</v>
      </c>
      <c r="DZ69" s="129">
        <v>0</v>
      </c>
      <c r="EA69" s="129">
        <v>0</v>
      </c>
      <c r="EB69" s="129">
        <v>0</v>
      </c>
      <c r="EC69" s="129">
        <v>0</v>
      </c>
      <c r="ED69" s="129">
        <v>0</v>
      </c>
      <c r="EE69" s="129">
        <v>0</v>
      </c>
      <c r="EF69" s="129">
        <v>0</v>
      </c>
      <c r="EG69" s="129">
        <v>0</v>
      </c>
      <c r="EH69" s="129">
        <v>0</v>
      </c>
      <c r="EI69" s="129">
        <v>0</v>
      </c>
      <c r="EJ69" s="129">
        <v>0</v>
      </c>
      <c r="EK69" s="129">
        <v>0</v>
      </c>
      <c r="EL69" s="129">
        <v>0</v>
      </c>
      <c r="EM69" s="129">
        <v>0</v>
      </c>
      <c r="EN69" s="129">
        <v>0</v>
      </c>
      <c r="EO69" s="129">
        <v>0</v>
      </c>
      <c r="EP69" s="129">
        <v>0</v>
      </c>
      <c r="EQ69" s="129">
        <v>0</v>
      </c>
      <c r="ER69" s="129">
        <v>0</v>
      </c>
      <c r="ES69" s="129">
        <v>0</v>
      </c>
      <c r="ET69" s="129">
        <v>3050</v>
      </c>
      <c r="EU69" s="129">
        <v>3135</v>
      </c>
      <c r="EV69" s="129">
        <v>2845</v>
      </c>
      <c r="EW69" s="129">
        <v>2929</v>
      </c>
    </row>
    <row r="70" spans="1:153" x14ac:dyDescent="0.25">
      <c r="A70" s="357" t="str">
        <f>IPO監視一覧!H58</f>
        <v>B</v>
      </c>
      <c r="B70" s="107" t="str">
        <f>IPO監視一覧!B58</f>
        <v>シルバーライフ</v>
      </c>
      <c r="C70" s="332">
        <f>株価一覧!E69</f>
        <v>0</v>
      </c>
      <c r="D70" s="321">
        <f t="shared" ca="1" si="29"/>
        <v>0</v>
      </c>
      <c r="E70" s="333">
        <f t="shared" ca="1" si="30"/>
        <v>0</v>
      </c>
      <c r="F70" s="334">
        <f t="shared" ca="1" si="31"/>
        <v>0</v>
      </c>
      <c r="G70" s="129">
        <v>0</v>
      </c>
      <c r="H70" s="129">
        <v>0</v>
      </c>
      <c r="I70" s="129">
        <v>0</v>
      </c>
      <c r="J70" s="129">
        <v>0</v>
      </c>
      <c r="K70" s="129">
        <v>0</v>
      </c>
      <c r="L70" s="129">
        <v>0</v>
      </c>
      <c r="M70" s="129">
        <v>0</v>
      </c>
      <c r="N70" s="129">
        <v>0</v>
      </c>
      <c r="O70" s="129">
        <v>0</v>
      </c>
      <c r="P70" s="129">
        <v>0</v>
      </c>
      <c r="Q70" s="129">
        <v>0</v>
      </c>
      <c r="R70" s="129">
        <v>0</v>
      </c>
      <c r="S70" s="129">
        <v>0</v>
      </c>
      <c r="T70" s="129">
        <v>0</v>
      </c>
      <c r="U70" s="129">
        <v>0</v>
      </c>
      <c r="V70" s="129">
        <v>0</v>
      </c>
      <c r="W70" s="129">
        <v>0</v>
      </c>
      <c r="X70" s="129">
        <v>0</v>
      </c>
      <c r="Y70" s="129">
        <v>0</v>
      </c>
      <c r="Z70" s="129">
        <v>0</v>
      </c>
      <c r="AA70" s="129">
        <v>0</v>
      </c>
      <c r="AB70" s="129">
        <v>0</v>
      </c>
      <c r="AC70" s="129">
        <v>0</v>
      </c>
      <c r="AD70" s="129">
        <v>0</v>
      </c>
      <c r="AE70" s="129">
        <v>0</v>
      </c>
      <c r="AF70" s="129">
        <v>0</v>
      </c>
      <c r="AG70" s="129">
        <v>0</v>
      </c>
      <c r="AH70" s="129">
        <v>0</v>
      </c>
      <c r="AI70" s="129">
        <v>0</v>
      </c>
      <c r="AJ70" s="129">
        <v>0</v>
      </c>
      <c r="AK70" s="129">
        <v>0</v>
      </c>
      <c r="AL70" s="129">
        <v>0</v>
      </c>
      <c r="AM70" s="129">
        <v>0</v>
      </c>
      <c r="AN70" s="129">
        <v>0</v>
      </c>
      <c r="AO70" s="129">
        <v>0</v>
      </c>
      <c r="AP70" s="129">
        <v>0</v>
      </c>
      <c r="AQ70" s="129">
        <v>0</v>
      </c>
      <c r="AR70" s="129">
        <v>0</v>
      </c>
      <c r="AS70" s="129">
        <v>0</v>
      </c>
      <c r="AT70" s="129">
        <v>0</v>
      </c>
      <c r="AU70" s="129">
        <v>0</v>
      </c>
      <c r="AV70" s="129">
        <v>0</v>
      </c>
      <c r="AW70" s="129">
        <v>0</v>
      </c>
      <c r="AX70" s="129">
        <v>0</v>
      </c>
      <c r="AY70" s="129">
        <v>0</v>
      </c>
      <c r="AZ70" s="129">
        <v>0</v>
      </c>
      <c r="BA70" s="129">
        <v>0</v>
      </c>
      <c r="BB70" s="129">
        <v>0</v>
      </c>
      <c r="BC70" s="129">
        <v>0</v>
      </c>
      <c r="BD70" s="129">
        <v>0</v>
      </c>
      <c r="BE70" s="129">
        <v>0</v>
      </c>
      <c r="BF70" s="129">
        <v>0</v>
      </c>
      <c r="BG70" s="129">
        <v>0</v>
      </c>
      <c r="BH70" s="129">
        <v>0</v>
      </c>
      <c r="BI70" s="129">
        <v>0</v>
      </c>
      <c r="BJ70" s="129">
        <v>0</v>
      </c>
      <c r="BK70" s="129">
        <v>0</v>
      </c>
      <c r="BL70" s="129">
        <v>0</v>
      </c>
      <c r="BM70" s="129">
        <v>0</v>
      </c>
      <c r="BN70" s="129">
        <v>0</v>
      </c>
      <c r="BO70" s="129">
        <v>0</v>
      </c>
      <c r="BP70" s="129">
        <v>0</v>
      </c>
      <c r="BQ70" s="129">
        <v>0</v>
      </c>
      <c r="BR70" s="129">
        <v>0</v>
      </c>
      <c r="BS70" s="129">
        <v>0</v>
      </c>
      <c r="BT70" s="129">
        <v>0</v>
      </c>
      <c r="BU70" s="129">
        <v>0</v>
      </c>
      <c r="BV70" s="129">
        <v>0</v>
      </c>
      <c r="BW70" s="129">
        <v>0</v>
      </c>
      <c r="BX70" s="129">
        <v>0</v>
      </c>
      <c r="BY70" s="129">
        <v>0</v>
      </c>
      <c r="BZ70" s="129">
        <v>0</v>
      </c>
      <c r="CA70" s="129">
        <v>0</v>
      </c>
      <c r="CB70" s="129">
        <v>0</v>
      </c>
      <c r="CC70" s="129">
        <v>0</v>
      </c>
      <c r="CD70" s="129">
        <v>0</v>
      </c>
      <c r="CE70" s="129">
        <v>0</v>
      </c>
      <c r="CF70" s="129">
        <v>0</v>
      </c>
      <c r="CG70" s="129">
        <v>0</v>
      </c>
      <c r="CH70" s="129">
        <v>0</v>
      </c>
      <c r="CI70" s="129">
        <v>0</v>
      </c>
      <c r="CJ70" s="129">
        <v>0</v>
      </c>
      <c r="CK70" s="129">
        <v>0</v>
      </c>
      <c r="CL70" s="129">
        <v>0</v>
      </c>
      <c r="CM70" s="129">
        <v>0</v>
      </c>
      <c r="CN70" s="129">
        <v>0</v>
      </c>
      <c r="CO70" s="129">
        <v>0</v>
      </c>
      <c r="CP70" s="129">
        <v>0</v>
      </c>
      <c r="CQ70" s="129">
        <v>0</v>
      </c>
      <c r="CR70" s="129">
        <v>0</v>
      </c>
      <c r="CS70" s="129">
        <v>0</v>
      </c>
      <c r="CT70" s="129">
        <v>0</v>
      </c>
      <c r="CU70" s="129">
        <v>0</v>
      </c>
      <c r="CV70" s="129">
        <v>0</v>
      </c>
      <c r="CW70" s="129">
        <v>0</v>
      </c>
      <c r="CX70" s="129">
        <v>0</v>
      </c>
      <c r="CY70" s="129">
        <v>0</v>
      </c>
      <c r="CZ70" s="129">
        <v>0</v>
      </c>
      <c r="DA70" s="129">
        <v>0</v>
      </c>
      <c r="DB70" s="129">
        <v>0</v>
      </c>
      <c r="DC70" s="129">
        <v>0</v>
      </c>
      <c r="DD70" s="129">
        <v>0</v>
      </c>
      <c r="DE70" s="129">
        <v>0</v>
      </c>
      <c r="DF70" s="129">
        <v>0</v>
      </c>
      <c r="DG70" s="129">
        <v>0</v>
      </c>
      <c r="DH70" s="129">
        <v>0</v>
      </c>
      <c r="DI70" s="129">
        <v>0</v>
      </c>
      <c r="DJ70" s="129">
        <v>0</v>
      </c>
      <c r="DK70" s="129">
        <v>0</v>
      </c>
      <c r="DL70" s="129">
        <v>0</v>
      </c>
      <c r="DM70" s="129">
        <v>0</v>
      </c>
      <c r="DN70" s="129">
        <v>0</v>
      </c>
      <c r="DO70" s="129">
        <v>0</v>
      </c>
      <c r="DP70" s="129">
        <v>0</v>
      </c>
      <c r="DQ70" s="129">
        <v>0</v>
      </c>
      <c r="DR70" s="129">
        <v>0</v>
      </c>
      <c r="DS70" s="129">
        <v>0</v>
      </c>
      <c r="DT70" s="129">
        <v>0</v>
      </c>
      <c r="DU70" s="129">
        <v>0</v>
      </c>
      <c r="DV70" s="129">
        <v>0</v>
      </c>
      <c r="DW70" s="129">
        <v>0</v>
      </c>
      <c r="DX70" s="129">
        <v>0</v>
      </c>
      <c r="DY70" s="129">
        <v>0</v>
      </c>
      <c r="DZ70" s="129">
        <v>0</v>
      </c>
      <c r="EA70" s="129">
        <v>0</v>
      </c>
      <c r="EB70" s="129">
        <v>0</v>
      </c>
      <c r="EC70" s="129">
        <v>0</v>
      </c>
      <c r="ED70" s="129">
        <v>0</v>
      </c>
      <c r="EE70" s="129">
        <v>0</v>
      </c>
      <c r="EF70" s="129">
        <v>0</v>
      </c>
      <c r="EG70" s="129">
        <v>0</v>
      </c>
      <c r="EH70" s="129">
        <v>0</v>
      </c>
      <c r="EI70" s="129">
        <v>0</v>
      </c>
      <c r="EJ70" s="129">
        <v>0</v>
      </c>
      <c r="EK70" s="129">
        <v>0</v>
      </c>
      <c r="EL70" s="129">
        <v>0</v>
      </c>
      <c r="EM70" s="129">
        <v>0</v>
      </c>
      <c r="EN70" s="129">
        <v>0</v>
      </c>
      <c r="EO70" s="129">
        <v>0</v>
      </c>
      <c r="EP70" s="129">
        <v>0</v>
      </c>
      <c r="EQ70" s="129">
        <v>0</v>
      </c>
      <c r="ER70" s="129">
        <v>0</v>
      </c>
      <c r="ES70" s="129">
        <v>0</v>
      </c>
      <c r="ET70" s="129">
        <v>0</v>
      </c>
      <c r="EU70" s="129">
        <v>0</v>
      </c>
      <c r="EV70" s="129">
        <v>0</v>
      </c>
      <c r="EW70" s="129">
        <v>0</v>
      </c>
    </row>
    <row r="71" spans="1:153" x14ac:dyDescent="0.25">
      <c r="A71" s="357" t="str">
        <f>IPO監視一覧!H59</f>
        <v>A</v>
      </c>
      <c r="B71" s="107" t="str">
        <f>IPO監視一覧!B59</f>
        <v>テンポイノベーション</v>
      </c>
      <c r="C71" s="332">
        <f>株価一覧!E70</f>
        <v>0</v>
      </c>
      <c r="D71" s="321">
        <f t="shared" ca="1" si="29"/>
        <v>0</v>
      </c>
      <c r="E71" s="333">
        <f t="shared" ca="1" si="30"/>
        <v>0</v>
      </c>
      <c r="F71" s="334">
        <f t="shared" ca="1" si="31"/>
        <v>0</v>
      </c>
      <c r="G71" s="129">
        <v>0</v>
      </c>
      <c r="H71" s="129">
        <v>0</v>
      </c>
      <c r="I71" s="129">
        <v>0</v>
      </c>
      <c r="J71" s="129">
        <v>0</v>
      </c>
      <c r="K71" s="129">
        <v>0</v>
      </c>
      <c r="L71" s="129">
        <v>0</v>
      </c>
      <c r="M71" s="129">
        <v>0</v>
      </c>
      <c r="N71" s="129">
        <v>0</v>
      </c>
      <c r="O71" s="129">
        <v>0</v>
      </c>
      <c r="P71" s="129">
        <v>0</v>
      </c>
      <c r="Q71" s="129">
        <v>0</v>
      </c>
      <c r="R71" s="129">
        <v>0</v>
      </c>
      <c r="S71" s="129">
        <v>0</v>
      </c>
      <c r="T71" s="129">
        <v>0</v>
      </c>
      <c r="U71" s="129">
        <v>0</v>
      </c>
      <c r="V71" s="129">
        <v>0</v>
      </c>
      <c r="W71" s="129">
        <v>0</v>
      </c>
      <c r="X71" s="129">
        <v>0</v>
      </c>
      <c r="Y71" s="129">
        <v>0</v>
      </c>
      <c r="Z71" s="129">
        <v>0</v>
      </c>
      <c r="AA71" s="129">
        <v>0</v>
      </c>
      <c r="AB71" s="129">
        <v>0</v>
      </c>
      <c r="AC71" s="129">
        <v>0</v>
      </c>
      <c r="AD71" s="129">
        <v>0</v>
      </c>
      <c r="AE71" s="129">
        <v>0</v>
      </c>
      <c r="AF71" s="129">
        <v>0</v>
      </c>
      <c r="AG71" s="129">
        <v>0</v>
      </c>
      <c r="AH71" s="129">
        <v>0</v>
      </c>
      <c r="AI71" s="129">
        <v>0</v>
      </c>
      <c r="AJ71" s="129">
        <v>0</v>
      </c>
      <c r="AK71" s="129">
        <v>0</v>
      </c>
      <c r="AL71" s="129">
        <v>0</v>
      </c>
      <c r="AM71" s="129">
        <v>0</v>
      </c>
      <c r="AN71" s="129">
        <v>0</v>
      </c>
      <c r="AO71" s="129">
        <v>0</v>
      </c>
      <c r="AP71" s="129">
        <v>0</v>
      </c>
      <c r="AQ71" s="129">
        <v>0</v>
      </c>
      <c r="AR71" s="129">
        <v>0</v>
      </c>
      <c r="AS71" s="129">
        <v>0</v>
      </c>
      <c r="AT71" s="129">
        <v>0</v>
      </c>
      <c r="AU71" s="129">
        <v>0</v>
      </c>
      <c r="AV71" s="129">
        <v>0</v>
      </c>
      <c r="AW71" s="129">
        <v>0</v>
      </c>
      <c r="AX71" s="129">
        <v>0</v>
      </c>
      <c r="AY71" s="129">
        <v>0</v>
      </c>
      <c r="AZ71" s="129">
        <v>0</v>
      </c>
      <c r="BA71" s="129">
        <v>0</v>
      </c>
      <c r="BB71" s="129">
        <v>0</v>
      </c>
      <c r="BC71" s="129">
        <v>0</v>
      </c>
      <c r="BD71" s="129">
        <v>0</v>
      </c>
      <c r="BE71" s="129">
        <v>0</v>
      </c>
      <c r="BF71" s="129">
        <v>0</v>
      </c>
      <c r="BG71" s="129">
        <v>0</v>
      </c>
      <c r="BH71" s="129">
        <v>0</v>
      </c>
      <c r="BI71" s="129">
        <v>0</v>
      </c>
      <c r="BJ71" s="129">
        <v>0</v>
      </c>
      <c r="BK71" s="129">
        <v>0</v>
      </c>
      <c r="BL71" s="129">
        <v>0</v>
      </c>
      <c r="BM71" s="129">
        <v>0</v>
      </c>
      <c r="BN71" s="129">
        <v>0</v>
      </c>
      <c r="BO71" s="129">
        <v>0</v>
      </c>
      <c r="BP71" s="129">
        <v>0</v>
      </c>
      <c r="BQ71" s="129">
        <v>0</v>
      </c>
      <c r="BR71" s="129">
        <v>0</v>
      </c>
      <c r="BS71" s="129">
        <v>0</v>
      </c>
      <c r="BT71" s="129">
        <v>0</v>
      </c>
      <c r="BU71" s="129">
        <v>0</v>
      </c>
      <c r="BV71" s="129">
        <v>0</v>
      </c>
      <c r="BW71" s="129">
        <v>0</v>
      </c>
      <c r="BX71" s="129">
        <v>0</v>
      </c>
      <c r="BY71" s="129">
        <v>0</v>
      </c>
      <c r="BZ71" s="129">
        <v>0</v>
      </c>
      <c r="CA71" s="129">
        <v>0</v>
      </c>
      <c r="CB71" s="129">
        <v>0</v>
      </c>
      <c r="CC71" s="129">
        <v>0</v>
      </c>
      <c r="CD71" s="129">
        <v>0</v>
      </c>
      <c r="CE71" s="129">
        <v>0</v>
      </c>
      <c r="CF71" s="129">
        <v>0</v>
      </c>
      <c r="CG71" s="129">
        <v>0</v>
      </c>
      <c r="CH71" s="129">
        <v>0</v>
      </c>
      <c r="CI71" s="129">
        <v>0</v>
      </c>
      <c r="CJ71" s="129">
        <v>0</v>
      </c>
      <c r="CK71" s="129">
        <v>0</v>
      </c>
      <c r="CL71" s="129">
        <v>0</v>
      </c>
      <c r="CM71" s="129">
        <v>0</v>
      </c>
      <c r="CN71" s="129">
        <v>0</v>
      </c>
      <c r="CO71" s="129">
        <v>0</v>
      </c>
      <c r="CP71" s="129">
        <v>0</v>
      </c>
      <c r="CQ71" s="129">
        <v>0</v>
      </c>
      <c r="CR71" s="129">
        <v>0</v>
      </c>
      <c r="CS71" s="129">
        <v>0</v>
      </c>
      <c r="CT71" s="129">
        <v>0</v>
      </c>
      <c r="CU71" s="129">
        <v>0</v>
      </c>
      <c r="CV71" s="129">
        <v>0</v>
      </c>
      <c r="CW71" s="129">
        <v>0</v>
      </c>
      <c r="CX71" s="129">
        <v>0</v>
      </c>
      <c r="CY71" s="129">
        <v>0</v>
      </c>
      <c r="CZ71" s="129">
        <v>0</v>
      </c>
      <c r="DA71" s="129">
        <v>0</v>
      </c>
      <c r="DB71" s="129">
        <v>0</v>
      </c>
      <c r="DC71" s="129">
        <v>0</v>
      </c>
      <c r="DD71" s="129">
        <v>0</v>
      </c>
      <c r="DE71" s="129">
        <v>0</v>
      </c>
      <c r="DF71" s="129">
        <v>0</v>
      </c>
      <c r="DG71" s="129">
        <v>0</v>
      </c>
      <c r="DH71" s="129">
        <v>0</v>
      </c>
      <c r="DI71" s="129">
        <v>0</v>
      </c>
      <c r="DJ71" s="129">
        <v>0</v>
      </c>
      <c r="DK71" s="129">
        <v>0</v>
      </c>
      <c r="DL71" s="129">
        <v>0</v>
      </c>
      <c r="DM71" s="129">
        <v>0</v>
      </c>
      <c r="DN71" s="129">
        <v>0</v>
      </c>
      <c r="DO71" s="129">
        <v>0</v>
      </c>
      <c r="DP71" s="129">
        <v>0</v>
      </c>
      <c r="DQ71" s="129">
        <v>0</v>
      </c>
      <c r="DR71" s="129">
        <v>0</v>
      </c>
      <c r="DS71" s="129">
        <v>0</v>
      </c>
      <c r="DT71" s="129">
        <v>0</v>
      </c>
      <c r="DU71" s="129">
        <v>0</v>
      </c>
      <c r="DV71" s="129">
        <v>0</v>
      </c>
      <c r="DW71" s="129">
        <v>0</v>
      </c>
      <c r="DX71" s="129">
        <v>0</v>
      </c>
      <c r="DY71" s="129">
        <v>0</v>
      </c>
      <c r="DZ71" s="129">
        <v>0</v>
      </c>
      <c r="EA71" s="129">
        <v>0</v>
      </c>
      <c r="EB71" s="129">
        <v>0</v>
      </c>
      <c r="EC71" s="129">
        <v>0</v>
      </c>
      <c r="ED71" s="129">
        <v>0</v>
      </c>
      <c r="EE71" s="129">
        <v>0</v>
      </c>
      <c r="EF71" s="129">
        <v>0</v>
      </c>
      <c r="EG71" s="129">
        <v>0</v>
      </c>
      <c r="EH71" s="129">
        <v>0</v>
      </c>
      <c r="EI71" s="129">
        <v>0</v>
      </c>
      <c r="EJ71" s="129">
        <v>0</v>
      </c>
      <c r="EK71" s="129">
        <v>0</v>
      </c>
      <c r="EL71" s="129">
        <v>0</v>
      </c>
      <c r="EM71" s="129">
        <v>0</v>
      </c>
      <c r="EN71" s="129">
        <v>0</v>
      </c>
      <c r="EO71" s="129">
        <v>0</v>
      </c>
      <c r="EP71" s="129">
        <v>0</v>
      </c>
      <c r="EQ71" s="129">
        <v>0</v>
      </c>
      <c r="ER71" s="129">
        <v>0</v>
      </c>
      <c r="ES71" s="129">
        <v>0</v>
      </c>
      <c r="ET71" s="129">
        <v>0</v>
      </c>
      <c r="EU71" s="129">
        <v>0</v>
      </c>
      <c r="EV71" s="129">
        <v>0</v>
      </c>
      <c r="EW71" s="129">
        <v>0</v>
      </c>
    </row>
    <row r="72" spans="1:153" x14ac:dyDescent="0.25">
      <c r="A72" s="357" t="str">
        <f>IPO監視一覧!H60</f>
        <v>A</v>
      </c>
      <c r="B72" s="107" t="str">
        <f>IPO監視一覧!B60</f>
        <v>SKIYAKI</v>
      </c>
      <c r="C72" s="332">
        <f>株価一覧!E71</f>
        <v>0</v>
      </c>
      <c r="D72" s="321">
        <f t="shared" ca="1" si="29"/>
        <v>0</v>
      </c>
      <c r="E72" s="333">
        <f t="shared" ca="1" si="30"/>
        <v>0</v>
      </c>
      <c r="F72" s="334">
        <f t="shared" ca="1" si="31"/>
        <v>0</v>
      </c>
      <c r="G72" s="129">
        <v>0</v>
      </c>
      <c r="H72" s="129">
        <v>0</v>
      </c>
      <c r="I72" s="129">
        <v>0</v>
      </c>
      <c r="J72" s="129">
        <v>0</v>
      </c>
      <c r="K72" s="129">
        <v>0</v>
      </c>
      <c r="L72" s="129">
        <v>0</v>
      </c>
      <c r="M72" s="129">
        <v>0</v>
      </c>
      <c r="N72" s="129">
        <v>0</v>
      </c>
      <c r="O72" s="129">
        <v>0</v>
      </c>
      <c r="P72" s="129">
        <v>0</v>
      </c>
      <c r="Q72" s="129">
        <v>0</v>
      </c>
      <c r="R72" s="129">
        <v>0</v>
      </c>
      <c r="S72" s="129">
        <v>0</v>
      </c>
      <c r="T72" s="129">
        <v>0</v>
      </c>
      <c r="U72" s="129">
        <v>0</v>
      </c>
      <c r="V72" s="129">
        <v>0</v>
      </c>
      <c r="W72" s="129">
        <v>0</v>
      </c>
      <c r="X72" s="129">
        <v>0</v>
      </c>
      <c r="Y72" s="129">
        <v>0</v>
      </c>
      <c r="Z72" s="129">
        <v>0</v>
      </c>
      <c r="AA72" s="129">
        <v>0</v>
      </c>
      <c r="AB72" s="129">
        <v>0</v>
      </c>
      <c r="AC72" s="129">
        <v>0</v>
      </c>
      <c r="AD72" s="129">
        <v>0</v>
      </c>
      <c r="AE72" s="129">
        <v>0</v>
      </c>
      <c r="AF72" s="129">
        <v>0</v>
      </c>
      <c r="AG72" s="129">
        <v>0</v>
      </c>
      <c r="AH72" s="129">
        <v>0</v>
      </c>
      <c r="AI72" s="129">
        <v>0</v>
      </c>
      <c r="AJ72" s="129">
        <v>0</v>
      </c>
      <c r="AK72" s="129">
        <v>0</v>
      </c>
      <c r="AL72" s="129">
        <v>0</v>
      </c>
      <c r="AM72" s="129">
        <v>0</v>
      </c>
      <c r="AN72" s="129">
        <v>0</v>
      </c>
      <c r="AO72" s="129">
        <v>0</v>
      </c>
      <c r="AP72" s="129">
        <v>0</v>
      </c>
      <c r="AQ72" s="129">
        <v>0</v>
      </c>
      <c r="AR72" s="129">
        <v>0</v>
      </c>
      <c r="AS72" s="129">
        <v>0</v>
      </c>
      <c r="AT72" s="129">
        <v>0</v>
      </c>
      <c r="AU72" s="129">
        <v>0</v>
      </c>
      <c r="AV72" s="129">
        <v>0</v>
      </c>
      <c r="AW72" s="129">
        <v>0</v>
      </c>
      <c r="AX72" s="129">
        <v>0</v>
      </c>
      <c r="AY72" s="129">
        <v>0</v>
      </c>
      <c r="AZ72" s="129">
        <v>0</v>
      </c>
      <c r="BA72" s="129">
        <v>0</v>
      </c>
      <c r="BB72" s="129">
        <v>0</v>
      </c>
      <c r="BC72" s="129">
        <v>0</v>
      </c>
      <c r="BD72" s="129">
        <v>0</v>
      </c>
      <c r="BE72" s="129">
        <v>0</v>
      </c>
      <c r="BF72" s="129">
        <v>0</v>
      </c>
      <c r="BG72" s="129">
        <v>0</v>
      </c>
      <c r="BH72" s="129">
        <v>0</v>
      </c>
      <c r="BI72" s="129">
        <v>0</v>
      </c>
      <c r="BJ72" s="129">
        <v>0</v>
      </c>
      <c r="BK72" s="129">
        <v>0</v>
      </c>
      <c r="BL72" s="129">
        <v>0</v>
      </c>
      <c r="BM72" s="129">
        <v>0</v>
      </c>
      <c r="BN72" s="129">
        <v>0</v>
      </c>
      <c r="BO72" s="129">
        <v>0</v>
      </c>
      <c r="BP72" s="129">
        <v>0</v>
      </c>
      <c r="BQ72" s="129">
        <v>0</v>
      </c>
      <c r="BR72" s="129">
        <v>0</v>
      </c>
      <c r="BS72" s="129">
        <v>0</v>
      </c>
      <c r="BT72" s="129">
        <v>0</v>
      </c>
      <c r="BU72" s="129">
        <v>0</v>
      </c>
      <c r="BV72" s="129">
        <v>0</v>
      </c>
      <c r="BW72" s="129">
        <v>0</v>
      </c>
      <c r="BX72" s="129">
        <v>0</v>
      </c>
      <c r="BY72" s="129">
        <v>0</v>
      </c>
      <c r="BZ72" s="129">
        <v>0</v>
      </c>
      <c r="CA72" s="129">
        <v>0</v>
      </c>
      <c r="CB72" s="129">
        <v>0</v>
      </c>
      <c r="CC72" s="129">
        <v>0</v>
      </c>
      <c r="CD72" s="129">
        <v>0</v>
      </c>
      <c r="CE72" s="129">
        <v>0</v>
      </c>
      <c r="CF72" s="129">
        <v>0</v>
      </c>
      <c r="CG72" s="129">
        <v>0</v>
      </c>
      <c r="CH72" s="129">
        <v>0</v>
      </c>
      <c r="CI72" s="129">
        <v>0</v>
      </c>
      <c r="CJ72" s="129">
        <v>0</v>
      </c>
      <c r="CK72" s="129">
        <v>0</v>
      </c>
      <c r="CL72" s="129">
        <v>0</v>
      </c>
      <c r="CM72" s="129">
        <v>0</v>
      </c>
      <c r="CN72" s="129">
        <v>0</v>
      </c>
      <c r="CO72" s="129">
        <v>0</v>
      </c>
      <c r="CP72" s="129">
        <v>0</v>
      </c>
      <c r="CQ72" s="129">
        <v>0</v>
      </c>
      <c r="CR72" s="129">
        <v>0</v>
      </c>
      <c r="CS72" s="129">
        <v>0</v>
      </c>
      <c r="CT72" s="129">
        <v>0</v>
      </c>
      <c r="CU72" s="129">
        <v>0</v>
      </c>
      <c r="CV72" s="129">
        <v>0</v>
      </c>
      <c r="CW72" s="129">
        <v>0</v>
      </c>
      <c r="CX72" s="129">
        <v>0</v>
      </c>
      <c r="CY72" s="129">
        <v>0</v>
      </c>
      <c r="CZ72" s="129">
        <v>0</v>
      </c>
      <c r="DA72" s="129">
        <v>0</v>
      </c>
      <c r="DB72" s="129">
        <v>0</v>
      </c>
      <c r="DC72" s="129">
        <v>0</v>
      </c>
      <c r="DD72" s="129">
        <v>0</v>
      </c>
      <c r="DE72" s="129">
        <v>0</v>
      </c>
      <c r="DF72" s="129">
        <v>0</v>
      </c>
      <c r="DG72" s="129">
        <v>0</v>
      </c>
      <c r="DH72" s="129">
        <v>0</v>
      </c>
      <c r="DI72" s="129">
        <v>0</v>
      </c>
      <c r="DJ72" s="129">
        <v>0</v>
      </c>
      <c r="DK72" s="129">
        <v>0</v>
      </c>
      <c r="DL72" s="129">
        <v>0</v>
      </c>
      <c r="DM72" s="129">
        <v>0</v>
      </c>
      <c r="DN72" s="129">
        <v>0</v>
      </c>
      <c r="DO72" s="129">
        <v>0</v>
      </c>
      <c r="DP72" s="129">
        <v>0</v>
      </c>
      <c r="DQ72" s="129">
        <v>0</v>
      </c>
      <c r="DR72" s="129">
        <v>0</v>
      </c>
      <c r="DS72" s="129">
        <v>0</v>
      </c>
      <c r="DT72" s="129">
        <v>0</v>
      </c>
      <c r="DU72" s="129">
        <v>0</v>
      </c>
      <c r="DV72" s="129">
        <v>0</v>
      </c>
      <c r="DW72" s="129">
        <v>0</v>
      </c>
      <c r="DX72" s="129">
        <v>0</v>
      </c>
      <c r="DY72" s="129">
        <v>0</v>
      </c>
      <c r="DZ72" s="129">
        <v>0</v>
      </c>
      <c r="EA72" s="129">
        <v>0</v>
      </c>
      <c r="EB72" s="129">
        <v>0</v>
      </c>
      <c r="EC72" s="129">
        <v>0</v>
      </c>
      <c r="ED72" s="129">
        <v>0</v>
      </c>
      <c r="EE72" s="129">
        <v>0</v>
      </c>
      <c r="EF72" s="129">
        <v>0</v>
      </c>
      <c r="EG72" s="129">
        <v>0</v>
      </c>
      <c r="EH72" s="129">
        <v>0</v>
      </c>
      <c r="EI72" s="129">
        <v>0</v>
      </c>
      <c r="EJ72" s="129">
        <v>0</v>
      </c>
      <c r="EK72" s="129">
        <v>0</v>
      </c>
      <c r="EL72" s="129">
        <v>0</v>
      </c>
      <c r="EM72" s="129">
        <v>0</v>
      </c>
      <c r="EN72" s="129">
        <v>0</v>
      </c>
      <c r="EO72" s="129">
        <v>0</v>
      </c>
      <c r="EP72" s="129">
        <v>0</v>
      </c>
      <c r="EQ72" s="129">
        <v>0</v>
      </c>
      <c r="ER72" s="129">
        <v>0</v>
      </c>
      <c r="ES72" s="129">
        <v>0</v>
      </c>
      <c r="ET72" s="129">
        <v>0</v>
      </c>
      <c r="EU72" s="129">
        <v>0</v>
      </c>
      <c r="EV72" s="129">
        <v>0</v>
      </c>
      <c r="EW72" s="129">
        <v>0</v>
      </c>
    </row>
    <row r="73" spans="1:153" x14ac:dyDescent="0.25">
      <c r="A73" s="357" t="str">
        <f>IPO監視一覧!H61</f>
        <v>D</v>
      </c>
      <c r="B73" s="107" t="str">
        <f>IPO監視一覧!B61</f>
        <v>Casa</v>
      </c>
      <c r="C73" s="332">
        <f>株価一覧!E72</f>
        <v>0</v>
      </c>
      <c r="D73" s="321">
        <f t="shared" ca="1" si="29"/>
        <v>0</v>
      </c>
      <c r="E73" s="333">
        <f t="shared" ca="1" si="30"/>
        <v>0</v>
      </c>
      <c r="F73" s="334">
        <f t="shared" ca="1" si="31"/>
        <v>0</v>
      </c>
      <c r="G73" s="129">
        <v>0</v>
      </c>
      <c r="H73" s="129">
        <v>0</v>
      </c>
      <c r="I73" s="129">
        <v>0</v>
      </c>
      <c r="J73" s="129">
        <v>0</v>
      </c>
      <c r="K73" s="129">
        <v>0</v>
      </c>
      <c r="L73" s="129">
        <v>0</v>
      </c>
      <c r="M73" s="129">
        <v>0</v>
      </c>
      <c r="N73" s="129">
        <v>0</v>
      </c>
      <c r="O73" s="129">
        <v>0</v>
      </c>
      <c r="P73" s="129">
        <v>0</v>
      </c>
      <c r="Q73" s="129">
        <v>0</v>
      </c>
      <c r="R73" s="129">
        <v>0</v>
      </c>
      <c r="S73" s="129">
        <v>0</v>
      </c>
      <c r="T73" s="129">
        <v>0</v>
      </c>
      <c r="U73" s="129">
        <v>0</v>
      </c>
      <c r="V73" s="129">
        <v>0</v>
      </c>
      <c r="W73" s="129">
        <v>0</v>
      </c>
      <c r="X73" s="129">
        <v>0</v>
      </c>
      <c r="Y73" s="129">
        <v>0</v>
      </c>
      <c r="Z73" s="129">
        <v>0</v>
      </c>
      <c r="AA73" s="129">
        <v>0</v>
      </c>
      <c r="AB73" s="129">
        <v>0</v>
      </c>
      <c r="AC73" s="129">
        <v>0</v>
      </c>
      <c r="AD73" s="129">
        <v>0</v>
      </c>
      <c r="AE73" s="129">
        <v>0</v>
      </c>
      <c r="AF73" s="129">
        <v>0</v>
      </c>
      <c r="AG73" s="129">
        <v>0</v>
      </c>
      <c r="AH73" s="129">
        <v>0</v>
      </c>
      <c r="AI73" s="129">
        <v>0</v>
      </c>
      <c r="AJ73" s="129">
        <v>0</v>
      </c>
      <c r="AK73" s="129">
        <v>0</v>
      </c>
      <c r="AL73" s="129">
        <v>0</v>
      </c>
      <c r="AM73" s="129">
        <v>0</v>
      </c>
      <c r="AN73" s="129">
        <v>0</v>
      </c>
      <c r="AO73" s="129">
        <v>0</v>
      </c>
      <c r="AP73" s="129">
        <v>0</v>
      </c>
      <c r="AQ73" s="129">
        <v>0</v>
      </c>
      <c r="AR73" s="129">
        <v>0</v>
      </c>
      <c r="AS73" s="129">
        <v>0</v>
      </c>
      <c r="AT73" s="129">
        <v>0</v>
      </c>
      <c r="AU73" s="129">
        <v>0</v>
      </c>
      <c r="AV73" s="129">
        <v>0</v>
      </c>
      <c r="AW73" s="129">
        <v>0</v>
      </c>
      <c r="AX73" s="129">
        <v>0</v>
      </c>
      <c r="AY73" s="129">
        <v>0</v>
      </c>
      <c r="AZ73" s="129">
        <v>0</v>
      </c>
      <c r="BA73" s="129">
        <v>0</v>
      </c>
      <c r="BB73" s="129">
        <v>0</v>
      </c>
      <c r="BC73" s="129">
        <v>0</v>
      </c>
      <c r="BD73" s="129">
        <v>0</v>
      </c>
      <c r="BE73" s="129">
        <v>0</v>
      </c>
      <c r="BF73" s="129">
        <v>0</v>
      </c>
      <c r="BG73" s="129">
        <v>0</v>
      </c>
      <c r="BH73" s="129">
        <v>0</v>
      </c>
      <c r="BI73" s="129">
        <v>0</v>
      </c>
      <c r="BJ73" s="129">
        <v>0</v>
      </c>
      <c r="BK73" s="129">
        <v>0</v>
      </c>
      <c r="BL73" s="129">
        <v>0</v>
      </c>
      <c r="BM73" s="129">
        <v>0</v>
      </c>
      <c r="BN73" s="129">
        <v>0</v>
      </c>
      <c r="BO73" s="129">
        <v>0</v>
      </c>
      <c r="BP73" s="129">
        <v>0</v>
      </c>
      <c r="BQ73" s="129">
        <v>0</v>
      </c>
      <c r="BR73" s="129">
        <v>0</v>
      </c>
      <c r="BS73" s="129">
        <v>0</v>
      </c>
      <c r="BT73" s="129">
        <v>0</v>
      </c>
      <c r="BU73" s="129">
        <v>0</v>
      </c>
      <c r="BV73" s="129">
        <v>0</v>
      </c>
      <c r="BW73" s="129">
        <v>0</v>
      </c>
      <c r="BX73" s="129">
        <v>0</v>
      </c>
      <c r="BY73" s="129">
        <v>0</v>
      </c>
      <c r="BZ73" s="129">
        <v>0</v>
      </c>
      <c r="CA73" s="129">
        <v>0</v>
      </c>
      <c r="CB73" s="129">
        <v>0</v>
      </c>
      <c r="CC73" s="129">
        <v>0</v>
      </c>
      <c r="CD73" s="129">
        <v>0</v>
      </c>
      <c r="CE73" s="129">
        <v>0</v>
      </c>
      <c r="CF73" s="129">
        <v>0</v>
      </c>
      <c r="CG73" s="129">
        <v>0</v>
      </c>
      <c r="CH73" s="129">
        <v>0</v>
      </c>
      <c r="CI73" s="129">
        <v>0</v>
      </c>
      <c r="CJ73" s="129">
        <v>0</v>
      </c>
      <c r="CK73" s="129">
        <v>0</v>
      </c>
      <c r="CL73" s="129">
        <v>0</v>
      </c>
      <c r="CM73" s="129">
        <v>0</v>
      </c>
      <c r="CN73" s="129">
        <v>0</v>
      </c>
      <c r="CO73" s="129">
        <v>0</v>
      </c>
      <c r="CP73" s="129">
        <v>0</v>
      </c>
      <c r="CQ73" s="129">
        <v>0</v>
      </c>
      <c r="CR73" s="129">
        <v>0</v>
      </c>
      <c r="CS73" s="129">
        <v>0</v>
      </c>
      <c r="CT73" s="129">
        <v>0</v>
      </c>
      <c r="CU73" s="129">
        <v>0</v>
      </c>
      <c r="CV73" s="129">
        <v>0</v>
      </c>
      <c r="CW73" s="129">
        <v>0</v>
      </c>
      <c r="CX73" s="129">
        <v>0</v>
      </c>
      <c r="CY73" s="129">
        <v>0</v>
      </c>
      <c r="CZ73" s="129">
        <v>0</v>
      </c>
      <c r="DA73" s="129">
        <v>0</v>
      </c>
      <c r="DB73" s="129">
        <v>0</v>
      </c>
      <c r="DC73" s="129">
        <v>0</v>
      </c>
      <c r="DD73" s="129">
        <v>0</v>
      </c>
      <c r="DE73" s="129">
        <v>0</v>
      </c>
      <c r="DF73" s="129">
        <v>0</v>
      </c>
      <c r="DG73" s="129">
        <v>0</v>
      </c>
      <c r="DH73" s="129">
        <v>0</v>
      </c>
      <c r="DI73" s="129">
        <v>0</v>
      </c>
      <c r="DJ73" s="129">
        <v>0</v>
      </c>
      <c r="DK73" s="129">
        <v>0</v>
      </c>
      <c r="DL73" s="129">
        <v>0</v>
      </c>
      <c r="DM73" s="129">
        <v>0</v>
      </c>
      <c r="DN73" s="129">
        <v>0</v>
      </c>
      <c r="DO73" s="129">
        <v>0</v>
      </c>
      <c r="DP73" s="129">
        <v>0</v>
      </c>
      <c r="DQ73" s="129">
        <v>0</v>
      </c>
      <c r="DR73" s="129">
        <v>0</v>
      </c>
      <c r="DS73" s="129">
        <v>0</v>
      </c>
      <c r="DT73" s="129">
        <v>0</v>
      </c>
      <c r="DU73" s="129">
        <v>0</v>
      </c>
      <c r="DV73" s="129">
        <v>0</v>
      </c>
      <c r="DW73" s="129">
        <v>0</v>
      </c>
      <c r="DX73" s="129">
        <v>0</v>
      </c>
      <c r="DY73" s="129">
        <v>0</v>
      </c>
      <c r="DZ73" s="129">
        <v>0</v>
      </c>
      <c r="EA73" s="129">
        <v>0</v>
      </c>
      <c r="EB73" s="129">
        <v>0</v>
      </c>
      <c r="EC73" s="129">
        <v>0</v>
      </c>
      <c r="ED73" s="129">
        <v>0</v>
      </c>
      <c r="EE73" s="129">
        <v>0</v>
      </c>
      <c r="EF73" s="129">
        <v>0</v>
      </c>
      <c r="EG73" s="129">
        <v>0</v>
      </c>
      <c r="EH73" s="129">
        <v>0</v>
      </c>
      <c r="EI73" s="129">
        <v>0</v>
      </c>
      <c r="EJ73" s="129">
        <v>0</v>
      </c>
      <c r="EK73" s="129">
        <v>0</v>
      </c>
      <c r="EL73" s="129">
        <v>0</v>
      </c>
      <c r="EM73" s="129">
        <v>0</v>
      </c>
      <c r="EN73" s="129">
        <v>0</v>
      </c>
      <c r="EO73" s="129">
        <v>0</v>
      </c>
      <c r="EP73" s="129">
        <v>0</v>
      </c>
      <c r="EQ73" s="129">
        <v>0</v>
      </c>
      <c r="ER73" s="129">
        <v>0</v>
      </c>
      <c r="ES73" s="129">
        <v>0</v>
      </c>
      <c r="ET73" s="129">
        <v>0</v>
      </c>
      <c r="EU73" s="129">
        <v>0</v>
      </c>
      <c r="EV73" s="129">
        <v>0</v>
      </c>
      <c r="EW73" s="129">
        <v>0</v>
      </c>
    </row>
    <row r="74" spans="1:153" x14ac:dyDescent="0.25">
      <c r="A74" s="357" t="str">
        <f>IPO監視一覧!H62</f>
        <v>C</v>
      </c>
      <c r="B74" s="107" t="str">
        <f>IPO監視一覧!B62</f>
        <v>シー・エス・ランバー</v>
      </c>
      <c r="C74" s="332">
        <f>株価一覧!E73</f>
        <v>0</v>
      </c>
      <c r="D74" s="321">
        <f t="shared" ca="1" si="29"/>
        <v>0</v>
      </c>
      <c r="E74" s="333">
        <f t="shared" ca="1" si="30"/>
        <v>0</v>
      </c>
      <c r="F74" s="334">
        <f t="shared" ca="1" si="31"/>
        <v>0</v>
      </c>
      <c r="G74" s="129">
        <v>0</v>
      </c>
      <c r="H74" s="129">
        <v>0</v>
      </c>
      <c r="I74" s="129">
        <v>0</v>
      </c>
      <c r="J74" s="129">
        <v>0</v>
      </c>
      <c r="K74" s="129">
        <v>0</v>
      </c>
      <c r="L74" s="129">
        <v>0</v>
      </c>
      <c r="M74" s="129">
        <v>0</v>
      </c>
      <c r="N74" s="129">
        <v>0</v>
      </c>
      <c r="O74" s="129">
        <v>0</v>
      </c>
      <c r="P74" s="129">
        <v>0</v>
      </c>
      <c r="Q74" s="129">
        <v>0</v>
      </c>
      <c r="R74" s="129">
        <v>0</v>
      </c>
      <c r="S74" s="129">
        <v>0</v>
      </c>
      <c r="T74" s="129">
        <v>0</v>
      </c>
      <c r="U74" s="129">
        <v>0</v>
      </c>
      <c r="V74" s="129">
        <v>0</v>
      </c>
      <c r="W74" s="129">
        <v>0</v>
      </c>
      <c r="X74" s="129">
        <v>0</v>
      </c>
      <c r="Y74" s="129">
        <v>0</v>
      </c>
      <c r="Z74" s="129">
        <v>0</v>
      </c>
      <c r="AA74" s="129">
        <v>0</v>
      </c>
      <c r="AB74" s="129">
        <v>0</v>
      </c>
      <c r="AC74" s="129">
        <v>0</v>
      </c>
      <c r="AD74" s="129">
        <v>0</v>
      </c>
      <c r="AE74" s="129">
        <v>0</v>
      </c>
      <c r="AF74" s="129">
        <v>0</v>
      </c>
      <c r="AG74" s="129">
        <v>0</v>
      </c>
      <c r="AH74" s="129">
        <v>0</v>
      </c>
      <c r="AI74" s="129">
        <v>0</v>
      </c>
      <c r="AJ74" s="129">
        <v>0</v>
      </c>
      <c r="AK74" s="129">
        <v>0</v>
      </c>
      <c r="AL74" s="129">
        <v>0</v>
      </c>
      <c r="AM74" s="129">
        <v>0</v>
      </c>
      <c r="AN74" s="129">
        <v>0</v>
      </c>
      <c r="AO74" s="129">
        <v>0</v>
      </c>
      <c r="AP74" s="129">
        <v>0</v>
      </c>
      <c r="AQ74" s="129">
        <v>0</v>
      </c>
      <c r="AR74" s="129">
        <v>0</v>
      </c>
      <c r="AS74" s="129">
        <v>0</v>
      </c>
      <c r="AT74" s="129">
        <v>0</v>
      </c>
      <c r="AU74" s="129">
        <v>0</v>
      </c>
      <c r="AV74" s="129">
        <v>0</v>
      </c>
      <c r="AW74" s="129">
        <v>0</v>
      </c>
      <c r="AX74" s="129">
        <v>0</v>
      </c>
      <c r="AY74" s="129">
        <v>0</v>
      </c>
      <c r="AZ74" s="129">
        <v>0</v>
      </c>
      <c r="BA74" s="129">
        <v>0</v>
      </c>
      <c r="BB74" s="129">
        <v>0</v>
      </c>
      <c r="BC74" s="129">
        <v>0</v>
      </c>
      <c r="BD74" s="129">
        <v>0</v>
      </c>
      <c r="BE74" s="129">
        <v>0</v>
      </c>
      <c r="BF74" s="129">
        <v>0</v>
      </c>
      <c r="BG74" s="129">
        <v>0</v>
      </c>
      <c r="BH74" s="129">
        <v>0</v>
      </c>
      <c r="BI74" s="129">
        <v>0</v>
      </c>
      <c r="BJ74" s="129">
        <v>0</v>
      </c>
      <c r="BK74" s="129">
        <v>0</v>
      </c>
      <c r="BL74" s="129">
        <v>0</v>
      </c>
      <c r="BM74" s="129">
        <v>0</v>
      </c>
      <c r="BN74" s="129">
        <v>0</v>
      </c>
      <c r="BO74" s="129">
        <v>0</v>
      </c>
      <c r="BP74" s="129">
        <v>0</v>
      </c>
      <c r="BQ74" s="129">
        <v>0</v>
      </c>
      <c r="BR74" s="129">
        <v>0</v>
      </c>
      <c r="BS74" s="129">
        <v>0</v>
      </c>
      <c r="BT74" s="129">
        <v>0</v>
      </c>
      <c r="BU74" s="129">
        <v>0</v>
      </c>
      <c r="BV74" s="129">
        <v>0</v>
      </c>
      <c r="BW74" s="129">
        <v>0</v>
      </c>
      <c r="BX74" s="129">
        <v>0</v>
      </c>
      <c r="BY74" s="129">
        <v>0</v>
      </c>
      <c r="BZ74" s="129">
        <v>0</v>
      </c>
      <c r="CA74" s="129">
        <v>0</v>
      </c>
      <c r="CB74" s="129">
        <v>0</v>
      </c>
      <c r="CC74" s="129">
        <v>0</v>
      </c>
      <c r="CD74" s="129">
        <v>0</v>
      </c>
      <c r="CE74" s="129">
        <v>0</v>
      </c>
      <c r="CF74" s="129">
        <v>0</v>
      </c>
      <c r="CG74" s="129">
        <v>0</v>
      </c>
      <c r="CH74" s="129">
        <v>0</v>
      </c>
      <c r="CI74" s="129">
        <v>0</v>
      </c>
      <c r="CJ74" s="129">
        <v>0</v>
      </c>
      <c r="CK74" s="129">
        <v>0</v>
      </c>
      <c r="CL74" s="129">
        <v>0</v>
      </c>
      <c r="CM74" s="129">
        <v>0</v>
      </c>
      <c r="CN74" s="129">
        <v>0</v>
      </c>
      <c r="CO74" s="129">
        <v>0</v>
      </c>
      <c r="CP74" s="129">
        <v>0</v>
      </c>
      <c r="CQ74" s="129">
        <v>0</v>
      </c>
      <c r="CR74" s="129">
        <v>0</v>
      </c>
      <c r="CS74" s="129">
        <v>0</v>
      </c>
      <c r="CT74" s="129">
        <v>0</v>
      </c>
      <c r="CU74" s="129">
        <v>0</v>
      </c>
      <c r="CV74" s="129">
        <v>0</v>
      </c>
      <c r="CW74" s="129">
        <v>0</v>
      </c>
      <c r="CX74" s="129">
        <v>0</v>
      </c>
      <c r="CY74" s="129">
        <v>0</v>
      </c>
      <c r="CZ74" s="129">
        <v>0</v>
      </c>
      <c r="DA74" s="129">
        <v>0</v>
      </c>
      <c r="DB74" s="129">
        <v>0</v>
      </c>
      <c r="DC74" s="129">
        <v>0</v>
      </c>
      <c r="DD74" s="129">
        <v>0</v>
      </c>
      <c r="DE74" s="129">
        <v>0</v>
      </c>
      <c r="DF74" s="129">
        <v>0</v>
      </c>
      <c r="DG74" s="129">
        <v>0</v>
      </c>
      <c r="DH74" s="129">
        <v>0</v>
      </c>
      <c r="DI74" s="129">
        <v>0</v>
      </c>
      <c r="DJ74" s="129">
        <v>0</v>
      </c>
      <c r="DK74" s="129">
        <v>0</v>
      </c>
      <c r="DL74" s="129">
        <v>0</v>
      </c>
      <c r="DM74" s="129">
        <v>0</v>
      </c>
      <c r="DN74" s="129">
        <v>0</v>
      </c>
      <c r="DO74" s="129">
        <v>0</v>
      </c>
      <c r="DP74" s="129">
        <v>0</v>
      </c>
      <c r="DQ74" s="129">
        <v>0</v>
      </c>
      <c r="DR74" s="129">
        <v>0</v>
      </c>
      <c r="DS74" s="129">
        <v>0</v>
      </c>
      <c r="DT74" s="129">
        <v>0</v>
      </c>
      <c r="DU74" s="129">
        <v>0</v>
      </c>
      <c r="DV74" s="129">
        <v>0</v>
      </c>
      <c r="DW74" s="129">
        <v>0</v>
      </c>
      <c r="DX74" s="129">
        <v>0</v>
      </c>
      <c r="DY74" s="129">
        <v>0</v>
      </c>
      <c r="DZ74" s="129">
        <v>0</v>
      </c>
      <c r="EA74" s="129">
        <v>0</v>
      </c>
      <c r="EB74" s="129">
        <v>0</v>
      </c>
      <c r="EC74" s="129">
        <v>0</v>
      </c>
      <c r="ED74" s="129">
        <v>0</v>
      </c>
      <c r="EE74" s="129">
        <v>0</v>
      </c>
      <c r="EF74" s="129">
        <v>0</v>
      </c>
      <c r="EG74" s="129">
        <v>0</v>
      </c>
      <c r="EH74" s="129">
        <v>0</v>
      </c>
      <c r="EI74" s="129">
        <v>0</v>
      </c>
      <c r="EJ74" s="129">
        <v>0</v>
      </c>
      <c r="EK74" s="129">
        <v>0</v>
      </c>
      <c r="EL74" s="129">
        <v>0</v>
      </c>
      <c r="EM74" s="129">
        <v>0</v>
      </c>
      <c r="EN74" s="129">
        <v>0</v>
      </c>
      <c r="EO74" s="129">
        <v>0</v>
      </c>
      <c r="EP74" s="129">
        <v>0</v>
      </c>
      <c r="EQ74" s="129">
        <v>0</v>
      </c>
      <c r="ER74" s="129">
        <v>0</v>
      </c>
      <c r="ES74" s="129">
        <v>0</v>
      </c>
      <c r="ET74" s="129">
        <v>0</v>
      </c>
      <c r="EU74" s="129">
        <v>0</v>
      </c>
      <c r="EV74" s="129">
        <v>0</v>
      </c>
      <c r="EW74" s="129">
        <v>0</v>
      </c>
    </row>
    <row r="75" spans="1:153" x14ac:dyDescent="0.25">
      <c r="A75" s="357" t="str">
        <f>IPO監視一覧!H63</f>
        <v>A</v>
      </c>
      <c r="B75" s="107" t="str">
        <f>IPO監視一覧!B63</f>
        <v>サインポスト</v>
      </c>
      <c r="C75" s="332">
        <f>株価一覧!E74</f>
        <v>0</v>
      </c>
      <c r="D75" s="321">
        <f t="shared" ca="1" si="29"/>
        <v>0</v>
      </c>
      <c r="E75" s="333">
        <f t="shared" ca="1" si="30"/>
        <v>0</v>
      </c>
      <c r="F75" s="334">
        <f t="shared" ca="1" si="31"/>
        <v>0</v>
      </c>
      <c r="G75" s="129">
        <v>0</v>
      </c>
      <c r="H75" s="129">
        <v>0</v>
      </c>
      <c r="I75" s="129">
        <v>0</v>
      </c>
      <c r="J75" s="129">
        <v>0</v>
      </c>
      <c r="K75" s="129">
        <v>0</v>
      </c>
      <c r="L75" s="129">
        <v>0</v>
      </c>
      <c r="M75" s="129">
        <v>0</v>
      </c>
      <c r="N75" s="129">
        <v>0</v>
      </c>
      <c r="O75" s="129">
        <v>0</v>
      </c>
      <c r="P75" s="129">
        <v>0</v>
      </c>
      <c r="Q75" s="129">
        <v>0</v>
      </c>
      <c r="R75" s="129">
        <v>0</v>
      </c>
      <c r="S75" s="129">
        <v>0</v>
      </c>
      <c r="T75" s="129">
        <v>0</v>
      </c>
      <c r="U75" s="129">
        <v>0</v>
      </c>
      <c r="V75" s="129">
        <v>0</v>
      </c>
      <c r="W75" s="129">
        <v>0</v>
      </c>
      <c r="X75" s="129">
        <v>0</v>
      </c>
      <c r="Y75" s="129">
        <v>0</v>
      </c>
      <c r="Z75" s="129">
        <v>0</v>
      </c>
      <c r="AA75" s="129">
        <v>0</v>
      </c>
      <c r="AB75" s="129">
        <v>0</v>
      </c>
      <c r="AC75" s="129">
        <v>0</v>
      </c>
      <c r="AD75" s="129">
        <v>0</v>
      </c>
      <c r="AE75" s="129">
        <v>0</v>
      </c>
      <c r="AF75" s="129">
        <v>0</v>
      </c>
      <c r="AG75" s="129">
        <v>0</v>
      </c>
      <c r="AH75" s="129">
        <v>0</v>
      </c>
      <c r="AI75" s="129">
        <v>0</v>
      </c>
      <c r="AJ75" s="129">
        <v>0</v>
      </c>
      <c r="AK75" s="129">
        <v>0</v>
      </c>
      <c r="AL75" s="129">
        <v>0</v>
      </c>
      <c r="AM75" s="129">
        <v>0</v>
      </c>
      <c r="AN75" s="129">
        <v>0</v>
      </c>
      <c r="AO75" s="129">
        <v>0</v>
      </c>
      <c r="AP75" s="129">
        <v>0</v>
      </c>
      <c r="AQ75" s="129">
        <v>0</v>
      </c>
      <c r="AR75" s="129">
        <v>0</v>
      </c>
      <c r="AS75" s="129">
        <v>0</v>
      </c>
      <c r="AT75" s="129">
        <v>0</v>
      </c>
      <c r="AU75" s="129">
        <v>0</v>
      </c>
      <c r="AV75" s="129">
        <v>0</v>
      </c>
      <c r="AW75" s="129">
        <v>0</v>
      </c>
      <c r="AX75" s="129">
        <v>0</v>
      </c>
      <c r="AY75" s="129">
        <v>0</v>
      </c>
      <c r="AZ75" s="129">
        <v>0</v>
      </c>
      <c r="BA75" s="129">
        <v>0</v>
      </c>
      <c r="BB75" s="129">
        <v>0</v>
      </c>
      <c r="BC75" s="129">
        <v>0</v>
      </c>
      <c r="BD75" s="129">
        <v>0</v>
      </c>
      <c r="BE75" s="129">
        <v>0</v>
      </c>
      <c r="BF75" s="129">
        <v>0</v>
      </c>
      <c r="BG75" s="129">
        <v>0</v>
      </c>
      <c r="BH75" s="129">
        <v>0</v>
      </c>
      <c r="BI75" s="129">
        <v>0</v>
      </c>
      <c r="BJ75" s="129">
        <v>0</v>
      </c>
      <c r="BK75" s="129">
        <v>0</v>
      </c>
      <c r="BL75" s="129">
        <v>0</v>
      </c>
      <c r="BM75" s="129">
        <v>0</v>
      </c>
      <c r="BN75" s="129">
        <v>0</v>
      </c>
      <c r="BO75" s="129">
        <v>0</v>
      </c>
      <c r="BP75" s="129">
        <v>0</v>
      </c>
      <c r="BQ75" s="129">
        <v>0</v>
      </c>
      <c r="BR75" s="129">
        <v>0</v>
      </c>
      <c r="BS75" s="129">
        <v>0</v>
      </c>
      <c r="BT75" s="129">
        <v>0</v>
      </c>
      <c r="BU75" s="129">
        <v>0</v>
      </c>
      <c r="BV75" s="129">
        <v>0</v>
      </c>
      <c r="BW75" s="129">
        <v>0</v>
      </c>
      <c r="BX75" s="129">
        <v>0</v>
      </c>
      <c r="BY75" s="129">
        <v>0</v>
      </c>
      <c r="BZ75" s="129">
        <v>0</v>
      </c>
      <c r="CA75" s="129">
        <v>0</v>
      </c>
      <c r="CB75" s="129">
        <v>0</v>
      </c>
      <c r="CC75" s="129">
        <v>0</v>
      </c>
      <c r="CD75" s="129">
        <v>0</v>
      </c>
      <c r="CE75" s="129">
        <v>0</v>
      </c>
      <c r="CF75" s="129">
        <v>0</v>
      </c>
      <c r="CG75" s="129">
        <v>0</v>
      </c>
      <c r="CH75" s="129">
        <v>0</v>
      </c>
      <c r="CI75" s="129">
        <v>0</v>
      </c>
      <c r="CJ75" s="129">
        <v>0</v>
      </c>
      <c r="CK75" s="129">
        <v>0</v>
      </c>
      <c r="CL75" s="129">
        <v>0</v>
      </c>
      <c r="CM75" s="129">
        <v>0</v>
      </c>
      <c r="CN75" s="129">
        <v>0</v>
      </c>
      <c r="CO75" s="129">
        <v>0</v>
      </c>
      <c r="CP75" s="129">
        <v>0</v>
      </c>
      <c r="CQ75" s="129">
        <v>0</v>
      </c>
      <c r="CR75" s="129">
        <v>0</v>
      </c>
      <c r="CS75" s="129">
        <v>0</v>
      </c>
      <c r="CT75" s="129">
        <v>0</v>
      </c>
      <c r="CU75" s="129">
        <v>0</v>
      </c>
      <c r="CV75" s="129">
        <v>0</v>
      </c>
      <c r="CW75" s="129">
        <v>0</v>
      </c>
      <c r="CX75" s="129">
        <v>0</v>
      </c>
      <c r="CY75" s="129">
        <v>0</v>
      </c>
      <c r="CZ75" s="129">
        <v>0</v>
      </c>
      <c r="DA75" s="129">
        <v>0</v>
      </c>
      <c r="DB75" s="129">
        <v>0</v>
      </c>
      <c r="DC75" s="129">
        <v>0</v>
      </c>
      <c r="DD75" s="129">
        <v>0</v>
      </c>
      <c r="DE75" s="129">
        <v>0</v>
      </c>
      <c r="DF75" s="129">
        <v>0</v>
      </c>
      <c r="DG75" s="129">
        <v>0</v>
      </c>
      <c r="DH75" s="129">
        <v>0</v>
      </c>
      <c r="DI75" s="129">
        <v>0</v>
      </c>
      <c r="DJ75" s="129">
        <v>0</v>
      </c>
      <c r="DK75" s="129">
        <v>0</v>
      </c>
      <c r="DL75" s="129">
        <v>0</v>
      </c>
      <c r="DM75" s="129">
        <v>0</v>
      </c>
      <c r="DN75" s="129">
        <v>0</v>
      </c>
      <c r="DO75" s="129">
        <v>0</v>
      </c>
      <c r="DP75" s="129">
        <v>0</v>
      </c>
      <c r="DQ75" s="129">
        <v>0</v>
      </c>
      <c r="DR75" s="129">
        <v>0</v>
      </c>
      <c r="DS75" s="129">
        <v>0</v>
      </c>
      <c r="DT75" s="129">
        <v>0</v>
      </c>
      <c r="DU75" s="129">
        <v>0</v>
      </c>
      <c r="DV75" s="129">
        <v>0</v>
      </c>
      <c r="DW75" s="129">
        <v>0</v>
      </c>
      <c r="DX75" s="129">
        <v>0</v>
      </c>
      <c r="DY75" s="129">
        <v>0</v>
      </c>
      <c r="DZ75" s="129">
        <v>0</v>
      </c>
      <c r="EA75" s="129">
        <v>0</v>
      </c>
      <c r="EB75" s="129">
        <v>0</v>
      </c>
      <c r="EC75" s="129">
        <v>0</v>
      </c>
      <c r="ED75" s="129">
        <v>0</v>
      </c>
      <c r="EE75" s="129">
        <v>0</v>
      </c>
      <c r="EF75" s="129">
        <v>0</v>
      </c>
      <c r="EG75" s="129">
        <v>0</v>
      </c>
      <c r="EH75" s="129">
        <v>0</v>
      </c>
      <c r="EI75" s="129">
        <v>0</v>
      </c>
      <c r="EJ75" s="129">
        <v>0</v>
      </c>
      <c r="EK75" s="129">
        <v>0</v>
      </c>
      <c r="EL75" s="129">
        <v>0</v>
      </c>
      <c r="EM75" s="129">
        <v>0</v>
      </c>
      <c r="EN75" s="129">
        <v>0</v>
      </c>
      <c r="EO75" s="129">
        <v>0</v>
      </c>
      <c r="EP75" s="129">
        <v>0</v>
      </c>
      <c r="EQ75" s="129">
        <v>0</v>
      </c>
      <c r="ER75" s="129">
        <v>0</v>
      </c>
      <c r="ES75" s="129">
        <v>0</v>
      </c>
      <c r="ET75" s="129">
        <v>0</v>
      </c>
      <c r="EU75" s="129">
        <v>0</v>
      </c>
      <c r="EV75" s="129">
        <v>0</v>
      </c>
      <c r="EW75" s="129">
        <v>0</v>
      </c>
    </row>
    <row r="76" spans="1:153" x14ac:dyDescent="0.25">
      <c r="B76" s="107"/>
      <c r="C76" s="338"/>
      <c r="D76" s="339"/>
      <c r="E76" s="339"/>
      <c r="F76" s="340"/>
      <c r="G76" s="129">
        <v>0</v>
      </c>
      <c r="H76" s="129">
        <v>0</v>
      </c>
      <c r="I76" s="129">
        <v>0</v>
      </c>
      <c r="J76" s="129">
        <v>0</v>
      </c>
      <c r="K76" s="129">
        <v>0</v>
      </c>
      <c r="L76" s="129">
        <v>0</v>
      </c>
      <c r="M76" s="129">
        <v>0</v>
      </c>
      <c r="N76" s="129">
        <v>0</v>
      </c>
      <c r="O76" s="129">
        <v>0</v>
      </c>
      <c r="P76" s="129">
        <v>0</v>
      </c>
      <c r="Q76" s="129">
        <v>0</v>
      </c>
      <c r="R76" s="129">
        <v>0</v>
      </c>
      <c r="S76" s="129">
        <v>0</v>
      </c>
      <c r="T76" s="129">
        <v>0</v>
      </c>
      <c r="U76" s="129">
        <v>0</v>
      </c>
      <c r="V76" s="129">
        <v>0</v>
      </c>
      <c r="W76" s="129">
        <v>0</v>
      </c>
      <c r="X76" s="129">
        <v>0</v>
      </c>
      <c r="Y76" s="129">
        <v>0</v>
      </c>
      <c r="Z76" s="129">
        <v>0</v>
      </c>
      <c r="AA76" s="129">
        <v>0</v>
      </c>
      <c r="AB76" s="129">
        <v>0</v>
      </c>
      <c r="AC76" s="129">
        <v>0</v>
      </c>
      <c r="AD76" s="129">
        <v>0</v>
      </c>
      <c r="AE76" s="129">
        <v>0</v>
      </c>
      <c r="AF76" s="129">
        <v>0</v>
      </c>
      <c r="AG76" s="129">
        <v>0</v>
      </c>
      <c r="AH76" s="129">
        <v>0</v>
      </c>
      <c r="AI76" s="129">
        <v>0</v>
      </c>
      <c r="AJ76" s="129">
        <v>0</v>
      </c>
      <c r="AK76" s="129">
        <v>0</v>
      </c>
      <c r="AL76" s="129">
        <v>0</v>
      </c>
      <c r="AM76" s="129">
        <v>0</v>
      </c>
      <c r="AN76" s="129">
        <v>0</v>
      </c>
      <c r="AO76" s="129">
        <v>0</v>
      </c>
      <c r="AP76" s="129">
        <v>0</v>
      </c>
      <c r="AQ76" s="129">
        <v>0</v>
      </c>
      <c r="AR76" s="129">
        <v>0</v>
      </c>
      <c r="AS76" s="129">
        <v>0</v>
      </c>
      <c r="AT76" s="129">
        <v>0</v>
      </c>
      <c r="AU76" s="129">
        <v>0</v>
      </c>
      <c r="AV76" s="129">
        <v>0</v>
      </c>
      <c r="AW76" s="129">
        <v>0</v>
      </c>
      <c r="AX76" s="129">
        <v>0</v>
      </c>
      <c r="AY76" s="129">
        <v>0</v>
      </c>
      <c r="AZ76" s="129">
        <v>0</v>
      </c>
      <c r="BA76" s="129">
        <v>0</v>
      </c>
      <c r="BB76" s="129">
        <v>0</v>
      </c>
      <c r="BC76" s="129">
        <v>0</v>
      </c>
      <c r="BD76" s="129">
        <v>0</v>
      </c>
      <c r="BE76" s="129">
        <v>0</v>
      </c>
      <c r="BF76" s="129">
        <v>0</v>
      </c>
      <c r="BG76" s="129">
        <v>0</v>
      </c>
      <c r="BH76" s="129">
        <v>0</v>
      </c>
      <c r="BI76" s="129">
        <v>0</v>
      </c>
      <c r="BJ76" s="129">
        <v>0</v>
      </c>
      <c r="BK76" s="129">
        <v>0</v>
      </c>
      <c r="BL76" s="129">
        <v>0</v>
      </c>
      <c r="BM76" s="129">
        <v>0</v>
      </c>
      <c r="BN76" s="129">
        <v>0</v>
      </c>
      <c r="BO76" s="129">
        <v>0</v>
      </c>
      <c r="BP76" s="129">
        <v>0</v>
      </c>
      <c r="BQ76" s="129">
        <v>0</v>
      </c>
      <c r="BR76" s="129">
        <v>0</v>
      </c>
      <c r="BS76" s="129">
        <v>0</v>
      </c>
      <c r="BT76" s="129">
        <v>0</v>
      </c>
      <c r="BU76" s="129">
        <v>0</v>
      </c>
      <c r="BV76" s="129">
        <v>0</v>
      </c>
      <c r="BW76" s="129">
        <v>0</v>
      </c>
      <c r="BX76" s="129">
        <v>0</v>
      </c>
      <c r="BY76" s="129">
        <v>0</v>
      </c>
      <c r="BZ76" s="129">
        <v>0</v>
      </c>
      <c r="CA76" s="129">
        <v>0</v>
      </c>
      <c r="CB76" s="129">
        <v>0</v>
      </c>
      <c r="CC76" s="129">
        <v>0</v>
      </c>
      <c r="CD76" s="129">
        <v>0</v>
      </c>
      <c r="CE76" s="129">
        <v>0</v>
      </c>
      <c r="CF76" s="129">
        <v>0</v>
      </c>
      <c r="CG76" s="129">
        <v>0</v>
      </c>
      <c r="CH76" s="129">
        <v>0</v>
      </c>
      <c r="CI76" s="129">
        <v>0</v>
      </c>
      <c r="CJ76" s="129">
        <v>0</v>
      </c>
      <c r="CK76" s="129">
        <v>0</v>
      </c>
      <c r="CL76" s="129">
        <v>0</v>
      </c>
      <c r="CM76" s="129">
        <v>0</v>
      </c>
      <c r="CN76" s="129">
        <v>0</v>
      </c>
      <c r="CO76" s="129">
        <v>0</v>
      </c>
      <c r="CP76" s="129">
        <v>0</v>
      </c>
      <c r="CQ76" s="129">
        <v>0</v>
      </c>
      <c r="CR76" s="129">
        <v>0</v>
      </c>
      <c r="CS76" s="129">
        <v>0</v>
      </c>
      <c r="CT76" s="129">
        <v>0</v>
      </c>
      <c r="CU76" s="129">
        <v>0</v>
      </c>
      <c r="CV76" s="129">
        <v>0</v>
      </c>
      <c r="CW76" s="129">
        <v>0</v>
      </c>
      <c r="CX76" s="129">
        <v>0</v>
      </c>
      <c r="CY76" s="129">
        <v>0</v>
      </c>
      <c r="CZ76" s="129">
        <v>0</v>
      </c>
      <c r="DA76" s="129">
        <v>0</v>
      </c>
      <c r="DB76" s="129">
        <v>0</v>
      </c>
      <c r="DC76" s="129">
        <v>0</v>
      </c>
      <c r="DD76" s="129">
        <v>0</v>
      </c>
      <c r="DE76" s="129">
        <v>0</v>
      </c>
      <c r="DF76" s="129">
        <v>0</v>
      </c>
      <c r="DG76" s="129">
        <v>0</v>
      </c>
      <c r="DH76" s="129">
        <v>0</v>
      </c>
      <c r="DI76" s="129">
        <v>0</v>
      </c>
      <c r="DJ76" s="129">
        <v>0</v>
      </c>
      <c r="DK76" s="129">
        <v>0</v>
      </c>
      <c r="DL76" s="129">
        <v>0</v>
      </c>
      <c r="DM76" s="129">
        <v>0</v>
      </c>
      <c r="DN76" s="129">
        <v>0</v>
      </c>
      <c r="DO76" s="129">
        <v>0</v>
      </c>
      <c r="DP76" s="129">
        <v>0</v>
      </c>
      <c r="DQ76" s="129">
        <v>0</v>
      </c>
      <c r="DR76" s="129">
        <v>0</v>
      </c>
      <c r="DS76" s="129">
        <v>0</v>
      </c>
      <c r="DT76" s="129">
        <v>0</v>
      </c>
      <c r="DU76" s="129">
        <v>0</v>
      </c>
      <c r="DV76" s="129">
        <v>0</v>
      </c>
      <c r="DW76" s="129">
        <v>0</v>
      </c>
      <c r="DX76" s="129">
        <v>0</v>
      </c>
      <c r="DY76" s="129">
        <v>0</v>
      </c>
      <c r="DZ76" s="129">
        <v>0</v>
      </c>
      <c r="EA76" s="129">
        <v>0</v>
      </c>
      <c r="EB76" s="129">
        <v>0</v>
      </c>
      <c r="EC76" s="129">
        <v>0</v>
      </c>
      <c r="ED76" s="129">
        <v>0</v>
      </c>
      <c r="EE76" s="129">
        <v>0</v>
      </c>
      <c r="EF76" s="129">
        <v>0</v>
      </c>
      <c r="EG76" s="129">
        <v>0</v>
      </c>
      <c r="EH76" s="129">
        <v>0</v>
      </c>
      <c r="EI76" s="129">
        <v>0</v>
      </c>
      <c r="EJ76" s="129">
        <v>0</v>
      </c>
      <c r="EK76" s="129">
        <v>0</v>
      </c>
      <c r="EL76" s="129">
        <v>0</v>
      </c>
      <c r="EM76" s="129">
        <v>0</v>
      </c>
      <c r="EN76" s="129">
        <v>0</v>
      </c>
      <c r="EO76" s="129">
        <v>0</v>
      </c>
      <c r="EP76" s="129">
        <v>0</v>
      </c>
      <c r="EQ76" s="129">
        <v>0</v>
      </c>
      <c r="ER76" s="129">
        <v>0</v>
      </c>
      <c r="ES76" s="129">
        <v>0</v>
      </c>
      <c r="ET76" s="129">
        <v>0</v>
      </c>
      <c r="EU76" s="129">
        <v>0</v>
      </c>
      <c r="EV76" s="129">
        <v>0</v>
      </c>
      <c r="EW76" s="129">
        <v>0</v>
      </c>
    </row>
    <row r="77" spans="1:153" x14ac:dyDescent="0.25">
      <c r="B77" s="107"/>
      <c r="C77" s="338"/>
      <c r="D77" s="339"/>
      <c r="E77" s="339"/>
      <c r="F77" s="340"/>
      <c r="G77" s="129">
        <v>0</v>
      </c>
      <c r="H77" s="129">
        <v>0</v>
      </c>
      <c r="I77" s="129">
        <v>0</v>
      </c>
      <c r="J77" s="129">
        <v>0</v>
      </c>
      <c r="K77" s="129">
        <v>0</v>
      </c>
      <c r="L77" s="129">
        <v>0</v>
      </c>
      <c r="M77" s="129">
        <v>0</v>
      </c>
      <c r="N77" s="129">
        <v>0</v>
      </c>
      <c r="O77" s="129">
        <v>0</v>
      </c>
      <c r="P77" s="129">
        <v>0</v>
      </c>
      <c r="Q77" s="129">
        <v>0</v>
      </c>
      <c r="R77" s="129">
        <v>0</v>
      </c>
      <c r="S77" s="129">
        <v>0</v>
      </c>
      <c r="T77" s="129">
        <v>0</v>
      </c>
      <c r="U77" s="129">
        <v>0</v>
      </c>
      <c r="V77" s="129">
        <v>0</v>
      </c>
      <c r="W77" s="129">
        <v>0</v>
      </c>
      <c r="X77" s="129">
        <v>0</v>
      </c>
      <c r="Y77" s="129">
        <v>0</v>
      </c>
      <c r="Z77" s="129">
        <v>0</v>
      </c>
      <c r="AA77" s="129">
        <v>0</v>
      </c>
      <c r="AB77" s="129">
        <v>0</v>
      </c>
      <c r="AC77" s="129">
        <v>0</v>
      </c>
      <c r="AD77" s="129">
        <v>0</v>
      </c>
      <c r="AE77" s="129">
        <v>0</v>
      </c>
      <c r="AF77" s="129">
        <v>0</v>
      </c>
      <c r="AG77" s="129">
        <v>0</v>
      </c>
      <c r="AH77" s="129">
        <v>0</v>
      </c>
      <c r="AI77" s="129">
        <v>0</v>
      </c>
      <c r="AJ77" s="129">
        <v>0</v>
      </c>
      <c r="AK77" s="129">
        <v>0</v>
      </c>
      <c r="AL77" s="129">
        <v>0</v>
      </c>
      <c r="AM77" s="129">
        <v>0</v>
      </c>
      <c r="AN77" s="129">
        <v>0</v>
      </c>
      <c r="AO77" s="129">
        <v>0</v>
      </c>
      <c r="AP77" s="129">
        <v>0</v>
      </c>
      <c r="AQ77" s="129">
        <v>0</v>
      </c>
      <c r="AR77" s="129">
        <v>0</v>
      </c>
      <c r="AS77" s="129">
        <v>0</v>
      </c>
      <c r="AT77" s="129">
        <v>0</v>
      </c>
      <c r="AU77" s="129">
        <v>0</v>
      </c>
      <c r="AV77" s="129">
        <v>0</v>
      </c>
      <c r="AW77" s="129">
        <v>0</v>
      </c>
      <c r="AX77" s="129">
        <v>0</v>
      </c>
      <c r="AY77" s="129">
        <v>0</v>
      </c>
      <c r="AZ77" s="129">
        <v>0</v>
      </c>
      <c r="BA77" s="129">
        <v>0</v>
      </c>
      <c r="BB77" s="129">
        <v>0</v>
      </c>
      <c r="BC77" s="129">
        <v>0</v>
      </c>
      <c r="BD77" s="129">
        <v>0</v>
      </c>
      <c r="BE77" s="129">
        <v>0</v>
      </c>
      <c r="BF77" s="129">
        <v>0</v>
      </c>
      <c r="BG77" s="129">
        <v>0</v>
      </c>
      <c r="BH77" s="129">
        <v>0</v>
      </c>
      <c r="BI77" s="129">
        <v>0</v>
      </c>
      <c r="BJ77" s="129">
        <v>0</v>
      </c>
      <c r="BK77" s="129">
        <v>0</v>
      </c>
      <c r="BL77" s="129">
        <v>0</v>
      </c>
      <c r="BM77" s="129">
        <v>0</v>
      </c>
      <c r="BN77" s="129">
        <v>0</v>
      </c>
      <c r="BO77" s="129">
        <v>0</v>
      </c>
      <c r="BP77" s="129">
        <v>0</v>
      </c>
      <c r="BQ77" s="129">
        <v>0</v>
      </c>
      <c r="BR77" s="129">
        <v>0</v>
      </c>
      <c r="BS77" s="129">
        <v>0</v>
      </c>
      <c r="BT77" s="129">
        <v>0</v>
      </c>
      <c r="BU77" s="129">
        <v>0</v>
      </c>
      <c r="BV77" s="129">
        <v>0</v>
      </c>
      <c r="BW77" s="129">
        <v>0</v>
      </c>
      <c r="BX77" s="129">
        <v>0</v>
      </c>
      <c r="BY77" s="129">
        <v>0</v>
      </c>
      <c r="BZ77" s="129">
        <v>0</v>
      </c>
      <c r="CA77" s="129">
        <v>0</v>
      </c>
      <c r="CB77" s="129">
        <v>0</v>
      </c>
      <c r="CC77" s="129">
        <v>0</v>
      </c>
      <c r="CD77" s="129">
        <v>0</v>
      </c>
      <c r="CE77" s="129">
        <v>0</v>
      </c>
      <c r="CF77" s="129">
        <v>0</v>
      </c>
      <c r="CG77" s="129">
        <v>0</v>
      </c>
      <c r="CH77" s="129">
        <v>0</v>
      </c>
      <c r="CI77" s="129">
        <v>0</v>
      </c>
      <c r="CJ77" s="129">
        <v>0</v>
      </c>
      <c r="CK77" s="129">
        <v>0</v>
      </c>
      <c r="CL77" s="129">
        <v>0</v>
      </c>
      <c r="CM77" s="129">
        <v>0</v>
      </c>
      <c r="CN77" s="129">
        <v>0</v>
      </c>
      <c r="CO77" s="129">
        <v>0</v>
      </c>
      <c r="CP77" s="129">
        <v>0</v>
      </c>
      <c r="CQ77" s="129">
        <v>0</v>
      </c>
      <c r="CR77" s="129">
        <v>0</v>
      </c>
      <c r="CS77" s="129">
        <v>0</v>
      </c>
      <c r="CT77" s="129">
        <v>0</v>
      </c>
      <c r="CU77" s="129">
        <v>0</v>
      </c>
      <c r="CV77" s="129">
        <v>0</v>
      </c>
      <c r="CW77" s="129">
        <v>0</v>
      </c>
      <c r="CX77" s="129">
        <v>0</v>
      </c>
      <c r="CY77" s="129">
        <v>0</v>
      </c>
      <c r="CZ77" s="129">
        <v>0</v>
      </c>
      <c r="DA77" s="129">
        <v>0</v>
      </c>
      <c r="DB77" s="129">
        <v>0</v>
      </c>
      <c r="DC77" s="129">
        <v>0</v>
      </c>
      <c r="DD77" s="129">
        <v>0</v>
      </c>
      <c r="DE77" s="129">
        <v>0</v>
      </c>
      <c r="DF77" s="129">
        <v>0</v>
      </c>
      <c r="DG77" s="129">
        <v>0</v>
      </c>
      <c r="DH77" s="129">
        <v>0</v>
      </c>
      <c r="DI77" s="129">
        <v>0</v>
      </c>
      <c r="DJ77" s="129">
        <v>0</v>
      </c>
      <c r="DK77" s="129">
        <v>0</v>
      </c>
      <c r="DL77" s="129">
        <v>0</v>
      </c>
      <c r="DM77" s="129">
        <v>0</v>
      </c>
      <c r="DN77" s="129">
        <v>0</v>
      </c>
      <c r="DO77" s="129">
        <v>0</v>
      </c>
      <c r="DP77" s="129">
        <v>0</v>
      </c>
      <c r="DQ77" s="129">
        <v>0</v>
      </c>
      <c r="DR77" s="129">
        <v>0</v>
      </c>
      <c r="DS77" s="129">
        <v>0</v>
      </c>
      <c r="DT77" s="129">
        <v>0</v>
      </c>
      <c r="DU77" s="129">
        <v>0</v>
      </c>
      <c r="DV77" s="129">
        <v>0</v>
      </c>
      <c r="DW77" s="129">
        <v>0</v>
      </c>
      <c r="DX77" s="129">
        <v>0</v>
      </c>
      <c r="DY77" s="129">
        <v>0</v>
      </c>
      <c r="DZ77" s="129">
        <v>0</v>
      </c>
      <c r="EA77" s="129">
        <v>0</v>
      </c>
      <c r="EB77" s="129">
        <v>0</v>
      </c>
      <c r="EC77" s="129">
        <v>0</v>
      </c>
      <c r="ED77" s="129">
        <v>0</v>
      </c>
      <c r="EE77" s="129">
        <v>0</v>
      </c>
      <c r="EF77" s="129">
        <v>0</v>
      </c>
      <c r="EG77" s="129">
        <v>0</v>
      </c>
      <c r="EH77" s="129">
        <v>0</v>
      </c>
      <c r="EI77" s="129">
        <v>0</v>
      </c>
      <c r="EJ77" s="129">
        <v>0</v>
      </c>
      <c r="EK77" s="129">
        <v>0</v>
      </c>
      <c r="EL77" s="129">
        <v>0</v>
      </c>
      <c r="EM77" s="129">
        <v>0</v>
      </c>
      <c r="EN77" s="129">
        <v>0</v>
      </c>
      <c r="EO77" s="129">
        <v>0</v>
      </c>
      <c r="EP77" s="129">
        <v>0</v>
      </c>
      <c r="EQ77" s="129">
        <v>0</v>
      </c>
      <c r="ER77" s="129">
        <v>0</v>
      </c>
      <c r="ES77" s="129">
        <v>0</v>
      </c>
      <c r="ET77" s="129">
        <v>0</v>
      </c>
      <c r="EU77" s="129">
        <v>0</v>
      </c>
      <c r="EV77" s="129">
        <v>0</v>
      </c>
      <c r="EW77" s="129">
        <v>0</v>
      </c>
    </row>
  </sheetData>
  <phoneticPr fontId="2"/>
  <conditionalFormatting sqref="A1:XFD1048576">
    <cfRule type="expression" dxfId="1"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59999389629810485"/>
  </sheetPr>
  <dimension ref="A1:O68"/>
  <sheetViews>
    <sheetView topLeftCell="A45" workbookViewId="0">
      <selection activeCell="A68" sqref="A68"/>
    </sheetView>
  </sheetViews>
  <sheetFormatPr defaultRowHeight="13.5" x14ac:dyDescent="0.1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x14ac:dyDescent="0.15">
      <c r="A1" s="1" t="s">
        <v>0</v>
      </c>
      <c r="B1" s="1" t="s">
        <v>1</v>
      </c>
      <c r="C1" s="1" t="s">
        <v>2</v>
      </c>
      <c r="D1" s="1" t="s">
        <v>3</v>
      </c>
      <c r="E1" s="1" t="s">
        <v>4</v>
      </c>
      <c r="F1" s="1" t="s">
        <v>5</v>
      </c>
      <c r="G1" s="2" t="s">
        <v>6</v>
      </c>
      <c r="H1" s="1" t="s">
        <v>7</v>
      </c>
      <c r="I1" s="1" t="s">
        <v>8</v>
      </c>
      <c r="J1" s="1" t="s">
        <v>9</v>
      </c>
      <c r="K1" s="1" t="s">
        <v>10</v>
      </c>
      <c r="L1" s="1" t="s">
        <v>11</v>
      </c>
      <c r="M1" s="1" t="s">
        <v>12</v>
      </c>
      <c r="N1" s="1" t="s">
        <v>13</v>
      </c>
    </row>
    <row r="2" spans="1:15" x14ac:dyDescent="0.15">
      <c r="A2" s="1">
        <v>6543</v>
      </c>
      <c r="B2" s="3" t="s">
        <v>571</v>
      </c>
      <c r="C2" s="4" t="s">
        <v>619</v>
      </c>
      <c r="D2" s="5">
        <v>100</v>
      </c>
      <c r="E2" s="6">
        <v>2295</v>
      </c>
      <c r="F2" s="7">
        <v>4</v>
      </c>
      <c r="G2" s="8">
        <v>0.17</v>
      </c>
      <c r="H2" s="5">
        <v>700</v>
      </c>
      <c r="I2" s="5">
        <v>2293</v>
      </c>
      <c r="J2" s="5">
        <v>2298</v>
      </c>
      <c r="K2" s="5">
        <v>2293</v>
      </c>
      <c r="L2" s="9">
        <v>43019</v>
      </c>
      <c r="M2" s="10">
        <v>0.59722222222222221</v>
      </c>
      <c r="N2" s="1" t="s">
        <v>620</v>
      </c>
      <c r="O2" s="5"/>
    </row>
    <row r="3" spans="1:15" x14ac:dyDescent="0.15">
      <c r="A3" s="1">
        <v>9519</v>
      </c>
      <c r="B3" s="3" t="s">
        <v>621</v>
      </c>
      <c r="C3" s="1" t="s">
        <v>568</v>
      </c>
      <c r="D3" s="5">
        <v>100</v>
      </c>
      <c r="E3" s="6">
        <v>1297</v>
      </c>
      <c r="F3" s="7">
        <v>13</v>
      </c>
      <c r="G3" s="8">
        <v>1.01</v>
      </c>
      <c r="H3" s="5">
        <v>301400</v>
      </c>
      <c r="I3" s="5">
        <v>1285</v>
      </c>
      <c r="J3" s="5">
        <v>1330</v>
      </c>
      <c r="K3" s="5">
        <v>1285</v>
      </c>
      <c r="L3" s="9">
        <v>43019</v>
      </c>
      <c r="M3" s="10">
        <v>0.625</v>
      </c>
      <c r="N3" s="1" t="s">
        <v>572</v>
      </c>
      <c r="O3" s="5"/>
    </row>
    <row r="4" spans="1:15" x14ac:dyDescent="0.15">
      <c r="A4" s="1">
        <v>3557</v>
      </c>
      <c r="B4" s="3" t="s">
        <v>609</v>
      </c>
      <c r="C4" s="1" t="s">
        <v>568</v>
      </c>
      <c r="D4" s="5">
        <v>100</v>
      </c>
      <c r="E4" s="6">
        <v>5150</v>
      </c>
      <c r="F4" s="7">
        <v>50</v>
      </c>
      <c r="G4" s="8">
        <v>0.98</v>
      </c>
      <c r="H4" s="5">
        <v>19200</v>
      </c>
      <c r="I4" s="5">
        <v>5110</v>
      </c>
      <c r="J4" s="5">
        <v>5230</v>
      </c>
      <c r="K4" s="5">
        <v>5050</v>
      </c>
      <c r="L4" s="9">
        <v>43019</v>
      </c>
      <c r="M4" s="10">
        <v>0.625</v>
      </c>
      <c r="N4" s="1" t="s">
        <v>622</v>
      </c>
      <c r="O4" s="5"/>
    </row>
    <row r="5" spans="1:15" x14ac:dyDescent="0.15">
      <c r="A5" s="1">
        <v>3558</v>
      </c>
      <c r="B5" s="3" t="s">
        <v>610</v>
      </c>
      <c r="C5" s="4" t="s">
        <v>568</v>
      </c>
      <c r="D5" s="5">
        <v>100</v>
      </c>
      <c r="E5" s="6">
        <v>1912</v>
      </c>
      <c r="F5" s="7">
        <v>14</v>
      </c>
      <c r="G5" s="8">
        <v>0.74</v>
      </c>
      <c r="H5" s="5">
        <v>34500</v>
      </c>
      <c r="I5" s="5">
        <v>1929</v>
      </c>
      <c r="J5" s="5">
        <v>1929</v>
      </c>
      <c r="K5" s="5">
        <v>1892</v>
      </c>
      <c r="L5" s="9">
        <v>43019</v>
      </c>
      <c r="M5" s="10">
        <v>0.625</v>
      </c>
      <c r="N5" s="1" t="s">
        <v>623</v>
      </c>
      <c r="O5" s="5"/>
    </row>
    <row r="6" spans="1:15" x14ac:dyDescent="0.15">
      <c r="A6" s="1">
        <v>3559</v>
      </c>
      <c r="B6" s="3" t="s">
        <v>573</v>
      </c>
      <c r="C6" s="4" t="s">
        <v>568</v>
      </c>
      <c r="D6" s="5">
        <v>100</v>
      </c>
      <c r="E6" s="6">
        <v>1792</v>
      </c>
      <c r="F6" s="7">
        <v>-19</v>
      </c>
      <c r="G6" s="8">
        <v>-1.05</v>
      </c>
      <c r="H6" s="5">
        <v>4500</v>
      </c>
      <c r="I6" s="5">
        <v>1812</v>
      </c>
      <c r="J6" s="5">
        <v>1812</v>
      </c>
      <c r="K6" s="5">
        <v>1790</v>
      </c>
      <c r="L6" s="9">
        <v>43019</v>
      </c>
      <c r="M6" s="10">
        <v>0.625</v>
      </c>
      <c r="N6" s="1" t="s">
        <v>622</v>
      </c>
      <c r="O6" s="5"/>
    </row>
    <row r="7" spans="1:15" x14ac:dyDescent="0.15">
      <c r="A7" s="1">
        <v>9325</v>
      </c>
      <c r="B7" s="3" t="s">
        <v>574</v>
      </c>
      <c r="C7" s="4" t="s">
        <v>568</v>
      </c>
      <c r="D7" s="5">
        <v>100</v>
      </c>
      <c r="E7" s="6">
        <v>2620</v>
      </c>
      <c r="F7" s="7">
        <v>-30</v>
      </c>
      <c r="G7" s="8">
        <v>-1.1299999999999999</v>
      </c>
      <c r="H7" s="5">
        <v>9400</v>
      </c>
      <c r="I7" s="5">
        <v>2681</v>
      </c>
      <c r="J7" s="5">
        <v>2685</v>
      </c>
      <c r="K7" s="5">
        <v>2602</v>
      </c>
      <c r="L7" s="11">
        <v>43019</v>
      </c>
      <c r="M7" s="10">
        <v>0.625</v>
      </c>
      <c r="N7" s="1" t="s">
        <v>624</v>
      </c>
      <c r="O7" s="5"/>
    </row>
    <row r="8" spans="1:15" x14ac:dyDescent="0.15">
      <c r="A8" s="1">
        <v>3979</v>
      </c>
      <c r="B8" s="3" t="s">
        <v>611</v>
      </c>
      <c r="C8" s="1" t="s">
        <v>568</v>
      </c>
      <c r="D8" s="5">
        <v>100</v>
      </c>
      <c r="E8" s="5">
        <v>3725</v>
      </c>
      <c r="F8" s="7">
        <v>95</v>
      </c>
      <c r="G8" s="8">
        <v>2.62</v>
      </c>
      <c r="H8" s="5">
        <v>36200</v>
      </c>
      <c r="I8" s="5">
        <v>3675</v>
      </c>
      <c r="J8" s="5">
        <v>3770</v>
      </c>
      <c r="K8" s="5">
        <v>3630</v>
      </c>
      <c r="L8" s="11">
        <v>43019</v>
      </c>
      <c r="M8" s="10">
        <v>0.625</v>
      </c>
      <c r="N8" s="1" t="s">
        <v>622</v>
      </c>
      <c r="O8" s="5"/>
    </row>
    <row r="9" spans="1:15" x14ac:dyDescent="0.15">
      <c r="A9" s="1">
        <v>3560</v>
      </c>
      <c r="B9" s="3" t="s">
        <v>625</v>
      </c>
      <c r="C9" s="1" t="s">
        <v>570</v>
      </c>
      <c r="D9" s="5">
        <v>100</v>
      </c>
      <c r="E9" s="5">
        <v>5300</v>
      </c>
      <c r="F9" s="7">
        <v>-10</v>
      </c>
      <c r="G9" s="8">
        <v>-0.19</v>
      </c>
      <c r="H9" s="5">
        <v>1500</v>
      </c>
      <c r="I9" s="5">
        <v>5310</v>
      </c>
      <c r="J9" s="5">
        <v>5330</v>
      </c>
      <c r="K9" s="5">
        <v>5230</v>
      </c>
      <c r="L9" s="11">
        <v>43019</v>
      </c>
      <c r="M9" s="10">
        <v>0.625</v>
      </c>
      <c r="N9" s="1" t="s">
        <v>622</v>
      </c>
      <c r="O9" s="5"/>
    </row>
    <row r="10" spans="1:15" x14ac:dyDescent="0.15">
      <c r="A10" s="1">
        <v>6544</v>
      </c>
      <c r="B10" s="3" t="s">
        <v>626</v>
      </c>
      <c r="C10" s="1" t="s">
        <v>568</v>
      </c>
      <c r="D10" s="5">
        <v>100</v>
      </c>
      <c r="E10" s="5">
        <v>1175</v>
      </c>
      <c r="F10" s="7">
        <v>-5</v>
      </c>
      <c r="G10" s="8">
        <v>-0.42</v>
      </c>
      <c r="H10" s="5">
        <v>109700</v>
      </c>
      <c r="I10" s="5">
        <v>1188</v>
      </c>
      <c r="J10" s="5">
        <v>1196</v>
      </c>
      <c r="K10" s="5">
        <v>1154</v>
      </c>
      <c r="L10" s="11">
        <v>43019</v>
      </c>
      <c r="M10" s="10">
        <v>0.625</v>
      </c>
      <c r="N10" s="1" t="s">
        <v>624</v>
      </c>
      <c r="O10" s="5"/>
    </row>
    <row r="11" spans="1:15" x14ac:dyDescent="0.15">
      <c r="A11" s="1">
        <v>3981</v>
      </c>
      <c r="B11" s="3" t="s">
        <v>627</v>
      </c>
      <c r="C11" s="1" t="s">
        <v>568</v>
      </c>
      <c r="D11" s="5">
        <v>100</v>
      </c>
      <c r="E11" s="5">
        <v>1694</v>
      </c>
      <c r="F11" s="7">
        <v>0</v>
      </c>
      <c r="G11" s="8">
        <v>0</v>
      </c>
      <c r="H11" s="5">
        <v>60300</v>
      </c>
      <c r="I11" s="5">
        <v>1693</v>
      </c>
      <c r="J11" s="5">
        <v>1705</v>
      </c>
      <c r="K11" s="5">
        <v>1675</v>
      </c>
      <c r="L11" s="11">
        <v>43019</v>
      </c>
      <c r="M11" s="10">
        <v>0.625</v>
      </c>
      <c r="N11" s="1" t="s">
        <v>622</v>
      </c>
      <c r="O11" s="5"/>
    </row>
    <row r="12" spans="1:15" x14ac:dyDescent="0.15">
      <c r="A12" s="1">
        <v>3561</v>
      </c>
      <c r="B12" s="3" t="s">
        <v>628</v>
      </c>
      <c r="C12" s="4" t="s">
        <v>568</v>
      </c>
      <c r="D12" s="5">
        <v>100</v>
      </c>
      <c r="E12" s="5">
        <v>1128</v>
      </c>
      <c r="F12" s="7">
        <v>0</v>
      </c>
      <c r="G12" s="8">
        <v>0</v>
      </c>
      <c r="H12" s="5">
        <v>36000</v>
      </c>
      <c r="I12" s="5">
        <v>1128</v>
      </c>
      <c r="J12" s="5">
        <v>1151</v>
      </c>
      <c r="K12" s="5">
        <v>1113</v>
      </c>
      <c r="L12" s="11">
        <v>43019</v>
      </c>
      <c r="M12" s="10">
        <v>0.625</v>
      </c>
      <c r="N12" s="1" t="s">
        <v>624</v>
      </c>
      <c r="O12" s="5"/>
    </row>
    <row r="13" spans="1:15" x14ac:dyDescent="0.15">
      <c r="A13" s="1">
        <v>6545</v>
      </c>
      <c r="B13" s="3" t="s">
        <v>629</v>
      </c>
      <c r="C13" s="4" t="s">
        <v>568</v>
      </c>
      <c r="D13" s="5">
        <v>100</v>
      </c>
      <c r="E13" s="5">
        <v>1808</v>
      </c>
      <c r="F13" s="7">
        <v>-62</v>
      </c>
      <c r="G13" s="8">
        <v>-3.32</v>
      </c>
      <c r="H13" s="5">
        <v>47200</v>
      </c>
      <c r="I13" s="5">
        <v>1873</v>
      </c>
      <c r="J13" s="5">
        <v>1889</v>
      </c>
      <c r="K13" s="5">
        <v>1776</v>
      </c>
      <c r="L13" s="11">
        <v>43019</v>
      </c>
      <c r="M13" s="10">
        <v>0.625</v>
      </c>
      <c r="N13" s="1" t="s">
        <v>612</v>
      </c>
      <c r="O13" s="5"/>
    </row>
    <row r="14" spans="1:15" x14ac:dyDescent="0.15">
      <c r="A14" s="1">
        <v>6546</v>
      </c>
      <c r="B14" s="3" t="s">
        <v>630</v>
      </c>
      <c r="C14" s="1" t="s">
        <v>631</v>
      </c>
      <c r="D14" s="5">
        <v>100</v>
      </c>
      <c r="E14" s="5">
        <v>1041</v>
      </c>
      <c r="F14" s="7">
        <v>-9</v>
      </c>
      <c r="G14" s="8">
        <v>-0.86</v>
      </c>
      <c r="H14" s="5">
        <v>11700</v>
      </c>
      <c r="I14" s="5">
        <v>1048</v>
      </c>
      <c r="J14" s="5">
        <v>1050</v>
      </c>
      <c r="K14" s="5">
        <v>1040</v>
      </c>
      <c r="L14" s="11">
        <v>43019</v>
      </c>
      <c r="M14" s="10">
        <v>0.625</v>
      </c>
      <c r="N14" s="1" t="s">
        <v>622</v>
      </c>
      <c r="O14" s="5"/>
    </row>
    <row r="15" spans="1:15" x14ac:dyDescent="0.15">
      <c r="A15" s="1">
        <v>3978</v>
      </c>
      <c r="B15" s="3" t="s">
        <v>613</v>
      </c>
      <c r="C15" s="4" t="s">
        <v>569</v>
      </c>
      <c r="D15" s="5">
        <v>100</v>
      </c>
      <c r="E15" s="5">
        <v>2895</v>
      </c>
      <c r="F15" s="7">
        <v>90</v>
      </c>
      <c r="G15" s="8">
        <v>3.21</v>
      </c>
      <c r="H15" s="5">
        <v>536900</v>
      </c>
      <c r="I15" s="5">
        <v>2900</v>
      </c>
      <c r="J15" s="5">
        <v>2933</v>
      </c>
      <c r="K15" s="5">
        <v>2880</v>
      </c>
      <c r="L15" s="11">
        <v>43019</v>
      </c>
      <c r="M15" s="10">
        <v>0.625</v>
      </c>
      <c r="N15" s="1" t="s">
        <v>622</v>
      </c>
      <c r="O15" s="5"/>
    </row>
    <row r="16" spans="1:15" x14ac:dyDescent="0.15">
      <c r="A16" s="1">
        <v>6547</v>
      </c>
      <c r="B16" s="3" t="s">
        <v>632</v>
      </c>
      <c r="C16" s="1" t="s">
        <v>631</v>
      </c>
      <c r="D16" s="5">
        <v>100</v>
      </c>
      <c r="E16" s="5">
        <v>1406</v>
      </c>
      <c r="F16" s="7">
        <v>-3</v>
      </c>
      <c r="G16" s="8">
        <v>-0.21</v>
      </c>
      <c r="H16" s="5">
        <v>8400</v>
      </c>
      <c r="I16" s="5">
        <v>1409</v>
      </c>
      <c r="J16" s="5">
        <v>1413</v>
      </c>
      <c r="K16" s="5">
        <v>1401</v>
      </c>
      <c r="L16" s="11">
        <v>43019</v>
      </c>
      <c r="M16" s="10">
        <v>0.625</v>
      </c>
      <c r="N16" s="1" t="s">
        <v>622</v>
      </c>
      <c r="O16" s="5"/>
    </row>
    <row r="17" spans="1:15" x14ac:dyDescent="0.15">
      <c r="A17" s="1">
        <v>3983</v>
      </c>
      <c r="B17" s="3" t="s">
        <v>633</v>
      </c>
      <c r="C17" s="1" t="s">
        <v>568</v>
      </c>
      <c r="D17" s="5">
        <v>100</v>
      </c>
      <c r="E17" s="5">
        <v>1791</v>
      </c>
      <c r="F17" s="7">
        <v>-8</v>
      </c>
      <c r="G17" s="8">
        <v>-0.44</v>
      </c>
      <c r="H17" s="5">
        <v>149000</v>
      </c>
      <c r="I17" s="5">
        <v>1800</v>
      </c>
      <c r="J17" s="5">
        <v>1885</v>
      </c>
      <c r="K17" s="5">
        <v>1768</v>
      </c>
      <c r="L17" s="11">
        <v>43019</v>
      </c>
      <c r="M17" s="10">
        <v>0.625</v>
      </c>
      <c r="N17" s="1" t="s">
        <v>634</v>
      </c>
      <c r="O17" s="5"/>
    </row>
    <row r="18" spans="1:15" x14ac:dyDescent="0.15">
      <c r="A18" s="1">
        <v>4597</v>
      </c>
      <c r="B18" s="3" t="s">
        <v>614</v>
      </c>
      <c r="C18" s="4" t="s">
        <v>568</v>
      </c>
      <c r="D18" s="5">
        <v>100</v>
      </c>
      <c r="E18" s="5">
        <v>331</v>
      </c>
      <c r="F18" s="7">
        <v>-3</v>
      </c>
      <c r="G18" s="8">
        <v>-0.9</v>
      </c>
      <c r="H18" s="5">
        <v>901600</v>
      </c>
      <c r="I18" s="5">
        <v>334</v>
      </c>
      <c r="J18" s="5">
        <v>338</v>
      </c>
      <c r="K18" s="5">
        <v>331</v>
      </c>
      <c r="L18" s="11">
        <v>43019</v>
      </c>
      <c r="M18" s="10">
        <v>0.625</v>
      </c>
      <c r="N18" s="1" t="s">
        <v>622</v>
      </c>
      <c r="O18" s="5"/>
    </row>
    <row r="19" spans="1:15" x14ac:dyDescent="0.15">
      <c r="A19" s="1">
        <v>3479</v>
      </c>
      <c r="B19" s="3" t="s">
        <v>635</v>
      </c>
      <c r="C19" s="1" t="s">
        <v>568</v>
      </c>
      <c r="D19" s="5">
        <v>100</v>
      </c>
      <c r="E19" s="5">
        <v>2451</v>
      </c>
      <c r="F19" s="7">
        <v>-27</v>
      </c>
      <c r="G19" s="8">
        <v>-1.0900000000000001</v>
      </c>
      <c r="H19" s="5">
        <v>95900</v>
      </c>
      <c r="I19" s="5">
        <v>2484</v>
      </c>
      <c r="J19" s="5">
        <v>2497</v>
      </c>
      <c r="K19" s="5">
        <v>2411</v>
      </c>
      <c r="L19" s="11">
        <v>43019</v>
      </c>
      <c r="M19" s="10">
        <v>0.625</v>
      </c>
      <c r="N19" s="1" t="s">
        <v>636</v>
      </c>
      <c r="O19" s="5"/>
    </row>
    <row r="20" spans="1:15" x14ac:dyDescent="0.15">
      <c r="A20" s="1">
        <v>6694</v>
      </c>
      <c r="B20" s="3" t="s">
        <v>637</v>
      </c>
      <c r="C20" s="1" t="s">
        <v>570</v>
      </c>
      <c r="D20" s="5">
        <v>100</v>
      </c>
      <c r="E20" s="5">
        <v>2024</v>
      </c>
      <c r="F20" s="7">
        <v>18</v>
      </c>
      <c r="G20" s="8">
        <v>0.9</v>
      </c>
      <c r="H20" s="5">
        <v>21400</v>
      </c>
      <c r="I20" s="5">
        <v>2027</v>
      </c>
      <c r="J20" s="5">
        <v>2027</v>
      </c>
      <c r="K20" s="5">
        <v>2000</v>
      </c>
      <c r="L20" s="11">
        <v>43019</v>
      </c>
      <c r="M20" s="10">
        <v>0.625</v>
      </c>
      <c r="N20" s="1" t="s">
        <v>622</v>
      </c>
      <c r="O20" s="5"/>
    </row>
    <row r="21" spans="1:15" x14ac:dyDescent="0.15">
      <c r="A21" s="1">
        <v>3562</v>
      </c>
      <c r="B21" s="3" t="s">
        <v>638</v>
      </c>
      <c r="C21" s="1" t="s">
        <v>570</v>
      </c>
      <c r="D21" s="5">
        <v>100</v>
      </c>
      <c r="E21" s="5">
        <v>2217</v>
      </c>
      <c r="F21" s="7">
        <v>-28</v>
      </c>
      <c r="G21" s="8">
        <v>-1.25</v>
      </c>
      <c r="H21" s="5">
        <v>6800</v>
      </c>
      <c r="I21" s="5">
        <v>2249</v>
      </c>
      <c r="J21" s="5">
        <v>2249</v>
      </c>
      <c r="K21" s="5">
        <v>2212</v>
      </c>
      <c r="L21" s="11">
        <v>43019</v>
      </c>
      <c r="M21" s="10">
        <v>0.62361111111111112</v>
      </c>
      <c r="N21" s="1" t="s">
        <v>622</v>
      </c>
      <c r="O21" s="5"/>
    </row>
    <row r="22" spans="1:15" x14ac:dyDescent="0.15">
      <c r="A22" s="1">
        <v>3964</v>
      </c>
      <c r="B22" s="3" t="s">
        <v>639</v>
      </c>
      <c r="C22" s="1" t="s">
        <v>569</v>
      </c>
      <c r="D22" s="5">
        <v>100</v>
      </c>
      <c r="E22" s="5">
        <v>1426</v>
      </c>
      <c r="F22" s="7">
        <v>-25</v>
      </c>
      <c r="G22" s="8">
        <v>-1.72</v>
      </c>
      <c r="H22" s="5">
        <v>5000</v>
      </c>
      <c r="I22" s="5">
        <v>1449</v>
      </c>
      <c r="J22" s="5">
        <v>1449</v>
      </c>
      <c r="K22" s="5">
        <v>1426</v>
      </c>
      <c r="L22" s="11">
        <v>43019</v>
      </c>
      <c r="M22" s="10">
        <v>0.625</v>
      </c>
      <c r="N22" s="1" t="s">
        <v>622</v>
      </c>
      <c r="O22" s="5"/>
    </row>
    <row r="23" spans="1:15" x14ac:dyDescent="0.15">
      <c r="A23" s="1">
        <v>3563</v>
      </c>
      <c r="B23" s="3" t="s">
        <v>640</v>
      </c>
      <c r="C23" s="1" t="s">
        <v>569</v>
      </c>
      <c r="D23" s="5">
        <v>100</v>
      </c>
      <c r="E23" s="5">
        <v>3625</v>
      </c>
      <c r="F23" s="7">
        <v>20</v>
      </c>
      <c r="G23" s="8">
        <v>0.55000000000000004</v>
      </c>
      <c r="H23" s="5">
        <v>94900</v>
      </c>
      <c r="I23" s="5">
        <v>3620</v>
      </c>
      <c r="J23" s="5">
        <v>3630</v>
      </c>
      <c r="K23" s="5">
        <v>3600</v>
      </c>
      <c r="L23" s="11">
        <v>43019</v>
      </c>
      <c r="M23" s="10">
        <v>0.625</v>
      </c>
      <c r="N23" s="1" t="s">
        <v>622</v>
      </c>
      <c r="O23" s="5"/>
    </row>
    <row r="24" spans="1:15" x14ac:dyDescent="0.15">
      <c r="A24" s="1">
        <v>3984</v>
      </c>
      <c r="B24" s="3" t="s">
        <v>641</v>
      </c>
      <c r="C24" s="1" t="s">
        <v>568</v>
      </c>
      <c r="D24" s="5">
        <v>100</v>
      </c>
      <c r="E24" s="5">
        <v>6280</v>
      </c>
      <c r="F24" s="7">
        <v>10</v>
      </c>
      <c r="G24" s="8">
        <v>0.16</v>
      </c>
      <c r="H24" s="5">
        <v>3500</v>
      </c>
      <c r="I24" s="5">
        <v>6280</v>
      </c>
      <c r="J24" s="5">
        <v>6340</v>
      </c>
      <c r="K24" s="5">
        <v>6260</v>
      </c>
      <c r="L24" s="11">
        <v>43019</v>
      </c>
      <c r="M24" s="10">
        <v>0.625</v>
      </c>
      <c r="N24" s="1" t="s">
        <v>622</v>
      </c>
      <c r="O24" s="5"/>
    </row>
    <row r="25" spans="1:15" x14ac:dyDescent="0.15">
      <c r="A25" s="1">
        <v>6175</v>
      </c>
      <c r="B25" s="3" t="s">
        <v>615</v>
      </c>
      <c r="C25" s="1" t="s">
        <v>570</v>
      </c>
      <c r="D25" s="5">
        <v>100</v>
      </c>
      <c r="E25" s="5">
        <v>1405</v>
      </c>
      <c r="F25" s="7">
        <v>-1</v>
      </c>
      <c r="G25" s="8">
        <v>-7.0000000000000007E-2</v>
      </c>
      <c r="H25" s="5">
        <v>17500</v>
      </c>
      <c r="I25" s="5">
        <v>1415</v>
      </c>
      <c r="J25" s="5">
        <v>1418</v>
      </c>
      <c r="K25" s="5">
        <v>1394</v>
      </c>
      <c r="L25" s="11">
        <v>43019</v>
      </c>
      <c r="M25" s="10">
        <v>0.625</v>
      </c>
      <c r="N25" s="1" t="s">
        <v>622</v>
      </c>
      <c r="O25" s="5"/>
    </row>
    <row r="26" spans="1:15" x14ac:dyDescent="0.15">
      <c r="A26" s="1">
        <v>3985</v>
      </c>
      <c r="B26" s="3" t="s">
        <v>642</v>
      </c>
      <c r="C26" s="1" t="s">
        <v>568</v>
      </c>
      <c r="D26" s="5">
        <v>100</v>
      </c>
      <c r="E26" s="5">
        <v>5530</v>
      </c>
      <c r="F26" s="7">
        <v>-40</v>
      </c>
      <c r="G26" s="8">
        <v>-0.72</v>
      </c>
      <c r="H26" s="5">
        <v>3400</v>
      </c>
      <c r="I26" s="5">
        <v>5570</v>
      </c>
      <c r="J26" s="5">
        <v>5590</v>
      </c>
      <c r="K26" s="5">
        <v>5530</v>
      </c>
      <c r="L26" s="11">
        <v>43019</v>
      </c>
      <c r="M26" s="10">
        <v>0.625</v>
      </c>
      <c r="N26" s="1" t="s">
        <v>622</v>
      </c>
      <c r="O26" s="5"/>
    </row>
    <row r="27" spans="1:15" x14ac:dyDescent="0.15">
      <c r="A27" s="1">
        <v>7940</v>
      </c>
      <c r="B27" s="3" t="s">
        <v>643</v>
      </c>
      <c r="C27" s="1" t="s">
        <v>631</v>
      </c>
      <c r="D27" s="5">
        <v>100</v>
      </c>
      <c r="E27" s="5">
        <v>1355</v>
      </c>
      <c r="F27" s="7">
        <v>-14</v>
      </c>
      <c r="G27" s="8">
        <v>-1.02</v>
      </c>
      <c r="H27" s="5">
        <v>79000</v>
      </c>
      <c r="I27" s="5">
        <v>1373</v>
      </c>
      <c r="J27" s="5">
        <v>1379</v>
      </c>
      <c r="K27" s="5">
        <v>1345</v>
      </c>
      <c r="L27" s="11">
        <v>43019</v>
      </c>
      <c r="M27" s="10">
        <v>0.625</v>
      </c>
      <c r="N27" s="1" t="s">
        <v>644</v>
      </c>
      <c r="O27" s="5"/>
    </row>
    <row r="28" spans="1:15" x14ac:dyDescent="0.15">
      <c r="A28" s="1">
        <v>3564</v>
      </c>
      <c r="B28" s="3" t="s">
        <v>645</v>
      </c>
      <c r="C28" s="1" t="s">
        <v>569</v>
      </c>
      <c r="D28" s="5">
        <v>100</v>
      </c>
      <c r="E28" s="5">
        <v>1831</v>
      </c>
      <c r="F28" s="7">
        <v>-1</v>
      </c>
      <c r="G28" s="8">
        <v>-0.05</v>
      </c>
      <c r="H28" s="5">
        <v>119100</v>
      </c>
      <c r="I28" s="5">
        <v>1839</v>
      </c>
      <c r="J28" s="5">
        <v>1839</v>
      </c>
      <c r="K28" s="5">
        <v>1828</v>
      </c>
      <c r="L28" s="11">
        <v>43019</v>
      </c>
      <c r="M28" s="10">
        <v>0.625</v>
      </c>
      <c r="N28" s="1" t="s">
        <v>622</v>
      </c>
      <c r="O28" s="5"/>
    </row>
    <row r="29" spans="1:15" x14ac:dyDescent="0.15">
      <c r="A29" s="1">
        <v>6548</v>
      </c>
      <c r="B29" s="3" t="s">
        <v>575</v>
      </c>
      <c r="C29" s="1" t="s">
        <v>568</v>
      </c>
      <c r="D29" s="5">
        <v>100</v>
      </c>
      <c r="E29" s="5">
        <v>1295</v>
      </c>
      <c r="F29" s="7">
        <v>-34</v>
      </c>
      <c r="G29" s="8">
        <v>-2.56</v>
      </c>
      <c r="H29" s="5">
        <v>27000</v>
      </c>
      <c r="I29" s="5">
        <v>1327</v>
      </c>
      <c r="J29" s="5">
        <v>1333</v>
      </c>
      <c r="K29" s="5">
        <v>1287</v>
      </c>
      <c r="L29" s="11">
        <v>43019</v>
      </c>
      <c r="M29" s="10">
        <v>0.625</v>
      </c>
      <c r="N29" s="1" t="s">
        <v>624</v>
      </c>
      <c r="O29" s="5"/>
    </row>
    <row r="30" spans="1:15" x14ac:dyDescent="0.15">
      <c r="A30" s="1">
        <v>3565</v>
      </c>
      <c r="B30" s="3" t="s">
        <v>576</v>
      </c>
      <c r="C30" s="1" t="s">
        <v>568</v>
      </c>
      <c r="D30" s="5">
        <v>100</v>
      </c>
      <c r="E30" s="5">
        <v>4070</v>
      </c>
      <c r="F30" s="7">
        <v>-65</v>
      </c>
      <c r="G30" s="8">
        <v>-1.57</v>
      </c>
      <c r="H30" s="5">
        <v>50500</v>
      </c>
      <c r="I30" s="5">
        <v>4180</v>
      </c>
      <c r="J30" s="5">
        <v>4200</v>
      </c>
      <c r="K30" s="5">
        <v>4015</v>
      </c>
      <c r="L30" s="11">
        <v>43019</v>
      </c>
      <c r="M30" s="10">
        <v>0.625</v>
      </c>
      <c r="N30" s="1" t="s">
        <v>646</v>
      </c>
      <c r="O30" s="5"/>
    </row>
    <row r="31" spans="1:15" x14ac:dyDescent="0.15">
      <c r="A31" s="1">
        <v>3758</v>
      </c>
      <c r="B31" s="3" t="s">
        <v>647</v>
      </c>
      <c r="C31" s="1" t="s">
        <v>577</v>
      </c>
      <c r="D31" s="5">
        <v>100</v>
      </c>
      <c r="E31" s="5">
        <v>2000</v>
      </c>
      <c r="F31" s="7">
        <v>30</v>
      </c>
      <c r="G31" s="8">
        <v>1.52</v>
      </c>
      <c r="H31" s="5">
        <v>1020800</v>
      </c>
      <c r="I31" s="5">
        <v>1969</v>
      </c>
      <c r="J31" s="5">
        <v>2014</v>
      </c>
      <c r="K31" s="5">
        <v>1957</v>
      </c>
      <c r="L31" s="11">
        <v>43019</v>
      </c>
      <c r="M31" s="10">
        <v>0.625</v>
      </c>
      <c r="N31" s="1" t="s">
        <v>648</v>
      </c>
      <c r="O31" s="5"/>
    </row>
    <row r="32" spans="1:15" x14ac:dyDescent="0.15">
      <c r="A32" s="1">
        <v>3932</v>
      </c>
      <c r="B32" s="3" t="s">
        <v>578</v>
      </c>
      <c r="C32" s="1" t="s">
        <v>579</v>
      </c>
      <c r="D32" s="5">
        <v>100</v>
      </c>
      <c r="E32" s="5">
        <v>8500</v>
      </c>
      <c r="F32" s="7">
        <v>30</v>
      </c>
      <c r="G32" s="8">
        <v>0.35</v>
      </c>
      <c r="H32" s="5">
        <v>292700</v>
      </c>
      <c r="I32" s="5">
        <v>8470</v>
      </c>
      <c r="J32" s="5">
        <v>8510</v>
      </c>
      <c r="K32" s="5">
        <v>8330</v>
      </c>
      <c r="L32" s="11">
        <v>43019</v>
      </c>
      <c r="M32" s="10">
        <v>0.625</v>
      </c>
      <c r="N32" s="1" t="s">
        <v>649</v>
      </c>
      <c r="O32" s="5"/>
    </row>
    <row r="33" spans="1:15" x14ac:dyDescent="0.15">
      <c r="A33" s="1">
        <v>6787</v>
      </c>
      <c r="B33" s="3" t="s">
        <v>650</v>
      </c>
      <c r="C33" s="1" t="s">
        <v>577</v>
      </c>
      <c r="D33" s="5">
        <v>100</v>
      </c>
      <c r="E33" s="5">
        <v>1975</v>
      </c>
      <c r="F33" s="7">
        <v>-56</v>
      </c>
      <c r="G33" s="8">
        <v>-2.76</v>
      </c>
      <c r="H33" s="5">
        <v>316000</v>
      </c>
      <c r="I33" s="5">
        <v>2013</v>
      </c>
      <c r="J33" s="5">
        <v>2025</v>
      </c>
      <c r="K33" s="5">
        <v>1975</v>
      </c>
      <c r="L33" s="11">
        <v>43019</v>
      </c>
      <c r="M33" s="10">
        <v>0.625</v>
      </c>
      <c r="N33" s="1" t="s">
        <v>651</v>
      </c>
      <c r="O33" s="5"/>
    </row>
    <row r="34" spans="1:15" x14ac:dyDescent="0.15">
      <c r="A34" s="1">
        <v>2138</v>
      </c>
      <c r="B34" s="3" t="s">
        <v>580</v>
      </c>
      <c r="C34" s="1" t="s">
        <v>577</v>
      </c>
      <c r="D34" s="5">
        <v>100</v>
      </c>
      <c r="E34" s="5">
        <v>2434</v>
      </c>
      <c r="F34" s="7">
        <v>56</v>
      </c>
      <c r="G34" s="8">
        <v>2.35</v>
      </c>
      <c r="H34" s="5">
        <v>95700</v>
      </c>
      <c r="I34" s="5">
        <v>2372</v>
      </c>
      <c r="J34" s="5">
        <v>2437</v>
      </c>
      <c r="K34" s="5">
        <v>2372</v>
      </c>
      <c r="L34" s="11">
        <v>43019</v>
      </c>
      <c r="M34" s="10">
        <v>0.625</v>
      </c>
      <c r="N34" s="1" t="s">
        <v>652</v>
      </c>
      <c r="O34" s="5"/>
    </row>
    <row r="35" spans="1:15" x14ac:dyDescent="0.15">
      <c r="A35" s="1">
        <v>3810</v>
      </c>
      <c r="B35" s="3" t="s">
        <v>581</v>
      </c>
      <c r="C35" s="1" t="s">
        <v>582</v>
      </c>
      <c r="D35" s="5">
        <v>100</v>
      </c>
      <c r="E35" s="5">
        <v>2671</v>
      </c>
      <c r="F35" s="7">
        <v>10</v>
      </c>
      <c r="G35" s="8">
        <v>0.38</v>
      </c>
      <c r="H35" s="5">
        <v>952500</v>
      </c>
      <c r="I35" s="5">
        <v>2663</v>
      </c>
      <c r="J35" s="5">
        <v>2759</v>
      </c>
      <c r="K35" s="5">
        <v>2658</v>
      </c>
      <c r="L35" s="11">
        <v>43019</v>
      </c>
      <c r="M35" s="10">
        <v>0.625</v>
      </c>
      <c r="N35" s="1" t="s">
        <v>653</v>
      </c>
      <c r="O35" s="5"/>
    </row>
    <row r="36" spans="1:15" x14ac:dyDescent="0.15">
      <c r="A36" s="1">
        <v>4288</v>
      </c>
      <c r="B36" s="3" t="s">
        <v>583</v>
      </c>
      <c r="C36" s="1" t="s">
        <v>577</v>
      </c>
      <c r="D36" s="5">
        <v>100</v>
      </c>
      <c r="E36" s="5">
        <v>2769</v>
      </c>
      <c r="F36" s="7">
        <v>3</v>
      </c>
      <c r="G36" s="8">
        <v>0.11</v>
      </c>
      <c r="H36" s="5">
        <v>60200</v>
      </c>
      <c r="I36" s="5">
        <v>2813</v>
      </c>
      <c r="J36" s="5">
        <v>2842</v>
      </c>
      <c r="K36" s="5">
        <v>2725</v>
      </c>
      <c r="L36" s="11">
        <v>43019</v>
      </c>
      <c r="M36" s="10">
        <v>0.625</v>
      </c>
      <c r="N36" s="1" t="s">
        <v>654</v>
      </c>
      <c r="O36" s="5"/>
    </row>
    <row r="37" spans="1:15" x14ac:dyDescent="0.15">
      <c r="A37" s="1">
        <v>3825</v>
      </c>
      <c r="B37" s="3" t="s">
        <v>584</v>
      </c>
      <c r="C37" s="1" t="s">
        <v>582</v>
      </c>
      <c r="D37" s="5">
        <v>100</v>
      </c>
      <c r="E37" s="5">
        <v>1006</v>
      </c>
      <c r="F37" s="7">
        <v>1</v>
      </c>
      <c r="G37" s="8">
        <v>0.1</v>
      </c>
      <c r="H37" s="5">
        <v>2089900</v>
      </c>
      <c r="I37" s="5">
        <v>991</v>
      </c>
      <c r="J37" s="5">
        <v>1029</v>
      </c>
      <c r="K37" s="5">
        <v>950</v>
      </c>
      <c r="L37" s="11">
        <v>43019</v>
      </c>
      <c r="M37" s="10">
        <v>0.625</v>
      </c>
      <c r="N37" s="1" t="s">
        <v>655</v>
      </c>
      <c r="O37" s="5"/>
    </row>
    <row r="38" spans="1:15" x14ac:dyDescent="0.15">
      <c r="A38" s="1">
        <v>3661</v>
      </c>
      <c r="B38" s="3" t="s">
        <v>585</v>
      </c>
      <c r="C38" s="1" t="s">
        <v>579</v>
      </c>
      <c r="D38" s="5">
        <v>100</v>
      </c>
      <c r="E38" s="5">
        <v>1332</v>
      </c>
      <c r="F38" s="7">
        <v>-24</v>
      </c>
      <c r="G38" s="8">
        <v>-1.77</v>
      </c>
      <c r="H38" s="5">
        <v>141700</v>
      </c>
      <c r="I38" s="5">
        <v>1342</v>
      </c>
      <c r="J38" s="5">
        <v>1353</v>
      </c>
      <c r="K38" s="5">
        <v>1323</v>
      </c>
      <c r="L38" s="11">
        <v>43019</v>
      </c>
      <c r="M38" s="10">
        <v>0.625</v>
      </c>
      <c r="N38" s="1" t="s">
        <v>656</v>
      </c>
      <c r="O38" s="5"/>
    </row>
    <row r="39" spans="1:15" x14ac:dyDescent="0.15">
      <c r="A39" s="1">
        <v>3986</v>
      </c>
      <c r="B39" s="3" t="s">
        <v>657</v>
      </c>
      <c r="C39" s="1" t="s">
        <v>586</v>
      </c>
      <c r="D39" s="5">
        <v>100</v>
      </c>
      <c r="E39" s="5">
        <v>4080</v>
      </c>
      <c r="F39" s="7">
        <v>30</v>
      </c>
      <c r="G39" s="8">
        <v>0.74</v>
      </c>
      <c r="H39" s="5">
        <v>3600</v>
      </c>
      <c r="I39" s="5">
        <v>4045</v>
      </c>
      <c r="J39" s="5">
        <v>4080</v>
      </c>
      <c r="K39" s="5">
        <v>4045</v>
      </c>
      <c r="L39" s="11">
        <v>43019</v>
      </c>
      <c r="M39" s="10">
        <v>0.625</v>
      </c>
      <c r="N39" s="1" t="s">
        <v>658</v>
      </c>
      <c r="O39" s="5"/>
    </row>
    <row r="40" spans="1:15" x14ac:dyDescent="0.15">
      <c r="A40" s="1">
        <v>6549</v>
      </c>
      <c r="B40" s="3" t="s">
        <v>659</v>
      </c>
      <c r="C40" s="1" t="s">
        <v>577</v>
      </c>
      <c r="D40" s="5">
        <v>100</v>
      </c>
      <c r="E40" s="5">
        <v>2365</v>
      </c>
      <c r="F40" s="7">
        <v>10</v>
      </c>
      <c r="G40" s="8">
        <v>0.42</v>
      </c>
      <c r="H40" s="5">
        <v>2300</v>
      </c>
      <c r="I40" s="5">
        <v>2357</v>
      </c>
      <c r="J40" s="5">
        <v>2381</v>
      </c>
      <c r="K40" s="5">
        <v>2357</v>
      </c>
      <c r="L40" s="11">
        <v>43019</v>
      </c>
      <c r="M40" s="10">
        <v>0.625</v>
      </c>
      <c r="N40" s="1" t="s">
        <v>660</v>
      </c>
      <c r="O40" s="5"/>
    </row>
    <row r="41" spans="1:15" x14ac:dyDescent="0.15">
      <c r="A41" s="1">
        <v>3987</v>
      </c>
      <c r="B41" s="3" t="s">
        <v>587</v>
      </c>
      <c r="C41" s="1" t="s">
        <v>588</v>
      </c>
      <c r="D41" s="5">
        <v>100</v>
      </c>
      <c r="E41" s="5">
        <v>1830</v>
      </c>
      <c r="F41" s="7">
        <v>8</v>
      </c>
      <c r="G41" s="8">
        <v>0.44</v>
      </c>
      <c r="H41" s="5">
        <v>1400</v>
      </c>
      <c r="I41" s="5">
        <v>1822</v>
      </c>
      <c r="J41" s="5">
        <v>1830</v>
      </c>
      <c r="K41" s="5">
        <v>1818</v>
      </c>
      <c r="L41" s="11">
        <v>43019</v>
      </c>
      <c r="M41" s="10">
        <v>0.6118055555555556</v>
      </c>
      <c r="N41" s="1" t="s">
        <v>660</v>
      </c>
      <c r="O41" s="5"/>
    </row>
    <row r="42" spans="1:15" x14ac:dyDescent="0.15">
      <c r="A42" s="1">
        <v>6550</v>
      </c>
      <c r="B42" s="3" t="s">
        <v>589</v>
      </c>
      <c r="C42" s="1" t="s">
        <v>586</v>
      </c>
      <c r="D42" s="5">
        <v>100</v>
      </c>
      <c r="E42" s="5">
        <v>4360</v>
      </c>
      <c r="F42" s="7">
        <v>90</v>
      </c>
      <c r="G42" s="8">
        <v>2.11</v>
      </c>
      <c r="H42" s="5">
        <v>7200</v>
      </c>
      <c r="I42" s="5">
        <v>4340</v>
      </c>
      <c r="J42" s="5">
        <v>4360</v>
      </c>
      <c r="K42" s="5">
        <v>4275</v>
      </c>
      <c r="L42" s="11">
        <v>43019</v>
      </c>
      <c r="M42" s="10">
        <v>0.62430555555555556</v>
      </c>
      <c r="N42" s="1" t="s">
        <v>661</v>
      </c>
      <c r="O42" s="5"/>
    </row>
    <row r="43" spans="1:15" x14ac:dyDescent="0.15">
      <c r="A43" s="1">
        <v>3853</v>
      </c>
      <c r="B43" s="3" t="s">
        <v>590</v>
      </c>
      <c r="C43" s="1" t="s">
        <v>586</v>
      </c>
      <c r="D43" s="5">
        <v>100</v>
      </c>
      <c r="E43" s="5">
        <v>1256</v>
      </c>
      <c r="F43" s="7">
        <v>-18</v>
      </c>
      <c r="G43" s="8">
        <v>-1.41</v>
      </c>
      <c r="H43" s="5">
        <v>976100</v>
      </c>
      <c r="I43" s="5">
        <v>1280</v>
      </c>
      <c r="J43" s="5">
        <v>1288</v>
      </c>
      <c r="K43" s="5">
        <v>1250</v>
      </c>
      <c r="L43" s="11">
        <v>43019</v>
      </c>
      <c r="M43" s="10">
        <v>0.625</v>
      </c>
      <c r="N43" s="1" t="s">
        <v>662</v>
      </c>
      <c r="O43" s="5"/>
    </row>
    <row r="44" spans="1:15" x14ac:dyDescent="0.15">
      <c r="A44" s="1">
        <v>2160</v>
      </c>
      <c r="B44" s="3" t="s">
        <v>591</v>
      </c>
      <c r="C44" s="1" t="s">
        <v>586</v>
      </c>
      <c r="D44" s="5">
        <v>1000</v>
      </c>
      <c r="E44" s="5">
        <v>407</v>
      </c>
      <c r="F44" s="7">
        <v>-5</v>
      </c>
      <c r="G44" s="8">
        <v>-1.21</v>
      </c>
      <c r="H44" s="5">
        <v>3552000</v>
      </c>
      <c r="I44" s="5">
        <v>410</v>
      </c>
      <c r="J44" s="5">
        <v>417</v>
      </c>
      <c r="K44" s="5">
        <v>405</v>
      </c>
      <c r="L44" s="11">
        <v>43019</v>
      </c>
      <c r="M44" s="10">
        <v>0.625</v>
      </c>
      <c r="N44" s="1" t="s">
        <v>661</v>
      </c>
      <c r="O44" s="5"/>
    </row>
    <row r="45" spans="1:15" x14ac:dyDescent="0.15">
      <c r="A45" s="1">
        <v>6551</v>
      </c>
      <c r="B45" s="3" t="s">
        <v>663</v>
      </c>
      <c r="C45" s="1" t="s">
        <v>586</v>
      </c>
      <c r="D45" s="5">
        <v>100</v>
      </c>
      <c r="E45" s="5">
        <v>4850</v>
      </c>
      <c r="F45" s="7">
        <v>-15</v>
      </c>
      <c r="G45" s="8">
        <v>-0.31</v>
      </c>
      <c r="H45" s="5">
        <v>4900</v>
      </c>
      <c r="I45" s="5">
        <v>4910</v>
      </c>
      <c r="J45" s="5">
        <v>4910</v>
      </c>
      <c r="K45" s="5">
        <v>4850</v>
      </c>
      <c r="L45" s="11">
        <v>43019</v>
      </c>
      <c r="M45" s="10">
        <v>0.625</v>
      </c>
      <c r="N45" s="1" t="s">
        <v>661</v>
      </c>
      <c r="O45" s="5"/>
    </row>
    <row r="46" spans="1:15" x14ac:dyDescent="0.15">
      <c r="A46" s="1">
        <v>3988</v>
      </c>
      <c r="B46" s="3" t="s">
        <v>592</v>
      </c>
      <c r="C46" s="1" t="s">
        <v>577</v>
      </c>
      <c r="D46" s="5">
        <v>100</v>
      </c>
      <c r="E46" s="5">
        <v>3535</v>
      </c>
      <c r="F46" s="7">
        <v>20</v>
      </c>
      <c r="G46" s="8">
        <v>0.56999999999999995</v>
      </c>
      <c r="H46" s="5">
        <v>1300</v>
      </c>
      <c r="I46" s="5">
        <v>3515</v>
      </c>
      <c r="J46" s="5">
        <v>3550</v>
      </c>
      <c r="K46" s="5">
        <v>3515</v>
      </c>
      <c r="L46" s="11">
        <v>43019</v>
      </c>
      <c r="M46" s="10">
        <v>0.625</v>
      </c>
      <c r="N46" s="1" t="s">
        <v>664</v>
      </c>
      <c r="O46" s="5"/>
    </row>
    <row r="47" spans="1:15" x14ac:dyDescent="0.15">
      <c r="A47" s="1">
        <v>6552</v>
      </c>
      <c r="B47" s="3" t="s">
        <v>593</v>
      </c>
      <c r="C47" s="1" t="s">
        <v>586</v>
      </c>
      <c r="D47" s="5">
        <v>100</v>
      </c>
      <c r="E47" s="5">
        <v>3685</v>
      </c>
      <c r="F47" s="7">
        <v>-90</v>
      </c>
      <c r="G47" s="8">
        <v>-2.38</v>
      </c>
      <c r="H47" s="5">
        <v>61100</v>
      </c>
      <c r="I47" s="5">
        <v>3780</v>
      </c>
      <c r="J47" s="5">
        <v>3800</v>
      </c>
      <c r="K47" s="5">
        <v>3650</v>
      </c>
      <c r="L47" s="11">
        <v>43019</v>
      </c>
      <c r="M47" s="10">
        <v>0.625</v>
      </c>
      <c r="N47" s="1" t="s">
        <v>661</v>
      </c>
      <c r="O47" s="5"/>
    </row>
    <row r="48" spans="1:15" x14ac:dyDescent="0.15">
      <c r="A48" s="1">
        <v>4563</v>
      </c>
      <c r="B48" s="3" t="s">
        <v>594</v>
      </c>
      <c r="C48" s="1" t="s">
        <v>586</v>
      </c>
      <c r="D48" s="5">
        <v>100</v>
      </c>
      <c r="E48" s="5">
        <v>641</v>
      </c>
      <c r="F48" s="7">
        <v>-6</v>
      </c>
      <c r="G48" s="8">
        <v>-0.93</v>
      </c>
      <c r="H48" s="5">
        <v>1164900</v>
      </c>
      <c r="I48" s="5">
        <v>644</v>
      </c>
      <c r="J48" s="5">
        <v>657</v>
      </c>
      <c r="K48" s="5">
        <v>639</v>
      </c>
      <c r="L48" s="11">
        <v>43019</v>
      </c>
      <c r="M48" s="10">
        <v>0.625</v>
      </c>
      <c r="N48" s="1" t="s">
        <v>665</v>
      </c>
      <c r="O48" s="5"/>
    </row>
    <row r="49" spans="1:15" x14ac:dyDescent="0.15">
      <c r="A49" s="1">
        <v>8704</v>
      </c>
      <c r="B49" s="3" t="s">
        <v>595</v>
      </c>
      <c r="C49" s="1" t="s">
        <v>577</v>
      </c>
      <c r="D49" s="5">
        <v>100</v>
      </c>
      <c r="E49" s="5">
        <v>159</v>
      </c>
      <c r="F49" s="7">
        <v>-4</v>
      </c>
      <c r="G49" s="8">
        <v>-2.4500000000000002</v>
      </c>
      <c r="H49" s="5">
        <v>1456800</v>
      </c>
      <c r="I49" s="5">
        <v>162</v>
      </c>
      <c r="J49" s="5">
        <v>162</v>
      </c>
      <c r="K49" s="5">
        <v>159</v>
      </c>
      <c r="L49" s="11">
        <v>43019</v>
      </c>
      <c r="M49" s="10">
        <v>0.625</v>
      </c>
      <c r="N49" s="1" t="s">
        <v>666</v>
      </c>
      <c r="O49" s="5"/>
    </row>
    <row r="50" spans="1:15" x14ac:dyDescent="0.15">
      <c r="A50" s="1">
        <v>6553</v>
      </c>
      <c r="B50" s="3" t="s">
        <v>616</v>
      </c>
      <c r="C50" s="1" t="s">
        <v>586</v>
      </c>
      <c r="D50" s="5">
        <v>100</v>
      </c>
      <c r="E50" s="5">
        <v>2308</v>
      </c>
      <c r="F50" s="7">
        <v>-36</v>
      </c>
      <c r="G50" s="8">
        <v>-1.54</v>
      </c>
      <c r="H50" s="5">
        <v>88200</v>
      </c>
      <c r="I50" s="5">
        <v>2376</v>
      </c>
      <c r="J50" s="5">
        <v>2377</v>
      </c>
      <c r="K50" s="5">
        <v>2293</v>
      </c>
      <c r="L50" s="11">
        <v>43019</v>
      </c>
      <c r="M50" s="10">
        <v>0.625</v>
      </c>
      <c r="N50" s="1" t="s">
        <v>667</v>
      </c>
      <c r="O50" s="5"/>
    </row>
    <row r="51" spans="1:15" x14ac:dyDescent="0.15">
      <c r="A51" s="1">
        <v>3566</v>
      </c>
      <c r="B51" s="3" t="s">
        <v>617</v>
      </c>
      <c r="C51" s="1" t="s">
        <v>586</v>
      </c>
      <c r="D51" s="5">
        <v>100</v>
      </c>
      <c r="E51" s="5">
        <v>4860</v>
      </c>
      <c r="F51" s="7">
        <v>-40</v>
      </c>
      <c r="G51" s="8">
        <v>-0.82</v>
      </c>
      <c r="H51" s="5">
        <v>2700</v>
      </c>
      <c r="I51" s="5">
        <v>4900</v>
      </c>
      <c r="J51" s="5">
        <v>5040</v>
      </c>
      <c r="K51" s="5">
        <v>4860</v>
      </c>
      <c r="L51" s="11">
        <v>43019</v>
      </c>
      <c r="M51" s="10">
        <v>0.60555555555555551</v>
      </c>
      <c r="N51" s="1" t="s">
        <v>661</v>
      </c>
      <c r="O51" s="5"/>
    </row>
    <row r="52" spans="1:15" x14ac:dyDescent="0.15">
      <c r="A52" s="1">
        <v>3480</v>
      </c>
      <c r="B52" s="3" t="s">
        <v>596</v>
      </c>
      <c r="C52" s="1" t="s">
        <v>582</v>
      </c>
      <c r="D52" s="5">
        <v>100</v>
      </c>
      <c r="E52" s="5">
        <v>4220</v>
      </c>
      <c r="F52" s="7">
        <v>-165</v>
      </c>
      <c r="G52" s="8">
        <v>-3.76</v>
      </c>
      <c r="H52" s="5">
        <v>24300</v>
      </c>
      <c r="I52" s="5">
        <v>4380</v>
      </c>
      <c r="J52" s="5">
        <v>4380</v>
      </c>
      <c r="K52" s="5">
        <v>4140</v>
      </c>
      <c r="L52" s="11">
        <v>43019</v>
      </c>
      <c r="M52" s="10">
        <v>0.625</v>
      </c>
      <c r="N52" s="1" t="s">
        <v>661</v>
      </c>
      <c r="O52" s="5"/>
    </row>
    <row r="53" spans="1:15" x14ac:dyDescent="0.15">
      <c r="A53" s="1">
        <v>7810</v>
      </c>
      <c r="B53" s="3" t="s">
        <v>597</v>
      </c>
      <c r="C53" s="1" t="s">
        <v>577</v>
      </c>
      <c r="D53" s="5">
        <v>100</v>
      </c>
      <c r="E53" s="5">
        <v>1286</v>
      </c>
      <c r="F53" s="7">
        <v>-8</v>
      </c>
      <c r="G53" s="8">
        <v>-0.62</v>
      </c>
      <c r="H53" s="5">
        <v>283100</v>
      </c>
      <c r="I53" s="5">
        <v>1310</v>
      </c>
      <c r="J53" s="5">
        <v>1344</v>
      </c>
      <c r="K53" s="5">
        <v>1270</v>
      </c>
      <c r="L53" s="11">
        <v>43019</v>
      </c>
      <c r="M53" s="10">
        <v>0.625</v>
      </c>
      <c r="N53" s="1" t="s">
        <v>661</v>
      </c>
      <c r="O53" s="5"/>
    </row>
    <row r="54" spans="1:15" x14ac:dyDescent="0.15">
      <c r="A54" s="1">
        <v>3989</v>
      </c>
      <c r="B54" s="3" t="s">
        <v>598</v>
      </c>
      <c r="C54" s="1" t="s">
        <v>586</v>
      </c>
      <c r="D54" s="5">
        <v>100</v>
      </c>
      <c r="E54" s="5">
        <v>2163</v>
      </c>
      <c r="F54" s="7">
        <v>-25</v>
      </c>
      <c r="G54" s="8">
        <v>-1.1399999999999999</v>
      </c>
      <c r="H54" s="5">
        <v>59400</v>
      </c>
      <c r="I54" s="5">
        <v>2200</v>
      </c>
      <c r="J54" s="5">
        <v>2259</v>
      </c>
      <c r="K54" s="5">
        <v>2162</v>
      </c>
      <c r="L54" s="11">
        <v>43019</v>
      </c>
      <c r="M54" s="10">
        <v>0.625</v>
      </c>
      <c r="N54" s="1" t="s">
        <v>661</v>
      </c>
      <c r="O54" s="5"/>
    </row>
    <row r="55" spans="1:15" x14ac:dyDescent="0.15">
      <c r="A55" s="1">
        <v>6696</v>
      </c>
      <c r="B55" s="3" t="s">
        <v>599</v>
      </c>
      <c r="C55" s="1" t="s">
        <v>586</v>
      </c>
      <c r="D55" s="5">
        <v>100</v>
      </c>
      <c r="E55" s="5">
        <v>2310</v>
      </c>
      <c r="F55" s="7">
        <v>-1</v>
      </c>
      <c r="G55" s="8">
        <v>-0.04</v>
      </c>
      <c r="H55" s="5">
        <v>29200</v>
      </c>
      <c r="I55" s="5">
        <v>2310</v>
      </c>
      <c r="J55" s="5">
        <v>2331</v>
      </c>
      <c r="K55" s="5">
        <v>2280</v>
      </c>
      <c r="L55" s="11">
        <v>43019</v>
      </c>
      <c r="M55" s="10">
        <v>0.62430555555555556</v>
      </c>
      <c r="N55" s="1" t="s">
        <v>661</v>
      </c>
      <c r="O55" s="5"/>
    </row>
    <row r="56" spans="1:15" x14ac:dyDescent="0.15">
      <c r="A56" s="1">
        <v>3990</v>
      </c>
      <c r="B56" s="3" t="s">
        <v>600</v>
      </c>
      <c r="C56" s="1" t="s">
        <v>586</v>
      </c>
      <c r="D56" s="5">
        <v>100</v>
      </c>
      <c r="E56" s="5">
        <v>5310</v>
      </c>
      <c r="F56" s="7">
        <v>-180</v>
      </c>
      <c r="G56" s="8">
        <v>-3.28</v>
      </c>
      <c r="H56" s="5">
        <v>107900</v>
      </c>
      <c r="I56" s="5">
        <v>5500</v>
      </c>
      <c r="J56" s="5">
        <v>5510</v>
      </c>
      <c r="K56" s="5">
        <v>5290</v>
      </c>
      <c r="L56" s="11">
        <v>43019</v>
      </c>
      <c r="M56" s="10">
        <v>0.625</v>
      </c>
      <c r="N56" s="1" t="s">
        <v>661</v>
      </c>
      <c r="O56" s="5"/>
    </row>
    <row r="57" spans="1:15" x14ac:dyDescent="0.15">
      <c r="A57" s="1">
        <v>6554</v>
      </c>
      <c r="B57" s="3" t="s">
        <v>668</v>
      </c>
      <c r="C57" s="1" t="s">
        <v>586</v>
      </c>
      <c r="D57" s="5">
        <v>100</v>
      </c>
      <c r="E57" s="5">
        <v>3750</v>
      </c>
      <c r="F57" s="7">
        <v>-50</v>
      </c>
      <c r="G57" s="8">
        <v>-1.32</v>
      </c>
      <c r="H57" s="5">
        <v>10600</v>
      </c>
      <c r="I57" s="5">
        <v>3770</v>
      </c>
      <c r="J57" s="5">
        <v>3810</v>
      </c>
      <c r="K57" s="5">
        <v>3720</v>
      </c>
      <c r="L57" s="11">
        <v>43019</v>
      </c>
      <c r="M57" s="10">
        <v>0.625</v>
      </c>
      <c r="N57" s="1" t="s">
        <v>661</v>
      </c>
      <c r="O57" s="5"/>
    </row>
    <row r="58" spans="1:15" x14ac:dyDescent="0.15">
      <c r="A58" s="1">
        <v>3991</v>
      </c>
      <c r="B58" s="3" t="s">
        <v>601</v>
      </c>
      <c r="C58" s="1" t="s">
        <v>586</v>
      </c>
      <c r="D58" s="5">
        <v>100</v>
      </c>
      <c r="E58" s="5">
        <v>3920</v>
      </c>
      <c r="F58" s="7">
        <v>125</v>
      </c>
      <c r="G58" s="8">
        <v>3.29</v>
      </c>
      <c r="H58" s="5">
        <v>25600</v>
      </c>
      <c r="I58" s="5">
        <v>3775</v>
      </c>
      <c r="J58" s="5">
        <v>3940</v>
      </c>
      <c r="K58" s="5">
        <v>3730</v>
      </c>
      <c r="L58" s="11">
        <v>43019</v>
      </c>
      <c r="M58" s="10">
        <v>0.625</v>
      </c>
      <c r="N58" s="1" t="s">
        <v>661</v>
      </c>
    </row>
    <row r="59" spans="1:15" x14ac:dyDescent="0.15">
      <c r="A59" s="1">
        <v>3992</v>
      </c>
      <c r="B59" s="3" t="s">
        <v>669</v>
      </c>
      <c r="C59" s="1" t="s">
        <v>577</v>
      </c>
      <c r="D59" s="5">
        <v>100</v>
      </c>
      <c r="E59" s="5">
        <v>3330</v>
      </c>
      <c r="F59" s="7">
        <v>35</v>
      </c>
      <c r="G59" s="8">
        <v>1.06</v>
      </c>
      <c r="H59" s="5">
        <v>52900</v>
      </c>
      <c r="I59" s="5">
        <v>3315</v>
      </c>
      <c r="J59" s="5">
        <v>3440</v>
      </c>
      <c r="K59" s="5">
        <v>3315</v>
      </c>
      <c r="L59" s="11">
        <v>43019</v>
      </c>
      <c r="M59" s="10">
        <v>0.625</v>
      </c>
      <c r="N59" s="1" t="s">
        <v>661</v>
      </c>
    </row>
    <row r="60" spans="1:15" x14ac:dyDescent="0.15">
      <c r="A60" s="1">
        <v>3993</v>
      </c>
      <c r="B60" s="3" t="s">
        <v>602</v>
      </c>
      <c r="C60" s="1" t="s">
        <v>586</v>
      </c>
      <c r="D60" s="5">
        <v>100</v>
      </c>
      <c r="E60" s="5">
        <v>12960</v>
      </c>
      <c r="F60" s="7">
        <v>-1280</v>
      </c>
      <c r="G60" s="8">
        <v>-8.99</v>
      </c>
      <c r="H60" s="5">
        <v>1872600</v>
      </c>
      <c r="I60" s="5">
        <v>13750</v>
      </c>
      <c r="J60" s="5">
        <v>14390</v>
      </c>
      <c r="K60" s="5">
        <v>12580</v>
      </c>
      <c r="L60" s="11">
        <v>43019</v>
      </c>
      <c r="M60" s="10">
        <v>0.625</v>
      </c>
      <c r="N60" s="1" t="s">
        <v>661</v>
      </c>
    </row>
    <row r="61" spans="1:15" x14ac:dyDescent="0.15">
      <c r="A61" s="1">
        <v>7809</v>
      </c>
      <c r="B61" s="3" t="s">
        <v>603</v>
      </c>
      <c r="C61" s="1" t="s">
        <v>577</v>
      </c>
      <c r="D61" s="5">
        <v>100</v>
      </c>
      <c r="E61" s="5">
        <v>2652</v>
      </c>
      <c r="F61" s="7">
        <v>53</v>
      </c>
      <c r="G61" s="8">
        <v>2.04</v>
      </c>
      <c r="H61" s="5">
        <v>93300</v>
      </c>
      <c r="I61" s="5">
        <v>2590</v>
      </c>
      <c r="J61" s="5">
        <v>2690</v>
      </c>
      <c r="K61" s="5">
        <v>2558</v>
      </c>
      <c r="L61" s="11">
        <v>43019</v>
      </c>
      <c r="M61" s="10">
        <v>0.625</v>
      </c>
      <c r="N61" s="1" t="s">
        <v>661</v>
      </c>
    </row>
    <row r="62" spans="1:15" x14ac:dyDescent="0.15">
      <c r="A62" s="1">
        <v>3482</v>
      </c>
      <c r="B62" s="3" t="s">
        <v>604</v>
      </c>
      <c r="C62" s="1" t="s">
        <v>586</v>
      </c>
      <c r="D62" s="5">
        <v>100</v>
      </c>
      <c r="E62" s="5">
        <v>3975</v>
      </c>
      <c r="F62" s="7">
        <v>-85</v>
      </c>
      <c r="G62" s="8">
        <v>-2.09</v>
      </c>
      <c r="H62" s="5">
        <v>5497200</v>
      </c>
      <c r="I62" s="5">
        <v>4300</v>
      </c>
      <c r="J62" s="5">
        <v>4710</v>
      </c>
      <c r="K62" s="5">
        <v>3900</v>
      </c>
      <c r="L62" s="11">
        <v>43019</v>
      </c>
      <c r="M62" s="10">
        <v>0.625</v>
      </c>
      <c r="N62" s="1" t="s">
        <v>661</v>
      </c>
    </row>
    <row r="63" spans="1:15" x14ac:dyDescent="0.15">
      <c r="A63" s="1">
        <v>9260</v>
      </c>
      <c r="B63" s="3" t="s">
        <v>605</v>
      </c>
      <c r="C63" s="1" t="s">
        <v>579</v>
      </c>
      <c r="D63" s="5">
        <v>100</v>
      </c>
      <c r="E63" s="5">
        <v>4330</v>
      </c>
      <c r="F63" s="7">
        <v>90</v>
      </c>
      <c r="G63" s="8">
        <v>2.12</v>
      </c>
      <c r="H63" s="5">
        <v>62700</v>
      </c>
      <c r="I63" s="5">
        <v>4215</v>
      </c>
      <c r="J63" s="5">
        <v>4350</v>
      </c>
      <c r="K63" s="5">
        <v>4155</v>
      </c>
      <c r="L63" s="11">
        <v>43019</v>
      </c>
      <c r="M63" s="10">
        <v>0.625</v>
      </c>
      <c r="N63" s="1" t="s">
        <v>661</v>
      </c>
    </row>
    <row r="64" spans="1:15" x14ac:dyDescent="0.15">
      <c r="A64" s="1">
        <v>3994</v>
      </c>
      <c r="B64" s="3" t="s">
        <v>606</v>
      </c>
      <c r="C64" s="1" t="s">
        <v>586</v>
      </c>
      <c r="D64" s="5">
        <v>100</v>
      </c>
      <c r="E64" s="5">
        <v>3005</v>
      </c>
      <c r="F64" s="7">
        <v>214</v>
      </c>
      <c r="G64" s="8">
        <v>7.67</v>
      </c>
      <c r="H64" s="5">
        <v>562000</v>
      </c>
      <c r="I64" s="5">
        <v>2805</v>
      </c>
      <c r="J64" s="5">
        <v>3165</v>
      </c>
      <c r="K64" s="5">
        <v>2805</v>
      </c>
      <c r="L64" s="11">
        <v>43019</v>
      </c>
      <c r="M64" s="10">
        <v>0.625</v>
      </c>
      <c r="N64" s="1" t="s">
        <v>661</v>
      </c>
    </row>
    <row r="65" spans="1:14" x14ac:dyDescent="0.15">
      <c r="A65" s="1">
        <v>6697</v>
      </c>
      <c r="B65" s="3" t="s">
        <v>607</v>
      </c>
      <c r="C65" s="1" t="s">
        <v>586</v>
      </c>
      <c r="D65" s="5">
        <v>100</v>
      </c>
      <c r="E65" s="5">
        <v>2641</v>
      </c>
      <c r="F65" s="7">
        <v>500</v>
      </c>
      <c r="G65" s="8">
        <v>23.35</v>
      </c>
      <c r="H65" s="5">
        <v>3878200</v>
      </c>
      <c r="I65" s="5">
        <v>2305</v>
      </c>
      <c r="J65" s="5">
        <v>2641</v>
      </c>
      <c r="K65" s="5">
        <v>2259</v>
      </c>
      <c r="L65" s="11">
        <v>43019</v>
      </c>
      <c r="M65" s="10">
        <v>0.625</v>
      </c>
      <c r="N65" s="1" t="s">
        <v>661</v>
      </c>
    </row>
    <row r="66" spans="1:14" x14ac:dyDescent="0.15">
      <c r="A66" s="1">
        <v>6555</v>
      </c>
      <c r="B66" s="3" t="s">
        <v>670</v>
      </c>
      <c r="C66" s="1" t="s">
        <v>586</v>
      </c>
      <c r="D66" s="5">
        <v>100</v>
      </c>
      <c r="E66" s="5">
        <v>1139</v>
      </c>
      <c r="F66" s="7">
        <v>19</v>
      </c>
      <c r="G66" s="8">
        <v>1.7</v>
      </c>
      <c r="H66" s="5">
        <v>1557400</v>
      </c>
      <c r="I66" s="5">
        <v>1111</v>
      </c>
      <c r="J66" s="5">
        <v>1244</v>
      </c>
      <c r="K66" s="5">
        <v>1110</v>
      </c>
      <c r="L66" s="11">
        <v>43019</v>
      </c>
      <c r="M66" s="10">
        <v>0.625</v>
      </c>
      <c r="N66" s="1" t="s">
        <v>661</v>
      </c>
    </row>
    <row r="67" spans="1:14" x14ac:dyDescent="0.15">
      <c r="A67" s="1">
        <v>4124</v>
      </c>
      <c r="B67" s="3" t="s">
        <v>618</v>
      </c>
      <c r="C67" s="1" t="s">
        <v>577</v>
      </c>
      <c r="D67" s="5">
        <v>100</v>
      </c>
      <c r="E67" s="5">
        <v>3905</v>
      </c>
      <c r="F67" s="7">
        <v>-345</v>
      </c>
      <c r="G67" s="8">
        <v>-8.1199999999999992</v>
      </c>
      <c r="H67" s="5">
        <v>1199700</v>
      </c>
      <c r="I67" s="5">
        <v>4110</v>
      </c>
      <c r="J67" s="5">
        <v>4435</v>
      </c>
      <c r="K67" s="5">
        <v>3805</v>
      </c>
      <c r="L67" s="11">
        <v>43019</v>
      </c>
      <c r="M67" s="10">
        <v>0.625</v>
      </c>
      <c r="N67" s="1" t="s">
        <v>661</v>
      </c>
    </row>
    <row r="68" spans="1:14" x14ac:dyDescent="0.15">
      <c r="A68" s="1">
        <v>6556</v>
      </c>
      <c r="B68" s="3" t="s">
        <v>608</v>
      </c>
      <c r="C68" s="1" t="s">
        <v>586</v>
      </c>
      <c r="D68" s="5">
        <v>100</v>
      </c>
      <c r="E68" s="5">
        <v>2929</v>
      </c>
      <c r="F68" s="7">
        <v>84</v>
      </c>
      <c r="G68" s="8">
        <v>2.95</v>
      </c>
      <c r="H68" s="5">
        <v>220700</v>
      </c>
      <c r="I68" s="5">
        <v>2874</v>
      </c>
      <c r="J68" s="5">
        <v>2944</v>
      </c>
      <c r="K68" s="5">
        <v>2865</v>
      </c>
      <c r="L68" s="11">
        <v>43019</v>
      </c>
      <c r="M68" s="10">
        <v>0.625</v>
      </c>
      <c r="N68" s="1" t="s">
        <v>661</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 ref="B50" r:id="rId49" display="https://stocks.finance.yahoo.co.jp/stocks/detail/?code=6553"/>
    <hyperlink ref="B51" r:id="rId50" display="https://stocks.finance.yahoo.co.jp/stocks/detail/?code=3566"/>
    <hyperlink ref="B52" r:id="rId51" display="https://stocks.finance.yahoo.co.jp/stocks/detail/?code=3480"/>
    <hyperlink ref="B53" r:id="rId52" display="https://stocks.finance.yahoo.co.jp/stocks/detail/?code=7810"/>
    <hyperlink ref="B54" r:id="rId53" display="https://stocks.finance.yahoo.co.jp/stocks/detail/?code=3989"/>
    <hyperlink ref="B55" r:id="rId54" display="https://stocks.finance.yahoo.co.jp/stocks/detail/?code=6696"/>
    <hyperlink ref="B56" r:id="rId55" display="https://stocks.finance.yahoo.co.jp/stocks/detail/?code=3990"/>
    <hyperlink ref="B57" r:id="rId56" display="https://stocks.finance.yahoo.co.jp/stocks/detail/?code=6554"/>
    <hyperlink ref="B58" r:id="rId57" display="https://stocks.finance.yahoo.co.jp/stocks/detail/?code=3991"/>
    <hyperlink ref="B59" r:id="rId58" display="https://stocks.finance.yahoo.co.jp/stocks/detail/?code=3992"/>
    <hyperlink ref="B60" r:id="rId59" display="https://stocks.finance.yahoo.co.jp/stocks/detail/?code=3993"/>
    <hyperlink ref="B61" r:id="rId60" display="https://stocks.finance.yahoo.co.jp/stocks/detail/?code=7809"/>
    <hyperlink ref="B62" r:id="rId61" display="https://stocks.finance.yahoo.co.jp/stocks/detail/?code=3482"/>
    <hyperlink ref="B63" r:id="rId62" display="https://stocks.finance.yahoo.co.jp/stocks/detail/?code=9260"/>
    <hyperlink ref="B64" r:id="rId63" display="https://stocks.finance.yahoo.co.jp/stocks/detail/?code=3994"/>
    <hyperlink ref="B65" r:id="rId64" display="https://stocks.finance.yahoo.co.jp/stocks/detail/?code=6697"/>
    <hyperlink ref="B66" r:id="rId65" display="https://stocks.finance.yahoo.co.jp/stocks/detail/?code=6555"/>
    <hyperlink ref="B67" r:id="rId66" display="https://stocks.finance.yahoo.co.jp/stocks/detail/?code=4124"/>
    <hyperlink ref="B68" r:id="rId67" display="https://stocks.finance.yahoo.co.jp/stocks/detail/?code=6556"/>
  </hyperlinks>
  <pageMargins left="0.75" right="0.75" top="1" bottom="1" header="0.51200000000000001" footer="0.51200000000000001"/>
  <headerFooter alignWithMargins="0"/>
  <drawing r:id="rId68"/>
  <legacyDrawing r:id="rId69"/>
  <controls>
    <mc:AlternateContent xmlns:mc="http://schemas.openxmlformats.org/markup-compatibility/2006">
      <mc:Choice Requires="x14">
        <control shapeId="1025" r:id="rId70" name="cmdKabukaGet">
          <controlPr defaultSize="0" autoLine="0" r:id="rId71">
            <anchor moveWithCells="1">
              <from>
                <xdr:col>1</xdr:col>
                <xdr:colOff>1200150</xdr:colOff>
                <xdr:row>0</xdr:row>
                <xdr:rowOff>19050</xdr:rowOff>
              </from>
              <to>
                <xdr:col>1</xdr:col>
                <xdr:colOff>1914525</xdr:colOff>
                <xdr:row>1</xdr:row>
                <xdr:rowOff>9525</xdr:rowOff>
              </to>
            </anchor>
          </controlPr>
        </control>
      </mc:Choice>
      <mc:Fallback>
        <control shapeId="1025" r:id="rId70" name="cmdKabukaGe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Q36"/>
  <sheetViews>
    <sheetView zoomScaleNormal="100" workbookViewId="0">
      <pane xSplit="2" topLeftCell="C1" activePane="topRight" state="frozen"/>
      <selection pane="topRight" activeCell="M20" sqref="M20"/>
    </sheetView>
  </sheetViews>
  <sheetFormatPr defaultRowHeight="15.75" x14ac:dyDescent="0.25"/>
  <cols>
    <col min="1" max="1" width="3.21875" style="53" customWidth="1"/>
    <col min="2" max="2" width="14.21875" style="161" customWidth="1"/>
    <col min="3" max="26" width="11.44140625" style="53" customWidth="1"/>
    <col min="27" max="16384" width="8.88671875" style="53"/>
  </cols>
  <sheetData>
    <row r="1" spans="1:16" ht="16.5" thickBot="1" x14ac:dyDescent="0.3">
      <c r="A1" s="162" t="s">
        <v>505</v>
      </c>
    </row>
    <row r="2" spans="1:16" s="162" customFormat="1" ht="16.5" thickBot="1" x14ac:dyDescent="0.3">
      <c r="B2" s="342" t="s">
        <v>453</v>
      </c>
      <c r="C2" s="456">
        <v>42795</v>
      </c>
      <c r="D2" s="457"/>
      <c r="E2" s="456">
        <v>42826</v>
      </c>
      <c r="F2" s="457"/>
      <c r="G2" s="456">
        <v>42856</v>
      </c>
      <c r="H2" s="457"/>
      <c r="I2" s="456">
        <v>42887</v>
      </c>
      <c r="J2" s="457"/>
      <c r="K2" s="456">
        <v>42917</v>
      </c>
      <c r="L2" s="457"/>
      <c r="M2" s="456">
        <v>42948</v>
      </c>
      <c r="N2" s="457"/>
      <c r="O2" s="456">
        <v>42979</v>
      </c>
      <c r="P2" s="457"/>
    </row>
    <row r="3" spans="1:16" ht="16.5" thickBot="1" x14ac:dyDescent="0.3">
      <c r="C3" s="163" t="s">
        <v>262</v>
      </c>
      <c r="D3" s="164" t="s">
        <v>263</v>
      </c>
      <c r="E3" s="163" t="s">
        <v>262</v>
      </c>
      <c r="F3" s="164" t="s">
        <v>263</v>
      </c>
      <c r="G3" s="163" t="s">
        <v>262</v>
      </c>
      <c r="H3" s="164" t="s">
        <v>263</v>
      </c>
      <c r="I3" s="163" t="s">
        <v>262</v>
      </c>
      <c r="J3" s="164" t="s">
        <v>263</v>
      </c>
      <c r="K3" s="163" t="s">
        <v>262</v>
      </c>
      <c r="L3" s="164" t="s">
        <v>263</v>
      </c>
      <c r="M3" s="163" t="s">
        <v>262</v>
      </c>
      <c r="N3" s="164" t="s">
        <v>263</v>
      </c>
      <c r="O3" s="163" t="s">
        <v>262</v>
      </c>
      <c r="P3" s="164" t="s">
        <v>263</v>
      </c>
    </row>
    <row r="4" spans="1:16" x14ac:dyDescent="0.25">
      <c r="B4" s="161" t="s">
        <v>264</v>
      </c>
      <c r="C4" s="165">
        <f>COUNTIFS('セカンダリ投資分析(SBI証券)'!$P3:$P1048576,"&gt;=0",'セカンダリ投資分析(SBI証券)'!$Q3:$Q1048576,"&gt;="&amp;C2,'セカンダリ投資分析(SBI証券)'!$Q3:$Q1048576,"&lt;"&amp;E2)</f>
        <v>23</v>
      </c>
      <c r="D4" s="166">
        <f>COUNTIFS('セカンダリ投資分析(SBI証券)'!$P3:$P1048576,"&lt;0",'セカンダリ投資分析(SBI証券)'!$Q3:$Q1048576,"&gt;="&amp;C2,'セカンダリ投資分析(SBI証券)'!$Q3:$Q1048576,"&lt;"&amp;E2)</f>
        <v>8</v>
      </c>
      <c r="E4" s="165">
        <f>COUNTIFS('セカンダリ投資分析(SBI証券)'!$P3:$P1048576,"&gt;=0",'セカンダリ投資分析(SBI証券)'!$Q3:$Q1048576,"&gt;="&amp;E2,'セカンダリ投資分析(SBI証券)'!$Q3:$Q1048576,"&lt;"&amp;G2)</f>
        <v>33</v>
      </c>
      <c r="F4" s="166">
        <f>COUNTIFS('セカンダリ投資分析(SBI証券)'!$P3:$P1048576,"&lt;0",'セカンダリ投資分析(SBI証券)'!$Q3:$Q1048576,"&gt;="&amp;E2,'セカンダリ投資分析(SBI証券)'!$Q3:$Q1048576,"&lt;"&amp;G2)</f>
        <v>7</v>
      </c>
      <c r="G4" s="165">
        <f>COUNTIFS('セカンダリ投資分析(SBI証券)'!$P3:$P1048576,"&gt;=0",'セカンダリ投資分析(SBI証券)'!$Q3:$Q1048576,"&gt;="&amp;G2,'セカンダリ投資分析(SBI証券)'!$Q3:$Q1048576,"&lt;"&amp;I2)</f>
        <v>52</v>
      </c>
      <c r="H4" s="166">
        <f>COUNTIFS('セカンダリ投資分析(SBI証券)'!$P3:$P1048576,"&lt;0",'セカンダリ投資分析(SBI証券)'!$Q3:$Q1048576,"&gt;="&amp;G2,'セカンダリ投資分析(SBI証券)'!$Q3:$Q1048576,"&lt;"&amp;I2)</f>
        <v>10</v>
      </c>
      <c r="I4" s="165">
        <f>COUNTIFS('セカンダリ投資分析(SBI証券)'!$P3:$P1048576,"&gt;=0",'セカンダリ投資分析(SBI証券)'!$Q3:$Q1048576,"&gt;="&amp;I2,'セカンダリ投資分析(SBI証券)'!$Q3:$Q1048576,"&lt;"&amp;K2)</f>
        <v>18</v>
      </c>
      <c r="J4" s="166">
        <f>COUNTIFS('セカンダリ投資分析(SBI証券)'!$P3:$P1048576,"&lt;0",'セカンダリ投資分析(SBI証券)'!$Q3:$Q1048576,"&gt;="&amp;I2,'セカンダリ投資分析(SBI証券)'!$Q3:$Q1048576,"&lt;"&amp;K2)</f>
        <v>9</v>
      </c>
      <c r="K4" s="165">
        <f>COUNTIFS('セカンダリ投資分析(SBI証券)'!$P3:$P1048576,"&gt;=0",'セカンダリ投資分析(SBI証券)'!$Q3:$Q1048576,"&gt;="&amp;K2,'セカンダリ投資分析(SBI証券)'!$Q3:$Q1048576,"&lt;"&amp;M2)</f>
        <v>3</v>
      </c>
      <c r="L4" s="166">
        <f>COUNTIFS('セカンダリ投資分析(SBI証券)'!$P3:$P1048576,"&lt;0",'セカンダリ投資分析(SBI証券)'!$Q3:$Q1048576,"&gt;="&amp;K2,'セカンダリ投資分析(SBI証券)'!$Q3:$Q1048576,"&lt;"&amp;M2)</f>
        <v>0</v>
      </c>
      <c r="M4" s="165">
        <f>COUNTIFS('セカンダリ投資分析(SBI証券)'!$P3:$P1048576,"&gt;=0",'セカンダリ投資分析(SBI証券)'!$Q3:$Q1048576,"&gt;="&amp;M2,'セカンダリ投資分析(SBI証券)'!$Q3:$Q1048576,"&lt;"&amp;O2)</f>
        <v>0</v>
      </c>
      <c r="N4" s="166">
        <f>COUNTIFS('セカンダリ投資分析(SBI証券)'!$P3:$P1048576,"&lt;0",'セカンダリ投資分析(SBI証券)'!$Q3:$Q1048576,"&gt;="&amp;M2,'セカンダリ投資分析(SBI証券)'!$Q3:$Q1048576,"&lt;"&amp;O2)</f>
        <v>0</v>
      </c>
      <c r="O4" s="165">
        <f>COUNTIFS('セカンダリ投資分析(SBI証券)'!$P3:$P1048576,"&gt;=0",'セカンダリ投資分析(SBI証券)'!$Q3:$Q1048576,"&gt;="&amp;O2,'セカンダリ投資分析(SBI証券)'!$Q3:$Q1048576,"&lt;"&amp;C9)</f>
        <v>0</v>
      </c>
      <c r="P4" s="166">
        <f>COUNTIFS('セカンダリ投資分析(SBI証券)'!$P3:$P1048576,"&lt;0",'セカンダリ投資分析(SBI証券)'!$Q3:$Q1048576,"&gt;="&amp;O2,'セカンダリ投資分析(SBI証券)'!$Q3:$Q1048576,"&lt;"&amp;C9)</f>
        <v>0</v>
      </c>
    </row>
    <row r="5" spans="1:16" ht="16.5" thickBot="1" x14ac:dyDescent="0.3">
      <c r="B5" s="161" t="s">
        <v>265</v>
      </c>
      <c r="C5" s="167">
        <f>ROUND(SUMIFS('セカンダリ投資分析(SBI証券)'!$P3:$P1048576,'セカンダリ投資分析(SBI証券)'!$P3:$P1048576,"&gt;=0",'セカンダリ投資分析(SBI証券)'!$Q3:$Q1048576,"&gt;="&amp;C2,'セカンダリ投資分析(SBI証券)'!$Q3:$Q1048576,"&lt;"&amp;E2),0)</f>
        <v>386761</v>
      </c>
      <c r="D5" s="168">
        <f>ROUND(SUMIFS('セカンダリ投資分析(SBI証券)'!$P3:$P1048576,'セカンダリ投資分析(SBI証券)'!$P3:$P1048576,"&lt;0",'セカンダリ投資分析(SBI証券)'!$Q3:$Q1048576,"&gt;="&amp;C2,'セカンダリ投資分析(SBI証券)'!$Q3:$Q1048576,"&lt;"&amp;E2),0)</f>
        <v>-464363</v>
      </c>
      <c r="E5" s="167">
        <f>ROUND(SUMIFS('セカンダリ投資分析(SBI証券)'!$P3:$P1048576,'セカンダリ投資分析(SBI証券)'!$P3:$P1048576,"&gt;=0",'セカンダリ投資分析(SBI証券)'!$Q3:$Q1048576,"&gt;="&amp;E2,'セカンダリ投資分析(SBI証券)'!$Q3:$Q1048576,"&lt;"&amp;G2),0)</f>
        <v>287990</v>
      </c>
      <c r="F5" s="168">
        <f>ROUND(SUMIFS('セカンダリ投資分析(SBI証券)'!$P3:$P1048576,'セカンダリ投資分析(SBI証券)'!$P3:$P1048576,"&lt;0",'セカンダリ投資分析(SBI証券)'!$Q3:$Q1048576,"&gt;="&amp;E2,'セカンダリ投資分析(SBI証券)'!$Q3:$Q1048576,"&lt;"&amp;G2),0)</f>
        <v>-434971</v>
      </c>
      <c r="G5" s="167">
        <f>ROUND(SUMIFS('セカンダリ投資分析(SBI証券)'!$P3:$P1048576,'セカンダリ投資分析(SBI証券)'!$P3:$P1048576,"&gt;=0",'セカンダリ投資分析(SBI証券)'!$Q3:$Q1048576,"&gt;="&amp;G2,'セカンダリ投資分析(SBI証券)'!$Q3:$Q1048576,"&lt;"&amp;I2),0)</f>
        <v>350235</v>
      </c>
      <c r="H5" s="168">
        <f>ROUND(SUMIFS('セカンダリ投資分析(SBI証券)'!$P3:$P1048576,'セカンダリ投資分析(SBI証券)'!$P3:$P1048576,"&lt;0",'セカンダリ投資分析(SBI証券)'!$Q3:$Q1048576,"&gt;="&amp;G2,'セカンダリ投資分析(SBI証券)'!$Q3:$Q1048576,"&lt;"&amp;I2),0)</f>
        <v>-189592</v>
      </c>
      <c r="I5" s="167">
        <f>ROUND(SUMIFS('セカンダリ投資分析(SBI証券)'!$P3:$P1048576,'セカンダリ投資分析(SBI証券)'!$P3:$P1048576,"&gt;=0",'セカンダリ投資分析(SBI証券)'!$Q3:$Q1048576,"&gt;="&amp;I2,'セカンダリ投資分析(SBI証券)'!$Q3:$Q1048576,"&lt;"&amp;K2),0)</f>
        <v>245239</v>
      </c>
      <c r="J5" s="168">
        <f>ROUND(SUMIFS('セカンダリ投資分析(SBI証券)'!$P3:$P1048576,'セカンダリ投資分析(SBI証券)'!$P3:$P1048576,"&lt;0",'セカンダリ投資分析(SBI証券)'!$Q3:$Q1048576,"&gt;="&amp;I2,'セカンダリ投資分析(SBI証券)'!$Q3:$Q1048576,"&lt;"&amp;K2),0)</f>
        <v>-262510</v>
      </c>
      <c r="K5" s="167">
        <f>ROUND(SUMIFS('セカンダリ投資分析(SBI証券)'!$P3:$P1048576,'セカンダリ投資分析(SBI証券)'!$P3:$P1048576,"&gt;=0",'セカンダリ投資分析(SBI証券)'!$Q3:$Q1048576,"&gt;="&amp;K2,'セカンダリ投資分析(SBI証券)'!$Q3:$Q1048576,"&lt;"&amp;M2),0)</f>
        <v>22817</v>
      </c>
      <c r="L5" s="168">
        <f>ROUND(SUMIFS('セカンダリ投資分析(SBI証券)'!$P3:$P1048576,'セカンダリ投資分析(SBI証券)'!$P3:$P1048576,"&lt;0",'セカンダリ投資分析(SBI証券)'!$Q3:$Q1048576,"&gt;="&amp;K2,'セカンダリ投資分析(SBI証券)'!$Q3:$Q1048576,"&lt;"&amp;M2),0)</f>
        <v>0</v>
      </c>
      <c r="M5" s="167">
        <f>ROUND(SUMIFS('セカンダリ投資分析(SBI証券)'!$P3:$P1048576,'セカンダリ投資分析(SBI証券)'!$P3:$P1048576,"&gt;=0",'セカンダリ投資分析(SBI証券)'!$Q3:$Q1048576,"&gt;="&amp;M2,'セカンダリ投資分析(SBI証券)'!$Q3:$Q1048576,"&lt;"&amp;O2),0)</f>
        <v>0</v>
      </c>
      <c r="N5" s="168">
        <f>ROUND(SUMIFS('セカンダリ投資分析(SBI証券)'!$P3:$P1048576,'セカンダリ投資分析(SBI証券)'!$P3:$P1048576,"&lt;0",'セカンダリ投資分析(SBI証券)'!$Q3:$Q1048576,"&gt;="&amp;M2,'セカンダリ投資分析(SBI証券)'!$Q3:$Q1048576,"&lt;"&amp;O2),0)</f>
        <v>0</v>
      </c>
      <c r="O5" s="167">
        <f>ROUND(SUMIFS('セカンダリ投資分析(SBI証券)'!$P3:$P1048576,'セカンダリ投資分析(SBI証券)'!$P3:$P1048576,"&gt;=0",'セカンダリ投資分析(SBI証券)'!$Q3:$Q1048576,"&gt;="&amp;O2,'セカンダリ投資分析(SBI証券)'!$Q3:$Q1048576,"&lt;"&amp;C9),0)</f>
        <v>0</v>
      </c>
      <c r="P5" s="168">
        <f>ROUND(SUMIFS('セカンダリ投資分析(SBI証券)'!$P3:$P1048576,'セカンダリ投資分析(SBI証券)'!$P3:$P1048576,"&lt;0",'セカンダリ投資分析(SBI証券)'!$Q3:$Q1048576,"&gt;="&amp;O2,'セカンダリ投資分析(SBI証券)'!$Q3:$Q1048576,"&lt;"&amp;C9),0)</f>
        <v>0</v>
      </c>
    </row>
    <row r="6" spans="1:16" s="162" customFormat="1" ht="16.5" thickBot="1" x14ac:dyDescent="0.3">
      <c r="B6" s="161" t="s">
        <v>266</v>
      </c>
      <c r="C6" s="458">
        <f>C5+D5</f>
        <v>-77602</v>
      </c>
      <c r="D6" s="459"/>
      <c r="E6" s="458">
        <f>E5+F5</f>
        <v>-146981</v>
      </c>
      <c r="F6" s="459"/>
      <c r="G6" s="458">
        <f>G5+H5</f>
        <v>160643</v>
      </c>
      <c r="H6" s="459"/>
      <c r="I6" s="458">
        <f>I5+J5</f>
        <v>-17271</v>
      </c>
      <c r="J6" s="459"/>
      <c r="K6" s="458">
        <f>K5+L5</f>
        <v>22817</v>
      </c>
      <c r="L6" s="459"/>
      <c r="M6" s="458">
        <f>M5+N5</f>
        <v>0</v>
      </c>
      <c r="N6" s="459"/>
      <c r="O6" s="458">
        <f>O5+P5</f>
        <v>0</v>
      </c>
      <c r="P6" s="459"/>
    </row>
    <row r="7" spans="1:16" x14ac:dyDescent="0.25">
      <c r="B7" s="161" t="s">
        <v>268</v>
      </c>
      <c r="C7" s="15">
        <f t="shared" ref="C7:K7" si="0">C5/C4</f>
        <v>16815.695652173912</v>
      </c>
      <c r="D7" s="409">
        <f>IF(D4=0,0,D5/D4)</f>
        <v>-58045.375</v>
      </c>
      <c r="E7" s="15">
        <f t="shared" si="0"/>
        <v>8726.9696969696961</v>
      </c>
      <c r="F7" s="409">
        <f>IF(F4=0,0,F5/F4)</f>
        <v>-62138.714285714283</v>
      </c>
      <c r="G7" s="15">
        <f t="shared" si="0"/>
        <v>6735.2884615384619</v>
      </c>
      <c r="H7" s="409">
        <f>IF(H4=0,0,H5/H4)</f>
        <v>-18959.2</v>
      </c>
      <c r="I7" s="15">
        <f t="shared" si="0"/>
        <v>13624.388888888889</v>
      </c>
      <c r="J7" s="409">
        <f>IF(J4=0,0,J5/J4)</f>
        <v>-29167.777777777777</v>
      </c>
      <c r="K7" s="15">
        <f t="shared" si="0"/>
        <v>7605.666666666667</v>
      </c>
      <c r="L7" s="409">
        <f>IF(L4=0,0,L5/L4)</f>
        <v>0</v>
      </c>
      <c r="M7" s="15">
        <v>0</v>
      </c>
      <c r="N7" s="409">
        <f>IF(N4=0,0,N5/N4)</f>
        <v>0</v>
      </c>
      <c r="O7" s="15">
        <v>0</v>
      </c>
      <c r="P7" s="409">
        <f>IF(P4=0,0,P5/P4)</f>
        <v>0</v>
      </c>
    </row>
    <row r="8" spans="1:16" ht="16.5" thickBot="1" x14ac:dyDescent="0.3">
      <c r="C8" s="15"/>
      <c r="D8" s="15"/>
      <c r="E8" s="15"/>
      <c r="F8" s="15"/>
      <c r="G8" s="15"/>
      <c r="H8" s="15"/>
      <c r="I8" s="15"/>
      <c r="J8" s="15"/>
      <c r="K8" s="15"/>
      <c r="L8" s="409"/>
      <c r="M8" s="15"/>
      <c r="N8" s="15"/>
      <c r="O8" s="15"/>
      <c r="P8" s="15"/>
    </row>
    <row r="9" spans="1:16" ht="16.5" thickBot="1" x14ac:dyDescent="0.3">
      <c r="C9" s="456">
        <v>43009</v>
      </c>
      <c r="D9" s="457"/>
      <c r="E9" s="456">
        <v>43040</v>
      </c>
      <c r="F9" s="457"/>
      <c r="G9" s="456">
        <v>43070</v>
      </c>
      <c r="H9" s="457"/>
      <c r="I9" s="456">
        <v>43101</v>
      </c>
      <c r="J9" s="457"/>
      <c r="K9" s="456">
        <v>43132</v>
      </c>
      <c r="L9" s="457"/>
      <c r="M9" s="456">
        <v>43160</v>
      </c>
      <c r="N9" s="457"/>
    </row>
    <row r="10" spans="1:16" ht="16.5" thickBot="1" x14ac:dyDescent="0.3">
      <c r="C10" s="163" t="s">
        <v>262</v>
      </c>
      <c r="D10" s="164" t="s">
        <v>263</v>
      </c>
      <c r="E10" s="163" t="s">
        <v>262</v>
      </c>
      <c r="F10" s="164" t="s">
        <v>263</v>
      </c>
      <c r="G10" s="163" t="s">
        <v>262</v>
      </c>
      <c r="H10" s="164" t="s">
        <v>263</v>
      </c>
      <c r="I10" s="163" t="s">
        <v>262</v>
      </c>
      <c r="J10" s="164" t="s">
        <v>263</v>
      </c>
      <c r="K10" s="163" t="s">
        <v>262</v>
      </c>
      <c r="L10" s="164" t="s">
        <v>263</v>
      </c>
      <c r="M10" s="163" t="s">
        <v>262</v>
      </c>
      <c r="N10" s="164" t="s">
        <v>263</v>
      </c>
    </row>
    <row r="11" spans="1:16" x14ac:dyDescent="0.25">
      <c r="C11" s="165">
        <f>COUNTIFS('セカンダリ投資分析(SBI証券)'!$P3:$P1048576,"&gt;=0",'セカンダリ投資分析(SBI証券)'!$Q3:$Q1048576,"&gt;="&amp;C9,'セカンダリ投資分析(SBI証券)'!$Q3:$Q1048576,"&lt;"&amp;E9)</f>
        <v>0</v>
      </c>
      <c r="D11" s="166">
        <f>COUNTIFS('セカンダリ投資分析(SBI証券)'!$P3:$P1048576,"&lt;0",'セカンダリ投資分析(SBI証券)'!$Q3:$Q1048576,"&gt;="&amp;C9,'セカンダリ投資分析(SBI証券)'!$Q3:$Q1048576,"&lt;"&amp;E9)</f>
        <v>0</v>
      </c>
      <c r="E11" s="165">
        <f>COUNTIFS('セカンダリ投資分析(SBI証券)'!$P3:$P1048576,"&gt;=0",'セカンダリ投資分析(SBI証券)'!$Q3:$Q1048576,"&gt;="&amp;E9,'セカンダリ投資分析(SBI証券)'!$Q3:$Q1048576,"&lt;"&amp;G9)</f>
        <v>0</v>
      </c>
      <c r="F11" s="166">
        <f>COUNTIFS('セカンダリ投資分析(SBI証券)'!$P3:$P1048576,"&lt;0",'セカンダリ投資分析(SBI証券)'!$Q3:$Q1048576,"&gt;="&amp;E9,'セカンダリ投資分析(SBI証券)'!$Q3:$Q1048576,"&lt;"&amp;G9)</f>
        <v>0</v>
      </c>
      <c r="G11" s="165">
        <f>COUNTIFS('セカンダリ投資分析(SBI証券)'!$P3:$P1048576,"&gt;=0",'セカンダリ投資分析(SBI証券)'!$Q3:$Q1048576,"&gt;="&amp;G9,'セカンダリ投資分析(SBI証券)'!$Q3:$Q1048576,"&lt;"&amp;I9)</f>
        <v>1</v>
      </c>
      <c r="H11" s="166">
        <f>COUNTIFS('セカンダリ投資分析(SBI証券)'!$P3:$P1048576,"&lt;0",'セカンダリ投資分析(SBI証券)'!$Q3:$Q1048576,"&gt;="&amp;G9,'セカンダリ投資分析(SBI証券)'!$Q3:$Q1048576,"&lt;"&amp;I9)</f>
        <v>0</v>
      </c>
      <c r="I11" s="165">
        <f>COUNTIFS('セカンダリ投資分析(SBI証券)'!$P3:$P1048576,"&gt;=0",'セカンダリ投資分析(SBI証券)'!$Q3:$Q1048576,"&gt;="&amp;I9,'セカンダリ投資分析(SBI証券)'!$Q3:$Q1048576,"&lt;"&amp;K9)</f>
        <v>0</v>
      </c>
      <c r="J11" s="166">
        <f>COUNTIFS('セカンダリ投資分析(SBI証券)'!$P3:$P1048576,"&lt;0",'セカンダリ投資分析(SBI証券)'!$Q3:$Q1048576,"&gt;="&amp;I9,'セカンダリ投資分析(SBI証券)'!$Q3:$Q1048576,"&lt;"&amp;K9)</f>
        <v>0</v>
      </c>
      <c r="K11" s="165">
        <f>COUNTIFS('セカンダリ投資分析(SBI証券)'!$P3:$P1048576,"&gt;=0",'セカンダリ投資分析(SBI証券)'!$Q3:$Q1048576,"&gt;="&amp;K9,'セカンダリ投資分析(SBI証券)'!$Q3:$Q1048576,"&lt;"&amp;AA2)</f>
        <v>0</v>
      </c>
      <c r="L11" s="166">
        <f>COUNTIFS('セカンダリ投資分析(SBI証券)'!$P3:$P1048576,"&lt;0",'セカンダリ投資分析(SBI証券)'!$Q3:$Q1048576,"&gt;="&amp;K9,'セカンダリ投資分析(SBI証券)'!$Q3:$Q1048576,"&lt;"&amp;AA2)</f>
        <v>0</v>
      </c>
      <c r="M11" s="165">
        <f>COUNTIFS('セカンダリ投資分析(SBI証券)'!$P3:$P1048576,"&gt;=0",'セカンダリ投資分析(SBI証券)'!$Q3:$Q1048576,"&gt;="&amp;M9,'セカンダリ投資分析(SBI証券)'!$Q3:$Q1048576,"&lt;"&amp;AC2)</f>
        <v>0</v>
      </c>
      <c r="N11" s="166">
        <f>COUNTIFS('セカンダリ投資分析(SBI証券)'!$P3:$P1048576,"&lt;0",'セカンダリ投資分析(SBI証券)'!$Q3:$Q1048576,"&gt;="&amp;M9,'セカンダリ投資分析(SBI証券)'!$Q3:$Q1048576,"&lt;"&amp;AC2)</f>
        <v>0</v>
      </c>
    </row>
    <row r="12" spans="1:16" ht="16.5" thickBot="1" x14ac:dyDescent="0.3">
      <c r="C12" s="167">
        <f>ROUND(SUMIFS('セカンダリ投資分析(SBI証券)'!$P3:$P1048576,'セカンダリ投資分析(SBI証券)'!$P3:$P1048576,"&gt;=0",'セカンダリ投資分析(SBI証券)'!$Q3:$Q1048576,"&gt;="&amp;C9,'セカンダリ投資分析(SBI証券)'!$Q3:$Q1048576,"&lt;"&amp;E9),0)</f>
        <v>0</v>
      </c>
      <c r="D12" s="168">
        <f>ROUND(SUMIFS('セカンダリ投資分析(SBI証券)'!$P3:$P1048576,'セカンダリ投資分析(SBI証券)'!$P3:$P1048576,"&lt;0",'セカンダリ投資分析(SBI証券)'!$Q3:$Q1048576,"&gt;="&amp;C9,'セカンダリ投資分析(SBI証券)'!$Q3:$Q1048576,"&lt;"&amp;E9),0)</f>
        <v>0</v>
      </c>
      <c r="E12" s="167">
        <f>ROUND(SUMIFS('セカンダリ投資分析(SBI証券)'!$P3:$P1048576,'セカンダリ投資分析(SBI証券)'!$P3:$P1048576,"&gt;=0",'セカンダリ投資分析(SBI証券)'!$Q3:$Q1048576,"&gt;="&amp;E9,'セカンダリ投資分析(SBI証券)'!$Q3:$Q1048576,"&lt;"&amp;G9),0)</f>
        <v>0</v>
      </c>
      <c r="F12" s="168">
        <f>ROUND(SUMIFS('セカンダリ投資分析(SBI証券)'!$P3:$P1048576,'セカンダリ投資分析(SBI証券)'!$P3:$P1048576,"&lt;0",'セカンダリ投資分析(SBI証券)'!$Q3:$Q1048576,"&gt;="&amp;E9,'セカンダリ投資分析(SBI証券)'!$Q3:$Q1048576,"&lt;"&amp;G9),0)</f>
        <v>0</v>
      </c>
      <c r="G12" s="167">
        <f>ROUND(SUMIFS('セカンダリ投資分析(SBI証券)'!$P3:$P1048576,'セカンダリ投資分析(SBI証券)'!$P3:$P1048576,"&gt;=0",'セカンダリ投資分析(SBI証券)'!$Q3:$Q1048576,"&gt;="&amp;G9,'セカンダリ投資分析(SBI証券)'!$Q3:$Q1048576,"&lt;"&amp;I9),0)</f>
        <v>26920</v>
      </c>
      <c r="H12" s="168">
        <f>ROUND(SUMIFS('セカンダリ投資分析(SBI証券)'!$P3:$P1048576,'セカンダリ投資分析(SBI証券)'!$P3:$P1048576,"&lt;0",'セカンダリ投資分析(SBI証券)'!$Q3:$Q1048576,"&gt;="&amp;G9,'セカンダリ投資分析(SBI証券)'!$Q3:$Q1048576,"&lt;"&amp;I9),0)</f>
        <v>0</v>
      </c>
      <c r="I12" s="167">
        <f>ROUND(SUMIFS('セカンダリ投資分析(SBI証券)'!$P3:$P1048576,'セカンダリ投資分析(SBI証券)'!$P3:$P1048576,"&gt;=0",'セカンダリ投資分析(SBI証券)'!$Q3:$Q1048576,"&gt;="&amp;I9,'セカンダリ投資分析(SBI証券)'!$Q3:$Q1048576,"&lt;"&amp;K9),0)</f>
        <v>0</v>
      </c>
      <c r="J12" s="168">
        <f>ROUND(SUMIFS('セカンダリ投資分析(SBI証券)'!$P3:$P1048576,'セカンダリ投資分析(SBI証券)'!$P3:$P1048576,"&lt;0",'セカンダリ投資分析(SBI証券)'!$Q3:$Q1048576,"&gt;="&amp;I9,'セカンダリ投資分析(SBI証券)'!$Q3:$Q1048576,"&lt;"&amp;K9),0)</f>
        <v>0</v>
      </c>
      <c r="K12" s="167">
        <f>ROUND(SUMIFS('セカンダリ投資分析(SBI証券)'!$P3:$P1048576,'セカンダリ投資分析(SBI証券)'!$P3:$P1048576,"&gt;=0",'セカンダリ投資分析(SBI証券)'!$Q3:$Q1048576,"&gt;="&amp;K9,'セカンダリ投資分析(SBI証券)'!$Q3:$Q1048576,"&lt;"&amp;AA2),0)</f>
        <v>0</v>
      </c>
      <c r="L12" s="168">
        <f>ROUND(SUMIFS('セカンダリ投資分析(SBI証券)'!$P3:$P1048576,'セカンダリ投資分析(SBI証券)'!$P3:$P1048576,"&lt;0",'セカンダリ投資分析(SBI証券)'!$Q3:$Q1048576,"&gt;="&amp;K9,'セカンダリ投資分析(SBI証券)'!$Q3:$Q1048576,"&lt;"&amp;AA2),0)</f>
        <v>0</v>
      </c>
      <c r="M12" s="167">
        <f>ROUND(SUMIFS('セカンダリ投資分析(SBI証券)'!$P3:$P1048576,'セカンダリ投資分析(SBI証券)'!$P3:$P1048576,"&gt;=0",'セカンダリ投資分析(SBI証券)'!$Q3:$Q1048576,"&gt;="&amp;M9,'セカンダリ投資分析(SBI証券)'!$Q3:$Q1048576,"&lt;"&amp;AC2),0)</f>
        <v>0</v>
      </c>
      <c r="N12" s="168">
        <f>ROUND(SUMIFS('セカンダリ投資分析(SBI証券)'!$P3:$P1048576,'セカンダリ投資分析(SBI証券)'!$P3:$P1048576,"&lt;0",'セカンダリ投資分析(SBI証券)'!$Q3:$Q1048576,"&gt;="&amp;M9,'セカンダリ投資分析(SBI証券)'!$Q3:$Q1048576,"&lt;"&amp;AC2),0)</f>
        <v>0</v>
      </c>
    </row>
    <row r="13" spans="1:16" ht="16.5" thickBot="1" x14ac:dyDescent="0.3">
      <c r="C13" s="458">
        <f>C12+D12</f>
        <v>0</v>
      </c>
      <c r="D13" s="459"/>
      <c r="E13" s="458">
        <f>E12+F12</f>
        <v>0</v>
      </c>
      <c r="F13" s="459"/>
      <c r="G13" s="458">
        <f>G12+H12</f>
        <v>26920</v>
      </c>
      <c r="H13" s="459"/>
      <c r="I13" s="458">
        <f>I12+J12</f>
        <v>0</v>
      </c>
      <c r="J13" s="459"/>
      <c r="K13" s="458">
        <f>K12+L12</f>
        <v>0</v>
      </c>
      <c r="L13" s="459"/>
      <c r="M13" s="458">
        <f>M12+N12</f>
        <v>0</v>
      </c>
      <c r="N13" s="459"/>
    </row>
    <row r="14" spans="1:16" x14ac:dyDescent="0.25">
      <c r="C14" s="15">
        <v>0</v>
      </c>
      <c r="D14" s="409">
        <f>IF(D11=0,0,D12/D11)</f>
        <v>0</v>
      </c>
      <c r="E14" s="15">
        <v>0</v>
      </c>
      <c r="F14" s="409">
        <f>IF(F11=0,0,F12/F11)</f>
        <v>0</v>
      </c>
      <c r="G14" s="15">
        <f t="shared" ref="G14:M14" si="1">G12/G11</f>
        <v>26920</v>
      </c>
      <c r="H14" s="409">
        <f>IF(H11=0,0,H12/H11)</f>
        <v>0</v>
      </c>
      <c r="I14" s="15" t="e">
        <f t="shared" si="1"/>
        <v>#DIV/0!</v>
      </c>
      <c r="J14" s="409">
        <f>IF(J11=0,0,J12/J11)</f>
        <v>0</v>
      </c>
      <c r="K14" s="15" t="e">
        <f t="shared" si="1"/>
        <v>#DIV/0!</v>
      </c>
      <c r="L14" s="409">
        <f>IF(L11=0,0,L12/L11)</f>
        <v>0</v>
      </c>
      <c r="M14" s="15" t="e">
        <f t="shared" si="1"/>
        <v>#DIV/0!</v>
      </c>
      <c r="N14" s="409">
        <f>IF(N11=0,0,N12/N11)</f>
        <v>0</v>
      </c>
    </row>
    <row r="15" spans="1:16" x14ac:dyDescent="0.25">
      <c r="C15" s="12"/>
      <c r="D15" s="12"/>
    </row>
    <row r="16" spans="1:16" x14ac:dyDescent="0.25">
      <c r="B16" s="161" t="s">
        <v>267</v>
      </c>
      <c r="C16" s="169">
        <f>SUM(C6:P6)+SUM(C13:N13)</f>
        <v>-31474</v>
      </c>
      <c r="E16" s="162"/>
      <c r="F16" s="170"/>
    </row>
    <row r="17" spans="1:17" x14ac:dyDescent="0.25">
      <c r="B17" s="161" t="s">
        <v>529</v>
      </c>
      <c r="C17" s="169">
        <f>SUM(D20:E24)</f>
        <v>-21190</v>
      </c>
      <c r="D17" s="53" t="s">
        <v>511</v>
      </c>
      <c r="E17" s="162"/>
      <c r="F17" s="170"/>
    </row>
    <row r="18" spans="1:17" ht="16.5" thickBot="1" x14ac:dyDescent="0.3">
      <c r="I18" s="14" t="s">
        <v>516</v>
      </c>
    </row>
    <row r="19" spans="1:17" ht="16.5" thickBot="1" x14ac:dyDescent="0.3">
      <c r="A19" s="366" t="s">
        <v>504</v>
      </c>
      <c r="C19" s="306" t="s">
        <v>500</v>
      </c>
      <c r="D19" s="306" t="s">
        <v>501</v>
      </c>
      <c r="E19" s="306" t="s">
        <v>528</v>
      </c>
      <c r="F19" s="306" t="s">
        <v>503</v>
      </c>
      <c r="G19" s="306" t="s">
        <v>508</v>
      </c>
      <c r="H19" s="306" t="s">
        <v>506</v>
      </c>
      <c r="I19" s="306" t="s">
        <v>507</v>
      </c>
      <c r="J19" s="355" t="s">
        <v>517</v>
      </c>
      <c r="K19" s="378" t="s">
        <v>513</v>
      </c>
      <c r="M19" s="53" t="s">
        <v>514</v>
      </c>
      <c r="Q19" s="377"/>
    </row>
    <row r="20" spans="1:17" ht="16.5" thickTop="1" x14ac:dyDescent="0.25">
      <c r="B20" s="376" t="s">
        <v>495</v>
      </c>
      <c r="C20" s="375">
        <f>SUMIF('セカンダリ投資分析(SBI証券)'!$J$3:'セカンダリ投資分析(SBI証券)'!$J$1048576,"=SBI",'セカンダリ投資分析(SBI証券)'!$P$3:'セカンダリ投資分析(SBI証券)'!$P$1048576)</f>
        <v>-133327.90000000058</v>
      </c>
      <c r="D20" s="397">
        <v>0</v>
      </c>
      <c r="E20" s="397">
        <v>0</v>
      </c>
      <c r="F20" s="375">
        <f>C20+D20+E20</f>
        <v>-133327.90000000058</v>
      </c>
      <c r="G20" s="400">
        <v>4294</v>
      </c>
      <c r="H20" s="403">
        <v>2146800</v>
      </c>
      <c r="I20" s="372">
        <f>H20+F20+G20</f>
        <v>2017766.0999999994</v>
      </c>
      <c r="J20" s="410">
        <f>I20-K20</f>
        <v>2012592.0999999994</v>
      </c>
      <c r="K20" s="411">
        <v>5174</v>
      </c>
      <c r="M20" s="53" t="s">
        <v>742</v>
      </c>
    </row>
    <row r="21" spans="1:17" x14ac:dyDescent="0.25">
      <c r="B21" s="367" t="s">
        <v>496</v>
      </c>
      <c r="C21" s="371">
        <f>SUMIF('セカンダリ投資分析(SBI証券)'!$J$3:'セカンダリ投資分析(SBI証券)'!$J$1048576,"=SMBC日興",'セカンダリ投資分析(SBI証券)'!$P$3:'セカンダリ投資分析(SBI証券)'!$P$1048576)</f>
        <v>86272</v>
      </c>
      <c r="D21" s="398">
        <v>-17375</v>
      </c>
      <c r="E21" s="398">
        <v>0</v>
      </c>
      <c r="F21" s="371">
        <f t="shared" ref="F21:F24" si="2">C21+D21+E21</f>
        <v>68897</v>
      </c>
      <c r="G21" s="401">
        <v>0</v>
      </c>
      <c r="H21" s="404">
        <v>420000</v>
      </c>
      <c r="I21" s="372">
        <f>H21+F21+G21</f>
        <v>488897</v>
      </c>
      <c r="J21" s="406">
        <f>(1213.08*400)</f>
        <v>485232</v>
      </c>
      <c r="K21" s="379">
        <f>I21-J21</f>
        <v>3665</v>
      </c>
      <c r="L21" s="53" t="s">
        <v>509</v>
      </c>
    </row>
    <row r="22" spans="1:17" x14ac:dyDescent="0.25">
      <c r="B22" s="368" t="s">
        <v>497</v>
      </c>
      <c r="C22" s="371">
        <f>SUMIF('セカンダリ投資分析(SBI証券)'!$J$3:'セカンダリ投資分析(SBI証券)'!$J$1048576,"=大和",'セカンダリ投資分析(SBI証券)'!$P$3:'セカンダリ投資分析(SBI証券)'!$P$1048576)</f>
        <v>-3918</v>
      </c>
      <c r="D22" s="398">
        <v>0</v>
      </c>
      <c r="E22" s="398">
        <v>0</v>
      </c>
      <c r="F22" s="371">
        <f t="shared" si="2"/>
        <v>-3918</v>
      </c>
      <c r="G22" s="401">
        <v>6</v>
      </c>
      <c r="H22" s="404">
        <v>400000</v>
      </c>
      <c r="I22" s="372">
        <f>H22+F22+G22</f>
        <v>396088</v>
      </c>
      <c r="J22" s="406">
        <v>0</v>
      </c>
      <c r="K22" s="379">
        <f t="shared" ref="K22:K23" si="3">I22-J22</f>
        <v>396088</v>
      </c>
    </row>
    <row r="23" spans="1:17" x14ac:dyDescent="0.25">
      <c r="B23" s="369" t="s">
        <v>498</v>
      </c>
      <c r="C23" s="371">
        <f>SUMIF('セカンダリ投資分析(SBI証券)'!$J$3:'セカンダリ投資分析(SBI証券)'!$J$1048576,"=マネックス",'セカンダリ投資分析(SBI証券)'!$P$3:'セカンダリ投資分析(SBI証券)'!$P$1048576)</f>
        <v>19500</v>
      </c>
      <c r="D23" s="398">
        <v>-3815</v>
      </c>
      <c r="E23" s="398">
        <v>0</v>
      </c>
      <c r="F23" s="371">
        <f t="shared" si="2"/>
        <v>15685</v>
      </c>
      <c r="G23" s="401">
        <v>122</v>
      </c>
      <c r="H23" s="404">
        <v>294000</v>
      </c>
      <c r="I23" s="372">
        <f>H23+F23+G23</f>
        <v>309807</v>
      </c>
      <c r="J23" s="406">
        <f>(604*500)</f>
        <v>302000</v>
      </c>
      <c r="K23" s="379">
        <f t="shared" si="3"/>
        <v>7807</v>
      </c>
      <c r="L23" s="53" t="s">
        <v>509</v>
      </c>
      <c r="M23" s="53" t="s">
        <v>515</v>
      </c>
    </row>
    <row r="24" spans="1:17" ht="16.5" thickBot="1" x14ac:dyDescent="0.3">
      <c r="B24" s="370" t="s">
        <v>499</v>
      </c>
      <c r="C24" s="373">
        <f>SUMIF('セカンダリ投資分析(SBI証券)'!$J$3:'セカンダリ投資分析(SBI証券)'!$J$1048576,"=岡三OL",'セカンダリ投資分析(SBI証券)'!$P$3:'セカンダリ投資分析(SBI証券)'!$P$1048576)</f>
        <v>0</v>
      </c>
      <c r="D24" s="399">
        <v>0</v>
      </c>
      <c r="E24" s="399">
        <v>0</v>
      </c>
      <c r="F24" s="373">
        <f t="shared" si="2"/>
        <v>0</v>
      </c>
      <c r="G24" s="402">
        <v>0</v>
      </c>
      <c r="H24" s="405">
        <v>0</v>
      </c>
      <c r="I24" s="374">
        <f t="shared" ref="I24" si="4">H24+F24</f>
        <v>0</v>
      </c>
      <c r="J24" s="407">
        <v>0</v>
      </c>
      <c r="K24" s="380">
        <f>I24-J24</f>
        <v>0</v>
      </c>
      <c r="M24" s="53" t="s">
        <v>530</v>
      </c>
    </row>
    <row r="26" spans="1:17" x14ac:dyDescent="0.25">
      <c r="B26" s="161" t="s">
        <v>502</v>
      </c>
      <c r="C26" s="169">
        <f>SUM(C20:C24)</f>
        <v>-31473.900000000576</v>
      </c>
      <c r="D26" s="169">
        <f>SUM(D20:D24)</f>
        <v>-21190</v>
      </c>
      <c r="E26" s="169">
        <f>SUM(E20:E24)</f>
        <v>0</v>
      </c>
      <c r="H26" s="102">
        <f>SUM(H20:H24)</f>
        <v>3260800</v>
      </c>
      <c r="I26" s="102">
        <f>SUM(I20:I24)</f>
        <v>3212558.0999999996</v>
      </c>
      <c r="J26" s="102">
        <f>SUM(J20:J24)</f>
        <v>2799824.0999999996</v>
      </c>
    </row>
    <row r="27" spans="1:17" x14ac:dyDescent="0.25">
      <c r="D27" s="408" t="s">
        <v>512</v>
      </c>
      <c r="E27" s="408" t="s">
        <v>512</v>
      </c>
      <c r="G27" s="408" t="s">
        <v>512</v>
      </c>
      <c r="H27" s="408" t="s">
        <v>512</v>
      </c>
      <c r="I27" s="53" t="s">
        <v>510</v>
      </c>
      <c r="J27" s="408" t="s">
        <v>512</v>
      </c>
    </row>
    <row r="34" spans="10:11" x14ac:dyDescent="0.25">
      <c r="J34" s="102"/>
    </row>
    <row r="36" spans="10:11" x14ac:dyDescent="0.25">
      <c r="K36" s="102"/>
    </row>
  </sheetData>
  <mergeCells count="26">
    <mergeCell ref="C6:D6"/>
    <mergeCell ref="E6:F6"/>
    <mergeCell ref="G6:H6"/>
    <mergeCell ref="I6:J6"/>
    <mergeCell ref="K6:L6"/>
    <mergeCell ref="M2:N2"/>
    <mergeCell ref="O6:P6"/>
    <mergeCell ref="C13:D13"/>
    <mergeCell ref="E13:F13"/>
    <mergeCell ref="G13:H13"/>
    <mergeCell ref="O2:P2"/>
    <mergeCell ref="C9:D9"/>
    <mergeCell ref="E9:F9"/>
    <mergeCell ref="G9:H9"/>
    <mergeCell ref="M9:N9"/>
    <mergeCell ref="M13:N13"/>
    <mergeCell ref="C2:D2"/>
    <mergeCell ref="E2:F2"/>
    <mergeCell ref="G2:H2"/>
    <mergeCell ref="I2:J2"/>
    <mergeCell ref="K2:L2"/>
    <mergeCell ref="I9:J9"/>
    <mergeCell ref="I13:J13"/>
    <mergeCell ref="K9:L9"/>
    <mergeCell ref="K13:L13"/>
    <mergeCell ref="M6:N6"/>
  </mergeCells>
  <phoneticPr fontId="2"/>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X281"/>
  <sheetViews>
    <sheetView topLeftCell="A269" zoomScale="145" zoomScaleNormal="145" workbookViewId="0">
      <selection activeCell="A283" sqref="A283"/>
    </sheetView>
  </sheetViews>
  <sheetFormatPr defaultColWidth="8" defaultRowHeight="15.75" x14ac:dyDescent="0.25"/>
  <cols>
    <col min="1" max="1" width="9.109375" style="53" bestFit="1" customWidth="1"/>
    <col min="2" max="2" width="8.6640625" style="53" bestFit="1" customWidth="1"/>
    <col min="3" max="3" width="8.21875" style="53" customWidth="1"/>
    <col min="4" max="4" width="8.21875" style="53" hidden="1" customWidth="1"/>
    <col min="5" max="5" width="8.21875" style="53" customWidth="1"/>
    <col min="6" max="6" width="8.21875" style="53" hidden="1" customWidth="1"/>
    <col min="7" max="7" width="8.21875" style="53" customWidth="1"/>
    <col min="8" max="8" width="8.21875" style="53" hidden="1" customWidth="1"/>
    <col min="9" max="9" width="8.21875" style="53" customWidth="1"/>
    <col min="10" max="10" width="8.21875" style="53" hidden="1" customWidth="1"/>
    <col min="11" max="11" width="8.21875" style="53" customWidth="1"/>
    <col min="12" max="12" width="8.21875" style="53" hidden="1" customWidth="1"/>
    <col min="13" max="13" width="8.21875" style="53" customWidth="1"/>
    <col min="14" max="14" width="8.21875" style="53" hidden="1" customWidth="1"/>
    <col min="15" max="15" width="8.21875" style="53" customWidth="1"/>
    <col min="16" max="16" width="8.21875" style="53" hidden="1" customWidth="1"/>
    <col min="17" max="17" width="8" style="53"/>
    <col min="18" max="18" width="8" style="53" hidden="1" customWidth="1"/>
    <col min="19" max="19" width="8" style="53"/>
    <col min="20" max="20" width="11.5546875" style="53" hidden="1" customWidth="1"/>
    <col min="21" max="21" width="11.21875" style="53" bestFit="1" customWidth="1"/>
    <col min="22" max="22" width="0" style="53" hidden="1" customWidth="1"/>
    <col min="23" max="23" width="8" style="53"/>
    <col min="24" max="24" width="11.21875" style="53" bestFit="1" customWidth="1"/>
    <col min="25" max="16384" width="8" style="53"/>
  </cols>
  <sheetData>
    <row r="1" spans="1:21" ht="16.5" thickBot="1" x14ac:dyDescent="0.3">
      <c r="A1" s="137"/>
      <c r="B1" s="138" t="s">
        <v>154</v>
      </c>
      <c r="C1" s="139" t="s">
        <v>155</v>
      </c>
      <c r="D1" s="139"/>
      <c r="E1" s="139" t="s">
        <v>156</v>
      </c>
      <c r="F1" s="139"/>
      <c r="G1" s="139" t="s">
        <v>43</v>
      </c>
      <c r="H1" s="139"/>
      <c r="I1" s="139" t="s">
        <v>157</v>
      </c>
      <c r="J1" s="139"/>
      <c r="K1" s="139" t="s">
        <v>57</v>
      </c>
      <c r="L1" s="140"/>
      <c r="M1" s="141" t="s">
        <v>64</v>
      </c>
      <c r="N1" s="142"/>
      <c r="T1" s="151"/>
    </row>
    <row r="2" spans="1:21" ht="16.5" thickBot="1" x14ac:dyDescent="0.3">
      <c r="A2" s="143" t="s">
        <v>158</v>
      </c>
      <c r="B2" s="144" t="s">
        <v>159</v>
      </c>
      <c r="C2" s="29"/>
      <c r="D2" s="29"/>
      <c r="E2" s="29"/>
      <c r="F2" s="29"/>
      <c r="G2" s="29"/>
      <c r="H2" s="29"/>
      <c r="I2" s="29"/>
      <c r="J2" s="29"/>
      <c r="K2" s="29"/>
      <c r="L2" s="29"/>
      <c r="M2" s="29"/>
      <c r="N2" s="136"/>
      <c r="T2" s="151"/>
    </row>
    <row r="3" spans="1:21" x14ac:dyDescent="0.25">
      <c r="A3" s="145" t="s">
        <v>160</v>
      </c>
      <c r="B3" s="146"/>
      <c r="C3" s="31" t="s">
        <v>161</v>
      </c>
      <c r="D3" s="31"/>
      <c r="E3" s="31" t="s">
        <v>162</v>
      </c>
      <c r="F3" s="31"/>
      <c r="G3" s="31"/>
      <c r="H3" s="31"/>
      <c r="I3" s="31"/>
      <c r="J3" s="31"/>
      <c r="K3" s="31"/>
      <c r="L3" s="31"/>
      <c r="M3" s="31"/>
      <c r="N3" s="136"/>
      <c r="S3" s="53" t="s">
        <v>163</v>
      </c>
      <c r="T3" s="136"/>
      <c r="U3" s="450" t="s">
        <v>164</v>
      </c>
    </row>
    <row r="4" spans="1:21" ht="16.5" thickBot="1" x14ac:dyDescent="0.3">
      <c r="A4" s="148" t="s">
        <v>165</v>
      </c>
      <c r="B4" s="149"/>
      <c r="C4" s="32"/>
      <c r="D4" s="32"/>
      <c r="E4" s="32"/>
      <c r="F4" s="32"/>
      <c r="G4" s="32" t="s">
        <v>166</v>
      </c>
      <c r="H4" s="32"/>
      <c r="I4" s="32" t="s">
        <v>167</v>
      </c>
      <c r="J4" s="32"/>
      <c r="K4" s="32" t="s">
        <v>168</v>
      </c>
      <c r="L4" s="32"/>
      <c r="M4" s="32" t="s">
        <v>169</v>
      </c>
      <c r="N4" s="136"/>
      <c r="S4" s="53" t="s">
        <v>170</v>
      </c>
      <c r="T4" s="152"/>
      <c r="U4" s="451">
        <v>42795</v>
      </c>
    </row>
    <row r="5" spans="1:21" x14ac:dyDescent="0.25">
      <c r="A5" s="151" t="s">
        <v>171</v>
      </c>
      <c r="B5" s="136"/>
      <c r="C5" s="136"/>
      <c r="D5" s="136"/>
      <c r="E5" s="136"/>
      <c r="F5" s="136"/>
      <c r="G5" s="136"/>
      <c r="H5" s="136"/>
      <c r="I5" s="136"/>
      <c r="J5" s="136"/>
      <c r="K5" s="136"/>
      <c r="L5" s="136"/>
      <c r="M5" s="136"/>
      <c r="N5" s="136"/>
      <c r="T5" s="152"/>
      <c r="U5" s="152"/>
    </row>
    <row r="6" spans="1:21" ht="16.5" thickBot="1" x14ac:dyDescent="0.3">
      <c r="T6" s="151"/>
    </row>
    <row r="7" spans="1:21" ht="16.5" thickBot="1" x14ac:dyDescent="0.3">
      <c r="A7" s="137"/>
      <c r="B7" s="138" t="s">
        <v>154</v>
      </c>
      <c r="C7" s="139" t="s">
        <v>155</v>
      </c>
      <c r="D7" s="139"/>
      <c r="E7" s="139" t="s">
        <v>156</v>
      </c>
      <c r="F7" s="139"/>
      <c r="G7" s="139" t="s">
        <v>43</v>
      </c>
      <c r="H7" s="139"/>
      <c r="I7" s="139" t="s">
        <v>157</v>
      </c>
      <c r="J7" s="139"/>
      <c r="K7" s="139" t="s">
        <v>57</v>
      </c>
      <c r="L7" s="140"/>
      <c r="M7" s="141" t="s">
        <v>172</v>
      </c>
      <c r="N7" s="142"/>
      <c r="T7" s="151"/>
    </row>
    <row r="8" spans="1:21" ht="16.5" thickBot="1" x14ac:dyDescent="0.3">
      <c r="A8" s="143" t="s">
        <v>158</v>
      </c>
      <c r="B8" s="144" t="s">
        <v>159</v>
      </c>
      <c r="C8" s="29"/>
      <c r="D8" s="29"/>
      <c r="E8" s="29"/>
      <c r="F8" s="29"/>
      <c r="G8" s="29"/>
      <c r="H8" s="29"/>
      <c r="I8" s="29"/>
      <c r="J8" s="29"/>
      <c r="K8" s="29"/>
      <c r="L8" s="29"/>
      <c r="M8" s="29"/>
      <c r="N8" s="136"/>
      <c r="T8" s="151"/>
    </row>
    <row r="9" spans="1:21" x14ac:dyDescent="0.25">
      <c r="A9" s="145" t="s">
        <v>160</v>
      </c>
      <c r="B9" s="146"/>
      <c r="C9" s="31" t="s">
        <v>161</v>
      </c>
      <c r="D9" s="31"/>
      <c r="E9" s="31" t="s">
        <v>162</v>
      </c>
      <c r="F9" s="31"/>
      <c r="G9" s="31"/>
      <c r="H9" s="31"/>
      <c r="I9" s="31"/>
      <c r="J9" s="31"/>
      <c r="K9" s="31"/>
      <c r="L9" s="31"/>
      <c r="M9" s="31"/>
      <c r="N9" s="136"/>
      <c r="S9" s="53" t="s">
        <v>163</v>
      </c>
      <c r="T9" s="136"/>
      <c r="U9" s="450" t="s">
        <v>164</v>
      </c>
    </row>
    <row r="10" spans="1:21" ht="16.5" thickBot="1" x14ac:dyDescent="0.3">
      <c r="A10" s="148" t="s">
        <v>165</v>
      </c>
      <c r="B10" s="149"/>
      <c r="C10" s="32"/>
      <c r="D10" s="32"/>
      <c r="E10" s="32"/>
      <c r="F10" s="32"/>
      <c r="G10" s="32" t="s">
        <v>166</v>
      </c>
      <c r="H10" s="32"/>
      <c r="I10" s="153" t="s">
        <v>173</v>
      </c>
      <c r="J10" s="153"/>
      <c r="K10" s="153" t="s">
        <v>174</v>
      </c>
      <c r="L10" s="153"/>
      <c r="M10" s="32" t="s">
        <v>169</v>
      </c>
      <c r="N10" s="136"/>
      <c r="S10" s="53" t="s">
        <v>170</v>
      </c>
      <c r="T10" s="152"/>
      <c r="U10" s="451">
        <v>42796</v>
      </c>
    </row>
    <row r="11" spans="1:21" x14ac:dyDescent="0.25">
      <c r="A11" s="151" t="s">
        <v>175</v>
      </c>
      <c r="B11" s="53" t="s">
        <v>176</v>
      </c>
      <c r="T11" s="151"/>
    </row>
    <row r="12" spans="1:21" ht="16.5" thickBot="1" x14ac:dyDescent="0.3">
      <c r="T12" s="151"/>
    </row>
    <row r="13" spans="1:21" ht="16.5" thickBot="1" x14ac:dyDescent="0.3">
      <c r="A13" s="137"/>
      <c r="B13" s="138" t="s">
        <v>154</v>
      </c>
      <c r="C13" s="139" t="s">
        <v>177</v>
      </c>
      <c r="D13" s="139"/>
      <c r="E13" s="139" t="s">
        <v>156</v>
      </c>
      <c r="F13" s="139"/>
      <c r="G13" s="139" t="s">
        <v>178</v>
      </c>
      <c r="H13" s="139"/>
      <c r="I13" s="139" t="s">
        <v>179</v>
      </c>
      <c r="J13" s="139"/>
      <c r="K13" s="139" t="s">
        <v>57</v>
      </c>
      <c r="L13" s="140"/>
      <c r="M13" s="141" t="s">
        <v>172</v>
      </c>
      <c r="N13" s="142"/>
      <c r="T13" s="151"/>
    </row>
    <row r="14" spans="1:21" ht="16.5" thickBot="1" x14ac:dyDescent="0.3">
      <c r="A14" s="143" t="s">
        <v>158</v>
      </c>
      <c r="B14" s="144" t="s">
        <v>159</v>
      </c>
      <c r="C14" s="29"/>
      <c r="D14" s="29"/>
      <c r="E14" s="29"/>
      <c r="F14" s="29"/>
      <c r="G14" s="29"/>
      <c r="H14" s="29"/>
      <c r="I14" s="29"/>
      <c r="J14" s="29"/>
      <c r="K14" s="29"/>
      <c r="L14" s="29"/>
      <c r="M14" s="29"/>
      <c r="N14" s="136"/>
      <c r="T14" s="151"/>
    </row>
    <row r="15" spans="1:21" x14ac:dyDescent="0.25">
      <c r="A15" s="145" t="s">
        <v>160</v>
      </c>
      <c r="B15" s="146"/>
      <c r="C15" s="31" t="s">
        <v>161</v>
      </c>
      <c r="D15" s="31"/>
      <c r="E15" s="31" t="s">
        <v>162</v>
      </c>
      <c r="F15" s="31"/>
      <c r="G15" s="31"/>
      <c r="H15" s="31"/>
      <c r="I15" s="31"/>
      <c r="J15" s="31"/>
      <c r="K15" s="31"/>
      <c r="L15" s="31"/>
      <c r="M15" s="31"/>
      <c r="N15" s="136"/>
      <c r="S15" s="53" t="s">
        <v>163</v>
      </c>
      <c r="T15" s="136"/>
      <c r="U15" s="450" t="s">
        <v>164</v>
      </c>
    </row>
    <row r="16" spans="1:21" ht="16.5" thickBot="1" x14ac:dyDescent="0.3">
      <c r="A16" s="148" t="s">
        <v>165</v>
      </c>
      <c r="B16" s="149"/>
      <c r="C16" s="32"/>
      <c r="D16" s="32"/>
      <c r="E16" s="32"/>
      <c r="F16" s="32"/>
      <c r="G16" s="153" t="s">
        <v>167</v>
      </c>
      <c r="H16" s="153"/>
      <c r="I16" s="153" t="s">
        <v>167</v>
      </c>
      <c r="J16" s="153"/>
      <c r="K16" s="32" t="s">
        <v>174</v>
      </c>
      <c r="L16" s="32"/>
      <c r="M16" s="32" t="s">
        <v>169</v>
      </c>
      <c r="N16" s="136"/>
      <c r="S16" s="53" t="s">
        <v>170</v>
      </c>
      <c r="T16" s="152"/>
      <c r="U16" s="451">
        <v>42801</v>
      </c>
    </row>
    <row r="17" spans="1:21" x14ac:dyDescent="0.25">
      <c r="A17" s="151" t="s">
        <v>175</v>
      </c>
      <c r="B17" s="53" t="s">
        <v>180</v>
      </c>
      <c r="T17" s="151"/>
    </row>
    <row r="18" spans="1:21" ht="16.5" thickBot="1" x14ac:dyDescent="0.3">
      <c r="T18" s="151"/>
    </row>
    <row r="19" spans="1:21" ht="16.5" thickBot="1" x14ac:dyDescent="0.3">
      <c r="A19" s="137"/>
      <c r="B19" s="138" t="s">
        <v>154</v>
      </c>
      <c r="C19" s="139" t="s">
        <v>177</v>
      </c>
      <c r="D19" s="139"/>
      <c r="E19" s="139" t="s">
        <v>156</v>
      </c>
      <c r="F19" s="139"/>
      <c r="G19" s="139" t="s">
        <v>178</v>
      </c>
      <c r="H19" s="139"/>
      <c r="I19" s="139" t="s">
        <v>179</v>
      </c>
      <c r="J19" s="139"/>
      <c r="K19" s="139" t="s">
        <v>57</v>
      </c>
      <c r="L19" s="140"/>
      <c r="M19" s="141" t="s">
        <v>172</v>
      </c>
      <c r="N19" s="142"/>
      <c r="T19" s="151"/>
    </row>
    <row r="20" spans="1:21" ht="16.5" thickBot="1" x14ac:dyDescent="0.3">
      <c r="A20" s="143" t="s">
        <v>158</v>
      </c>
      <c r="B20" s="144" t="s">
        <v>159</v>
      </c>
      <c r="C20" s="29"/>
      <c r="D20" s="29"/>
      <c r="E20" s="29"/>
      <c r="F20" s="29"/>
      <c r="G20" s="29"/>
      <c r="H20" s="29"/>
      <c r="I20" s="29"/>
      <c r="J20" s="29"/>
      <c r="K20" s="29"/>
      <c r="L20" s="29"/>
      <c r="M20" s="29"/>
      <c r="N20" s="136"/>
      <c r="T20" s="151"/>
    </row>
    <row r="21" spans="1:21" x14ac:dyDescent="0.25">
      <c r="A21" s="145" t="s">
        <v>160</v>
      </c>
      <c r="B21" s="146"/>
      <c r="C21" s="31" t="s">
        <v>161</v>
      </c>
      <c r="D21" s="31"/>
      <c r="E21" s="31" t="s">
        <v>162</v>
      </c>
      <c r="F21" s="31"/>
      <c r="G21" s="31"/>
      <c r="H21" s="31"/>
      <c r="I21" s="31"/>
      <c r="J21" s="31"/>
      <c r="K21" s="31"/>
      <c r="L21" s="31"/>
      <c r="M21" s="31"/>
      <c r="N21" s="136"/>
      <c r="S21" s="53" t="s">
        <v>163</v>
      </c>
      <c r="T21" s="136"/>
      <c r="U21" s="450" t="s">
        <v>164</v>
      </c>
    </row>
    <row r="22" spans="1:21" ht="16.5" thickBot="1" x14ac:dyDescent="0.3">
      <c r="A22" s="148" t="s">
        <v>165</v>
      </c>
      <c r="B22" s="149"/>
      <c r="C22" s="32"/>
      <c r="D22" s="32"/>
      <c r="E22" s="32"/>
      <c r="F22" s="32"/>
      <c r="G22" s="153" t="s">
        <v>173</v>
      </c>
      <c r="H22" s="153"/>
      <c r="I22" s="153" t="s">
        <v>166</v>
      </c>
      <c r="J22" s="153"/>
      <c r="K22" s="32" t="s">
        <v>174</v>
      </c>
      <c r="L22" s="32"/>
      <c r="M22" s="32" t="s">
        <v>169</v>
      </c>
      <c r="N22" s="136"/>
      <c r="S22" s="53" t="s">
        <v>170</v>
      </c>
      <c r="T22" s="152"/>
      <c r="U22" s="451">
        <v>42802</v>
      </c>
    </row>
    <row r="23" spans="1:21" x14ac:dyDescent="0.25">
      <c r="A23" s="151" t="s">
        <v>175</v>
      </c>
      <c r="B23" s="53" t="s">
        <v>181</v>
      </c>
      <c r="T23" s="151"/>
    </row>
    <row r="24" spans="1:21" ht="16.5" thickBot="1" x14ac:dyDescent="0.3">
      <c r="T24" s="151"/>
    </row>
    <row r="25" spans="1:21" ht="16.5" thickBot="1" x14ac:dyDescent="0.3">
      <c r="A25" s="137"/>
      <c r="B25" s="138" t="s">
        <v>154</v>
      </c>
      <c r="C25" s="139" t="s">
        <v>177</v>
      </c>
      <c r="D25" s="139"/>
      <c r="E25" s="139" t="s">
        <v>156</v>
      </c>
      <c r="F25" s="139"/>
      <c r="G25" s="139" t="s">
        <v>178</v>
      </c>
      <c r="H25" s="139"/>
      <c r="I25" s="139" t="s">
        <v>179</v>
      </c>
      <c r="J25" s="139"/>
      <c r="K25" s="139" t="s">
        <v>57</v>
      </c>
      <c r="L25" s="140"/>
      <c r="M25" s="141" t="s">
        <v>172</v>
      </c>
      <c r="N25" s="142"/>
      <c r="T25" s="151"/>
    </row>
    <row r="26" spans="1:21" ht="16.5" thickBot="1" x14ac:dyDescent="0.3">
      <c r="A26" s="143" t="s">
        <v>158</v>
      </c>
      <c r="B26" s="154" t="s">
        <v>182</v>
      </c>
      <c r="C26" s="29"/>
      <c r="D26" s="29"/>
      <c r="E26" s="29"/>
      <c r="F26" s="29"/>
      <c r="G26" s="29"/>
      <c r="H26" s="29"/>
      <c r="I26" s="29"/>
      <c r="J26" s="29"/>
      <c r="K26" s="29"/>
      <c r="L26" s="29"/>
      <c r="M26" s="29"/>
      <c r="N26" s="136"/>
      <c r="T26" s="151"/>
    </row>
    <row r="27" spans="1:21" x14ac:dyDescent="0.25">
      <c r="A27" s="145" t="s">
        <v>160</v>
      </c>
      <c r="B27" s="146"/>
      <c r="C27" s="31" t="s">
        <v>161</v>
      </c>
      <c r="D27" s="31"/>
      <c r="E27" s="31" t="s">
        <v>162</v>
      </c>
      <c r="F27" s="31"/>
      <c r="G27" s="31"/>
      <c r="H27" s="31"/>
      <c r="I27" s="31"/>
      <c r="J27" s="31"/>
      <c r="K27" s="31"/>
      <c r="L27" s="31"/>
      <c r="M27" s="31"/>
      <c r="N27" s="136"/>
      <c r="S27" s="53" t="s">
        <v>163</v>
      </c>
      <c r="T27" s="136"/>
      <c r="U27" s="450" t="s">
        <v>164</v>
      </c>
    </row>
    <row r="28" spans="1:21" ht="16.5" thickBot="1" x14ac:dyDescent="0.3">
      <c r="A28" s="148" t="s">
        <v>165</v>
      </c>
      <c r="B28" s="149"/>
      <c r="C28" s="32"/>
      <c r="D28" s="32"/>
      <c r="E28" s="32"/>
      <c r="F28" s="32"/>
      <c r="G28" s="155" t="s">
        <v>173</v>
      </c>
      <c r="H28" s="155"/>
      <c r="I28" s="155" t="s">
        <v>166</v>
      </c>
      <c r="J28" s="155"/>
      <c r="K28" s="32" t="s">
        <v>174</v>
      </c>
      <c r="L28" s="32"/>
      <c r="M28" s="153" t="s">
        <v>183</v>
      </c>
      <c r="N28" s="156"/>
      <c r="S28" s="53" t="s">
        <v>184</v>
      </c>
      <c r="T28" s="152"/>
      <c r="U28" s="451">
        <v>42803</v>
      </c>
    </row>
    <row r="29" spans="1:21" x14ac:dyDescent="0.25">
      <c r="A29" s="151" t="s">
        <v>175</v>
      </c>
      <c r="B29" s="53" t="s">
        <v>185</v>
      </c>
      <c r="T29" s="151"/>
    </row>
    <row r="30" spans="1:21" ht="16.5" thickBot="1" x14ac:dyDescent="0.3">
      <c r="T30" s="151"/>
    </row>
    <row r="31" spans="1:21" ht="16.5" thickBot="1" x14ac:dyDescent="0.3">
      <c r="A31" s="137"/>
      <c r="B31" s="138" t="s">
        <v>154</v>
      </c>
      <c r="C31" s="139" t="s">
        <v>177</v>
      </c>
      <c r="D31" s="139"/>
      <c r="E31" s="139" t="s">
        <v>156</v>
      </c>
      <c r="F31" s="139"/>
      <c r="G31" s="139" t="s">
        <v>178</v>
      </c>
      <c r="H31" s="139"/>
      <c r="I31" s="139" t="s">
        <v>179</v>
      </c>
      <c r="J31" s="139"/>
      <c r="K31" s="139" t="s">
        <v>57</v>
      </c>
      <c r="L31" s="140"/>
      <c r="M31" s="141" t="s">
        <v>172</v>
      </c>
      <c r="N31" s="142"/>
      <c r="T31" s="151"/>
    </row>
    <row r="32" spans="1:21" ht="16.5" thickBot="1" x14ac:dyDescent="0.3">
      <c r="A32" s="143" t="s">
        <v>158</v>
      </c>
      <c r="B32" s="144" t="s">
        <v>182</v>
      </c>
      <c r="C32" s="29"/>
      <c r="D32" s="29"/>
      <c r="E32" s="29"/>
      <c r="F32" s="29"/>
      <c r="G32" s="29"/>
      <c r="H32" s="29"/>
      <c r="I32" s="29"/>
      <c r="J32" s="29"/>
      <c r="K32" s="29"/>
      <c r="L32" s="29"/>
      <c r="M32" s="29"/>
      <c r="N32" s="136"/>
      <c r="T32" s="151"/>
    </row>
    <row r="33" spans="1:21" x14ac:dyDescent="0.25">
      <c r="A33" s="145" t="s">
        <v>160</v>
      </c>
      <c r="B33" s="146"/>
      <c r="C33" s="31" t="s">
        <v>161</v>
      </c>
      <c r="D33" s="31"/>
      <c r="E33" s="31" t="s">
        <v>162</v>
      </c>
      <c r="F33" s="31"/>
      <c r="G33" s="31"/>
      <c r="H33" s="31"/>
      <c r="I33" s="31"/>
      <c r="J33" s="31"/>
      <c r="K33" s="31"/>
      <c r="L33" s="31"/>
      <c r="M33" s="31"/>
      <c r="N33" s="136"/>
      <c r="S33" s="53" t="s">
        <v>163</v>
      </c>
      <c r="T33" s="136"/>
      <c r="U33" s="450" t="s">
        <v>164</v>
      </c>
    </row>
    <row r="34" spans="1:21" ht="16.5" thickBot="1" x14ac:dyDescent="0.3">
      <c r="A34" s="148" t="s">
        <v>165</v>
      </c>
      <c r="B34" s="149"/>
      <c r="C34" s="32"/>
      <c r="D34" s="32"/>
      <c r="E34" s="32"/>
      <c r="F34" s="32"/>
      <c r="G34" s="153" t="s">
        <v>186</v>
      </c>
      <c r="H34" s="153"/>
      <c r="I34" s="155" t="s">
        <v>166</v>
      </c>
      <c r="J34" s="155"/>
      <c r="K34" s="157" t="s">
        <v>174</v>
      </c>
      <c r="L34" s="157"/>
      <c r="M34" s="32" t="s">
        <v>183</v>
      </c>
      <c r="N34" s="136"/>
      <c r="S34" s="53" t="s">
        <v>184</v>
      </c>
      <c r="T34" s="152"/>
      <c r="U34" s="451">
        <v>42805</v>
      </c>
    </row>
    <row r="35" spans="1:21" x14ac:dyDescent="0.25">
      <c r="A35" s="151" t="s">
        <v>175</v>
      </c>
      <c r="B35" s="53" t="s">
        <v>187</v>
      </c>
      <c r="K35" s="53" t="s">
        <v>188</v>
      </c>
      <c r="T35" s="151"/>
    </row>
    <row r="36" spans="1:21" ht="16.5" thickBot="1" x14ac:dyDescent="0.3">
      <c r="T36" s="151"/>
    </row>
    <row r="37" spans="1:21" ht="16.5" thickBot="1" x14ac:dyDescent="0.3">
      <c r="A37" s="137"/>
      <c r="B37" s="138" t="s">
        <v>154</v>
      </c>
      <c r="C37" s="139" t="s">
        <v>177</v>
      </c>
      <c r="D37" s="139"/>
      <c r="E37" s="139" t="s">
        <v>156</v>
      </c>
      <c r="F37" s="139"/>
      <c r="G37" s="139" t="s">
        <v>178</v>
      </c>
      <c r="H37" s="139"/>
      <c r="I37" s="139" t="s">
        <v>179</v>
      </c>
      <c r="J37" s="139"/>
      <c r="K37" s="139" t="s">
        <v>57</v>
      </c>
      <c r="L37" s="140"/>
      <c r="M37" s="141" t="s">
        <v>172</v>
      </c>
      <c r="N37" s="142"/>
      <c r="T37" s="151"/>
    </row>
    <row r="38" spans="1:21" ht="16.5" thickBot="1" x14ac:dyDescent="0.3">
      <c r="A38" s="143" t="s">
        <v>158</v>
      </c>
      <c r="B38" s="144" t="s">
        <v>182</v>
      </c>
      <c r="C38" s="29"/>
      <c r="D38" s="29"/>
      <c r="E38" s="29"/>
      <c r="F38" s="29"/>
      <c r="G38" s="29"/>
      <c r="H38" s="29"/>
      <c r="I38" s="29"/>
      <c r="J38" s="29"/>
      <c r="K38" s="29"/>
      <c r="L38" s="29"/>
      <c r="M38" s="29"/>
      <c r="N38" s="136"/>
      <c r="T38" s="151"/>
    </row>
    <row r="39" spans="1:21" x14ac:dyDescent="0.25">
      <c r="A39" s="145" t="s">
        <v>160</v>
      </c>
      <c r="B39" s="146"/>
      <c r="C39" s="158" t="s">
        <v>189</v>
      </c>
      <c r="D39" s="158"/>
      <c r="E39" s="31" t="s">
        <v>162</v>
      </c>
      <c r="F39" s="31"/>
      <c r="G39" s="31"/>
      <c r="H39" s="31"/>
      <c r="I39" s="31"/>
      <c r="J39" s="31"/>
      <c r="K39" s="31"/>
      <c r="L39" s="31"/>
      <c r="M39" s="31"/>
      <c r="N39" s="136"/>
      <c r="S39" s="53" t="s">
        <v>190</v>
      </c>
      <c r="T39" s="136"/>
      <c r="U39" s="450" t="s">
        <v>164</v>
      </c>
    </row>
    <row r="40" spans="1:21" ht="16.5" thickBot="1" x14ac:dyDescent="0.3">
      <c r="A40" s="148" t="s">
        <v>165</v>
      </c>
      <c r="B40" s="149"/>
      <c r="C40" s="32"/>
      <c r="D40" s="32"/>
      <c r="E40" s="32"/>
      <c r="F40" s="32"/>
      <c r="G40" s="153" t="s">
        <v>191</v>
      </c>
      <c r="H40" s="153"/>
      <c r="I40" s="153" t="s">
        <v>192</v>
      </c>
      <c r="J40" s="153"/>
      <c r="K40" s="157" t="s">
        <v>174</v>
      </c>
      <c r="L40" s="157"/>
      <c r="M40" s="153" t="s">
        <v>193</v>
      </c>
      <c r="N40" s="156"/>
      <c r="S40" s="53" t="s">
        <v>194</v>
      </c>
      <c r="T40" s="152"/>
      <c r="U40" s="451">
        <v>42807</v>
      </c>
    </row>
    <row r="41" spans="1:21" x14ac:dyDescent="0.25">
      <c r="A41" s="151" t="s">
        <v>175</v>
      </c>
      <c r="B41" s="53" t="s">
        <v>195</v>
      </c>
      <c r="I41" s="53" t="s">
        <v>196</v>
      </c>
      <c r="T41" s="151"/>
    </row>
    <row r="42" spans="1:21" ht="16.5" thickBot="1" x14ac:dyDescent="0.3">
      <c r="T42" s="151"/>
    </row>
    <row r="43" spans="1:21" ht="16.5" thickBot="1" x14ac:dyDescent="0.3">
      <c r="A43" s="137"/>
      <c r="B43" s="138" t="s">
        <v>154</v>
      </c>
      <c r="C43" s="139" t="s">
        <v>177</v>
      </c>
      <c r="D43" s="139"/>
      <c r="E43" s="139" t="s">
        <v>156</v>
      </c>
      <c r="F43" s="139"/>
      <c r="G43" s="139" t="s">
        <v>178</v>
      </c>
      <c r="H43" s="139"/>
      <c r="I43" s="139" t="s">
        <v>179</v>
      </c>
      <c r="J43" s="139"/>
      <c r="K43" s="139" t="s">
        <v>57</v>
      </c>
      <c r="L43" s="140"/>
      <c r="M43" s="141" t="s">
        <v>172</v>
      </c>
      <c r="N43" s="142"/>
      <c r="T43" s="151"/>
    </row>
    <row r="44" spans="1:21" ht="16.5" thickBot="1" x14ac:dyDescent="0.3">
      <c r="A44" s="143" t="s">
        <v>158</v>
      </c>
      <c r="B44" s="144" t="s">
        <v>182</v>
      </c>
      <c r="C44" s="29"/>
      <c r="D44" s="29"/>
      <c r="E44" s="29"/>
      <c r="F44" s="29"/>
      <c r="G44" s="29"/>
      <c r="H44" s="29"/>
      <c r="I44" s="29"/>
      <c r="J44" s="29"/>
      <c r="K44" s="29"/>
      <c r="L44" s="29"/>
      <c r="M44" s="29"/>
      <c r="N44" s="136"/>
      <c r="T44" s="151"/>
    </row>
    <row r="45" spans="1:21" x14ac:dyDescent="0.25">
      <c r="A45" s="145" t="s">
        <v>160</v>
      </c>
      <c r="B45" s="146"/>
      <c r="C45" s="158" t="s">
        <v>189</v>
      </c>
      <c r="D45" s="158"/>
      <c r="E45" s="31" t="s">
        <v>162</v>
      </c>
      <c r="F45" s="31"/>
      <c r="G45" s="31"/>
      <c r="H45" s="31"/>
      <c r="I45" s="31"/>
      <c r="J45" s="31"/>
      <c r="K45" s="31"/>
      <c r="L45" s="31"/>
      <c r="M45" s="31"/>
      <c r="N45" s="136"/>
      <c r="S45" s="53" t="s">
        <v>190</v>
      </c>
      <c r="T45" s="136"/>
      <c r="U45" s="450" t="s">
        <v>164</v>
      </c>
    </row>
    <row r="46" spans="1:21" ht="16.5" thickBot="1" x14ac:dyDescent="0.3">
      <c r="A46" s="148" t="s">
        <v>165</v>
      </c>
      <c r="B46" s="149"/>
      <c r="C46" s="32"/>
      <c r="D46" s="32"/>
      <c r="E46" s="32"/>
      <c r="F46" s="32"/>
      <c r="G46" s="153" t="s">
        <v>191</v>
      </c>
      <c r="H46" s="153"/>
      <c r="I46" s="153" t="s">
        <v>183</v>
      </c>
      <c r="J46" s="153"/>
      <c r="K46" s="153" t="s">
        <v>197</v>
      </c>
      <c r="L46" s="153"/>
      <c r="M46" s="32" t="s">
        <v>193</v>
      </c>
      <c r="N46" s="136"/>
      <c r="S46" s="53" t="s">
        <v>194</v>
      </c>
      <c r="T46" s="152"/>
      <c r="U46" s="451">
        <v>42809</v>
      </c>
    </row>
    <row r="47" spans="1:21" x14ac:dyDescent="0.25">
      <c r="A47" s="151" t="s">
        <v>175</v>
      </c>
      <c r="T47" s="151"/>
    </row>
    <row r="48" spans="1:21" ht="16.5" thickBot="1" x14ac:dyDescent="0.3">
      <c r="T48" s="151"/>
    </row>
    <row r="49" spans="1:21" ht="16.5" thickBot="1" x14ac:dyDescent="0.3">
      <c r="A49" s="137"/>
      <c r="B49" s="138" t="s">
        <v>154</v>
      </c>
      <c r="C49" s="139" t="s">
        <v>177</v>
      </c>
      <c r="D49" s="139"/>
      <c r="E49" s="139" t="s">
        <v>156</v>
      </c>
      <c r="F49" s="139"/>
      <c r="G49" s="139" t="s">
        <v>178</v>
      </c>
      <c r="H49" s="139"/>
      <c r="I49" s="139" t="s">
        <v>179</v>
      </c>
      <c r="J49" s="139"/>
      <c r="K49" s="139" t="s">
        <v>57</v>
      </c>
      <c r="L49" s="140"/>
      <c r="M49" s="141" t="s">
        <v>172</v>
      </c>
      <c r="N49" s="142"/>
      <c r="T49" s="151"/>
    </row>
    <row r="50" spans="1:21" ht="16.5" thickBot="1" x14ac:dyDescent="0.3">
      <c r="A50" s="143" t="s">
        <v>158</v>
      </c>
      <c r="B50" s="154" t="str">
        <f>CONCATENATE((N52+L52+J52+H52+F51+D51),"万")</f>
        <v>301万</v>
      </c>
      <c r="C50" s="29"/>
      <c r="D50" s="29"/>
      <c r="E50" s="29"/>
      <c r="F50" s="29"/>
      <c r="G50" s="29"/>
      <c r="H50" s="29"/>
      <c r="I50" s="29"/>
      <c r="J50" s="29"/>
      <c r="K50" s="29"/>
      <c r="L50" s="29"/>
      <c r="M50" s="29"/>
      <c r="N50" s="136"/>
      <c r="T50" s="151"/>
    </row>
    <row r="51" spans="1:21" x14ac:dyDescent="0.25">
      <c r="A51" s="145" t="s">
        <v>160</v>
      </c>
      <c r="B51" s="146"/>
      <c r="C51" s="158" t="s">
        <v>198</v>
      </c>
      <c r="D51" s="158" t="str">
        <f>LEFT(C51,LEN(C51)-1)</f>
        <v>13</v>
      </c>
      <c r="E51" s="158" t="s">
        <v>199</v>
      </c>
      <c r="F51" s="158" t="str">
        <f>LEFT(E51,LEN(E51)-1)</f>
        <v>4</v>
      </c>
      <c r="G51" s="31"/>
      <c r="H51" s="31"/>
      <c r="I51" s="31"/>
      <c r="J51" s="31"/>
      <c r="K51" s="31"/>
      <c r="L51" s="31"/>
      <c r="M51" s="31"/>
      <c r="N51" s="136"/>
      <c r="S51" s="53" t="str">
        <f>CONCATENATE((D51+F51),"万")</f>
        <v>17万</v>
      </c>
      <c r="T51" s="136"/>
      <c r="U51" s="450" t="s">
        <v>164</v>
      </c>
    </row>
    <row r="52" spans="1:21" ht="16.5" thickBot="1" x14ac:dyDescent="0.3">
      <c r="A52" s="148" t="s">
        <v>165</v>
      </c>
      <c r="B52" s="149"/>
      <c r="C52" s="32"/>
      <c r="D52" s="32"/>
      <c r="E52" s="32"/>
      <c r="F52" s="32"/>
      <c r="G52" s="155" t="s">
        <v>191</v>
      </c>
      <c r="H52" s="155" t="str">
        <f>LEFT(G52,LEN(G52)-1)</f>
        <v>23</v>
      </c>
      <c r="I52" s="155" t="s">
        <v>183</v>
      </c>
      <c r="J52" s="155" t="str">
        <f>LEFT(I52,LEN(I52)-1)</f>
        <v>95</v>
      </c>
      <c r="K52" s="155" t="s">
        <v>197</v>
      </c>
      <c r="L52" s="155" t="str">
        <f>LEFT(K52,LEN(K52)-1)</f>
        <v>65</v>
      </c>
      <c r="M52" s="153" t="s">
        <v>200</v>
      </c>
      <c r="N52" s="156" t="str">
        <f>LEFT(M52,LEN(M52)-1)</f>
        <v>101</v>
      </c>
      <c r="S52" s="53" t="str">
        <f>CONCATENATE((H52+J52+L52+N52),"万")</f>
        <v>284万</v>
      </c>
      <c r="T52" s="152"/>
      <c r="U52" s="451">
        <v>42810</v>
      </c>
    </row>
    <row r="53" spans="1:21" x14ac:dyDescent="0.25">
      <c r="A53" s="151" t="s">
        <v>171</v>
      </c>
      <c r="B53" s="53" t="s">
        <v>201</v>
      </c>
      <c r="T53" s="151"/>
    </row>
    <row r="54" spans="1:21" ht="16.5" thickBot="1" x14ac:dyDescent="0.3">
      <c r="T54" s="151"/>
    </row>
    <row r="55" spans="1:21" ht="16.5" thickBot="1" x14ac:dyDescent="0.3">
      <c r="A55" s="137"/>
      <c r="B55" s="138" t="s">
        <v>154</v>
      </c>
      <c r="C55" s="139" t="s">
        <v>155</v>
      </c>
      <c r="D55" s="139"/>
      <c r="E55" s="139" t="s">
        <v>156</v>
      </c>
      <c r="F55" s="139"/>
      <c r="G55" s="139" t="s">
        <v>43</v>
      </c>
      <c r="H55" s="139"/>
      <c r="I55" s="139" t="s">
        <v>157</v>
      </c>
      <c r="J55" s="139"/>
      <c r="K55" s="139" t="s">
        <v>57</v>
      </c>
      <c r="L55" s="140"/>
      <c r="M55" s="141" t="s">
        <v>172</v>
      </c>
      <c r="N55" s="142"/>
      <c r="T55" s="151"/>
    </row>
    <row r="56" spans="1:21" ht="16.5" thickBot="1" x14ac:dyDescent="0.3">
      <c r="A56" s="143" t="s">
        <v>158</v>
      </c>
      <c r="B56" s="154" t="str">
        <f>CONCATENATE((N58+L58+J58+H58+F57+D57),"万")</f>
        <v>305万</v>
      </c>
      <c r="C56" s="29"/>
      <c r="D56" s="29"/>
      <c r="E56" s="29"/>
      <c r="F56" s="29"/>
      <c r="G56" s="29"/>
      <c r="H56" s="29"/>
      <c r="I56" s="29"/>
      <c r="J56" s="29"/>
      <c r="K56" s="29"/>
      <c r="L56" s="29"/>
      <c r="M56" s="29"/>
      <c r="N56" s="136"/>
      <c r="T56" s="151"/>
    </row>
    <row r="57" spans="1:21" x14ac:dyDescent="0.25">
      <c r="A57" s="145" t="s">
        <v>160</v>
      </c>
      <c r="B57" s="146"/>
      <c r="C57" s="158" t="s">
        <v>202</v>
      </c>
      <c r="D57" s="158" t="str">
        <f>LEFT(C57,LEN(C57)-1)</f>
        <v>18</v>
      </c>
      <c r="E57" s="84" t="s">
        <v>199</v>
      </c>
      <c r="F57" s="158" t="str">
        <f>LEFT(E57,LEN(E57)-1)</f>
        <v>4</v>
      </c>
      <c r="G57" s="31"/>
      <c r="H57" s="31"/>
      <c r="I57" s="31"/>
      <c r="J57" s="31"/>
      <c r="K57" s="31"/>
      <c r="L57" s="31"/>
      <c r="M57" s="31"/>
      <c r="N57" s="136"/>
      <c r="S57" s="53" t="str">
        <f>CONCATENATE((D57+F57),"万")</f>
        <v>22万</v>
      </c>
      <c r="T57" s="136"/>
      <c r="U57" s="450" t="s">
        <v>164</v>
      </c>
    </row>
    <row r="58" spans="1:21" ht="16.5" thickBot="1" x14ac:dyDescent="0.3">
      <c r="A58" s="148" t="s">
        <v>165</v>
      </c>
      <c r="B58" s="149"/>
      <c r="C58" s="32"/>
      <c r="D58" s="32"/>
      <c r="E58" s="32"/>
      <c r="F58" s="32"/>
      <c r="G58" s="155" t="s">
        <v>191</v>
      </c>
      <c r="H58" s="155" t="str">
        <f>LEFT(G58,LEN(G58)-1)</f>
        <v>23</v>
      </c>
      <c r="I58" s="153" t="s">
        <v>173</v>
      </c>
      <c r="J58" s="153" t="str">
        <f>LEFT(I58,LEN(I58)-1)</f>
        <v>80</v>
      </c>
      <c r="K58" s="153" t="s">
        <v>203</v>
      </c>
      <c r="L58" s="155" t="str">
        <f>LEFT(K58,LEN(K58)-1)</f>
        <v>75</v>
      </c>
      <c r="M58" s="153" t="s">
        <v>204</v>
      </c>
      <c r="N58" s="156" t="str">
        <f>LEFT(M58,LEN(M58)-1)</f>
        <v>105</v>
      </c>
      <c r="S58" s="53" t="str">
        <f>CONCATENATE((H58+J58+L58+N58),"万")</f>
        <v>283万</v>
      </c>
      <c r="T58" s="152"/>
      <c r="U58" s="451">
        <v>42812</v>
      </c>
    </row>
    <row r="59" spans="1:21" x14ac:dyDescent="0.25">
      <c r="A59" s="151" t="s">
        <v>171</v>
      </c>
      <c r="B59" s="53" t="s">
        <v>205</v>
      </c>
      <c r="T59" s="151"/>
    </row>
    <row r="60" spans="1:21" ht="16.5" thickBot="1" x14ac:dyDescent="0.3">
      <c r="T60" s="151"/>
    </row>
    <row r="61" spans="1:21" ht="16.5" thickBot="1" x14ac:dyDescent="0.3">
      <c r="A61" s="137"/>
      <c r="B61" s="138" t="s">
        <v>154</v>
      </c>
      <c r="C61" s="139" t="s">
        <v>155</v>
      </c>
      <c r="D61" s="139"/>
      <c r="E61" s="139" t="s">
        <v>156</v>
      </c>
      <c r="F61" s="139"/>
      <c r="G61" s="139" t="s">
        <v>43</v>
      </c>
      <c r="H61" s="139"/>
      <c r="I61" s="139" t="s">
        <v>157</v>
      </c>
      <c r="J61" s="139"/>
      <c r="K61" s="139" t="s">
        <v>57</v>
      </c>
      <c r="L61" s="140"/>
      <c r="M61" s="141" t="s">
        <v>172</v>
      </c>
      <c r="N61" s="142"/>
      <c r="T61" s="151"/>
    </row>
    <row r="62" spans="1:21" ht="16.5" thickBot="1" x14ac:dyDescent="0.3">
      <c r="A62" s="143" t="s">
        <v>158</v>
      </c>
      <c r="B62" s="159" t="str">
        <f>CONCATENATE((N64+L64+J64+H64+F63+D63),"万")</f>
        <v>289万</v>
      </c>
      <c r="C62" s="77"/>
      <c r="D62" s="29"/>
      <c r="E62" s="29"/>
      <c r="F62" s="29"/>
      <c r="G62" s="29"/>
      <c r="H62" s="29"/>
      <c r="I62" s="29"/>
      <c r="J62" s="29"/>
      <c r="K62" s="29"/>
      <c r="L62" s="29"/>
      <c r="M62" s="29"/>
      <c r="N62" s="136"/>
      <c r="T62" s="151"/>
    </row>
    <row r="63" spans="1:21" x14ac:dyDescent="0.25">
      <c r="A63" s="145" t="s">
        <v>160</v>
      </c>
      <c r="B63" s="160"/>
      <c r="C63" s="84" t="s">
        <v>202</v>
      </c>
      <c r="D63" s="158" t="str">
        <f>LEFT(C63,LEN(C63)-1)</f>
        <v>18</v>
      </c>
      <c r="E63" s="84" t="s">
        <v>199</v>
      </c>
      <c r="F63" s="158" t="str">
        <f>LEFT(E63,LEN(E63)-1)</f>
        <v>4</v>
      </c>
      <c r="G63" s="31"/>
      <c r="H63" s="31"/>
      <c r="I63" s="31"/>
      <c r="J63" s="31"/>
      <c r="K63" s="31"/>
      <c r="L63" s="31"/>
      <c r="M63" s="31"/>
      <c r="N63" s="136"/>
      <c r="S63" s="53" t="str">
        <f>CONCATENATE((D63+F63),"万")</f>
        <v>22万</v>
      </c>
      <c r="T63" s="136"/>
      <c r="U63" s="450" t="s">
        <v>164</v>
      </c>
    </row>
    <row r="64" spans="1:21" ht="16.5" thickBot="1" x14ac:dyDescent="0.3">
      <c r="A64" s="148" t="s">
        <v>165</v>
      </c>
      <c r="B64" s="149"/>
      <c r="C64" s="32"/>
      <c r="D64" s="32"/>
      <c r="E64" s="32"/>
      <c r="F64" s="32"/>
      <c r="G64" s="153" t="s">
        <v>206</v>
      </c>
      <c r="H64" s="155" t="str">
        <f>LEFT(G64,LEN(G64)-1)</f>
        <v>10</v>
      </c>
      <c r="I64" s="155" t="s">
        <v>173</v>
      </c>
      <c r="J64" s="155" t="str">
        <f>LEFT(I64,LEN(I64)-1)</f>
        <v>80</v>
      </c>
      <c r="K64" s="155" t="s">
        <v>203</v>
      </c>
      <c r="L64" s="155" t="str">
        <f>LEFT(K64,LEN(K64)-1)</f>
        <v>75</v>
      </c>
      <c r="M64" s="153" t="s">
        <v>207</v>
      </c>
      <c r="N64" s="156" t="str">
        <f>LEFT(M64,LEN(M64)-1)</f>
        <v>102</v>
      </c>
      <c r="S64" s="53" t="str">
        <f>CONCATENATE((H64+J64+L64+N64),"万")</f>
        <v>267万</v>
      </c>
      <c r="T64" s="152"/>
      <c r="U64" s="451">
        <v>42815</v>
      </c>
    </row>
    <row r="65" spans="1:21" x14ac:dyDescent="0.25">
      <c r="A65" s="151" t="s">
        <v>171</v>
      </c>
      <c r="B65" s="53" t="s">
        <v>208</v>
      </c>
      <c r="T65" s="151"/>
    </row>
    <row r="66" spans="1:21" ht="16.5" thickBot="1" x14ac:dyDescent="0.3">
      <c r="T66" s="151"/>
    </row>
    <row r="67" spans="1:21" ht="16.5" thickBot="1" x14ac:dyDescent="0.3">
      <c r="A67" s="137"/>
      <c r="B67" s="138" t="s">
        <v>154</v>
      </c>
      <c r="C67" s="139" t="s">
        <v>155</v>
      </c>
      <c r="D67" s="139"/>
      <c r="E67" s="139" t="s">
        <v>156</v>
      </c>
      <c r="F67" s="139"/>
      <c r="G67" s="139" t="s">
        <v>43</v>
      </c>
      <c r="H67" s="139"/>
      <c r="I67" s="139" t="s">
        <v>157</v>
      </c>
      <c r="J67" s="139"/>
      <c r="K67" s="139" t="s">
        <v>57</v>
      </c>
      <c r="L67" s="140"/>
      <c r="M67" s="141" t="s">
        <v>172</v>
      </c>
      <c r="N67" s="142"/>
      <c r="T67" s="151"/>
    </row>
    <row r="68" spans="1:21" ht="16.5" thickBot="1" x14ac:dyDescent="0.3">
      <c r="A68" s="143" t="s">
        <v>158</v>
      </c>
      <c r="B68" s="159" t="str">
        <f>CONCATENATE((N70+L70+J70+H70+F69+D69),"万")</f>
        <v>289万</v>
      </c>
      <c r="C68" s="77"/>
      <c r="D68" s="29"/>
      <c r="E68" s="29"/>
      <c r="F68" s="29"/>
      <c r="G68" s="29"/>
      <c r="H68" s="29"/>
      <c r="I68" s="29"/>
      <c r="J68" s="29"/>
      <c r="K68" s="29"/>
      <c r="L68" s="29"/>
      <c r="M68" s="29"/>
      <c r="N68" s="136"/>
      <c r="T68" s="151"/>
    </row>
    <row r="69" spans="1:21" x14ac:dyDescent="0.25">
      <c r="A69" s="145" t="s">
        <v>160</v>
      </c>
      <c r="B69" s="160"/>
      <c r="C69" s="84" t="s">
        <v>202</v>
      </c>
      <c r="D69" s="158" t="str">
        <f>LEFT(C69,LEN(C69)-1)</f>
        <v>18</v>
      </c>
      <c r="E69" s="84" t="s">
        <v>199</v>
      </c>
      <c r="F69" s="158" t="str">
        <f>LEFT(E69,LEN(E69)-1)</f>
        <v>4</v>
      </c>
      <c r="G69" s="31"/>
      <c r="H69" s="31"/>
      <c r="I69" s="31"/>
      <c r="J69" s="31"/>
      <c r="K69" s="31"/>
      <c r="L69" s="31"/>
      <c r="M69" s="31"/>
      <c r="N69" s="136"/>
      <c r="S69" s="53" t="str">
        <f>CONCATENATE((D69+F69),"万")</f>
        <v>22万</v>
      </c>
      <c r="T69" s="136"/>
      <c r="U69" s="450" t="s">
        <v>164</v>
      </c>
    </row>
    <row r="70" spans="1:21" ht="16.5" thickBot="1" x14ac:dyDescent="0.3">
      <c r="A70" s="148" t="s">
        <v>165</v>
      </c>
      <c r="B70" s="149"/>
      <c r="C70" s="32"/>
      <c r="D70" s="32"/>
      <c r="E70" s="32"/>
      <c r="F70" s="32"/>
      <c r="G70" s="153" t="s">
        <v>206</v>
      </c>
      <c r="H70" s="155" t="str">
        <f>LEFT(G70,LEN(G70)-1)</f>
        <v>10</v>
      </c>
      <c r="I70" s="155" t="s">
        <v>173</v>
      </c>
      <c r="J70" s="155" t="str">
        <f>LEFT(I70,LEN(I70)-1)</f>
        <v>80</v>
      </c>
      <c r="K70" s="155" t="s">
        <v>203</v>
      </c>
      <c r="L70" s="155" t="str">
        <f>LEFT(K70,LEN(K70)-1)</f>
        <v>75</v>
      </c>
      <c r="M70" s="153" t="s">
        <v>207</v>
      </c>
      <c r="N70" s="156" t="str">
        <f>LEFT(M70,LEN(M70)-1)</f>
        <v>102</v>
      </c>
      <c r="S70" s="53" t="str">
        <f>CONCATENATE((H70+J70+L70+N70),"万")</f>
        <v>267万</v>
      </c>
      <c r="T70" s="152"/>
      <c r="U70" s="451">
        <v>42816</v>
      </c>
    </row>
    <row r="71" spans="1:21" x14ac:dyDescent="0.25">
      <c r="A71" s="151" t="s">
        <v>171</v>
      </c>
      <c r="B71" s="53" t="s">
        <v>209</v>
      </c>
      <c r="T71" s="151"/>
    </row>
    <row r="72" spans="1:21" ht="16.5" thickBot="1" x14ac:dyDescent="0.3">
      <c r="T72" s="151"/>
    </row>
    <row r="73" spans="1:21" ht="16.5" thickBot="1" x14ac:dyDescent="0.3">
      <c r="A73" s="137"/>
      <c r="B73" s="138" t="s">
        <v>154</v>
      </c>
      <c r="C73" s="139" t="s">
        <v>155</v>
      </c>
      <c r="D73" s="139"/>
      <c r="E73" s="139" t="s">
        <v>156</v>
      </c>
      <c r="F73" s="139"/>
      <c r="G73" s="139" t="s">
        <v>43</v>
      </c>
      <c r="H73" s="139"/>
      <c r="I73" s="139" t="s">
        <v>157</v>
      </c>
      <c r="J73" s="139"/>
      <c r="K73" s="139" t="s">
        <v>57</v>
      </c>
      <c r="L73" s="140"/>
      <c r="M73" s="141" t="s">
        <v>172</v>
      </c>
      <c r="N73" s="142"/>
      <c r="T73" s="151"/>
    </row>
    <row r="74" spans="1:21" ht="16.5" thickBot="1" x14ac:dyDescent="0.3">
      <c r="A74" s="143" t="s">
        <v>158</v>
      </c>
      <c r="B74" s="154" t="str">
        <f>CONCATENATE((N76+L76+J76+H76+F75+D75),"万")</f>
        <v>307万</v>
      </c>
      <c r="C74" s="77"/>
      <c r="D74" s="29"/>
      <c r="E74" s="29"/>
      <c r="F74" s="29"/>
      <c r="G74" s="29"/>
      <c r="H74" s="29"/>
      <c r="I74" s="29"/>
      <c r="J74" s="29"/>
      <c r="K74" s="29"/>
      <c r="L74" s="29"/>
      <c r="M74" s="29"/>
      <c r="N74" s="136"/>
      <c r="T74" s="151"/>
    </row>
    <row r="75" spans="1:21" x14ac:dyDescent="0.25">
      <c r="A75" s="145" t="s">
        <v>160</v>
      </c>
      <c r="B75" s="160"/>
      <c r="C75" s="158" t="s">
        <v>210</v>
      </c>
      <c r="D75" s="158" t="str">
        <f>LEFT(C75,LEN(C75)-1)</f>
        <v>37</v>
      </c>
      <c r="E75" s="84" t="s">
        <v>199</v>
      </c>
      <c r="F75" s="158" t="str">
        <f>LEFT(E75,LEN(E75)-1)</f>
        <v>4</v>
      </c>
      <c r="G75" s="31"/>
      <c r="H75" s="31"/>
      <c r="I75" s="31"/>
      <c r="J75" s="31"/>
      <c r="K75" s="31"/>
      <c r="L75" s="31"/>
      <c r="M75" s="31"/>
      <c r="N75" s="136"/>
      <c r="S75" s="53" t="str">
        <f>CONCATENATE((D75+F75),"万")</f>
        <v>41万</v>
      </c>
      <c r="T75" s="136"/>
      <c r="U75" s="450" t="s">
        <v>164</v>
      </c>
    </row>
    <row r="76" spans="1:21" ht="16.5" thickBot="1" x14ac:dyDescent="0.3">
      <c r="A76" s="148" t="s">
        <v>165</v>
      </c>
      <c r="B76" s="149"/>
      <c r="C76" s="32"/>
      <c r="D76" s="32"/>
      <c r="E76" s="32"/>
      <c r="F76" s="32"/>
      <c r="G76" s="153" t="s">
        <v>211</v>
      </c>
      <c r="H76" s="155" t="str">
        <f>LEFT(G76,LEN(G76)-1)</f>
        <v>33</v>
      </c>
      <c r="I76" s="153" t="s">
        <v>168</v>
      </c>
      <c r="J76" s="155" t="str">
        <f>LEFT(I76,LEN(I76)-1)</f>
        <v>50</v>
      </c>
      <c r="K76" s="153" t="s">
        <v>212</v>
      </c>
      <c r="L76" s="155" t="str">
        <f>LEFT(K76,LEN(K76)-1)</f>
        <v>73</v>
      </c>
      <c r="M76" s="153" t="s">
        <v>213</v>
      </c>
      <c r="N76" s="156" t="str">
        <f>LEFT(M76,LEN(M76)-1)</f>
        <v>110</v>
      </c>
      <c r="S76" s="53" t="str">
        <f>CONCATENATE((H76+J76+L76+N76),"万")</f>
        <v>266万</v>
      </c>
      <c r="T76" s="152"/>
      <c r="U76" s="451">
        <v>42817</v>
      </c>
    </row>
    <row r="77" spans="1:21" x14ac:dyDescent="0.25">
      <c r="A77" s="151" t="s">
        <v>171</v>
      </c>
      <c r="B77" s="53" t="s">
        <v>214</v>
      </c>
      <c r="T77" s="151"/>
    </row>
    <row r="78" spans="1:21" ht="16.5" thickBot="1" x14ac:dyDescent="0.3">
      <c r="T78" s="151"/>
    </row>
    <row r="79" spans="1:21" ht="16.5" thickBot="1" x14ac:dyDescent="0.3">
      <c r="A79" s="137"/>
      <c r="B79" s="138" t="s">
        <v>154</v>
      </c>
      <c r="C79" s="139" t="s">
        <v>155</v>
      </c>
      <c r="D79" s="139"/>
      <c r="E79" s="139" t="s">
        <v>156</v>
      </c>
      <c r="F79" s="139"/>
      <c r="G79" s="139" t="s">
        <v>43</v>
      </c>
      <c r="H79" s="139"/>
      <c r="I79" s="139" t="s">
        <v>157</v>
      </c>
      <c r="J79" s="139"/>
      <c r="K79" s="139" t="s">
        <v>57</v>
      </c>
      <c r="L79" s="140"/>
      <c r="M79" s="141" t="s">
        <v>172</v>
      </c>
      <c r="N79" s="142"/>
      <c r="T79" s="151"/>
    </row>
    <row r="80" spans="1:21" ht="16.5" thickBot="1" x14ac:dyDescent="0.3">
      <c r="A80" s="143" t="s">
        <v>158</v>
      </c>
      <c r="B80" s="154" t="str">
        <f>CONCATENATE((N82+L82+J82+H82+F81+D81),"万")</f>
        <v>316万</v>
      </c>
      <c r="C80" s="77"/>
      <c r="D80" s="29"/>
      <c r="E80" s="29"/>
      <c r="F80" s="29"/>
      <c r="G80" s="29"/>
      <c r="H80" s="29"/>
      <c r="I80" s="29"/>
      <c r="J80" s="29"/>
      <c r="K80" s="29"/>
      <c r="L80" s="29"/>
      <c r="M80" s="29"/>
      <c r="N80" s="136"/>
      <c r="T80" s="151"/>
    </row>
    <row r="81" spans="1:21" x14ac:dyDescent="0.25">
      <c r="A81" s="145" t="s">
        <v>160</v>
      </c>
      <c r="B81" s="160"/>
      <c r="C81" s="158" t="s">
        <v>191</v>
      </c>
      <c r="D81" s="158" t="str">
        <f>LEFT(C81,LEN(C81)-1)</f>
        <v>23</v>
      </c>
      <c r="E81" s="84" t="s">
        <v>199</v>
      </c>
      <c r="F81" s="158" t="str">
        <f>LEFT(E81,LEN(E81)-1)</f>
        <v>4</v>
      </c>
      <c r="G81" s="31"/>
      <c r="H81" s="31"/>
      <c r="I81" s="31"/>
      <c r="J81" s="31"/>
      <c r="K81" s="31"/>
      <c r="L81" s="31"/>
      <c r="M81" s="31"/>
      <c r="N81" s="136"/>
      <c r="S81" s="53" t="str">
        <f>CONCATENATE((D81+F81),"万")</f>
        <v>27万</v>
      </c>
      <c r="T81" s="136"/>
      <c r="U81" s="450" t="s">
        <v>164</v>
      </c>
    </row>
    <row r="82" spans="1:21" ht="16.5" thickBot="1" x14ac:dyDescent="0.3">
      <c r="A82" s="148" t="s">
        <v>165</v>
      </c>
      <c r="B82" s="149"/>
      <c r="C82" s="32"/>
      <c r="D82" s="32"/>
      <c r="E82" s="32"/>
      <c r="F82" s="32"/>
      <c r="G82" s="155" t="s">
        <v>211</v>
      </c>
      <c r="H82" s="155" t="str">
        <f>LEFT(G82,LEN(G82)-1)</f>
        <v>33</v>
      </c>
      <c r="I82" s="155" t="s">
        <v>168</v>
      </c>
      <c r="J82" s="155" t="str">
        <f>LEFT(I82,LEN(I82)-1)</f>
        <v>50</v>
      </c>
      <c r="K82" s="155" t="s">
        <v>212</v>
      </c>
      <c r="L82" s="155" t="str">
        <f>LEFT(K82,LEN(K82)-1)</f>
        <v>73</v>
      </c>
      <c r="M82" s="153" t="s">
        <v>215</v>
      </c>
      <c r="N82" s="156" t="str">
        <f>LEFT(M82,LEN(M82)-1)</f>
        <v>133</v>
      </c>
      <c r="S82" s="53" t="str">
        <f>CONCATENATE((H82+J82+L82+N82),"万")</f>
        <v>289万</v>
      </c>
      <c r="T82" s="152"/>
      <c r="U82" s="451">
        <v>42821</v>
      </c>
    </row>
    <row r="83" spans="1:21" x14ac:dyDescent="0.25">
      <c r="A83" s="151" t="s">
        <v>171</v>
      </c>
      <c r="B83" s="53" t="s">
        <v>216</v>
      </c>
      <c r="T83" s="151"/>
    </row>
    <row r="84" spans="1:21" ht="16.5" thickBot="1" x14ac:dyDescent="0.3">
      <c r="T84" s="151"/>
    </row>
    <row r="85" spans="1:21" ht="16.5" thickBot="1" x14ac:dyDescent="0.3">
      <c r="A85" s="137"/>
      <c r="B85" s="138" t="s">
        <v>154</v>
      </c>
      <c r="C85" s="139" t="s">
        <v>155</v>
      </c>
      <c r="D85" s="139"/>
      <c r="E85" s="139" t="s">
        <v>156</v>
      </c>
      <c r="F85" s="139"/>
      <c r="G85" s="139" t="s">
        <v>43</v>
      </c>
      <c r="H85" s="139"/>
      <c r="I85" s="139" t="s">
        <v>157</v>
      </c>
      <c r="J85" s="139"/>
      <c r="K85" s="139" t="s">
        <v>57</v>
      </c>
      <c r="L85" s="140"/>
      <c r="M85" s="141" t="s">
        <v>172</v>
      </c>
      <c r="N85" s="142"/>
      <c r="T85" s="151"/>
    </row>
    <row r="86" spans="1:21" ht="16.5" thickBot="1" x14ac:dyDescent="0.3">
      <c r="A86" s="143" t="s">
        <v>158</v>
      </c>
      <c r="B86" s="154" t="str">
        <f>CONCATENATE((N88+L88+J88+H88+F87+D87),"万")</f>
        <v>312万</v>
      </c>
      <c r="C86" s="77"/>
      <c r="D86" s="29"/>
      <c r="E86" s="29"/>
      <c r="F86" s="29"/>
      <c r="G86" s="29"/>
      <c r="H86" s="29"/>
      <c r="I86" s="29"/>
      <c r="J86" s="29"/>
      <c r="K86" s="29"/>
      <c r="L86" s="29"/>
      <c r="M86" s="29"/>
      <c r="N86" s="136"/>
      <c r="T86" s="151"/>
    </row>
    <row r="87" spans="1:21" x14ac:dyDescent="0.25">
      <c r="A87" s="145" t="s">
        <v>160</v>
      </c>
      <c r="B87" s="160"/>
      <c r="C87" s="84" t="s">
        <v>191</v>
      </c>
      <c r="D87" s="158" t="str">
        <f>LEFT(C87,LEN(C87)-1)</f>
        <v>23</v>
      </c>
      <c r="E87" s="84" t="s">
        <v>199</v>
      </c>
      <c r="F87" s="158" t="str">
        <f>LEFT(E87,LEN(E87)-1)</f>
        <v>4</v>
      </c>
      <c r="G87" s="31"/>
      <c r="H87" s="31"/>
      <c r="I87" s="31"/>
      <c r="J87" s="31"/>
      <c r="K87" s="31"/>
      <c r="L87" s="31"/>
      <c r="M87" s="31"/>
      <c r="N87" s="136"/>
      <c r="S87" s="53" t="str">
        <f>CONCATENATE((D87+F87),"万")</f>
        <v>27万</v>
      </c>
      <c r="T87" s="136"/>
      <c r="U87" s="450" t="s">
        <v>164</v>
      </c>
    </row>
    <row r="88" spans="1:21" ht="16.5" thickBot="1" x14ac:dyDescent="0.3">
      <c r="A88" s="148" t="s">
        <v>165</v>
      </c>
      <c r="B88" s="149"/>
      <c r="C88" s="32"/>
      <c r="D88" s="32"/>
      <c r="E88" s="32"/>
      <c r="F88" s="32"/>
      <c r="G88" s="155" t="s">
        <v>211</v>
      </c>
      <c r="H88" s="155" t="str">
        <f>LEFT(G88,LEN(G88)-1)</f>
        <v>33</v>
      </c>
      <c r="I88" s="155" t="s">
        <v>168</v>
      </c>
      <c r="J88" s="155" t="str">
        <f>LEFT(I88,LEN(I88)-1)</f>
        <v>50</v>
      </c>
      <c r="K88" s="153" t="s">
        <v>217</v>
      </c>
      <c r="L88" s="155" t="str">
        <f>LEFT(K88,LEN(K88)-1)</f>
        <v>71</v>
      </c>
      <c r="M88" s="153" t="s">
        <v>218</v>
      </c>
      <c r="N88" s="156" t="str">
        <f>LEFT(M88,LEN(M88)-1)</f>
        <v>131</v>
      </c>
      <c r="S88" s="53" t="str">
        <f>CONCATENATE((H88+J88+L88+N88),"万")</f>
        <v>285万</v>
      </c>
      <c r="T88" s="152"/>
      <c r="U88" s="451">
        <v>42824</v>
      </c>
    </row>
    <row r="89" spans="1:21" x14ac:dyDescent="0.25">
      <c r="A89" s="151" t="s">
        <v>171</v>
      </c>
      <c r="B89" s="53" t="s">
        <v>219</v>
      </c>
      <c r="T89" s="151"/>
    </row>
    <row r="90" spans="1:21" ht="16.5" thickBot="1" x14ac:dyDescent="0.3">
      <c r="T90" s="151"/>
    </row>
    <row r="91" spans="1:21" ht="16.5" thickBot="1" x14ac:dyDescent="0.3">
      <c r="A91" s="137"/>
      <c r="B91" s="138" t="s">
        <v>154</v>
      </c>
      <c r="C91" s="139" t="s">
        <v>155</v>
      </c>
      <c r="D91" s="139"/>
      <c r="E91" s="139" t="s">
        <v>156</v>
      </c>
      <c r="F91" s="139"/>
      <c r="G91" s="139" t="s">
        <v>43</v>
      </c>
      <c r="H91" s="139"/>
      <c r="I91" s="139" t="s">
        <v>157</v>
      </c>
      <c r="J91" s="139"/>
      <c r="K91" s="139" t="s">
        <v>57</v>
      </c>
      <c r="L91" s="140"/>
      <c r="M91" s="141" t="s">
        <v>172</v>
      </c>
      <c r="N91" s="142"/>
      <c r="T91" s="151"/>
    </row>
    <row r="92" spans="1:21" ht="16.5" thickBot="1" x14ac:dyDescent="0.3">
      <c r="A92" s="143" t="s">
        <v>158</v>
      </c>
      <c r="B92" s="154" t="str">
        <f>CONCATENATE((N94+L94+J94+H94+F93+D93),"万")</f>
        <v>312万</v>
      </c>
      <c r="C92" s="77"/>
      <c r="D92" s="29"/>
      <c r="E92" s="29"/>
      <c r="F92" s="29"/>
      <c r="G92" s="29"/>
      <c r="H92" s="29"/>
      <c r="I92" s="29"/>
      <c r="J92" s="29"/>
      <c r="K92" s="29"/>
      <c r="L92" s="29"/>
      <c r="M92" s="29"/>
      <c r="N92" s="136"/>
      <c r="T92" s="151"/>
    </row>
    <row r="93" spans="1:21" x14ac:dyDescent="0.25">
      <c r="A93" s="145" t="s">
        <v>160</v>
      </c>
      <c r="B93" s="160"/>
      <c r="C93" s="158" t="s">
        <v>220</v>
      </c>
      <c r="D93" s="158" t="str">
        <f>LEFT(C93,LEN(C93)-1)</f>
        <v>53</v>
      </c>
      <c r="E93" s="84" t="s">
        <v>199</v>
      </c>
      <c r="F93" s="158" t="str">
        <f>LEFT(E93,LEN(E93)-1)</f>
        <v>4</v>
      </c>
      <c r="G93" s="31"/>
      <c r="H93" s="31"/>
      <c r="I93" s="31"/>
      <c r="J93" s="31"/>
      <c r="K93" s="31"/>
      <c r="L93" s="31"/>
      <c r="M93" s="31"/>
      <c r="N93" s="136"/>
      <c r="S93" s="53" t="str">
        <f>CONCATENATE((D93+F93),"万")</f>
        <v>57万</v>
      </c>
      <c r="T93" s="136"/>
      <c r="U93" s="450" t="s">
        <v>164</v>
      </c>
    </row>
    <row r="94" spans="1:21" ht="16.5" thickBot="1" x14ac:dyDescent="0.3">
      <c r="A94" s="148" t="s">
        <v>165</v>
      </c>
      <c r="B94" s="149"/>
      <c r="C94" s="32"/>
      <c r="D94" s="32"/>
      <c r="E94" s="32"/>
      <c r="F94" s="32"/>
      <c r="G94" s="155" t="s">
        <v>211</v>
      </c>
      <c r="H94" s="155" t="str">
        <f>LEFT(G94,LEN(G94)-1)</f>
        <v>33</v>
      </c>
      <c r="I94" s="155" t="s">
        <v>168</v>
      </c>
      <c r="J94" s="155" t="str">
        <f>LEFT(I94,LEN(I94)-1)</f>
        <v>50</v>
      </c>
      <c r="K94" s="153" t="s">
        <v>221</v>
      </c>
      <c r="L94" s="155" t="str">
        <f>LEFT(K94,LEN(K94)-1)</f>
        <v>41</v>
      </c>
      <c r="M94" s="155" t="s">
        <v>218</v>
      </c>
      <c r="N94" s="156" t="str">
        <f>LEFT(M94,LEN(M94)-1)</f>
        <v>131</v>
      </c>
      <c r="S94" s="53" t="str">
        <f>CONCATENATE((H94+J94+L94+N94),"万")</f>
        <v>255万</v>
      </c>
      <c r="T94" s="152"/>
      <c r="U94" s="451">
        <v>42827</v>
      </c>
    </row>
    <row r="95" spans="1:21" x14ac:dyDescent="0.25">
      <c r="A95" s="151" t="s">
        <v>222</v>
      </c>
      <c r="B95" s="53" t="s">
        <v>223</v>
      </c>
      <c r="T95" s="151"/>
    </row>
    <row r="96" spans="1:21" ht="16.5" thickBot="1" x14ac:dyDescent="0.3">
      <c r="T96" s="151"/>
    </row>
    <row r="97" spans="1:21" ht="16.5" thickBot="1" x14ac:dyDescent="0.3">
      <c r="A97" s="137"/>
      <c r="B97" s="138" t="s">
        <v>154</v>
      </c>
      <c r="C97" s="139" t="s">
        <v>224</v>
      </c>
      <c r="D97" s="139"/>
      <c r="E97" s="139" t="s">
        <v>156</v>
      </c>
      <c r="F97" s="139"/>
      <c r="G97" s="139" t="s">
        <v>225</v>
      </c>
      <c r="H97" s="139"/>
      <c r="I97" s="139" t="s">
        <v>226</v>
      </c>
      <c r="J97" s="139"/>
      <c r="K97" s="139" t="s">
        <v>57</v>
      </c>
      <c r="L97" s="140"/>
      <c r="M97" s="141" t="s">
        <v>172</v>
      </c>
      <c r="N97" s="142"/>
      <c r="T97" s="151"/>
    </row>
    <row r="98" spans="1:21" ht="16.5" thickBot="1" x14ac:dyDescent="0.3">
      <c r="A98" s="143" t="s">
        <v>158</v>
      </c>
      <c r="B98" s="154" t="str">
        <f>CONCATENATE((N100+L100+J100+H100+F99+D99),"万")</f>
        <v>312万</v>
      </c>
      <c r="C98" s="77"/>
      <c r="D98" s="29"/>
      <c r="E98" s="29"/>
      <c r="F98" s="29"/>
      <c r="G98" s="29"/>
      <c r="H98" s="29"/>
      <c r="I98" s="29"/>
      <c r="J98" s="29"/>
      <c r="K98" s="29"/>
      <c r="L98" s="29"/>
      <c r="M98" s="29"/>
      <c r="N98" s="136"/>
      <c r="T98" s="151"/>
    </row>
    <row r="99" spans="1:21" x14ac:dyDescent="0.25">
      <c r="A99" s="145" t="s">
        <v>160</v>
      </c>
      <c r="B99" s="160"/>
      <c r="C99" s="158" t="s">
        <v>198</v>
      </c>
      <c r="D99" s="158" t="str">
        <f>LEFT(C99,LEN(C99)-1)</f>
        <v>13</v>
      </c>
      <c r="E99" s="84" t="s">
        <v>199</v>
      </c>
      <c r="F99" s="158" t="str">
        <f>LEFT(E99,LEN(E99)-1)</f>
        <v>4</v>
      </c>
      <c r="G99" s="31"/>
      <c r="H99" s="31"/>
      <c r="I99" s="31"/>
      <c r="J99" s="31"/>
      <c r="K99" s="31"/>
      <c r="L99" s="31"/>
      <c r="M99" s="31"/>
      <c r="N99" s="136"/>
      <c r="S99" s="53" t="str">
        <f>CONCATENATE((D99+F99),"万")</f>
        <v>17万</v>
      </c>
      <c r="T99" s="136"/>
      <c r="U99" s="450" t="s">
        <v>164</v>
      </c>
    </row>
    <row r="100" spans="1:21" ht="16.5" thickBot="1" x14ac:dyDescent="0.3">
      <c r="A100" s="148" t="s">
        <v>165</v>
      </c>
      <c r="B100" s="149"/>
      <c r="C100" s="32"/>
      <c r="D100" s="32"/>
      <c r="E100" s="32"/>
      <c r="F100" s="32"/>
      <c r="G100" s="155" t="s">
        <v>211</v>
      </c>
      <c r="H100" s="155" t="str">
        <f>LEFT(G100,LEN(G100)-1)</f>
        <v>33</v>
      </c>
      <c r="I100" s="155" t="s">
        <v>168</v>
      </c>
      <c r="J100" s="155" t="str">
        <f>LEFT(I100,LEN(I100)-1)</f>
        <v>50</v>
      </c>
      <c r="K100" s="155" t="s">
        <v>221</v>
      </c>
      <c r="L100" s="155" t="str">
        <f>LEFT(K100,LEN(K100)-1)</f>
        <v>41</v>
      </c>
      <c r="M100" s="153" t="s">
        <v>227</v>
      </c>
      <c r="N100" s="156" t="str">
        <f>LEFT(M100,LEN(M100)-1)</f>
        <v>171</v>
      </c>
      <c r="S100" s="53" t="str">
        <f>CONCATENATE((H100+J100+L100+N100),"万")</f>
        <v>295万</v>
      </c>
      <c r="T100" s="152"/>
      <c r="U100" s="451">
        <v>42828</v>
      </c>
    </row>
    <row r="101" spans="1:21" x14ac:dyDescent="0.25">
      <c r="A101" s="151" t="s">
        <v>171</v>
      </c>
      <c r="B101" s="53" t="s">
        <v>228</v>
      </c>
      <c r="T101" s="151"/>
    </row>
    <row r="102" spans="1:21" ht="16.5" thickBot="1" x14ac:dyDescent="0.3">
      <c r="T102" s="151"/>
    </row>
    <row r="103" spans="1:21" ht="16.5" thickBot="1" x14ac:dyDescent="0.3">
      <c r="A103" s="137"/>
      <c r="B103" s="138" t="s">
        <v>154</v>
      </c>
      <c r="C103" s="139" t="s">
        <v>155</v>
      </c>
      <c r="D103" s="139"/>
      <c r="E103" s="139" t="s">
        <v>156</v>
      </c>
      <c r="F103" s="139"/>
      <c r="G103" s="139" t="s">
        <v>43</v>
      </c>
      <c r="H103" s="139"/>
      <c r="I103" s="139" t="s">
        <v>157</v>
      </c>
      <c r="J103" s="139"/>
      <c r="K103" s="139" t="s">
        <v>57</v>
      </c>
      <c r="L103" s="140"/>
      <c r="M103" s="141" t="s">
        <v>172</v>
      </c>
      <c r="N103" s="142"/>
      <c r="T103" s="151"/>
    </row>
    <row r="104" spans="1:21" ht="16.5" thickBot="1" x14ac:dyDescent="0.3">
      <c r="A104" s="143" t="s">
        <v>158</v>
      </c>
      <c r="B104" s="154" t="str">
        <f>CONCATENATE((N106+L106+J106+H106+F105+D105),"万")</f>
        <v>288万</v>
      </c>
      <c r="C104" s="77"/>
      <c r="D104" s="29"/>
      <c r="E104" s="29"/>
      <c r="F104" s="29"/>
      <c r="G104" s="29"/>
      <c r="H104" s="29"/>
      <c r="I104" s="29"/>
      <c r="J104" s="29"/>
      <c r="K104" s="29"/>
      <c r="L104" s="29"/>
      <c r="M104" s="29"/>
      <c r="N104" s="136"/>
      <c r="T104" s="151"/>
    </row>
    <row r="105" spans="1:21" x14ac:dyDescent="0.25">
      <c r="A105" s="145" t="s">
        <v>160</v>
      </c>
      <c r="B105" s="160"/>
      <c r="C105" s="158" t="s">
        <v>229</v>
      </c>
      <c r="D105" s="158" t="str">
        <f>LEFT(C105,LEN(C105)-1)</f>
        <v>11</v>
      </c>
      <c r="E105" s="84" t="s">
        <v>199</v>
      </c>
      <c r="F105" s="158" t="str">
        <f>LEFT(E105,LEN(E105)-1)</f>
        <v>4</v>
      </c>
      <c r="G105" s="31"/>
      <c r="H105" s="31"/>
      <c r="I105" s="31"/>
      <c r="J105" s="31"/>
      <c r="K105" s="31"/>
      <c r="L105" s="31"/>
      <c r="M105" s="31"/>
      <c r="N105" s="136"/>
      <c r="S105" s="53" t="str">
        <f>CONCATENATE((D105+F105),"万")</f>
        <v>15万</v>
      </c>
      <c r="T105" s="136"/>
      <c r="U105" s="450" t="s">
        <v>164</v>
      </c>
    </row>
    <row r="106" spans="1:21" ht="16.5" thickBot="1" x14ac:dyDescent="0.3">
      <c r="A106" s="148" t="s">
        <v>165</v>
      </c>
      <c r="B106" s="149"/>
      <c r="C106" s="32"/>
      <c r="D106" s="32"/>
      <c r="E106" s="32"/>
      <c r="F106" s="32"/>
      <c r="G106" s="155" t="s">
        <v>211</v>
      </c>
      <c r="H106" s="155" t="str">
        <f>LEFT(G106,LEN(G106)-1)</f>
        <v>33</v>
      </c>
      <c r="I106" s="155" t="s">
        <v>168</v>
      </c>
      <c r="J106" s="155" t="str">
        <f>LEFT(I106,LEN(I106)-1)</f>
        <v>50</v>
      </c>
      <c r="K106" s="155" t="s">
        <v>221</v>
      </c>
      <c r="L106" s="155" t="str">
        <f>LEFT(K106,LEN(K106)-1)</f>
        <v>41</v>
      </c>
      <c r="M106" s="153" t="s">
        <v>230</v>
      </c>
      <c r="N106" s="156" t="str">
        <f>LEFT(M106,LEN(M106)-1)</f>
        <v>149</v>
      </c>
      <c r="S106" s="53" t="str">
        <f>CONCATENATE((H106+J106+L106+N106),"万")</f>
        <v>273万</v>
      </c>
      <c r="T106" s="152"/>
      <c r="U106" s="451">
        <v>42832</v>
      </c>
    </row>
    <row r="107" spans="1:21" x14ac:dyDescent="0.25">
      <c r="A107" s="151" t="s">
        <v>222</v>
      </c>
      <c r="B107" s="53" t="s">
        <v>231</v>
      </c>
      <c r="T107" s="151"/>
    </row>
    <row r="108" spans="1:21" ht="16.5" thickBot="1" x14ac:dyDescent="0.3">
      <c r="T108" s="151"/>
    </row>
    <row r="109" spans="1:21" ht="16.5" thickBot="1" x14ac:dyDescent="0.3">
      <c r="A109" s="137"/>
      <c r="B109" s="138" t="s">
        <v>154</v>
      </c>
      <c r="C109" s="139" t="s">
        <v>224</v>
      </c>
      <c r="D109" s="139"/>
      <c r="E109" s="139" t="s">
        <v>156</v>
      </c>
      <c r="F109" s="139"/>
      <c r="G109" s="139" t="s">
        <v>225</v>
      </c>
      <c r="H109" s="139"/>
      <c r="I109" s="139" t="s">
        <v>226</v>
      </c>
      <c r="J109" s="139"/>
      <c r="K109" s="139" t="s">
        <v>57</v>
      </c>
      <c r="L109" s="140"/>
      <c r="M109" s="141" t="s">
        <v>172</v>
      </c>
      <c r="N109" s="142"/>
      <c r="Q109" s="141" t="s">
        <v>232</v>
      </c>
      <c r="R109" s="142"/>
      <c r="T109" s="151"/>
    </row>
    <row r="110" spans="1:21" ht="16.5" thickBot="1" x14ac:dyDescent="0.3">
      <c r="A110" s="143" t="s">
        <v>158</v>
      </c>
      <c r="B110" s="154" t="str">
        <f>CONCATENATE((N112+L112+J112+H112+F111+D111+R112),"万")</f>
        <v>288万</v>
      </c>
      <c r="C110" s="77"/>
      <c r="D110" s="29"/>
      <c r="E110" s="29"/>
      <c r="F110" s="29"/>
      <c r="G110" s="29"/>
      <c r="H110" s="29"/>
      <c r="I110" s="29"/>
      <c r="J110" s="29"/>
      <c r="K110" s="29"/>
      <c r="L110" s="29"/>
      <c r="M110" s="29"/>
      <c r="N110" s="136"/>
      <c r="Q110" s="29"/>
      <c r="R110" s="136"/>
      <c r="T110" s="151"/>
    </row>
    <row r="111" spans="1:21" x14ac:dyDescent="0.25">
      <c r="A111" s="145" t="s">
        <v>160</v>
      </c>
      <c r="B111" s="160"/>
      <c r="C111" s="158" t="s">
        <v>233</v>
      </c>
      <c r="D111" s="158" t="str">
        <f>LEFT(C111,LEN(C111)-1)</f>
        <v>9</v>
      </c>
      <c r="E111" s="84" t="s">
        <v>199</v>
      </c>
      <c r="F111" s="158" t="str">
        <f>LEFT(E111,LEN(E111)-1)</f>
        <v>4</v>
      </c>
      <c r="G111" s="31"/>
      <c r="H111" s="31"/>
      <c r="I111" s="31"/>
      <c r="J111" s="31"/>
      <c r="K111" s="31"/>
      <c r="L111" s="31"/>
      <c r="M111" s="31"/>
      <c r="N111" s="136"/>
      <c r="Q111" s="31"/>
      <c r="R111" s="136"/>
      <c r="S111" s="53" t="str">
        <f>CONCATENATE((D111+F111),"万")</f>
        <v>13万</v>
      </c>
      <c r="T111" s="136"/>
      <c r="U111" s="450" t="s">
        <v>164</v>
      </c>
    </row>
    <row r="112" spans="1:21" ht="16.5" thickBot="1" x14ac:dyDescent="0.3">
      <c r="A112" s="148" t="s">
        <v>165</v>
      </c>
      <c r="B112" s="149"/>
      <c r="C112" s="32"/>
      <c r="D112" s="32"/>
      <c r="E112" s="32"/>
      <c r="F112" s="32"/>
      <c r="G112" s="155" t="s">
        <v>211</v>
      </c>
      <c r="H112" s="155" t="str">
        <f>LEFT(G112,LEN(G112)-1)</f>
        <v>33</v>
      </c>
      <c r="I112" s="155" t="s">
        <v>168</v>
      </c>
      <c r="J112" s="155" t="str">
        <f>LEFT(I112,LEN(I112)-1)</f>
        <v>50</v>
      </c>
      <c r="K112" s="153" t="s">
        <v>234</v>
      </c>
      <c r="L112" s="155" t="str">
        <f>LEFT(K112,LEN(K112)-1)</f>
        <v>26</v>
      </c>
      <c r="M112" s="153" t="s">
        <v>235</v>
      </c>
      <c r="N112" s="156" t="str">
        <f>LEFT(M112,LEN(M112)-1)</f>
        <v>151</v>
      </c>
      <c r="Q112" s="153" t="s">
        <v>236</v>
      </c>
      <c r="R112" s="156" t="str">
        <f>LEFT(Q112,LEN(Q112)-1)</f>
        <v>15</v>
      </c>
      <c r="S112" s="53" t="str">
        <f>CONCATENATE((H112+J112+L112+N112+R112),"万")</f>
        <v>275万</v>
      </c>
      <c r="T112" s="152"/>
      <c r="U112" s="451">
        <v>42835</v>
      </c>
    </row>
    <row r="113" spans="1:21" x14ac:dyDescent="0.25">
      <c r="A113" s="151" t="s">
        <v>222</v>
      </c>
      <c r="B113" s="53" t="s">
        <v>237</v>
      </c>
      <c r="T113" s="151"/>
    </row>
    <row r="114" spans="1:21" ht="16.5" thickBot="1" x14ac:dyDescent="0.3">
      <c r="T114" s="151"/>
    </row>
    <row r="115" spans="1:21" ht="16.5" thickBot="1" x14ac:dyDescent="0.3">
      <c r="A115" s="137"/>
      <c r="B115" s="138" t="s">
        <v>154</v>
      </c>
      <c r="C115" s="139" t="s">
        <v>224</v>
      </c>
      <c r="D115" s="139"/>
      <c r="E115" s="139" t="s">
        <v>156</v>
      </c>
      <c r="F115" s="139"/>
      <c r="G115" s="139" t="s">
        <v>225</v>
      </c>
      <c r="H115" s="139"/>
      <c r="I115" s="139" t="s">
        <v>226</v>
      </c>
      <c r="J115" s="139"/>
      <c r="K115" s="139" t="s">
        <v>57</v>
      </c>
      <c r="L115" s="140"/>
      <c r="M115" s="141" t="s">
        <v>172</v>
      </c>
      <c r="N115" s="142"/>
      <c r="Q115" s="141" t="s">
        <v>232</v>
      </c>
      <c r="R115" s="142"/>
      <c r="T115" s="151"/>
    </row>
    <row r="116" spans="1:21" ht="16.5" thickBot="1" x14ac:dyDescent="0.3">
      <c r="A116" s="143" t="s">
        <v>158</v>
      </c>
      <c r="B116" s="154" t="str">
        <f>CONCATENATE((N118+L118+J118+H118+F117+D117+R118),"万")</f>
        <v>284万</v>
      </c>
      <c r="C116" s="77"/>
      <c r="D116" s="29"/>
      <c r="E116" s="29"/>
      <c r="F116" s="29"/>
      <c r="G116" s="29"/>
      <c r="H116" s="29"/>
      <c r="I116" s="29"/>
      <c r="J116" s="29"/>
      <c r="K116" s="29"/>
      <c r="L116" s="29"/>
      <c r="M116" s="29"/>
      <c r="N116" s="136"/>
      <c r="Q116" s="29"/>
      <c r="R116" s="136"/>
      <c r="T116" s="151"/>
    </row>
    <row r="117" spans="1:21" x14ac:dyDescent="0.25">
      <c r="A117" s="145" t="s">
        <v>160</v>
      </c>
      <c r="B117" s="160"/>
      <c r="C117" s="84" t="s">
        <v>233</v>
      </c>
      <c r="D117" s="158" t="str">
        <f>LEFT(C117,LEN(C117)-1)</f>
        <v>9</v>
      </c>
      <c r="E117" s="84" t="s">
        <v>199</v>
      </c>
      <c r="F117" s="158" t="str">
        <f>LEFT(E117,LEN(E117)-1)</f>
        <v>4</v>
      </c>
      <c r="G117" s="31"/>
      <c r="H117" s="31"/>
      <c r="I117" s="31"/>
      <c r="J117" s="31"/>
      <c r="K117" s="31"/>
      <c r="L117" s="31"/>
      <c r="M117" s="31"/>
      <c r="N117" s="136"/>
      <c r="Q117" s="31"/>
      <c r="R117" s="136"/>
      <c r="S117" s="53" t="str">
        <f>CONCATENATE((D117+F117),"万")</f>
        <v>13万</v>
      </c>
      <c r="T117" s="136"/>
      <c r="U117" s="450" t="s">
        <v>164</v>
      </c>
    </row>
    <row r="118" spans="1:21" ht="16.5" thickBot="1" x14ac:dyDescent="0.3">
      <c r="A118" s="148" t="s">
        <v>165</v>
      </c>
      <c r="B118" s="149"/>
      <c r="C118" s="32"/>
      <c r="D118" s="32"/>
      <c r="E118" s="32"/>
      <c r="F118" s="32"/>
      <c r="G118" s="155" t="s">
        <v>211</v>
      </c>
      <c r="H118" s="155" t="str">
        <f>LEFT(G118,LEN(G118)-1)</f>
        <v>33</v>
      </c>
      <c r="I118" s="155" t="s">
        <v>168</v>
      </c>
      <c r="J118" s="155" t="str">
        <f>LEFT(I118,LEN(I118)-1)</f>
        <v>50</v>
      </c>
      <c r="K118" s="155" t="s">
        <v>234</v>
      </c>
      <c r="L118" s="155" t="str">
        <f>LEFT(K118,LEN(K118)-1)</f>
        <v>26</v>
      </c>
      <c r="M118" s="153" t="s">
        <v>238</v>
      </c>
      <c r="N118" s="156" t="str">
        <f>LEFT(M118,LEN(M118)-1)</f>
        <v>147</v>
      </c>
      <c r="Q118" s="155" t="s">
        <v>236</v>
      </c>
      <c r="R118" s="156" t="str">
        <f>LEFT(Q118,LEN(Q118)-1)</f>
        <v>15</v>
      </c>
      <c r="S118" s="53" t="str">
        <f>CONCATENATE((H118+J118+L118+N118+R118),"万")</f>
        <v>271万</v>
      </c>
      <c r="T118" s="152"/>
      <c r="U118" s="451">
        <v>42836</v>
      </c>
    </row>
    <row r="119" spans="1:21" x14ac:dyDescent="0.25">
      <c r="A119" s="151" t="s">
        <v>222</v>
      </c>
      <c r="B119" s="53" t="s">
        <v>239</v>
      </c>
      <c r="T119" s="151"/>
    </row>
    <row r="120" spans="1:21" ht="16.5" thickBot="1" x14ac:dyDescent="0.3">
      <c r="T120" s="151"/>
    </row>
    <row r="121" spans="1:21" ht="16.5" thickBot="1" x14ac:dyDescent="0.3">
      <c r="A121" s="137"/>
      <c r="B121" s="138" t="s">
        <v>154</v>
      </c>
      <c r="C121" s="139" t="s">
        <v>224</v>
      </c>
      <c r="D121" s="139"/>
      <c r="E121" s="139" t="s">
        <v>156</v>
      </c>
      <c r="F121" s="139"/>
      <c r="G121" s="139" t="s">
        <v>225</v>
      </c>
      <c r="H121" s="139"/>
      <c r="I121" s="139" t="s">
        <v>226</v>
      </c>
      <c r="J121" s="139"/>
      <c r="K121" s="139" t="s">
        <v>57</v>
      </c>
      <c r="L121" s="140"/>
      <c r="M121" s="141" t="s">
        <v>172</v>
      </c>
      <c r="N121" s="142"/>
      <c r="Q121" s="141" t="s">
        <v>232</v>
      </c>
      <c r="R121" s="142"/>
      <c r="T121" s="151"/>
    </row>
    <row r="122" spans="1:21" ht="16.5" thickBot="1" x14ac:dyDescent="0.3">
      <c r="A122" s="143" t="s">
        <v>158</v>
      </c>
      <c r="B122" s="154" t="str">
        <f>CONCATENATE((N124+L124+J124+H124+F123+D123+R124),"万")</f>
        <v>294万</v>
      </c>
      <c r="C122" s="77"/>
      <c r="D122" s="29"/>
      <c r="E122" s="29"/>
      <c r="F122" s="29"/>
      <c r="G122" s="29"/>
      <c r="H122" s="29"/>
      <c r="I122" s="29"/>
      <c r="J122" s="29"/>
      <c r="K122" s="29"/>
      <c r="L122" s="29"/>
      <c r="M122" s="29"/>
      <c r="N122" s="136"/>
      <c r="Q122" s="29"/>
      <c r="R122" s="136"/>
      <c r="T122" s="151"/>
    </row>
    <row r="123" spans="1:21" x14ac:dyDescent="0.25">
      <c r="A123" s="145" t="s">
        <v>160</v>
      </c>
      <c r="B123" s="160"/>
      <c r="C123" s="84" t="s">
        <v>233</v>
      </c>
      <c r="D123" s="158" t="str">
        <f>LEFT(C123,LEN(C123)-1)</f>
        <v>9</v>
      </c>
      <c r="E123" s="84" t="s">
        <v>199</v>
      </c>
      <c r="F123" s="158" t="str">
        <f>LEFT(E123,LEN(E123)-1)</f>
        <v>4</v>
      </c>
      <c r="G123" s="31"/>
      <c r="H123" s="31"/>
      <c r="I123" s="31"/>
      <c r="J123" s="31"/>
      <c r="K123" s="31"/>
      <c r="L123" s="31"/>
      <c r="M123" s="31"/>
      <c r="N123" s="136"/>
      <c r="Q123" s="31"/>
      <c r="R123" s="136"/>
      <c r="S123" s="53" t="str">
        <f>CONCATENATE((D123+F123),"万")</f>
        <v>13万</v>
      </c>
      <c r="T123" s="136"/>
      <c r="U123" s="450" t="s">
        <v>164</v>
      </c>
    </row>
    <row r="124" spans="1:21" ht="16.5" thickBot="1" x14ac:dyDescent="0.3">
      <c r="A124" s="148" t="s">
        <v>165</v>
      </c>
      <c r="B124" s="149"/>
      <c r="C124" s="32"/>
      <c r="D124" s="32"/>
      <c r="E124" s="32"/>
      <c r="F124" s="32"/>
      <c r="G124" s="155" t="s">
        <v>211</v>
      </c>
      <c r="H124" s="155" t="str">
        <f>LEFT(G124,LEN(G124)-1)</f>
        <v>33</v>
      </c>
      <c r="I124" s="155" t="s">
        <v>168</v>
      </c>
      <c r="J124" s="155" t="str">
        <f>LEFT(I124,LEN(I124)-1)</f>
        <v>50</v>
      </c>
      <c r="K124" s="155" t="s">
        <v>234</v>
      </c>
      <c r="L124" s="155" t="str">
        <f>LEFT(K124,LEN(K124)-1)</f>
        <v>26</v>
      </c>
      <c r="M124" s="153" t="s">
        <v>240</v>
      </c>
      <c r="N124" s="156" t="str">
        <f>LEFT(M124,LEN(M124)-1)</f>
        <v>157</v>
      </c>
      <c r="Q124" s="155" t="s">
        <v>236</v>
      </c>
      <c r="R124" s="156" t="str">
        <f>LEFT(Q124,LEN(Q124)-1)</f>
        <v>15</v>
      </c>
      <c r="S124" s="53" t="str">
        <f>CONCATENATE((H124+J124+L124+N124+R124),"万")</f>
        <v>281万</v>
      </c>
      <c r="T124" s="152"/>
      <c r="U124" s="451">
        <v>42843</v>
      </c>
    </row>
    <row r="125" spans="1:21" x14ac:dyDescent="0.25">
      <c r="A125" s="151" t="s">
        <v>222</v>
      </c>
      <c r="B125" s="53" t="s">
        <v>241</v>
      </c>
      <c r="T125" s="151"/>
    </row>
    <row r="126" spans="1:21" ht="16.5" thickBot="1" x14ac:dyDescent="0.3">
      <c r="T126" s="151"/>
    </row>
    <row r="127" spans="1:21" ht="16.5" thickBot="1" x14ac:dyDescent="0.3">
      <c r="A127" s="137"/>
      <c r="B127" s="138" t="s">
        <v>154</v>
      </c>
      <c r="C127" s="139" t="s">
        <v>224</v>
      </c>
      <c r="D127" s="139"/>
      <c r="E127" s="139" t="s">
        <v>156</v>
      </c>
      <c r="F127" s="139"/>
      <c r="G127" s="139" t="s">
        <v>225</v>
      </c>
      <c r="H127" s="139"/>
      <c r="I127" s="139" t="s">
        <v>226</v>
      </c>
      <c r="J127" s="139"/>
      <c r="K127" s="139" t="s">
        <v>57</v>
      </c>
      <c r="L127" s="140"/>
      <c r="M127" s="141" t="s">
        <v>172</v>
      </c>
      <c r="N127" s="142"/>
      <c r="Q127" s="141" t="s">
        <v>232</v>
      </c>
      <c r="R127" s="142"/>
      <c r="T127" s="151"/>
    </row>
    <row r="128" spans="1:21" ht="16.5" thickBot="1" x14ac:dyDescent="0.3">
      <c r="A128" s="143" t="s">
        <v>158</v>
      </c>
      <c r="B128" s="154" t="str">
        <f>CONCATENATE((N130+L130+J130+H130+F129+D129+R130),"万")</f>
        <v>299万</v>
      </c>
      <c r="C128" s="77"/>
      <c r="D128" s="29"/>
      <c r="E128" s="29"/>
      <c r="F128" s="29"/>
      <c r="G128" s="29"/>
      <c r="H128" s="29"/>
      <c r="I128" s="29"/>
      <c r="J128" s="29"/>
      <c r="K128" s="29"/>
      <c r="L128" s="29"/>
      <c r="M128" s="29"/>
      <c r="N128" s="136"/>
      <c r="Q128" s="29"/>
      <c r="R128" s="136"/>
      <c r="T128" s="151"/>
    </row>
    <row r="129" spans="1:21" x14ac:dyDescent="0.25">
      <c r="A129" s="145" t="s">
        <v>160</v>
      </c>
      <c r="B129" s="160"/>
      <c r="C129" s="84" t="s">
        <v>233</v>
      </c>
      <c r="D129" s="158" t="str">
        <f>LEFT(C129,LEN(C129)-1)</f>
        <v>9</v>
      </c>
      <c r="E129" s="84" t="s">
        <v>199</v>
      </c>
      <c r="F129" s="158" t="str">
        <f>LEFT(E129,LEN(E129)-1)</f>
        <v>4</v>
      </c>
      <c r="G129" s="31"/>
      <c r="H129" s="31"/>
      <c r="I129" s="31"/>
      <c r="J129" s="31"/>
      <c r="K129" s="31"/>
      <c r="L129" s="31"/>
      <c r="M129" s="31"/>
      <c r="N129" s="136"/>
      <c r="Q129" s="31"/>
      <c r="R129" s="136"/>
      <c r="S129" s="53" t="str">
        <f>CONCATENATE((D129+F129),"万")</f>
        <v>13万</v>
      </c>
      <c r="T129" s="136"/>
      <c r="U129" s="450" t="s">
        <v>164</v>
      </c>
    </row>
    <row r="130" spans="1:21" ht="16.5" thickBot="1" x14ac:dyDescent="0.3">
      <c r="A130" s="148" t="s">
        <v>165</v>
      </c>
      <c r="B130" s="149"/>
      <c r="C130" s="32"/>
      <c r="D130" s="32"/>
      <c r="E130" s="32"/>
      <c r="F130" s="32"/>
      <c r="G130" s="153" t="s">
        <v>242</v>
      </c>
      <c r="H130" s="155" t="str">
        <f>LEFT(G130,LEN(G130)-1)</f>
        <v>34</v>
      </c>
      <c r="I130" s="155" t="s">
        <v>168</v>
      </c>
      <c r="J130" s="155" t="str">
        <f>LEFT(I130,LEN(I130)-1)</f>
        <v>50</v>
      </c>
      <c r="K130" s="155" t="s">
        <v>234</v>
      </c>
      <c r="L130" s="155" t="str">
        <f>LEFT(K130,LEN(K130)-1)</f>
        <v>26</v>
      </c>
      <c r="M130" s="153" t="s">
        <v>243</v>
      </c>
      <c r="N130" s="156" t="str">
        <f>LEFT(M130,LEN(M130)-1)</f>
        <v>161</v>
      </c>
      <c r="Q130" s="155" t="s">
        <v>236</v>
      </c>
      <c r="R130" s="156" t="str">
        <f>LEFT(Q130,LEN(Q130)-1)</f>
        <v>15</v>
      </c>
      <c r="S130" s="53" t="str">
        <f>CONCATENATE((H130+J130+L130+N130+R130),"万")</f>
        <v>286万</v>
      </c>
      <c r="T130" s="152"/>
      <c r="U130" s="451">
        <v>42845</v>
      </c>
    </row>
    <row r="131" spans="1:21" x14ac:dyDescent="0.25">
      <c r="A131" s="151" t="s">
        <v>222</v>
      </c>
      <c r="B131" s="53" t="s">
        <v>244</v>
      </c>
      <c r="T131" s="151"/>
    </row>
    <row r="132" spans="1:21" ht="16.5" thickBot="1" x14ac:dyDescent="0.3">
      <c r="T132" s="151"/>
    </row>
    <row r="133" spans="1:21" ht="16.5" thickBot="1" x14ac:dyDescent="0.3">
      <c r="A133" s="137"/>
      <c r="B133" s="138" t="s">
        <v>154</v>
      </c>
      <c r="C133" s="139" t="s">
        <v>224</v>
      </c>
      <c r="D133" s="139"/>
      <c r="E133" s="139" t="s">
        <v>156</v>
      </c>
      <c r="F133" s="139"/>
      <c r="G133" s="139" t="s">
        <v>225</v>
      </c>
      <c r="H133" s="139"/>
      <c r="I133" s="139" t="s">
        <v>226</v>
      </c>
      <c r="J133" s="139"/>
      <c r="K133" s="139" t="s">
        <v>57</v>
      </c>
      <c r="L133" s="140"/>
      <c r="M133" s="141" t="s">
        <v>172</v>
      </c>
      <c r="N133" s="142"/>
      <c r="Q133" s="141" t="s">
        <v>232</v>
      </c>
      <c r="R133" s="142"/>
      <c r="T133" s="151"/>
    </row>
    <row r="134" spans="1:21" ht="16.5" thickBot="1" x14ac:dyDescent="0.3">
      <c r="A134" s="143" t="s">
        <v>158</v>
      </c>
      <c r="B134" s="154" t="str">
        <f>CONCATENATE((N136+L136+J136+H136+F135+D135+R136),"万")</f>
        <v>302万</v>
      </c>
      <c r="C134" s="77"/>
      <c r="D134" s="29"/>
      <c r="E134" s="29"/>
      <c r="F134" s="29"/>
      <c r="G134" s="29"/>
      <c r="H134" s="29"/>
      <c r="I134" s="29"/>
      <c r="J134" s="29"/>
      <c r="K134" s="29"/>
      <c r="L134" s="29"/>
      <c r="M134" s="29"/>
      <c r="N134" s="136"/>
      <c r="Q134" s="29"/>
      <c r="R134" s="136"/>
      <c r="T134" s="151"/>
    </row>
    <row r="135" spans="1:21" x14ac:dyDescent="0.25">
      <c r="A135" s="145" t="s">
        <v>160</v>
      </c>
      <c r="B135" s="160"/>
      <c r="C135" s="84" t="s">
        <v>233</v>
      </c>
      <c r="D135" s="158" t="str">
        <f>LEFT(C135,LEN(C135)-1)</f>
        <v>9</v>
      </c>
      <c r="E135" s="84" t="s">
        <v>199</v>
      </c>
      <c r="F135" s="158" t="str">
        <f>LEFT(E135,LEN(E135)-1)</f>
        <v>4</v>
      </c>
      <c r="G135" s="31"/>
      <c r="H135" s="31"/>
      <c r="I135" s="31"/>
      <c r="J135" s="31"/>
      <c r="K135" s="31"/>
      <c r="L135" s="31"/>
      <c r="M135" s="31"/>
      <c r="N135" s="136"/>
      <c r="Q135" s="31"/>
      <c r="R135" s="136"/>
      <c r="S135" s="53" t="str">
        <f>CONCATENATE((D135+F135),"万")</f>
        <v>13万</v>
      </c>
      <c r="T135" s="136"/>
      <c r="U135" s="450" t="s">
        <v>164</v>
      </c>
    </row>
    <row r="136" spans="1:21" ht="16.5" thickBot="1" x14ac:dyDescent="0.3">
      <c r="A136" s="148" t="s">
        <v>165</v>
      </c>
      <c r="B136" s="149"/>
      <c r="C136" s="32"/>
      <c r="D136" s="32"/>
      <c r="E136" s="32"/>
      <c r="F136" s="32"/>
      <c r="G136" s="155" t="s">
        <v>242</v>
      </c>
      <c r="H136" s="155" t="str">
        <f>LEFT(G136,LEN(G136)-1)</f>
        <v>34</v>
      </c>
      <c r="I136" s="155" t="s">
        <v>168</v>
      </c>
      <c r="J136" s="155" t="str">
        <f>LEFT(I136,LEN(I136)-1)</f>
        <v>50</v>
      </c>
      <c r="K136" s="155" t="s">
        <v>234</v>
      </c>
      <c r="L136" s="155" t="str">
        <f>LEFT(K136,LEN(K136)-1)</f>
        <v>26</v>
      </c>
      <c r="M136" s="153" t="s">
        <v>245</v>
      </c>
      <c r="N136" s="156" t="str">
        <f>LEFT(M136,LEN(M136)-1)</f>
        <v>164</v>
      </c>
      <c r="Q136" s="155" t="s">
        <v>236</v>
      </c>
      <c r="R136" s="156" t="str">
        <f>LEFT(Q136,LEN(Q136)-1)</f>
        <v>15</v>
      </c>
      <c r="S136" s="53" t="str">
        <f>CONCATENATE((H136+J136+L136+N136+R136),"万")</f>
        <v>289万</v>
      </c>
      <c r="T136" s="152"/>
      <c r="U136" s="451">
        <v>42847</v>
      </c>
    </row>
    <row r="137" spans="1:21" x14ac:dyDescent="0.25">
      <c r="A137" s="151" t="s">
        <v>222</v>
      </c>
      <c r="B137" s="53" t="s">
        <v>246</v>
      </c>
      <c r="T137" s="151"/>
    </row>
    <row r="138" spans="1:21" ht="16.5" thickBot="1" x14ac:dyDescent="0.3">
      <c r="T138" s="151"/>
    </row>
    <row r="139" spans="1:21" ht="16.5" thickBot="1" x14ac:dyDescent="0.3">
      <c r="A139" s="137"/>
      <c r="B139" s="138" t="s">
        <v>154</v>
      </c>
      <c r="C139" s="139" t="s">
        <v>224</v>
      </c>
      <c r="D139" s="139"/>
      <c r="E139" s="139" t="s">
        <v>156</v>
      </c>
      <c r="F139" s="139"/>
      <c r="G139" s="139" t="s">
        <v>225</v>
      </c>
      <c r="H139" s="139"/>
      <c r="I139" s="139" t="s">
        <v>226</v>
      </c>
      <c r="J139" s="139"/>
      <c r="K139" s="139" t="s">
        <v>57</v>
      </c>
      <c r="L139" s="140"/>
      <c r="M139" s="141" t="s">
        <v>172</v>
      </c>
      <c r="N139" s="142"/>
      <c r="Q139" s="141" t="s">
        <v>232</v>
      </c>
      <c r="R139" s="142"/>
      <c r="T139" s="151"/>
    </row>
    <row r="140" spans="1:21" ht="16.5" thickBot="1" x14ac:dyDescent="0.3">
      <c r="A140" s="143" t="s">
        <v>158</v>
      </c>
      <c r="B140" s="154" t="str">
        <f>CONCATENATE((N142+L142+J142+H142+F141+D141+R142),"万")</f>
        <v>277万</v>
      </c>
      <c r="C140" s="77"/>
      <c r="D140" s="29"/>
      <c r="E140" s="29"/>
      <c r="F140" s="29"/>
      <c r="G140" s="29"/>
      <c r="H140" s="29"/>
      <c r="I140" s="29"/>
      <c r="J140" s="29"/>
      <c r="K140" s="29"/>
      <c r="L140" s="29"/>
      <c r="M140" s="29"/>
      <c r="N140" s="136"/>
      <c r="Q140" s="29"/>
      <c r="R140" s="136"/>
      <c r="T140" s="151"/>
    </row>
    <row r="141" spans="1:21" x14ac:dyDescent="0.25">
      <c r="A141" s="145" t="s">
        <v>160</v>
      </c>
      <c r="B141" s="160"/>
      <c r="C141" s="158" t="s">
        <v>206</v>
      </c>
      <c r="D141" s="158" t="str">
        <f>LEFT(C141,LEN(C141)-1)</f>
        <v>10</v>
      </c>
      <c r="E141" s="158" t="s">
        <v>247</v>
      </c>
      <c r="F141" s="158" t="str">
        <f>LEFT(E141,LEN(E141)-1)</f>
        <v>2</v>
      </c>
      <c r="G141" s="31"/>
      <c r="H141" s="31"/>
      <c r="I141" s="31"/>
      <c r="J141" s="31"/>
      <c r="K141" s="31"/>
      <c r="L141" s="31"/>
      <c r="M141" s="31"/>
      <c r="N141" s="136"/>
      <c r="Q141" s="31"/>
      <c r="R141" s="136"/>
      <c r="S141" s="53" t="str">
        <f>CONCATENATE((D141+F141),"万")</f>
        <v>12万</v>
      </c>
      <c r="T141" s="136"/>
      <c r="U141" s="450" t="s">
        <v>164</v>
      </c>
    </row>
    <row r="142" spans="1:21" ht="16.5" thickBot="1" x14ac:dyDescent="0.3">
      <c r="A142" s="148" t="s">
        <v>165</v>
      </c>
      <c r="B142" s="149"/>
      <c r="C142" s="32"/>
      <c r="D142" s="32"/>
      <c r="E142" s="32"/>
      <c r="F142" s="32"/>
      <c r="G142" s="155" t="s">
        <v>242</v>
      </c>
      <c r="H142" s="155" t="str">
        <f>LEFT(G142,LEN(G142)-1)</f>
        <v>34</v>
      </c>
      <c r="I142" s="155" t="s">
        <v>168</v>
      </c>
      <c r="J142" s="155" t="str">
        <f>LEFT(I142,LEN(I142)-1)</f>
        <v>50</v>
      </c>
      <c r="K142" s="155" t="s">
        <v>234</v>
      </c>
      <c r="L142" s="155" t="str">
        <f>LEFT(K142,LEN(K142)-1)</f>
        <v>26</v>
      </c>
      <c r="M142" s="153" t="s">
        <v>248</v>
      </c>
      <c r="N142" s="156" t="str">
        <f>LEFT(M142,LEN(M142)-1)</f>
        <v>140</v>
      </c>
      <c r="Q142" s="155" t="s">
        <v>236</v>
      </c>
      <c r="R142" s="156" t="str">
        <f>LEFT(Q142,LEN(Q142)-1)</f>
        <v>15</v>
      </c>
      <c r="S142" s="53" t="str">
        <f>CONCATENATE((H142+J142+L142+N142+R142),"万")</f>
        <v>265万</v>
      </c>
      <c r="T142" s="152"/>
      <c r="U142" s="451">
        <v>42864</v>
      </c>
    </row>
    <row r="143" spans="1:21" x14ac:dyDescent="0.25">
      <c r="A143" s="151" t="s">
        <v>222</v>
      </c>
      <c r="B143" s="53" t="s">
        <v>249</v>
      </c>
      <c r="T143" s="151"/>
    </row>
    <row r="144" spans="1:21" ht="16.5" thickBot="1" x14ac:dyDescent="0.3">
      <c r="T144" s="151"/>
    </row>
    <row r="145" spans="1:21" ht="16.5" thickBot="1" x14ac:dyDescent="0.3">
      <c r="A145" s="137"/>
      <c r="B145" s="138" t="s">
        <v>154</v>
      </c>
      <c r="C145" s="139" t="s">
        <v>224</v>
      </c>
      <c r="D145" s="139"/>
      <c r="E145" s="139" t="s">
        <v>156</v>
      </c>
      <c r="F145" s="139"/>
      <c r="G145" s="139" t="s">
        <v>225</v>
      </c>
      <c r="H145" s="139"/>
      <c r="I145" s="139" t="s">
        <v>226</v>
      </c>
      <c r="J145" s="139"/>
      <c r="K145" s="139" t="s">
        <v>57</v>
      </c>
      <c r="L145" s="140"/>
      <c r="M145" s="141" t="s">
        <v>172</v>
      </c>
      <c r="N145" s="142"/>
      <c r="Q145" s="141" t="s">
        <v>232</v>
      </c>
      <c r="R145" s="142"/>
      <c r="T145" s="151"/>
    </row>
    <row r="146" spans="1:21" ht="16.5" thickBot="1" x14ac:dyDescent="0.3">
      <c r="A146" s="143" t="s">
        <v>158</v>
      </c>
      <c r="B146" s="154" t="str">
        <f>CONCATENATE((N148+L148+J148+H148+F147+D147+R148),"万")</f>
        <v>280万</v>
      </c>
      <c r="C146" s="77"/>
      <c r="D146" s="29"/>
      <c r="E146" s="29"/>
      <c r="F146" s="29"/>
      <c r="G146" s="29"/>
      <c r="H146" s="29"/>
      <c r="I146" s="29"/>
      <c r="J146" s="29"/>
      <c r="K146" s="29"/>
      <c r="L146" s="29"/>
      <c r="M146" s="29"/>
      <c r="N146" s="136"/>
      <c r="Q146" s="29"/>
      <c r="R146" s="136"/>
      <c r="T146" s="151"/>
    </row>
    <row r="147" spans="1:21" x14ac:dyDescent="0.25">
      <c r="A147" s="145" t="s">
        <v>160</v>
      </c>
      <c r="B147" s="160"/>
      <c r="C147" s="84" t="s">
        <v>206</v>
      </c>
      <c r="D147" s="84" t="str">
        <f>LEFT(C147,LEN(C147)-1)</f>
        <v>10</v>
      </c>
      <c r="E147" s="84" t="s">
        <v>247</v>
      </c>
      <c r="F147" s="158" t="str">
        <f>LEFT(E147,LEN(E147)-1)</f>
        <v>2</v>
      </c>
      <c r="G147" s="31"/>
      <c r="H147" s="31"/>
      <c r="I147" s="31"/>
      <c r="J147" s="31"/>
      <c r="K147" s="31"/>
      <c r="L147" s="31"/>
      <c r="M147" s="31"/>
      <c r="N147" s="136"/>
      <c r="Q147" s="31"/>
      <c r="R147" s="136"/>
      <c r="S147" s="53" t="str">
        <f>CONCATENATE((D147+F147),"万")</f>
        <v>12万</v>
      </c>
      <c r="T147" s="136"/>
      <c r="U147" s="450" t="s">
        <v>164</v>
      </c>
    </row>
    <row r="148" spans="1:21" ht="16.5" thickBot="1" x14ac:dyDescent="0.3">
      <c r="A148" s="148" t="s">
        <v>165</v>
      </c>
      <c r="B148" s="149"/>
      <c r="C148" s="32"/>
      <c r="D148" s="32"/>
      <c r="E148" s="32"/>
      <c r="F148" s="32"/>
      <c r="G148" s="155" t="s">
        <v>242</v>
      </c>
      <c r="H148" s="155" t="str">
        <f>LEFT(G148,LEN(G148)-1)</f>
        <v>34</v>
      </c>
      <c r="I148" s="155" t="s">
        <v>168</v>
      </c>
      <c r="J148" s="155" t="str">
        <f>LEFT(I148,LEN(I148)-1)</f>
        <v>50</v>
      </c>
      <c r="K148" s="155" t="s">
        <v>234</v>
      </c>
      <c r="L148" s="155" t="str">
        <f>LEFT(K148,LEN(K148)-1)</f>
        <v>26</v>
      </c>
      <c r="M148" s="153" t="s">
        <v>250</v>
      </c>
      <c r="N148" s="156" t="str">
        <f>LEFT(M148,LEN(M148)-1)</f>
        <v>143</v>
      </c>
      <c r="Q148" s="155" t="s">
        <v>236</v>
      </c>
      <c r="R148" s="156" t="str">
        <f>LEFT(Q148,LEN(Q148)-1)</f>
        <v>15</v>
      </c>
      <c r="S148" s="53" t="str">
        <f>CONCATENATE((H148+J148+L148+N148+R148),"万")</f>
        <v>268万</v>
      </c>
      <c r="T148" s="152"/>
      <c r="U148" s="451">
        <v>42865</v>
      </c>
    </row>
    <row r="149" spans="1:21" x14ac:dyDescent="0.25">
      <c r="A149" s="151" t="s">
        <v>222</v>
      </c>
      <c r="B149" s="53" t="s">
        <v>251</v>
      </c>
      <c r="T149" s="151"/>
    </row>
    <row r="150" spans="1:21" ht="16.5" thickBot="1" x14ac:dyDescent="0.3">
      <c r="T150" s="151"/>
    </row>
    <row r="151" spans="1:21" ht="16.5" thickBot="1" x14ac:dyDescent="0.3">
      <c r="A151" s="137"/>
      <c r="B151" s="138" t="s">
        <v>154</v>
      </c>
      <c r="C151" s="139" t="s">
        <v>224</v>
      </c>
      <c r="D151" s="139"/>
      <c r="E151" s="139" t="s">
        <v>156</v>
      </c>
      <c r="F151" s="139"/>
      <c r="G151" s="139" t="s">
        <v>225</v>
      </c>
      <c r="H151" s="139"/>
      <c r="I151" s="139" t="s">
        <v>226</v>
      </c>
      <c r="J151" s="139"/>
      <c r="K151" s="139" t="s">
        <v>57</v>
      </c>
      <c r="L151" s="140"/>
      <c r="M151" s="141" t="s">
        <v>172</v>
      </c>
      <c r="N151" s="142"/>
      <c r="Q151" s="141" t="s">
        <v>232</v>
      </c>
      <c r="R151" s="142"/>
      <c r="T151" s="151"/>
    </row>
    <row r="152" spans="1:21" ht="16.5" thickBot="1" x14ac:dyDescent="0.3">
      <c r="A152" s="143" t="s">
        <v>158</v>
      </c>
      <c r="B152" s="154" t="str">
        <f>CONCATENATE((N154+L154+J154+H154+F153+D153+R154),"万")</f>
        <v>277万</v>
      </c>
      <c r="C152" s="77"/>
      <c r="D152" s="29"/>
      <c r="E152" s="29"/>
      <c r="F152" s="29"/>
      <c r="G152" s="29"/>
      <c r="H152" s="29"/>
      <c r="I152" s="29"/>
      <c r="J152" s="29"/>
      <c r="K152" s="29"/>
      <c r="L152" s="29"/>
      <c r="M152" s="29"/>
      <c r="N152" s="136"/>
      <c r="Q152" s="29"/>
      <c r="R152" s="136"/>
      <c r="T152" s="151"/>
    </row>
    <row r="153" spans="1:21" x14ac:dyDescent="0.25">
      <c r="A153" s="145" t="s">
        <v>160</v>
      </c>
      <c r="B153" s="160"/>
      <c r="C153" s="84" t="s">
        <v>206</v>
      </c>
      <c r="D153" s="84" t="str">
        <f>LEFT(C153,LEN(C153)-1)</f>
        <v>10</v>
      </c>
      <c r="E153" s="84" t="s">
        <v>247</v>
      </c>
      <c r="F153" s="158" t="str">
        <f>LEFT(E153,LEN(E153)-1)</f>
        <v>2</v>
      </c>
      <c r="G153" s="31"/>
      <c r="H153" s="31"/>
      <c r="I153" s="31"/>
      <c r="J153" s="31"/>
      <c r="K153" s="31"/>
      <c r="L153" s="31"/>
      <c r="M153" s="31"/>
      <c r="N153" s="136"/>
      <c r="Q153" s="31"/>
      <c r="R153" s="136"/>
      <c r="S153" s="53" t="str">
        <f>CONCATENATE((D153+F153),"万")</f>
        <v>12万</v>
      </c>
      <c r="T153" s="136"/>
      <c r="U153" s="450" t="s">
        <v>164</v>
      </c>
    </row>
    <row r="154" spans="1:21" ht="16.5" thickBot="1" x14ac:dyDescent="0.3">
      <c r="A154" s="148" t="s">
        <v>165</v>
      </c>
      <c r="B154" s="149"/>
      <c r="C154" s="32"/>
      <c r="D154" s="32"/>
      <c r="E154" s="32"/>
      <c r="F154" s="32"/>
      <c r="G154" s="155" t="s">
        <v>242</v>
      </c>
      <c r="H154" s="155" t="str">
        <f>LEFT(G154,LEN(G154)-1)</f>
        <v>34</v>
      </c>
      <c r="I154" s="155" t="s">
        <v>168</v>
      </c>
      <c r="J154" s="155" t="str">
        <f>LEFT(I154,LEN(I154)-1)</f>
        <v>50</v>
      </c>
      <c r="K154" s="155" t="s">
        <v>234</v>
      </c>
      <c r="L154" s="155" t="str">
        <f>LEFT(K154,LEN(K154)-1)</f>
        <v>26</v>
      </c>
      <c r="M154" s="153" t="s">
        <v>248</v>
      </c>
      <c r="N154" s="156" t="str">
        <f>LEFT(M154,LEN(M154)-1)</f>
        <v>140</v>
      </c>
      <c r="Q154" s="155" t="s">
        <v>236</v>
      </c>
      <c r="R154" s="156" t="str">
        <f>LEFT(Q154,LEN(Q154)-1)</f>
        <v>15</v>
      </c>
      <c r="S154" s="53" t="str">
        <f>CONCATENATE((H154+J154+L154+N154+R154),"万")</f>
        <v>265万</v>
      </c>
      <c r="T154" s="152"/>
      <c r="U154" s="451">
        <v>42866</v>
      </c>
    </row>
    <row r="155" spans="1:21" x14ac:dyDescent="0.25">
      <c r="A155" s="151" t="s">
        <v>222</v>
      </c>
      <c r="B155" s="53" t="s">
        <v>252</v>
      </c>
      <c r="T155" s="151"/>
    </row>
    <row r="156" spans="1:21" ht="16.5" thickBot="1" x14ac:dyDescent="0.3">
      <c r="T156" s="151"/>
    </row>
    <row r="157" spans="1:21" ht="16.5" thickBot="1" x14ac:dyDescent="0.3">
      <c r="A157" s="137"/>
      <c r="B157" s="138" t="s">
        <v>154</v>
      </c>
      <c r="C157" s="139" t="s">
        <v>224</v>
      </c>
      <c r="D157" s="139"/>
      <c r="E157" s="139" t="s">
        <v>156</v>
      </c>
      <c r="F157" s="139"/>
      <c r="G157" s="139" t="s">
        <v>225</v>
      </c>
      <c r="H157" s="139"/>
      <c r="I157" s="139" t="s">
        <v>226</v>
      </c>
      <c r="J157" s="139"/>
      <c r="K157" s="139" t="s">
        <v>57</v>
      </c>
      <c r="L157" s="140"/>
      <c r="M157" s="141" t="s">
        <v>172</v>
      </c>
      <c r="N157" s="142"/>
      <c r="Q157" s="141" t="s">
        <v>232</v>
      </c>
      <c r="R157" s="142"/>
      <c r="T157" s="151"/>
    </row>
    <row r="158" spans="1:21" ht="16.5" thickBot="1" x14ac:dyDescent="0.3">
      <c r="A158" s="143" t="s">
        <v>158</v>
      </c>
      <c r="B158" s="154" t="str">
        <f>CONCATENATE((N160+L160+J160+H160+F159+D159+R160),"万")</f>
        <v>279万</v>
      </c>
      <c r="C158" s="77"/>
      <c r="D158" s="29"/>
      <c r="E158" s="29"/>
      <c r="F158" s="29"/>
      <c r="G158" s="29"/>
      <c r="H158" s="29"/>
      <c r="I158" s="29"/>
      <c r="J158" s="29"/>
      <c r="K158" s="29"/>
      <c r="L158" s="29"/>
      <c r="M158" s="29"/>
      <c r="N158" s="136"/>
      <c r="Q158" s="29"/>
      <c r="R158" s="136"/>
      <c r="T158" s="151"/>
    </row>
    <row r="159" spans="1:21" x14ac:dyDescent="0.25">
      <c r="A159" s="145" t="s">
        <v>160</v>
      </c>
      <c r="B159" s="160"/>
      <c r="C159" s="158" t="s">
        <v>253</v>
      </c>
      <c r="D159" s="84" t="str">
        <f>LEFT(C159,LEN(C159)-1)</f>
        <v>8</v>
      </c>
      <c r="E159" s="84" t="s">
        <v>247</v>
      </c>
      <c r="F159" s="158" t="str">
        <f>LEFT(E159,LEN(E159)-1)</f>
        <v>2</v>
      </c>
      <c r="G159" s="31"/>
      <c r="H159" s="31"/>
      <c r="I159" s="31"/>
      <c r="J159" s="31"/>
      <c r="K159" s="31"/>
      <c r="L159" s="31"/>
      <c r="M159" s="31"/>
      <c r="N159" s="136"/>
      <c r="Q159" s="31"/>
      <c r="R159" s="136"/>
      <c r="S159" s="53" t="str">
        <f>CONCATENATE((D159+F159),"万")</f>
        <v>10万</v>
      </c>
      <c r="T159" s="136"/>
      <c r="U159" s="450" t="s">
        <v>164</v>
      </c>
    </row>
    <row r="160" spans="1:21" ht="16.5" thickBot="1" x14ac:dyDescent="0.3">
      <c r="A160" s="148" t="s">
        <v>165</v>
      </c>
      <c r="B160" s="149"/>
      <c r="C160" s="32"/>
      <c r="D160" s="32"/>
      <c r="E160" s="32"/>
      <c r="F160" s="32"/>
      <c r="G160" s="155" t="s">
        <v>242</v>
      </c>
      <c r="H160" s="155" t="str">
        <f>LEFT(G160,LEN(G160)-1)</f>
        <v>34</v>
      </c>
      <c r="I160" s="155" t="s">
        <v>168</v>
      </c>
      <c r="J160" s="155" t="str">
        <f>LEFT(I160,LEN(I160)-1)</f>
        <v>50</v>
      </c>
      <c r="K160" s="155" t="s">
        <v>234</v>
      </c>
      <c r="L160" s="155" t="str">
        <f>LEFT(K160,LEN(K160)-1)</f>
        <v>26</v>
      </c>
      <c r="M160" s="153" t="s">
        <v>254</v>
      </c>
      <c r="N160" s="156" t="str">
        <f>LEFT(M160,LEN(M160)-1)</f>
        <v>144</v>
      </c>
      <c r="Q160" s="155" t="s">
        <v>236</v>
      </c>
      <c r="R160" s="156" t="str">
        <f>LEFT(Q160,LEN(Q160)-1)</f>
        <v>15</v>
      </c>
      <c r="S160" s="53" t="str">
        <f>CONCATENATE((H160+J160+L160+N160+R160),"万")</f>
        <v>269万</v>
      </c>
      <c r="T160" s="152"/>
      <c r="U160" s="451">
        <v>42871</v>
      </c>
    </row>
    <row r="161" spans="1:21" x14ac:dyDescent="0.25">
      <c r="A161" s="151" t="s">
        <v>222</v>
      </c>
      <c r="B161" s="53" t="s">
        <v>255</v>
      </c>
      <c r="T161" s="151"/>
    </row>
    <row r="162" spans="1:21" ht="16.5" thickBot="1" x14ac:dyDescent="0.3">
      <c r="T162" s="151"/>
    </row>
    <row r="163" spans="1:21" ht="16.5" thickBot="1" x14ac:dyDescent="0.3">
      <c r="A163" s="137"/>
      <c r="B163" s="138" t="s">
        <v>154</v>
      </c>
      <c r="C163" s="139" t="s">
        <v>224</v>
      </c>
      <c r="D163" s="139"/>
      <c r="E163" s="139" t="s">
        <v>156</v>
      </c>
      <c r="F163" s="139"/>
      <c r="G163" s="139" t="s">
        <v>225</v>
      </c>
      <c r="H163" s="139"/>
      <c r="I163" s="139" t="s">
        <v>226</v>
      </c>
      <c r="J163" s="139"/>
      <c r="K163" s="139" t="s">
        <v>57</v>
      </c>
      <c r="L163" s="140"/>
      <c r="M163" s="141" t="s">
        <v>172</v>
      </c>
      <c r="N163" s="142"/>
      <c r="Q163" s="141" t="s">
        <v>232</v>
      </c>
      <c r="R163" s="142"/>
      <c r="T163" s="151"/>
    </row>
    <row r="164" spans="1:21" ht="16.5" thickBot="1" x14ac:dyDescent="0.3">
      <c r="A164" s="143" t="s">
        <v>158</v>
      </c>
      <c r="B164" s="154" t="str">
        <f>CONCATENATE((N166+L166+J166+H166+F165+D165+R166),"万")</f>
        <v>281万</v>
      </c>
      <c r="C164" s="77"/>
      <c r="D164" s="29"/>
      <c r="E164" s="29"/>
      <c r="F164" s="29"/>
      <c r="G164" s="29"/>
      <c r="H164" s="29"/>
      <c r="I164" s="29"/>
      <c r="J164" s="29"/>
      <c r="K164" s="29"/>
      <c r="L164" s="29"/>
      <c r="M164" s="29"/>
      <c r="N164" s="136"/>
      <c r="Q164" s="29"/>
      <c r="R164" s="136"/>
      <c r="T164" s="151"/>
    </row>
    <row r="165" spans="1:21" x14ac:dyDescent="0.25">
      <c r="A165" s="145" t="s">
        <v>160</v>
      </c>
      <c r="B165" s="160"/>
      <c r="C165" s="84" t="s">
        <v>253</v>
      </c>
      <c r="D165" s="84" t="str">
        <f>LEFT(C165,LEN(C165)-1)</f>
        <v>8</v>
      </c>
      <c r="E165" s="84" t="s">
        <v>247</v>
      </c>
      <c r="F165" s="158" t="str">
        <f>LEFT(E165,LEN(E165)-1)</f>
        <v>2</v>
      </c>
      <c r="G165" s="31"/>
      <c r="H165" s="31"/>
      <c r="I165" s="31"/>
      <c r="J165" s="31"/>
      <c r="K165" s="31"/>
      <c r="L165" s="31"/>
      <c r="M165" s="31"/>
      <c r="N165" s="136"/>
      <c r="Q165" s="31"/>
      <c r="R165" s="136"/>
      <c r="S165" s="53" t="str">
        <f>CONCATENATE((D165+F165),"万")</f>
        <v>10万</v>
      </c>
      <c r="T165" s="136"/>
      <c r="U165" s="450" t="s">
        <v>164</v>
      </c>
    </row>
    <row r="166" spans="1:21" ht="16.5" thickBot="1" x14ac:dyDescent="0.3">
      <c r="A166" s="148" t="s">
        <v>165</v>
      </c>
      <c r="B166" s="149"/>
      <c r="C166" s="32"/>
      <c r="D166" s="32"/>
      <c r="E166" s="32"/>
      <c r="F166" s="32"/>
      <c r="G166" s="155" t="s">
        <v>242</v>
      </c>
      <c r="H166" s="155" t="str">
        <f>LEFT(G166,LEN(G166)-1)</f>
        <v>34</v>
      </c>
      <c r="I166" s="155" t="s">
        <v>168</v>
      </c>
      <c r="J166" s="155" t="str">
        <f>LEFT(I166,LEN(I166)-1)</f>
        <v>50</v>
      </c>
      <c r="K166" s="155" t="s">
        <v>234</v>
      </c>
      <c r="L166" s="155" t="str">
        <f>LEFT(K166,LEN(K166)-1)</f>
        <v>26</v>
      </c>
      <c r="M166" s="153" t="s">
        <v>256</v>
      </c>
      <c r="N166" s="156" t="str">
        <f>LEFT(M166,LEN(M166)-1)</f>
        <v>146</v>
      </c>
      <c r="Q166" s="155" t="s">
        <v>236</v>
      </c>
      <c r="R166" s="156" t="str">
        <f>LEFT(Q166,LEN(Q166)-1)</f>
        <v>15</v>
      </c>
      <c r="S166" s="53" t="str">
        <f>CONCATENATE((H166+J166+L166+N166+R166),"万")</f>
        <v>271万</v>
      </c>
      <c r="T166" s="152"/>
      <c r="U166" s="451">
        <v>42872</v>
      </c>
    </row>
    <row r="167" spans="1:21" x14ac:dyDescent="0.25">
      <c r="A167" s="151" t="s">
        <v>222</v>
      </c>
      <c r="B167" s="53" t="s">
        <v>257</v>
      </c>
      <c r="T167" s="151"/>
    </row>
    <row r="168" spans="1:21" ht="16.5" thickBot="1" x14ac:dyDescent="0.3">
      <c r="T168" s="151"/>
    </row>
    <row r="169" spans="1:21" ht="16.5" thickBot="1" x14ac:dyDescent="0.3">
      <c r="A169" s="137"/>
      <c r="B169" s="138" t="s">
        <v>154</v>
      </c>
      <c r="C169" s="139" t="s">
        <v>224</v>
      </c>
      <c r="D169" s="139"/>
      <c r="E169" s="139" t="s">
        <v>156</v>
      </c>
      <c r="F169" s="139"/>
      <c r="G169" s="139" t="s">
        <v>225</v>
      </c>
      <c r="H169" s="139"/>
      <c r="I169" s="139" t="s">
        <v>226</v>
      </c>
      <c r="J169" s="139"/>
      <c r="K169" s="139" t="s">
        <v>57</v>
      </c>
      <c r="L169" s="140"/>
      <c r="M169" s="141" t="s">
        <v>172</v>
      </c>
      <c r="N169" s="142"/>
      <c r="Q169" s="141" t="s">
        <v>232</v>
      </c>
      <c r="R169" s="142"/>
      <c r="T169" s="151"/>
    </row>
    <row r="170" spans="1:21" ht="16.5" thickBot="1" x14ac:dyDescent="0.3">
      <c r="A170" s="143" t="s">
        <v>158</v>
      </c>
      <c r="B170" s="154" t="str">
        <f>CONCATENATE((N172+L172+J172+H172+F171+D171+R172),"万")</f>
        <v>290万</v>
      </c>
      <c r="C170" s="77"/>
      <c r="D170" s="29"/>
      <c r="E170" s="29"/>
      <c r="F170" s="29"/>
      <c r="G170" s="29"/>
      <c r="H170" s="29"/>
      <c r="I170" s="29"/>
      <c r="J170" s="29"/>
      <c r="K170" s="29"/>
      <c r="L170" s="29"/>
      <c r="M170" s="29"/>
      <c r="N170" s="136"/>
      <c r="Q170" s="29"/>
      <c r="R170" s="136"/>
      <c r="T170" s="151"/>
    </row>
    <row r="171" spans="1:21" x14ac:dyDescent="0.25">
      <c r="A171" s="145" t="s">
        <v>160</v>
      </c>
      <c r="B171" s="160"/>
      <c r="C171" s="84" t="s">
        <v>253</v>
      </c>
      <c r="D171" s="84" t="str">
        <f>LEFT(C171,LEN(C171)-1)</f>
        <v>8</v>
      </c>
      <c r="E171" s="158" t="s">
        <v>258</v>
      </c>
      <c r="F171" s="158" t="str">
        <f>LEFT(E171,LEN(E171)-1)</f>
        <v>3</v>
      </c>
      <c r="G171" s="31"/>
      <c r="H171" s="31"/>
      <c r="I171" s="31"/>
      <c r="J171" s="31"/>
      <c r="K171" s="31"/>
      <c r="L171" s="31"/>
      <c r="M171" s="31"/>
      <c r="N171" s="136"/>
      <c r="Q171" s="31"/>
      <c r="R171" s="136"/>
      <c r="S171" s="53" t="str">
        <f>CONCATENATE((D171+F171),"万")</f>
        <v>11万</v>
      </c>
      <c r="T171" s="136"/>
      <c r="U171" s="450" t="s">
        <v>164</v>
      </c>
    </row>
    <row r="172" spans="1:21" ht="16.5" thickBot="1" x14ac:dyDescent="0.3">
      <c r="A172" s="148" t="s">
        <v>165</v>
      </c>
      <c r="B172" s="149"/>
      <c r="C172" s="32"/>
      <c r="D172" s="32"/>
      <c r="E172" s="32"/>
      <c r="F172" s="32"/>
      <c r="G172" s="153" t="s">
        <v>259</v>
      </c>
      <c r="H172" s="155" t="str">
        <f>LEFT(G172,LEN(G172)-1)</f>
        <v>35</v>
      </c>
      <c r="I172" s="155" t="s">
        <v>168</v>
      </c>
      <c r="J172" s="155" t="str">
        <f>LEFT(I172,LEN(I172)-1)</f>
        <v>50</v>
      </c>
      <c r="K172" s="155" t="s">
        <v>234</v>
      </c>
      <c r="L172" s="155" t="str">
        <f>LEFT(K172,LEN(K172)-1)</f>
        <v>26</v>
      </c>
      <c r="M172" s="153" t="s">
        <v>260</v>
      </c>
      <c r="N172" s="156" t="str">
        <f>LEFT(M172,LEN(M172)-1)</f>
        <v>153</v>
      </c>
      <c r="Q172" s="155" t="s">
        <v>236</v>
      </c>
      <c r="R172" s="156" t="str">
        <f>LEFT(Q172,LEN(Q172)-1)</f>
        <v>15</v>
      </c>
      <c r="S172" s="53" t="str">
        <f>CONCATENATE((H172+J172+L172+N172+R172),"万")</f>
        <v>279万</v>
      </c>
      <c r="T172" s="152"/>
      <c r="U172" s="451">
        <v>42874</v>
      </c>
    </row>
    <row r="173" spans="1:21" x14ac:dyDescent="0.25">
      <c r="A173" s="151" t="s">
        <v>171</v>
      </c>
      <c r="B173" s="53" t="s">
        <v>261</v>
      </c>
      <c r="T173" s="151"/>
    </row>
    <row r="174" spans="1:21" ht="16.5" thickBot="1" x14ac:dyDescent="0.3">
      <c r="T174" s="151"/>
    </row>
    <row r="175" spans="1:21" ht="16.5" thickBot="1" x14ac:dyDescent="0.3">
      <c r="A175" s="137"/>
      <c r="B175" s="138" t="s">
        <v>154</v>
      </c>
      <c r="C175" s="139" t="s">
        <v>155</v>
      </c>
      <c r="D175" s="139"/>
      <c r="E175" s="139" t="s">
        <v>156</v>
      </c>
      <c r="F175" s="139"/>
      <c r="G175" s="139" t="s">
        <v>178</v>
      </c>
      <c r="H175" s="139"/>
      <c r="I175" s="139" t="s">
        <v>157</v>
      </c>
      <c r="J175" s="139"/>
      <c r="K175" s="139" t="s">
        <v>57</v>
      </c>
      <c r="L175" s="140"/>
      <c r="M175" s="141" t="s">
        <v>172</v>
      </c>
      <c r="N175" s="142"/>
      <c r="Q175" s="141" t="s">
        <v>232</v>
      </c>
      <c r="R175" s="142"/>
      <c r="T175" s="151"/>
    </row>
    <row r="176" spans="1:21" ht="16.5" thickBot="1" x14ac:dyDescent="0.3">
      <c r="A176" s="143" t="s">
        <v>158</v>
      </c>
      <c r="B176" s="159" t="str">
        <f>CONCATENATE((N178+L178+J178+H178+F177+D177+R178),"万")</f>
        <v>290万</v>
      </c>
      <c r="C176" s="77"/>
      <c r="D176" s="77"/>
      <c r="E176" s="77"/>
      <c r="F176" s="77"/>
      <c r="G176" s="77"/>
      <c r="H176" s="77"/>
      <c r="I176" s="77"/>
      <c r="J176" s="77"/>
      <c r="K176" s="77"/>
      <c r="L176" s="77"/>
      <c r="M176" s="77"/>
      <c r="N176" s="136"/>
      <c r="Q176" s="29"/>
      <c r="R176" s="136"/>
      <c r="T176" s="151"/>
    </row>
    <row r="177" spans="1:21" x14ac:dyDescent="0.25">
      <c r="A177" s="145" t="s">
        <v>160</v>
      </c>
      <c r="B177" s="160"/>
      <c r="C177" s="84" t="s">
        <v>253</v>
      </c>
      <c r="D177" s="84" t="str">
        <f>LEFT(C177,LEN(C177)-1)</f>
        <v>8</v>
      </c>
      <c r="E177" s="84" t="s">
        <v>258</v>
      </c>
      <c r="F177" s="84" t="str">
        <f>LEFT(E177,LEN(E177)-1)</f>
        <v>3</v>
      </c>
      <c r="G177" s="84"/>
      <c r="H177" s="84"/>
      <c r="I177" s="84"/>
      <c r="J177" s="84"/>
      <c r="K177" s="84"/>
      <c r="L177" s="84"/>
      <c r="M177" s="84"/>
      <c r="N177" s="136"/>
      <c r="Q177" s="31"/>
      <c r="R177" s="136"/>
      <c r="S177" s="53" t="str">
        <f>CONCATENATE((D177+F177),"万")</f>
        <v>11万</v>
      </c>
      <c r="T177" s="136"/>
      <c r="U177" s="450" t="s">
        <v>164</v>
      </c>
    </row>
    <row r="178" spans="1:21" ht="16.5" thickBot="1" x14ac:dyDescent="0.3">
      <c r="A178" s="148" t="s">
        <v>165</v>
      </c>
      <c r="B178" s="341"/>
      <c r="C178" s="155"/>
      <c r="D178" s="155"/>
      <c r="E178" s="155"/>
      <c r="F178" s="155"/>
      <c r="G178" s="155" t="s">
        <v>259</v>
      </c>
      <c r="H178" s="155" t="str">
        <f>LEFT(G178,LEN(G178)-1)</f>
        <v>35</v>
      </c>
      <c r="I178" s="155" t="s">
        <v>168</v>
      </c>
      <c r="J178" s="155" t="str">
        <f>LEFT(I178,LEN(I178)-1)</f>
        <v>50</v>
      </c>
      <c r="K178" s="155" t="s">
        <v>234</v>
      </c>
      <c r="L178" s="155" t="str">
        <f>LEFT(K178,LEN(K178)-1)</f>
        <v>26</v>
      </c>
      <c r="M178" s="155" t="s">
        <v>260</v>
      </c>
      <c r="N178" s="156" t="str">
        <f>LEFT(M178,LEN(M178)-1)</f>
        <v>153</v>
      </c>
      <c r="Q178" s="155" t="s">
        <v>236</v>
      </c>
      <c r="R178" s="156" t="str">
        <f>LEFT(Q178,LEN(Q178)-1)</f>
        <v>15</v>
      </c>
      <c r="S178" s="53" t="str">
        <f>CONCATENATE((H178+J178+L178+N178+R178),"万")</f>
        <v>279万</v>
      </c>
      <c r="T178" s="152"/>
      <c r="U178" s="451">
        <v>42879</v>
      </c>
    </row>
    <row r="179" spans="1:21" x14ac:dyDescent="0.25">
      <c r="A179" s="151" t="s">
        <v>171</v>
      </c>
      <c r="B179" s="53" t="s">
        <v>451</v>
      </c>
      <c r="T179" s="151"/>
    </row>
    <row r="180" spans="1:21" ht="16.5" thickBot="1" x14ac:dyDescent="0.3">
      <c r="T180" s="151"/>
    </row>
    <row r="181" spans="1:21" ht="16.5" thickBot="1" x14ac:dyDescent="0.3">
      <c r="A181" s="137"/>
      <c r="B181" s="138" t="s">
        <v>154</v>
      </c>
      <c r="C181" s="139" t="s">
        <v>155</v>
      </c>
      <c r="D181" s="139"/>
      <c r="E181" s="139" t="s">
        <v>156</v>
      </c>
      <c r="F181" s="139"/>
      <c r="G181" s="139" t="s">
        <v>178</v>
      </c>
      <c r="H181" s="139"/>
      <c r="I181" s="139" t="s">
        <v>157</v>
      </c>
      <c r="J181" s="139"/>
      <c r="K181" s="139" t="s">
        <v>57</v>
      </c>
      <c r="L181" s="140"/>
      <c r="M181" s="141" t="s">
        <v>172</v>
      </c>
      <c r="N181" s="142"/>
      <c r="Q181" s="141" t="s">
        <v>232</v>
      </c>
      <c r="R181" s="142"/>
      <c r="T181" s="151"/>
    </row>
    <row r="182" spans="1:21" ht="16.5" thickBot="1" x14ac:dyDescent="0.3">
      <c r="A182" s="143" t="s">
        <v>158</v>
      </c>
      <c r="B182" s="159" t="str">
        <f>CONCATENATE((N184+L184+J184+H184+F183+D183+R184),"万")</f>
        <v>301万</v>
      </c>
      <c r="C182" s="77"/>
      <c r="D182" s="77"/>
      <c r="E182" s="77"/>
      <c r="F182" s="77"/>
      <c r="G182" s="77"/>
      <c r="H182" s="77"/>
      <c r="I182" s="77"/>
      <c r="J182" s="77"/>
      <c r="K182" s="77"/>
      <c r="L182" s="77"/>
      <c r="M182" s="77"/>
      <c r="N182" s="136"/>
      <c r="Q182" s="29"/>
      <c r="R182" s="136"/>
      <c r="T182" s="151"/>
    </row>
    <row r="183" spans="1:21" x14ac:dyDescent="0.25">
      <c r="A183" s="145" t="s">
        <v>160</v>
      </c>
      <c r="B183" s="160"/>
      <c r="C183" s="158" t="s">
        <v>191</v>
      </c>
      <c r="D183" s="84" t="str">
        <f>LEFT(C183,LEN(C183)-1)</f>
        <v>23</v>
      </c>
      <c r="E183" s="158" t="s">
        <v>247</v>
      </c>
      <c r="F183" s="84" t="str">
        <f>LEFT(E183,LEN(E183)-1)</f>
        <v>2</v>
      </c>
      <c r="G183" s="84"/>
      <c r="H183" s="84"/>
      <c r="I183" s="84"/>
      <c r="J183" s="84"/>
      <c r="K183" s="84"/>
      <c r="L183" s="84"/>
      <c r="M183" s="84"/>
      <c r="N183" s="136"/>
      <c r="Q183" s="31"/>
      <c r="R183" s="136"/>
      <c r="S183" s="53" t="str">
        <f>CONCATENATE((D183+F183),"万")</f>
        <v>25万</v>
      </c>
      <c r="T183" s="136"/>
      <c r="U183" s="450" t="s">
        <v>164</v>
      </c>
    </row>
    <row r="184" spans="1:21" ht="16.5" thickBot="1" x14ac:dyDescent="0.3">
      <c r="A184" s="148" t="s">
        <v>165</v>
      </c>
      <c r="B184" s="341"/>
      <c r="C184" s="155"/>
      <c r="D184" s="155"/>
      <c r="E184" s="155"/>
      <c r="F184" s="155"/>
      <c r="G184" s="155" t="s">
        <v>259</v>
      </c>
      <c r="H184" s="155" t="str">
        <f>LEFT(G184,LEN(G184)-1)</f>
        <v>35</v>
      </c>
      <c r="I184" s="155" t="s">
        <v>168</v>
      </c>
      <c r="J184" s="155" t="str">
        <f>LEFT(I184,LEN(I184)-1)</f>
        <v>50</v>
      </c>
      <c r="K184" s="155" t="s">
        <v>234</v>
      </c>
      <c r="L184" s="155" t="str">
        <f>LEFT(K184,LEN(K184)-1)</f>
        <v>26</v>
      </c>
      <c r="M184" s="153" t="s">
        <v>461</v>
      </c>
      <c r="N184" s="156" t="str">
        <f>LEFT(M184,LEN(M184)-1)</f>
        <v>150</v>
      </c>
      <c r="Q184" s="155" t="s">
        <v>236</v>
      </c>
      <c r="R184" s="156" t="str">
        <f>LEFT(Q184,LEN(Q184)-1)</f>
        <v>15</v>
      </c>
      <c r="S184" s="53" t="str">
        <f>CONCATENATE((H184+J184+L184+N184+R184),"万")</f>
        <v>276万</v>
      </c>
      <c r="T184" s="152"/>
      <c r="U184" s="451">
        <v>42886</v>
      </c>
    </row>
    <row r="185" spans="1:21" x14ac:dyDescent="0.25">
      <c r="A185" s="151" t="s">
        <v>171</v>
      </c>
      <c r="B185" s="53" t="s">
        <v>462</v>
      </c>
      <c r="T185" s="151"/>
    </row>
    <row r="186" spans="1:21" ht="16.5" thickBot="1" x14ac:dyDescent="0.3">
      <c r="T186" s="151"/>
    </row>
    <row r="187" spans="1:21" ht="16.5" thickBot="1" x14ac:dyDescent="0.3">
      <c r="A187" s="137"/>
      <c r="B187" s="138" t="s">
        <v>154</v>
      </c>
      <c r="C187" s="139" t="s">
        <v>155</v>
      </c>
      <c r="D187" s="139"/>
      <c r="E187" s="139" t="s">
        <v>156</v>
      </c>
      <c r="F187" s="139"/>
      <c r="G187" s="139" t="s">
        <v>178</v>
      </c>
      <c r="H187" s="139"/>
      <c r="I187" s="139" t="s">
        <v>157</v>
      </c>
      <c r="J187" s="139"/>
      <c r="K187" s="139" t="s">
        <v>57</v>
      </c>
      <c r="L187" s="140"/>
      <c r="M187" s="141" t="s">
        <v>172</v>
      </c>
      <c r="N187" s="142"/>
      <c r="O187" s="141" t="s">
        <v>466</v>
      </c>
      <c r="P187" s="142"/>
      <c r="Q187" s="141" t="s">
        <v>232</v>
      </c>
      <c r="R187" s="142"/>
      <c r="T187" s="151"/>
    </row>
    <row r="188" spans="1:21" ht="16.5" thickBot="1" x14ac:dyDescent="0.3">
      <c r="A188" s="143" t="s">
        <v>158</v>
      </c>
      <c r="B188" s="159" t="str">
        <f>CONCATENATE((N190+L190+J190+H190+F189+D189+R190+P190),"万")</f>
        <v>306万</v>
      </c>
      <c r="C188" s="77"/>
      <c r="D188" s="77"/>
      <c r="E188" s="77"/>
      <c r="F188" s="77"/>
      <c r="G188" s="77"/>
      <c r="H188" s="77"/>
      <c r="I188" s="77"/>
      <c r="J188" s="77"/>
      <c r="K188" s="77"/>
      <c r="L188" s="77"/>
      <c r="M188" s="77"/>
      <c r="N188" s="136"/>
      <c r="O188" s="77"/>
      <c r="P188" s="136"/>
      <c r="Q188" s="29"/>
      <c r="R188" s="136"/>
      <c r="T188" s="151"/>
    </row>
    <row r="189" spans="1:21" x14ac:dyDescent="0.25">
      <c r="A189" s="145" t="s">
        <v>160</v>
      </c>
      <c r="B189" s="160"/>
      <c r="C189" s="158" t="s">
        <v>468</v>
      </c>
      <c r="D189" s="84" t="str">
        <f>LEFT(C189,LEN(C189)-1)</f>
        <v>19</v>
      </c>
      <c r="E189" s="84" t="s">
        <v>247</v>
      </c>
      <c r="F189" s="84" t="str">
        <f>LEFT(E189,LEN(E189)-1)</f>
        <v>2</v>
      </c>
      <c r="G189" s="84"/>
      <c r="H189" s="84"/>
      <c r="I189" s="84"/>
      <c r="J189" s="84"/>
      <c r="K189" s="84"/>
      <c r="L189" s="84"/>
      <c r="M189" s="84"/>
      <c r="N189" s="136"/>
      <c r="O189" s="84"/>
      <c r="P189" s="136"/>
      <c r="Q189" s="31"/>
      <c r="R189" s="136"/>
      <c r="S189" s="53" t="str">
        <f>CONCATENATE((D189+F189),"万")</f>
        <v>21万</v>
      </c>
      <c r="T189" s="136"/>
      <c r="U189" s="450" t="s">
        <v>164</v>
      </c>
    </row>
    <row r="190" spans="1:21" ht="16.5" thickBot="1" x14ac:dyDescent="0.3">
      <c r="A190" s="148" t="s">
        <v>165</v>
      </c>
      <c r="B190" s="341"/>
      <c r="C190" s="155"/>
      <c r="D190" s="155"/>
      <c r="E190" s="155"/>
      <c r="F190" s="155"/>
      <c r="G190" s="155" t="s">
        <v>259</v>
      </c>
      <c r="H190" s="155" t="str">
        <f>LEFT(G190,LEN(G190)-1)</f>
        <v>35</v>
      </c>
      <c r="I190" s="155" t="s">
        <v>168</v>
      </c>
      <c r="J190" s="155" t="str">
        <f>LEFT(I190,LEN(I190)-1)</f>
        <v>50</v>
      </c>
      <c r="K190" s="155" t="s">
        <v>234</v>
      </c>
      <c r="L190" s="155" t="str">
        <f>LEFT(K190,LEN(K190)-1)</f>
        <v>26</v>
      </c>
      <c r="M190" s="153" t="s">
        <v>465</v>
      </c>
      <c r="N190" s="156" t="str">
        <f>LEFT(M190,LEN(M190)-1)</f>
        <v>154</v>
      </c>
      <c r="O190" s="153" t="s">
        <v>162</v>
      </c>
      <c r="P190" s="156" t="str">
        <f>LEFT(O190,LEN(O190)-1)</f>
        <v>5</v>
      </c>
      <c r="Q190" s="155" t="s">
        <v>236</v>
      </c>
      <c r="R190" s="156" t="str">
        <f>LEFT(Q190,LEN(Q190)-1)</f>
        <v>15</v>
      </c>
      <c r="S190" s="53" t="str">
        <f>CONCATENATE((H190+J190+L190+N190+R190+P190),"万")</f>
        <v>285万</v>
      </c>
      <c r="T190" s="152"/>
      <c r="U190" s="451">
        <v>42891</v>
      </c>
    </row>
    <row r="191" spans="1:21" x14ac:dyDescent="0.25">
      <c r="A191" s="151" t="s">
        <v>171</v>
      </c>
      <c r="B191" s="53" t="s">
        <v>469</v>
      </c>
      <c r="T191" s="151"/>
    </row>
    <row r="192" spans="1:21" ht="16.5" thickBot="1" x14ac:dyDescent="0.3">
      <c r="T192" s="151"/>
    </row>
    <row r="193" spans="1:21" ht="16.5" thickBot="1" x14ac:dyDescent="0.3">
      <c r="A193" s="137"/>
      <c r="B193" s="138" t="s">
        <v>154</v>
      </c>
      <c r="C193" s="139" t="s">
        <v>155</v>
      </c>
      <c r="D193" s="139"/>
      <c r="E193" s="139" t="s">
        <v>156</v>
      </c>
      <c r="F193" s="139"/>
      <c r="G193" s="139" t="s">
        <v>178</v>
      </c>
      <c r="H193" s="139"/>
      <c r="I193" s="139" t="s">
        <v>157</v>
      </c>
      <c r="J193" s="139"/>
      <c r="K193" s="139" t="s">
        <v>57</v>
      </c>
      <c r="L193" s="140"/>
      <c r="M193" s="141" t="s">
        <v>172</v>
      </c>
      <c r="N193" s="142"/>
      <c r="O193" s="141" t="s">
        <v>466</v>
      </c>
      <c r="P193" s="142"/>
      <c r="Q193" s="141" t="s">
        <v>232</v>
      </c>
      <c r="R193" s="142"/>
      <c r="T193" s="151"/>
    </row>
    <row r="194" spans="1:21" ht="16.5" thickBot="1" x14ac:dyDescent="0.3">
      <c r="A194" s="143" t="s">
        <v>158</v>
      </c>
      <c r="B194" s="159" t="str">
        <f>CONCATENATE((N196+L196+J196+H196+F195+D195+R196+P196),"万")</f>
        <v>290万</v>
      </c>
      <c r="C194" s="77"/>
      <c r="D194" s="77"/>
      <c r="E194" s="77"/>
      <c r="F194" s="77"/>
      <c r="G194" s="77"/>
      <c r="H194" s="77"/>
      <c r="I194" s="77"/>
      <c r="J194" s="77"/>
      <c r="K194" s="77"/>
      <c r="L194" s="77"/>
      <c r="M194" s="77"/>
      <c r="N194" s="136"/>
      <c r="O194" s="77"/>
      <c r="P194" s="136"/>
      <c r="Q194" s="29"/>
      <c r="R194" s="136"/>
      <c r="T194" s="151"/>
    </row>
    <row r="195" spans="1:21" x14ac:dyDescent="0.25">
      <c r="A195" s="145" t="s">
        <v>160</v>
      </c>
      <c r="B195" s="160"/>
      <c r="C195" s="158" t="s">
        <v>475</v>
      </c>
      <c r="D195" s="84" t="str">
        <f>LEFT(C195,LEN(C195)-1)</f>
        <v>17</v>
      </c>
      <c r="E195" s="84" t="s">
        <v>247</v>
      </c>
      <c r="F195" s="84" t="str">
        <f>LEFT(E195,LEN(E195)-1)</f>
        <v>2</v>
      </c>
      <c r="G195" s="84"/>
      <c r="H195" s="84"/>
      <c r="I195" s="84"/>
      <c r="J195" s="84"/>
      <c r="K195" s="84"/>
      <c r="L195" s="84"/>
      <c r="M195" s="84"/>
      <c r="N195" s="136"/>
      <c r="O195" s="84"/>
      <c r="P195" s="136"/>
      <c r="Q195" s="31"/>
      <c r="R195" s="136"/>
      <c r="S195" s="53" t="str">
        <f>CONCATENATE((D195+F195),"万")</f>
        <v>19万</v>
      </c>
      <c r="T195" s="136"/>
      <c r="U195" s="450" t="s">
        <v>164</v>
      </c>
    </row>
    <row r="196" spans="1:21" ht="16.5" thickBot="1" x14ac:dyDescent="0.3">
      <c r="A196" s="148" t="s">
        <v>165</v>
      </c>
      <c r="B196" s="341"/>
      <c r="C196" s="155"/>
      <c r="D196" s="155"/>
      <c r="E196" s="155"/>
      <c r="F196" s="155"/>
      <c r="G196" s="155" t="s">
        <v>259</v>
      </c>
      <c r="H196" s="155" t="str">
        <f>LEFT(G196,LEN(G196)-1)</f>
        <v>35</v>
      </c>
      <c r="I196" s="155" t="s">
        <v>168</v>
      </c>
      <c r="J196" s="155" t="str">
        <f>LEFT(I196,LEN(I196)-1)</f>
        <v>50</v>
      </c>
      <c r="K196" s="155" t="s">
        <v>234</v>
      </c>
      <c r="L196" s="155" t="str">
        <f>LEFT(K196,LEN(K196)-1)</f>
        <v>26</v>
      </c>
      <c r="M196" s="153" t="s">
        <v>248</v>
      </c>
      <c r="N196" s="156" t="str">
        <f>LEFT(M196,LEN(M196)-1)</f>
        <v>140</v>
      </c>
      <c r="O196" s="153" t="s">
        <v>162</v>
      </c>
      <c r="P196" s="156" t="str">
        <f>LEFT(O196,LEN(O196)-1)</f>
        <v>5</v>
      </c>
      <c r="Q196" s="155" t="s">
        <v>236</v>
      </c>
      <c r="R196" s="156" t="str">
        <f>LEFT(Q196,LEN(Q196)-1)</f>
        <v>15</v>
      </c>
      <c r="S196" s="53" t="str">
        <f>CONCATENATE((H196+J196+L196+N196+R196+P196),"万")</f>
        <v>271万</v>
      </c>
      <c r="T196" s="152"/>
      <c r="U196" s="451">
        <v>42901</v>
      </c>
    </row>
    <row r="197" spans="1:21" x14ac:dyDescent="0.25">
      <c r="A197" s="151" t="s">
        <v>171</v>
      </c>
      <c r="T197" s="151"/>
    </row>
    <row r="198" spans="1:21" ht="16.5" thickBot="1" x14ac:dyDescent="0.3">
      <c r="T198" s="151"/>
    </row>
    <row r="199" spans="1:21" ht="16.5" thickBot="1" x14ac:dyDescent="0.3">
      <c r="A199" s="137"/>
      <c r="B199" s="138" t="s">
        <v>154</v>
      </c>
      <c r="C199" s="139" t="s">
        <v>155</v>
      </c>
      <c r="D199" s="139"/>
      <c r="E199" s="139" t="s">
        <v>156</v>
      </c>
      <c r="F199" s="139"/>
      <c r="G199" s="139" t="s">
        <v>178</v>
      </c>
      <c r="H199" s="139"/>
      <c r="I199" s="139" t="s">
        <v>157</v>
      </c>
      <c r="J199" s="139"/>
      <c r="K199" s="139" t="s">
        <v>57</v>
      </c>
      <c r="L199" s="140"/>
      <c r="M199" s="141" t="s">
        <v>172</v>
      </c>
      <c r="N199" s="142"/>
      <c r="O199" s="141" t="s">
        <v>466</v>
      </c>
      <c r="P199" s="142"/>
      <c r="Q199" s="141" t="s">
        <v>232</v>
      </c>
      <c r="R199" s="142"/>
      <c r="T199" s="151"/>
    </row>
    <row r="200" spans="1:21" ht="16.5" thickBot="1" x14ac:dyDescent="0.3">
      <c r="A200" s="143" t="s">
        <v>158</v>
      </c>
      <c r="B200" s="159" t="str">
        <f>CONCATENATE((N202+L202+J202+H202+F201+D201+R202+P202),"万")</f>
        <v>352万</v>
      </c>
      <c r="C200" s="77"/>
      <c r="D200" s="77"/>
      <c r="E200" s="77"/>
      <c r="F200" s="77"/>
      <c r="G200" s="77"/>
      <c r="H200" s="77"/>
      <c r="I200" s="77"/>
      <c r="J200" s="77"/>
      <c r="K200" s="77"/>
      <c r="L200" s="77"/>
      <c r="M200" s="77"/>
      <c r="N200" s="136"/>
      <c r="O200" s="77"/>
      <c r="P200" s="136"/>
      <c r="Q200" s="29"/>
      <c r="R200" s="136"/>
      <c r="T200" s="151"/>
    </row>
    <row r="201" spans="1:21" x14ac:dyDescent="0.25">
      <c r="A201" s="145" t="s">
        <v>160</v>
      </c>
      <c r="B201" s="160"/>
      <c r="C201" s="158" t="s">
        <v>483</v>
      </c>
      <c r="D201" s="84" t="str">
        <f>LEFT(C201,LEN(C201)-1)</f>
        <v>30</v>
      </c>
      <c r="E201" s="158" t="s">
        <v>484</v>
      </c>
      <c r="F201" s="84" t="str">
        <f>LEFT(E201,LEN(E201)-1)</f>
        <v>1</v>
      </c>
      <c r="G201" s="84"/>
      <c r="H201" s="84"/>
      <c r="I201" s="84"/>
      <c r="J201" s="84"/>
      <c r="K201" s="84"/>
      <c r="L201" s="84"/>
      <c r="M201" s="84"/>
      <c r="N201" s="136"/>
      <c r="O201" s="84"/>
      <c r="P201" s="136"/>
      <c r="Q201" s="31"/>
      <c r="R201" s="136"/>
      <c r="S201" s="53" t="str">
        <f>CONCATENATE((D201+F201),"万")</f>
        <v>31万</v>
      </c>
      <c r="T201" s="136"/>
      <c r="U201" s="450" t="s">
        <v>164</v>
      </c>
    </row>
    <row r="202" spans="1:21" ht="16.5" thickBot="1" x14ac:dyDescent="0.3">
      <c r="A202" s="148" t="s">
        <v>165</v>
      </c>
      <c r="B202" s="341"/>
      <c r="C202" s="155"/>
      <c r="D202" s="155"/>
      <c r="E202" s="155"/>
      <c r="F202" s="155"/>
      <c r="G202" s="155" t="s">
        <v>259</v>
      </c>
      <c r="H202" s="155" t="str">
        <f>LEFT(G202,LEN(G202)-1)</f>
        <v>35</v>
      </c>
      <c r="I202" s="153" t="s">
        <v>487</v>
      </c>
      <c r="J202" s="155" t="str">
        <f>LEFT(I202,LEN(I202)-1)</f>
        <v>51</v>
      </c>
      <c r="K202" s="155" t="s">
        <v>234</v>
      </c>
      <c r="L202" s="155" t="str">
        <f>LEFT(K202,LEN(K202)-1)</f>
        <v>26</v>
      </c>
      <c r="M202" s="153" t="s">
        <v>485</v>
      </c>
      <c r="N202" s="156" t="str">
        <f>LEFT(M202,LEN(M202)-1)</f>
        <v>189</v>
      </c>
      <c r="O202" s="155" t="s">
        <v>162</v>
      </c>
      <c r="P202" s="156" t="str">
        <f>LEFT(O202,LEN(O202)-1)</f>
        <v>5</v>
      </c>
      <c r="Q202" s="155" t="s">
        <v>236</v>
      </c>
      <c r="R202" s="156" t="str">
        <f>LEFT(Q202,LEN(Q202)-1)</f>
        <v>15</v>
      </c>
      <c r="S202" s="53" t="str">
        <f>CONCATENATE((H202+J202+L202+N202+R202+P202),"万")</f>
        <v>321万</v>
      </c>
      <c r="T202" s="152"/>
      <c r="U202" s="451">
        <v>42916</v>
      </c>
    </row>
    <row r="203" spans="1:21" x14ac:dyDescent="0.25">
      <c r="A203" s="151" t="s">
        <v>171</v>
      </c>
      <c r="B203" s="53" t="s">
        <v>486</v>
      </c>
      <c r="E203" s="98" t="s">
        <v>488</v>
      </c>
      <c r="T203" s="151"/>
    </row>
    <row r="204" spans="1:21" ht="16.5" thickBot="1" x14ac:dyDescent="0.3">
      <c r="T204" s="151"/>
    </row>
    <row r="205" spans="1:21" ht="16.5" thickBot="1" x14ac:dyDescent="0.3">
      <c r="A205" s="137"/>
      <c r="B205" s="138" t="s">
        <v>154</v>
      </c>
      <c r="C205" s="139" t="s">
        <v>155</v>
      </c>
      <c r="D205" s="139"/>
      <c r="E205" s="139" t="s">
        <v>156</v>
      </c>
      <c r="F205" s="139"/>
      <c r="G205" s="139" t="s">
        <v>178</v>
      </c>
      <c r="H205" s="139"/>
      <c r="I205" s="139" t="s">
        <v>157</v>
      </c>
      <c r="J205" s="139"/>
      <c r="K205" s="139" t="s">
        <v>57</v>
      </c>
      <c r="L205" s="140"/>
      <c r="M205" s="141" t="s">
        <v>172</v>
      </c>
      <c r="N205" s="142"/>
      <c r="O205" s="141" t="s">
        <v>466</v>
      </c>
      <c r="P205" s="142"/>
      <c r="Q205" s="141" t="s">
        <v>232</v>
      </c>
      <c r="R205" s="142"/>
      <c r="T205" s="151"/>
    </row>
    <row r="206" spans="1:21" ht="16.5" thickBot="1" x14ac:dyDescent="0.3">
      <c r="A206" s="143" t="s">
        <v>158</v>
      </c>
      <c r="B206" s="159" t="str">
        <f>CONCATENATE((N208+L208+J208+H208+F207+D207+R208+P208),"万")</f>
        <v>349万</v>
      </c>
      <c r="C206" s="77"/>
      <c r="D206" s="77"/>
      <c r="E206" s="77"/>
      <c r="F206" s="77"/>
      <c r="G206" s="77"/>
      <c r="H206" s="77"/>
      <c r="I206" s="77"/>
      <c r="J206" s="77"/>
      <c r="K206" s="77"/>
      <c r="L206" s="77"/>
      <c r="M206" s="77"/>
      <c r="N206" s="136"/>
      <c r="O206" s="77"/>
      <c r="P206" s="136"/>
      <c r="Q206" s="29"/>
      <c r="R206" s="136"/>
      <c r="T206" s="151"/>
    </row>
    <row r="207" spans="1:21" x14ac:dyDescent="0.25">
      <c r="A207" s="145" t="s">
        <v>160</v>
      </c>
      <c r="B207" s="160"/>
      <c r="C207" s="158" t="s">
        <v>189</v>
      </c>
      <c r="D207" s="84" t="str">
        <f>LEFT(C207,LEN(C207)-1)</f>
        <v>16</v>
      </c>
      <c r="E207" s="158" t="s">
        <v>233</v>
      </c>
      <c r="F207" s="84" t="str">
        <f>LEFT(E207,LEN(E207)-1)</f>
        <v>9</v>
      </c>
      <c r="G207" s="84"/>
      <c r="H207" s="84"/>
      <c r="I207" s="84"/>
      <c r="J207" s="84"/>
      <c r="K207" s="84"/>
      <c r="L207" s="84"/>
      <c r="M207" s="84"/>
      <c r="N207" s="136"/>
      <c r="O207" s="84"/>
      <c r="P207" s="136"/>
      <c r="Q207" s="31"/>
      <c r="R207" s="136"/>
      <c r="S207" s="53" t="str">
        <f>CONCATENATE((D207+F207),"万")</f>
        <v>25万</v>
      </c>
      <c r="T207" s="136"/>
      <c r="U207" s="450" t="s">
        <v>164</v>
      </c>
    </row>
    <row r="208" spans="1:21" ht="16.5" thickBot="1" x14ac:dyDescent="0.3">
      <c r="A208" s="148" t="s">
        <v>165</v>
      </c>
      <c r="B208" s="341"/>
      <c r="C208" s="155"/>
      <c r="D208" s="155"/>
      <c r="E208" s="155"/>
      <c r="F208" s="155"/>
      <c r="G208" s="155" t="s">
        <v>259</v>
      </c>
      <c r="H208" s="155" t="str">
        <f>LEFT(G208,LEN(G208)-1)</f>
        <v>35</v>
      </c>
      <c r="I208" s="153" t="s">
        <v>518</v>
      </c>
      <c r="J208" s="155" t="str">
        <f>LEFT(I208,LEN(I208)-1)</f>
        <v>56</v>
      </c>
      <c r="K208" s="155" t="s">
        <v>234</v>
      </c>
      <c r="L208" s="155" t="str">
        <f>LEFT(K208,LEN(K208)-1)</f>
        <v>26</v>
      </c>
      <c r="M208" s="153" t="s">
        <v>519</v>
      </c>
      <c r="N208" s="156" t="str">
        <f>LEFT(M208,LEN(M208)-1)</f>
        <v>187</v>
      </c>
      <c r="O208" s="155" t="s">
        <v>162</v>
      </c>
      <c r="P208" s="156" t="str">
        <f>LEFT(O208,LEN(O208)-1)</f>
        <v>5</v>
      </c>
      <c r="Q208" s="155" t="s">
        <v>236</v>
      </c>
      <c r="R208" s="156" t="str">
        <f>LEFT(Q208,LEN(Q208)-1)</f>
        <v>15</v>
      </c>
      <c r="S208" s="53" t="str">
        <f>CONCATENATE((H208+J208+L208+N208+R208+P208),"万")</f>
        <v>324万</v>
      </c>
      <c r="T208" s="152"/>
      <c r="U208" s="451">
        <v>42937</v>
      </c>
    </row>
    <row r="209" spans="1:21" x14ac:dyDescent="0.25">
      <c r="A209" s="151" t="s">
        <v>171</v>
      </c>
      <c r="B209" s="53" t="s">
        <v>520</v>
      </c>
      <c r="E209" s="98"/>
      <c r="T209" s="151"/>
    </row>
    <row r="210" spans="1:21" ht="16.5" thickBot="1" x14ac:dyDescent="0.3">
      <c r="T210" s="151"/>
    </row>
    <row r="211" spans="1:21" ht="16.5" thickBot="1" x14ac:dyDescent="0.3">
      <c r="A211" s="137"/>
      <c r="B211" s="138" t="s">
        <v>154</v>
      </c>
      <c r="C211" s="139" t="s">
        <v>155</v>
      </c>
      <c r="D211" s="139"/>
      <c r="E211" s="139" t="s">
        <v>156</v>
      </c>
      <c r="F211" s="139"/>
      <c r="G211" s="139" t="s">
        <v>43</v>
      </c>
      <c r="H211" s="139"/>
      <c r="I211" s="139" t="s">
        <v>157</v>
      </c>
      <c r="J211" s="139"/>
      <c r="K211" s="139" t="s">
        <v>57</v>
      </c>
      <c r="L211" s="140"/>
      <c r="M211" s="141" t="s">
        <v>64</v>
      </c>
      <c r="N211" s="142"/>
      <c r="O211" s="141" t="s">
        <v>466</v>
      </c>
      <c r="P211" s="142"/>
      <c r="Q211" s="141" t="s">
        <v>232</v>
      </c>
      <c r="R211" s="142"/>
      <c r="T211" s="151"/>
    </row>
    <row r="212" spans="1:21" ht="16.5" thickBot="1" x14ac:dyDescent="0.3">
      <c r="A212" s="143" t="s">
        <v>158</v>
      </c>
      <c r="B212" s="159" t="str">
        <f>CONCATENATE((N214+L214+J214+H214+F213+D213+R214+P214),"万")</f>
        <v>352万</v>
      </c>
      <c r="C212" s="77"/>
      <c r="D212" s="77"/>
      <c r="E212" s="77"/>
      <c r="F212" s="77"/>
      <c r="G212" s="77"/>
      <c r="H212" s="77"/>
      <c r="I212" s="77"/>
      <c r="J212" s="77"/>
      <c r="K212" s="77"/>
      <c r="L212" s="77"/>
      <c r="M212" s="77"/>
      <c r="N212" s="136"/>
      <c r="O212" s="77"/>
      <c r="P212" s="136"/>
      <c r="Q212" s="29"/>
      <c r="R212" s="136"/>
      <c r="T212" s="151"/>
    </row>
    <row r="213" spans="1:21" x14ac:dyDescent="0.25">
      <c r="A213" s="145" t="s">
        <v>160</v>
      </c>
      <c r="B213" s="160"/>
      <c r="C213" s="158" t="s">
        <v>234</v>
      </c>
      <c r="D213" s="84" t="str">
        <f>LEFT(C213,LEN(C213)-1)</f>
        <v>26</v>
      </c>
      <c r="E213" s="158" t="s">
        <v>247</v>
      </c>
      <c r="F213" s="84" t="str">
        <f>LEFT(E213,LEN(E213)-1)</f>
        <v>2</v>
      </c>
      <c r="G213" s="84"/>
      <c r="H213" s="84"/>
      <c r="I213" s="84"/>
      <c r="J213" s="84"/>
      <c r="K213" s="84"/>
      <c r="L213" s="84"/>
      <c r="M213" s="84"/>
      <c r="N213" s="136"/>
      <c r="O213" s="84"/>
      <c r="P213" s="136"/>
      <c r="Q213" s="31"/>
      <c r="R213" s="136"/>
      <c r="S213" s="53" t="str">
        <f>CONCATENATE((D213+F213),"万")</f>
        <v>28万</v>
      </c>
      <c r="T213" s="136"/>
      <c r="U213" s="450" t="s">
        <v>164</v>
      </c>
    </row>
    <row r="214" spans="1:21" ht="16.5" thickBot="1" x14ac:dyDescent="0.3">
      <c r="A214" s="148" t="s">
        <v>165</v>
      </c>
      <c r="B214" s="341"/>
      <c r="C214" s="155"/>
      <c r="D214" s="155"/>
      <c r="E214" s="155"/>
      <c r="F214" s="155"/>
      <c r="G214" s="155" t="s">
        <v>259</v>
      </c>
      <c r="H214" s="155" t="str">
        <f>LEFT(G214,LEN(G214)-1)</f>
        <v>35</v>
      </c>
      <c r="I214" s="155" t="s">
        <v>518</v>
      </c>
      <c r="J214" s="155" t="str">
        <f>LEFT(I214,LEN(I214)-1)</f>
        <v>56</v>
      </c>
      <c r="K214" s="155" t="s">
        <v>234</v>
      </c>
      <c r="L214" s="155" t="str">
        <f>LEFT(K214,LEN(K214)-1)</f>
        <v>26</v>
      </c>
      <c r="M214" s="155" t="s">
        <v>519</v>
      </c>
      <c r="N214" s="156" t="str">
        <f>LEFT(M214,LEN(M214)-1)</f>
        <v>187</v>
      </c>
      <c r="O214" s="155" t="s">
        <v>162</v>
      </c>
      <c r="P214" s="156" t="str">
        <f>LEFT(O214,LEN(O214)-1)</f>
        <v>5</v>
      </c>
      <c r="Q214" s="155" t="s">
        <v>236</v>
      </c>
      <c r="R214" s="156" t="str">
        <f>LEFT(Q214,LEN(Q214)-1)</f>
        <v>15</v>
      </c>
      <c r="S214" s="53" t="str">
        <f>CONCATENATE((H214+J214+L214+N214+R214+P214),"万")</f>
        <v>324万</v>
      </c>
      <c r="T214" s="152"/>
      <c r="U214" s="451">
        <v>42944</v>
      </c>
    </row>
    <row r="215" spans="1:21" x14ac:dyDescent="0.25">
      <c r="A215" s="151" t="s">
        <v>171</v>
      </c>
      <c r="B215" s="53" t="s">
        <v>522</v>
      </c>
      <c r="E215" s="98"/>
      <c r="T215" s="151"/>
    </row>
    <row r="216" spans="1:21" ht="16.5" thickBot="1" x14ac:dyDescent="0.3">
      <c r="T216" s="151"/>
    </row>
    <row r="217" spans="1:21" ht="16.5" thickBot="1" x14ac:dyDescent="0.3">
      <c r="A217" s="137"/>
      <c r="B217" s="138" t="s">
        <v>154</v>
      </c>
      <c r="C217" s="139" t="s">
        <v>155</v>
      </c>
      <c r="D217" s="139"/>
      <c r="E217" s="139" t="s">
        <v>156</v>
      </c>
      <c r="F217" s="139"/>
      <c r="G217" s="139" t="s">
        <v>43</v>
      </c>
      <c r="H217" s="139"/>
      <c r="I217" s="139" t="s">
        <v>157</v>
      </c>
      <c r="J217" s="139"/>
      <c r="K217" s="139" t="s">
        <v>57</v>
      </c>
      <c r="L217" s="140"/>
      <c r="M217" s="141" t="s">
        <v>64</v>
      </c>
      <c r="N217" s="142"/>
      <c r="O217" s="141" t="s">
        <v>466</v>
      </c>
      <c r="P217" s="142"/>
      <c r="Q217" s="141" t="s">
        <v>232</v>
      </c>
      <c r="R217" s="142"/>
      <c r="T217" s="151"/>
    </row>
    <row r="218" spans="1:21" ht="16.5" thickBot="1" x14ac:dyDescent="0.3">
      <c r="A218" s="143" t="s">
        <v>158</v>
      </c>
      <c r="B218" s="159" t="str">
        <f>CONCATENATE((N220+L220+J220+H220+F219+D219+R220+P220),"万")</f>
        <v>348万</v>
      </c>
      <c r="C218" s="77"/>
      <c r="D218" s="77"/>
      <c r="E218" s="77"/>
      <c r="F218" s="77"/>
      <c r="G218" s="77"/>
      <c r="H218" s="77"/>
      <c r="I218" s="77"/>
      <c r="J218" s="77"/>
      <c r="K218" s="77"/>
      <c r="L218" s="77"/>
      <c r="M218" s="77"/>
      <c r="N218" s="136"/>
      <c r="O218" s="77"/>
      <c r="P218" s="136"/>
      <c r="Q218" s="29"/>
      <c r="R218" s="136"/>
      <c r="T218" s="151"/>
    </row>
    <row r="219" spans="1:21" x14ac:dyDescent="0.25">
      <c r="A219" s="145" t="s">
        <v>160</v>
      </c>
      <c r="B219" s="160"/>
      <c r="C219" s="158" t="s">
        <v>535</v>
      </c>
      <c r="D219" s="84" t="str">
        <f>LEFT(C219,LEN(C219)-1)</f>
        <v>27</v>
      </c>
      <c r="E219" s="84" t="s">
        <v>247</v>
      </c>
      <c r="F219" s="84" t="str">
        <f>LEFT(E219,LEN(E219)-1)</f>
        <v>2</v>
      </c>
      <c r="G219" s="84"/>
      <c r="H219" s="84"/>
      <c r="I219" s="84"/>
      <c r="J219" s="84"/>
      <c r="K219" s="84"/>
      <c r="L219" s="84"/>
      <c r="M219" s="84"/>
      <c r="N219" s="136"/>
      <c r="O219" s="84"/>
      <c r="P219" s="136"/>
      <c r="Q219" s="31"/>
      <c r="R219" s="136"/>
      <c r="S219" s="53" t="str">
        <f>CONCATENATE((D219+F219),"万")</f>
        <v>29万</v>
      </c>
      <c r="T219" s="136"/>
      <c r="U219" s="450" t="s">
        <v>164</v>
      </c>
    </row>
    <row r="220" spans="1:21" ht="16.5" thickBot="1" x14ac:dyDescent="0.3">
      <c r="A220" s="148" t="s">
        <v>165</v>
      </c>
      <c r="B220" s="341"/>
      <c r="C220" s="155"/>
      <c r="D220" s="155"/>
      <c r="E220" s="155"/>
      <c r="F220" s="155"/>
      <c r="G220" s="153" t="s">
        <v>483</v>
      </c>
      <c r="H220" s="155" t="str">
        <f>LEFT(G220,LEN(G220)-1)</f>
        <v>30</v>
      </c>
      <c r="I220" s="153" t="s">
        <v>533</v>
      </c>
      <c r="J220" s="155" t="str">
        <f>LEFT(I220,LEN(I220)-1)</f>
        <v>48</v>
      </c>
      <c r="K220" s="155" t="s">
        <v>234</v>
      </c>
      <c r="L220" s="155" t="str">
        <f>LEFT(K220,LEN(K220)-1)</f>
        <v>26</v>
      </c>
      <c r="M220" s="153" t="s">
        <v>532</v>
      </c>
      <c r="N220" s="156" t="str">
        <f>LEFT(M220,LEN(M220)-1)</f>
        <v>200</v>
      </c>
      <c r="O220" s="155" t="s">
        <v>534</v>
      </c>
      <c r="P220" s="156" t="str">
        <f>LEFT(O220,LEN(O220)-1)</f>
        <v>0</v>
      </c>
      <c r="Q220" s="155" t="s">
        <v>236</v>
      </c>
      <c r="R220" s="156" t="str">
        <f>LEFT(Q220,LEN(Q220)-1)</f>
        <v>15</v>
      </c>
      <c r="S220" s="53" t="str">
        <f>CONCATENATE((H220+J220+L220+N220+R220+P220),"万")</f>
        <v>319万</v>
      </c>
      <c r="T220" s="152"/>
      <c r="U220" s="451">
        <v>42970</v>
      </c>
    </row>
    <row r="221" spans="1:21" x14ac:dyDescent="0.25">
      <c r="A221" s="151" t="s">
        <v>171</v>
      </c>
      <c r="B221" s="53" t="s">
        <v>536</v>
      </c>
      <c r="E221" s="98"/>
      <c r="T221" s="151"/>
    </row>
    <row r="222" spans="1:21" ht="16.5" thickBot="1" x14ac:dyDescent="0.3">
      <c r="T222" s="151"/>
    </row>
    <row r="223" spans="1:21" ht="16.5" thickBot="1" x14ac:dyDescent="0.3">
      <c r="A223" s="137"/>
      <c r="B223" s="138" t="s">
        <v>154</v>
      </c>
      <c r="C223" s="139" t="s">
        <v>155</v>
      </c>
      <c r="D223" s="139"/>
      <c r="E223" s="139" t="s">
        <v>156</v>
      </c>
      <c r="F223" s="139"/>
      <c r="G223" s="139" t="s">
        <v>43</v>
      </c>
      <c r="H223" s="139"/>
      <c r="I223" s="139" t="s">
        <v>157</v>
      </c>
      <c r="J223" s="139"/>
      <c r="K223" s="139" t="s">
        <v>57</v>
      </c>
      <c r="L223" s="140"/>
      <c r="M223" s="141" t="s">
        <v>64</v>
      </c>
      <c r="N223" s="142"/>
      <c r="O223" s="141" t="s">
        <v>466</v>
      </c>
      <c r="P223" s="142"/>
      <c r="Q223" s="141" t="s">
        <v>232</v>
      </c>
      <c r="R223" s="142"/>
      <c r="T223" s="151"/>
    </row>
    <row r="224" spans="1:21" ht="16.5" thickBot="1" x14ac:dyDescent="0.3">
      <c r="A224" s="143" t="s">
        <v>158</v>
      </c>
      <c r="B224" s="159" t="str">
        <f>CONCATENATE((N226+L226+J226+H226+F225+D225+R226+P226),"万")</f>
        <v>354万</v>
      </c>
      <c r="C224" s="77"/>
      <c r="D224" s="77"/>
      <c r="E224" s="77"/>
      <c r="F224" s="77"/>
      <c r="G224" s="77"/>
      <c r="H224" s="77"/>
      <c r="I224" s="77"/>
      <c r="J224" s="77"/>
      <c r="K224" s="77"/>
      <c r="L224" s="77"/>
      <c r="M224" s="77"/>
      <c r="N224" s="136"/>
      <c r="O224" s="77"/>
      <c r="P224" s="136"/>
      <c r="Q224" s="29"/>
      <c r="R224" s="136"/>
      <c r="T224" s="151"/>
    </row>
    <row r="225" spans="1:21" x14ac:dyDescent="0.25">
      <c r="A225" s="145" t="s">
        <v>160</v>
      </c>
      <c r="B225" s="160"/>
      <c r="C225" s="158" t="s">
        <v>483</v>
      </c>
      <c r="D225" s="84" t="str">
        <f>LEFT(C225,LEN(C225)-1)</f>
        <v>30</v>
      </c>
      <c r="E225" s="84" t="s">
        <v>534</v>
      </c>
      <c r="F225" s="84" t="str">
        <f>LEFT(E225,LEN(E225)-1)</f>
        <v>0</v>
      </c>
      <c r="G225" s="84"/>
      <c r="H225" s="84"/>
      <c r="I225" s="84"/>
      <c r="J225" s="84"/>
      <c r="K225" s="84"/>
      <c r="L225" s="84"/>
      <c r="M225" s="84"/>
      <c r="N225" s="136"/>
      <c r="O225" s="84"/>
      <c r="P225" s="136"/>
      <c r="Q225" s="31"/>
      <c r="R225" s="136"/>
      <c r="S225" s="53" t="str">
        <f>CONCATENATE((D225+F225),"万")</f>
        <v>30万</v>
      </c>
      <c r="T225" s="136"/>
      <c r="U225" s="450" t="s">
        <v>164</v>
      </c>
    </row>
    <row r="226" spans="1:21" ht="16.5" thickBot="1" x14ac:dyDescent="0.3">
      <c r="A226" s="148" t="s">
        <v>165</v>
      </c>
      <c r="B226" s="341"/>
      <c r="C226" s="155"/>
      <c r="D226" s="155"/>
      <c r="E226" s="155"/>
      <c r="F226" s="155"/>
      <c r="G226" s="155" t="s">
        <v>483</v>
      </c>
      <c r="H226" s="155" t="str">
        <f>LEFT(G226,LEN(G226)-1)</f>
        <v>30</v>
      </c>
      <c r="I226" s="155" t="s">
        <v>533</v>
      </c>
      <c r="J226" s="155" t="str">
        <f>LEFT(I226,LEN(I226)-1)</f>
        <v>48</v>
      </c>
      <c r="K226" s="155" t="s">
        <v>234</v>
      </c>
      <c r="L226" s="155" t="str">
        <f>LEFT(K226,LEN(K226)-1)</f>
        <v>26</v>
      </c>
      <c r="M226" s="153" t="s">
        <v>544</v>
      </c>
      <c r="N226" s="156" t="str">
        <f>LEFT(M226,LEN(M226)-1)</f>
        <v>205</v>
      </c>
      <c r="O226" s="155" t="s">
        <v>534</v>
      </c>
      <c r="P226" s="156" t="str">
        <f>LEFT(O226,LEN(O226)-1)</f>
        <v>0</v>
      </c>
      <c r="Q226" s="155" t="s">
        <v>236</v>
      </c>
      <c r="R226" s="156" t="str">
        <f>LEFT(Q226,LEN(Q226)-1)</f>
        <v>15</v>
      </c>
      <c r="S226" s="53" t="str">
        <f>CONCATENATE((H226+J226+L226+N226+R226+P226),"万")</f>
        <v>324万</v>
      </c>
      <c r="T226" s="152"/>
      <c r="U226" s="451">
        <v>42975</v>
      </c>
    </row>
    <row r="227" spans="1:21" x14ac:dyDescent="0.25">
      <c r="A227" s="151" t="s">
        <v>171</v>
      </c>
      <c r="B227" s="53" t="s">
        <v>545</v>
      </c>
      <c r="E227" s="98"/>
      <c r="T227" s="151"/>
    </row>
    <row r="228" spans="1:21" ht="16.5" thickBot="1" x14ac:dyDescent="0.3">
      <c r="T228" s="151"/>
    </row>
    <row r="229" spans="1:21" ht="16.5" thickBot="1" x14ac:dyDescent="0.3">
      <c r="A229" s="137"/>
      <c r="B229" s="138" t="s">
        <v>154</v>
      </c>
      <c r="C229" s="139" t="s">
        <v>155</v>
      </c>
      <c r="D229" s="139"/>
      <c r="E229" s="139" t="s">
        <v>156</v>
      </c>
      <c r="F229" s="139"/>
      <c r="G229" s="139" t="s">
        <v>43</v>
      </c>
      <c r="H229" s="139"/>
      <c r="I229" s="139" t="s">
        <v>157</v>
      </c>
      <c r="J229" s="139"/>
      <c r="K229" s="139" t="s">
        <v>57</v>
      </c>
      <c r="L229" s="140"/>
      <c r="M229" s="141" t="s">
        <v>64</v>
      </c>
      <c r="N229" s="142"/>
      <c r="O229" s="141" t="s">
        <v>466</v>
      </c>
      <c r="P229" s="142"/>
      <c r="Q229" s="141" t="s">
        <v>232</v>
      </c>
      <c r="R229" s="142"/>
      <c r="T229" s="151"/>
    </row>
    <row r="230" spans="1:21" ht="16.5" thickBot="1" x14ac:dyDescent="0.3">
      <c r="A230" s="143" t="s">
        <v>158</v>
      </c>
      <c r="B230" s="159" t="str">
        <f>CONCATENATE((N232+L232+J232+H232+F231+D231+R232+P232),"万")</f>
        <v>349万</v>
      </c>
      <c r="C230" s="77"/>
      <c r="D230" s="77"/>
      <c r="E230" s="77"/>
      <c r="F230" s="77"/>
      <c r="G230" s="77"/>
      <c r="H230" s="77"/>
      <c r="I230" s="77"/>
      <c r="J230" s="77"/>
      <c r="K230" s="77"/>
      <c r="L230" s="77"/>
      <c r="M230" s="77"/>
      <c r="N230" s="136"/>
      <c r="O230" s="77"/>
      <c r="P230" s="136"/>
      <c r="Q230" s="29"/>
      <c r="R230" s="136"/>
      <c r="T230" s="151"/>
    </row>
    <row r="231" spans="1:21" x14ac:dyDescent="0.25">
      <c r="A231" s="145" t="s">
        <v>160</v>
      </c>
      <c r="B231" s="160"/>
      <c r="C231" s="158" t="s">
        <v>161</v>
      </c>
      <c r="D231" s="158" t="str">
        <f>LEFT(C231,LEN(C231)-1)</f>
        <v>20</v>
      </c>
      <c r="E231" s="158" t="s">
        <v>162</v>
      </c>
      <c r="F231" s="84" t="str">
        <f>LEFT(E231,LEN(E231)-1)</f>
        <v>5</v>
      </c>
      <c r="G231" s="84"/>
      <c r="H231" s="84"/>
      <c r="I231" s="84"/>
      <c r="J231" s="84"/>
      <c r="K231" s="84"/>
      <c r="L231" s="84"/>
      <c r="M231" s="84"/>
      <c r="N231" s="136"/>
      <c r="O231" s="84"/>
      <c r="P231" s="136"/>
      <c r="Q231" s="31"/>
      <c r="R231" s="136"/>
      <c r="S231" s="53" t="str">
        <f>CONCATENATE((D231+F231),"万")</f>
        <v>25万</v>
      </c>
      <c r="T231" s="136"/>
      <c r="U231" s="450" t="s">
        <v>164</v>
      </c>
    </row>
    <row r="232" spans="1:21" ht="16.5" thickBot="1" x14ac:dyDescent="0.3">
      <c r="A232" s="148" t="s">
        <v>165</v>
      </c>
      <c r="B232" s="341"/>
      <c r="C232" s="155"/>
      <c r="D232" s="155"/>
      <c r="E232" s="155"/>
      <c r="F232" s="155"/>
      <c r="G232" s="155" t="s">
        <v>483</v>
      </c>
      <c r="H232" s="155" t="str">
        <f>LEFT(G232,LEN(G232)-1)</f>
        <v>30</v>
      </c>
      <c r="I232" s="155" t="s">
        <v>533</v>
      </c>
      <c r="J232" s="155" t="str">
        <f>LEFT(I232,LEN(I232)-1)</f>
        <v>48</v>
      </c>
      <c r="K232" s="155" t="s">
        <v>234</v>
      </c>
      <c r="L232" s="155" t="str">
        <f>LEFT(K232,LEN(K232)-1)</f>
        <v>26</v>
      </c>
      <c r="M232" s="155" t="s">
        <v>544</v>
      </c>
      <c r="N232" s="156" t="str">
        <f>LEFT(M232,LEN(M232)-1)</f>
        <v>205</v>
      </c>
      <c r="O232" s="155" t="s">
        <v>534</v>
      </c>
      <c r="P232" s="156" t="str">
        <f>LEFT(O232,LEN(O232)-1)</f>
        <v>0</v>
      </c>
      <c r="Q232" s="155" t="s">
        <v>236</v>
      </c>
      <c r="R232" s="156" t="str">
        <f>LEFT(Q232,LEN(Q232)-1)</f>
        <v>15</v>
      </c>
      <c r="S232" s="53" t="str">
        <f>CONCATENATE((H232+J232+L232+N232+R232+P232),"万")</f>
        <v>324万</v>
      </c>
      <c r="T232" s="152"/>
      <c r="U232" s="451">
        <v>43005</v>
      </c>
    </row>
    <row r="233" spans="1:21" x14ac:dyDescent="0.25">
      <c r="A233" s="151" t="s">
        <v>171</v>
      </c>
      <c r="B233" s="53" t="s">
        <v>567</v>
      </c>
      <c r="E233" s="98"/>
      <c r="T233" s="151"/>
    </row>
    <row r="234" spans="1:21" ht="16.5" thickBot="1" x14ac:dyDescent="0.3">
      <c r="T234" s="151"/>
    </row>
    <row r="235" spans="1:21" ht="16.5" thickBot="1" x14ac:dyDescent="0.3">
      <c r="A235" s="137"/>
      <c r="B235" s="138" t="s">
        <v>154</v>
      </c>
      <c r="C235" s="139" t="s">
        <v>155</v>
      </c>
      <c r="D235" s="139"/>
      <c r="E235" s="139" t="s">
        <v>156</v>
      </c>
      <c r="F235" s="139"/>
      <c r="G235" s="139" t="s">
        <v>43</v>
      </c>
      <c r="H235" s="139"/>
      <c r="I235" s="139" t="s">
        <v>157</v>
      </c>
      <c r="J235" s="139"/>
      <c r="K235" s="139" t="s">
        <v>57</v>
      </c>
      <c r="L235" s="140"/>
      <c r="M235" s="141" t="s">
        <v>64</v>
      </c>
      <c r="N235" s="142"/>
      <c r="O235" s="141" t="s">
        <v>466</v>
      </c>
      <c r="P235" s="142"/>
      <c r="Q235" s="141" t="s">
        <v>232</v>
      </c>
      <c r="R235" s="142"/>
      <c r="T235" s="151"/>
    </row>
    <row r="236" spans="1:21" ht="16.5" thickBot="1" x14ac:dyDescent="0.3">
      <c r="A236" s="143" t="s">
        <v>158</v>
      </c>
      <c r="B236" s="159" t="str">
        <f>CONCATENATE((N238+L238+J238+H238+F237+D237+R238+P238),"万")</f>
        <v>344万</v>
      </c>
      <c r="C236" s="77"/>
      <c r="D236" s="77"/>
      <c r="E236" s="77"/>
      <c r="F236" s="77"/>
      <c r="G236" s="77"/>
      <c r="H236" s="77"/>
      <c r="I236" s="77"/>
      <c r="J236" s="77"/>
      <c r="K236" s="77"/>
      <c r="L236" s="77"/>
      <c r="M236" s="77"/>
      <c r="N236" s="136"/>
      <c r="O236" s="77"/>
      <c r="P236" s="136"/>
      <c r="Q236" s="29"/>
      <c r="R236" s="136"/>
      <c r="T236" s="151"/>
    </row>
    <row r="237" spans="1:21" x14ac:dyDescent="0.25">
      <c r="A237" s="145" t="s">
        <v>160</v>
      </c>
      <c r="B237" s="160"/>
      <c r="C237" s="84" t="s">
        <v>161</v>
      </c>
      <c r="D237" s="158" t="str">
        <f>LEFT(C237,LEN(C237)-1)</f>
        <v>20</v>
      </c>
      <c r="E237" s="158" t="s">
        <v>534</v>
      </c>
      <c r="F237" s="84" t="str">
        <f>LEFT(E237,LEN(E237)-1)</f>
        <v>0</v>
      </c>
      <c r="G237" s="84"/>
      <c r="H237" s="84"/>
      <c r="I237" s="84"/>
      <c r="J237" s="84"/>
      <c r="K237" s="84"/>
      <c r="L237" s="84"/>
      <c r="M237" s="84"/>
      <c r="N237" s="136"/>
      <c r="O237" s="84"/>
      <c r="P237" s="136"/>
      <c r="Q237" s="31"/>
      <c r="R237" s="136"/>
      <c r="S237" s="53" t="str">
        <f>CONCATENATE((D237+F237),"万")</f>
        <v>20万</v>
      </c>
      <c r="T237" s="136"/>
      <c r="U237" s="450" t="s">
        <v>164</v>
      </c>
    </row>
    <row r="238" spans="1:21" ht="16.5" thickBot="1" x14ac:dyDescent="0.3">
      <c r="A238" s="148" t="s">
        <v>165</v>
      </c>
      <c r="B238" s="341"/>
      <c r="C238" s="155"/>
      <c r="D238" s="155"/>
      <c r="E238" s="155"/>
      <c r="F238" s="155"/>
      <c r="G238" s="155" t="s">
        <v>483</v>
      </c>
      <c r="H238" s="155" t="str">
        <f>LEFT(G238,LEN(G238)-1)</f>
        <v>30</v>
      </c>
      <c r="I238" s="155" t="s">
        <v>533</v>
      </c>
      <c r="J238" s="155" t="str">
        <f>LEFT(I238,LEN(I238)-1)</f>
        <v>48</v>
      </c>
      <c r="K238" s="155" t="s">
        <v>234</v>
      </c>
      <c r="L238" s="155" t="str">
        <f>LEFT(K238,LEN(K238)-1)</f>
        <v>26</v>
      </c>
      <c r="M238" s="155" t="s">
        <v>544</v>
      </c>
      <c r="N238" s="156" t="str">
        <f>LEFT(M238,LEN(M238)-1)</f>
        <v>205</v>
      </c>
      <c r="O238" s="155" t="s">
        <v>534</v>
      </c>
      <c r="P238" s="156" t="str">
        <f>LEFT(O238,LEN(O238)-1)</f>
        <v>0</v>
      </c>
      <c r="Q238" s="155" t="s">
        <v>236</v>
      </c>
      <c r="R238" s="156" t="str">
        <f>LEFT(Q238,LEN(Q238)-1)</f>
        <v>15</v>
      </c>
      <c r="S238" s="53" t="str">
        <f>CONCATENATE((H238+J238+L238+N238+R238+P238),"万")</f>
        <v>324万</v>
      </c>
      <c r="T238" s="152"/>
      <c r="U238" s="451">
        <v>43032</v>
      </c>
    </row>
    <row r="239" spans="1:21" x14ac:dyDescent="0.25">
      <c r="A239" s="151" t="s">
        <v>171</v>
      </c>
      <c r="B239" s="53" t="s">
        <v>676</v>
      </c>
      <c r="E239" s="98"/>
      <c r="T239" s="151"/>
    </row>
    <row r="240" spans="1:21" ht="16.5" thickBot="1" x14ac:dyDescent="0.3">
      <c r="T240" s="151"/>
    </row>
    <row r="241" spans="1:21" ht="16.5" thickBot="1" x14ac:dyDescent="0.3">
      <c r="A241" s="137"/>
      <c r="B241" s="138" t="s">
        <v>154</v>
      </c>
      <c r="C241" s="139" t="s">
        <v>155</v>
      </c>
      <c r="D241" s="139"/>
      <c r="E241" s="139" t="s">
        <v>156</v>
      </c>
      <c r="F241" s="139"/>
      <c r="G241" s="139" t="s">
        <v>43</v>
      </c>
      <c r="H241" s="139"/>
      <c r="I241" s="139" t="s">
        <v>157</v>
      </c>
      <c r="J241" s="139"/>
      <c r="K241" s="139" t="s">
        <v>57</v>
      </c>
      <c r="L241" s="140"/>
      <c r="M241" s="141" t="s">
        <v>64</v>
      </c>
      <c r="N241" s="142"/>
      <c r="O241" s="141" t="s">
        <v>466</v>
      </c>
      <c r="P241" s="142"/>
      <c r="Q241" s="141" t="s">
        <v>232</v>
      </c>
      <c r="R241" s="142"/>
      <c r="T241" s="151"/>
    </row>
    <row r="242" spans="1:21" ht="16.5" thickBot="1" x14ac:dyDescent="0.3">
      <c r="A242" s="143" t="s">
        <v>158</v>
      </c>
      <c r="B242" s="159" t="str">
        <f>CONCATENATE((N244+L244+J244+H244+F243+D243+R244+P244),"万")</f>
        <v>352万</v>
      </c>
      <c r="C242" s="77"/>
      <c r="D242" s="77"/>
      <c r="E242" s="77"/>
      <c r="F242" s="77"/>
      <c r="G242" s="77"/>
      <c r="H242" s="77"/>
      <c r="I242" s="77"/>
      <c r="J242" s="77"/>
      <c r="K242" s="77"/>
      <c r="L242" s="77"/>
      <c r="M242" s="77"/>
      <c r="N242" s="136"/>
      <c r="O242" s="77"/>
      <c r="P242" s="136"/>
      <c r="Q242" s="29"/>
      <c r="R242" s="136"/>
      <c r="T242" s="151"/>
    </row>
    <row r="243" spans="1:21" x14ac:dyDescent="0.25">
      <c r="A243" s="145" t="s">
        <v>160</v>
      </c>
      <c r="B243" s="160"/>
      <c r="C243" s="158" t="s">
        <v>689</v>
      </c>
      <c r="D243" s="158" t="str">
        <f>LEFT(C243,LEN(C243)-1)</f>
        <v>24</v>
      </c>
      <c r="E243" s="158" t="s">
        <v>199</v>
      </c>
      <c r="F243" s="84" t="str">
        <f>LEFT(E243,LEN(E243)-1)</f>
        <v>4</v>
      </c>
      <c r="G243" s="84"/>
      <c r="H243" s="84"/>
      <c r="I243" s="84"/>
      <c r="J243" s="84"/>
      <c r="K243" s="84"/>
      <c r="L243" s="84"/>
      <c r="M243" s="84"/>
      <c r="N243" s="136"/>
      <c r="O243" s="84"/>
      <c r="P243" s="136"/>
      <c r="Q243" s="31"/>
      <c r="R243" s="136"/>
      <c r="S243" s="53" t="str">
        <f>CONCATENATE((D243+F243),"万")</f>
        <v>28万</v>
      </c>
      <c r="T243" s="136"/>
      <c r="U243" s="450" t="s">
        <v>164</v>
      </c>
    </row>
    <row r="244" spans="1:21" ht="16.5" thickBot="1" x14ac:dyDescent="0.3">
      <c r="A244" s="148" t="s">
        <v>165</v>
      </c>
      <c r="B244" s="341"/>
      <c r="C244" s="155"/>
      <c r="D244" s="155"/>
      <c r="E244" s="155"/>
      <c r="F244" s="155"/>
      <c r="G244" s="155" t="s">
        <v>483</v>
      </c>
      <c r="H244" s="155" t="str">
        <f>LEFT(G244,LEN(G244)-1)</f>
        <v>30</v>
      </c>
      <c r="I244" s="155" t="s">
        <v>533</v>
      </c>
      <c r="J244" s="155" t="str">
        <f>LEFT(I244,LEN(I244)-1)</f>
        <v>48</v>
      </c>
      <c r="K244" s="155" t="s">
        <v>234</v>
      </c>
      <c r="L244" s="155" t="str">
        <f>LEFT(K244,LEN(K244)-1)</f>
        <v>26</v>
      </c>
      <c r="M244" s="155" t="s">
        <v>544</v>
      </c>
      <c r="N244" s="156" t="str">
        <f>LEFT(M244,LEN(M244)-1)</f>
        <v>205</v>
      </c>
      <c r="O244" s="155" t="s">
        <v>534</v>
      </c>
      <c r="P244" s="156" t="str">
        <f>LEFT(O244,LEN(O244)-1)</f>
        <v>0</v>
      </c>
      <c r="Q244" s="155" t="s">
        <v>236</v>
      </c>
      <c r="R244" s="156" t="str">
        <f>LEFT(Q244,LEN(Q244)-1)</f>
        <v>15</v>
      </c>
      <c r="S244" s="53" t="str">
        <f>CONCATENATE((H244+J244+L244+N244+R244+P244),"万")</f>
        <v>324万</v>
      </c>
      <c r="T244" s="152"/>
      <c r="U244" s="451">
        <v>43048</v>
      </c>
    </row>
    <row r="245" spans="1:21" x14ac:dyDescent="0.25">
      <c r="A245" s="151" t="s">
        <v>171</v>
      </c>
      <c r="B245" s="53" t="s">
        <v>690</v>
      </c>
      <c r="E245" s="98"/>
      <c r="T245" s="151"/>
    </row>
    <row r="246" spans="1:21" ht="16.5" thickBot="1" x14ac:dyDescent="0.3">
      <c r="T246" s="151"/>
    </row>
    <row r="247" spans="1:21" ht="16.5" thickBot="1" x14ac:dyDescent="0.3">
      <c r="A247" s="137"/>
      <c r="B247" s="138" t="s">
        <v>154</v>
      </c>
      <c r="C247" s="139" t="s">
        <v>155</v>
      </c>
      <c r="D247" s="139"/>
      <c r="E247" s="139" t="s">
        <v>156</v>
      </c>
      <c r="F247" s="139"/>
      <c r="G247" s="139" t="s">
        <v>43</v>
      </c>
      <c r="H247" s="139"/>
      <c r="I247" s="139" t="s">
        <v>157</v>
      </c>
      <c r="J247" s="139"/>
      <c r="K247" s="139" t="s">
        <v>57</v>
      </c>
      <c r="L247" s="140"/>
      <c r="M247" s="141" t="s">
        <v>64</v>
      </c>
      <c r="N247" s="142"/>
      <c r="O247" s="141" t="s">
        <v>466</v>
      </c>
      <c r="P247" s="142"/>
      <c r="Q247" s="141" t="s">
        <v>232</v>
      </c>
      <c r="R247" s="142"/>
      <c r="T247" s="151"/>
    </row>
    <row r="248" spans="1:21" ht="16.5" thickBot="1" x14ac:dyDescent="0.3">
      <c r="A248" s="143" t="s">
        <v>158</v>
      </c>
      <c r="B248" s="159" t="str">
        <f>CONCATENATE((N250+L250+J250+H250+F249+D249+R250+P250),"万")</f>
        <v>352万</v>
      </c>
      <c r="C248" s="77"/>
      <c r="D248" s="77"/>
      <c r="E248" s="77"/>
      <c r="F248" s="77"/>
      <c r="G248" s="77"/>
      <c r="H248" s="77"/>
      <c r="I248" s="77"/>
      <c r="J248" s="77"/>
      <c r="K248" s="77"/>
      <c r="L248" s="77"/>
      <c r="M248" s="77"/>
      <c r="N248" s="136"/>
      <c r="O248" s="77"/>
      <c r="P248" s="136"/>
      <c r="Q248" s="29"/>
      <c r="R248" s="136"/>
      <c r="T248" s="151"/>
    </row>
    <row r="249" spans="1:21" x14ac:dyDescent="0.25">
      <c r="A249" s="145" t="s">
        <v>160</v>
      </c>
      <c r="B249" s="160"/>
      <c r="C249" s="158" t="s">
        <v>236</v>
      </c>
      <c r="D249" s="158" t="str">
        <f>LEFT(C249,LEN(C249)-1)</f>
        <v>15</v>
      </c>
      <c r="E249" s="84" t="s">
        <v>199</v>
      </c>
      <c r="F249" s="84" t="str">
        <f>LEFT(E249,LEN(E249)-1)</f>
        <v>4</v>
      </c>
      <c r="G249" s="84"/>
      <c r="H249" s="84"/>
      <c r="I249" s="84"/>
      <c r="J249" s="84"/>
      <c r="K249" s="84"/>
      <c r="L249" s="84"/>
      <c r="M249" s="84"/>
      <c r="N249" s="136"/>
      <c r="O249" s="84"/>
      <c r="P249" s="136"/>
      <c r="Q249" s="31"/>
      <c r="R249" s="136"/>
      <c r="S249" s="53" t="str">
        <f>CONCATENATE((D249+F249),"万")</f>
        <v>19万</v>
      </c>
      <c r="T249" s="136"/>
      <c r="U249" s="450" t="s">
        <v>164</v>
      </c>
    </row>
    <row r="250" spans="1:21" ht="16.5" thickBot="1" x14ac:dyDescent="0.3">
      <c r="A250" s="148" t="s">
        <v>165</v>
      </c>
      <c r="B250" s="341"/>
      <c r="C250" s="155"/>
      <c r="D250" s="155"/>
      <c r="E250" s="155"/>
      <c r="F250" s="155"/>
      <c r="G250" s="155" t="s">
        <v>483</v>
      </c>
      <c r="H250" s="155" t="str">
        <f>LEFT(G250,LEN(G250)-1)</f>
        <v>30</v>
      </c>
      <c r="I250" s="155" t="s">
        <v>533</v>
      </c>
      <c r="J250" s="155" t="str">
        <f>LEFT(I250,LEN(I250)-1)</f>
        <v>48</v>
      </c>
      <c r="K250" s="153" t="s">
        <v>259</v>
      </c>
      <c r="L250" s="155" t="str">
        <f>LEFT(K250,LEN(K250)-1)</f>
        <v>35</v>
      </c>
      <c r="M250" s="155" t="s">
        <v>544</v>
      </c>
      <c r="N250" s="156" t="str">
        <f>LEFT(M250,LEN(M250)-1)</f>
        <v>205</v>
      </c>
      <c r="O250" s="155" t="s">
        <v>534</v>
      </c>
      <c r="P250" s="156" t="str">
        <f>LEFT(O250,LEN(O250)-1)</f>
        <v>0</v>
      </c>
      <c r="Q250" s="155" t="s">
        <v>236</v>
      </c>
      <c r="R250" s="156" t="str">
        <f>LEFT(Q250,LEN(Q250)-1)</f>
        <v>15</v>
      </c>
      <c r="S250" s="53" t="str">
        <f>CONCATENATE((H250+J250+L250+N250+R250+P250),"万")</f>
        <v>333万</v>
      </c>
      <c r="T250" s="152"/>
      <c r="U250" s="451">
        <v>43049</v>
      </c>
    </row>
    <row r="251" spans="1:21" x14ac:dyDescent="0.25">
      <c r="A251" s="151" t="s">
        <v>695</v>
      </c>
      <c r="B251" s="53" t="s">
        <v>696</v>
      </c>
      <c r="E251" s="98"/>
      <c r="T251" s="151"/>
    </row>
    <row r="252" spans="1:21" ht="16.5" thickBot="1" x14ac:dyDescent="0.3">
      <c r="T252" s="151"/>
    </row>
    <row r="253" spans="1:21" ht="16.5" thickBot="1" x14ac:dyDescent="0.3">
      <c r="A253" s="137"/>
      <c r="B253" s="138" t="s">
        <v>154</v>
      </c>
      <c r="C253" s="139" t="s">
        <v>155</v>
      </c>
      <c r="D253" s="139"/>
      <c r="E253" s="139" t="s">
        <v>156</v>
      </c>
      <c r="F253" s="139"/>
      <c r="G253" s="139" t="s">
        <v>43</v>
      </c>
      <c r="H253" s="139"/>
      <c r="I253" s="139" t="s">
        <v>157</v>
      </c>
      <c r="J253" s="139"/>
      <c r="K253" s="139" t="s">
        <v>57</v>
      </c>
      <c r="L253" s="140"/>
      <c r="M253" s="141" t="s">
        <v>64</v>
      </c>
      <c r="N253" s="142"/>
      <c r="O253" s="141" t="s">
        <v>466</v>
      </c>
      <c r="P253" s="142"/>
      <c r="Q253" s="141" t="s">
        <v>232</v>
      </c>
      <c r="R253" s="142"/>
      <c r="T253" s="151"/>
    </row>
    <row r="254" spans="1:21" ht="16.5" thickBot="1" x14ac:dyDescent="0.3">
      <c r="A254" s="143" t="s">
        <v>158</v>
      </c>
      <c r="B254" s="159" t="str">
        <f>CONCATENATE((N256+L256+J256+H256+F255+D255+R256+P256),"万")</f>
        <v>364万</v>
      </c>
      <c r="C254" s="77"/>
      <c r="D254" s="77"/>
      <c r="E254" s="77"/>
      <c r="F254" s="77"/>
      <c r="G254" s="77"/>
      <c r="H254" s="77"/>
      <c r="I254" s="77"/>
      <c r="J254" s="77"/>
      <c r="K254" s="77"/>
      <c r="L254" s="77"/>
      <c r="M254" s="77"/>
      <c r="N254" s="136"/>
      <c r="O254" s="77"/>
      <c r="P254" s="136"/>
      <c r="Q254" s="29"/>
      <c r="R254" s="136"/>
      <c r="T254" s="151"/>
    </row>
    <row r="255" spans="1:21" x14ac:dyDescent="0.25">
      <c r="A255" s="145" t="s">
        <v>160</v>
      </c>
      <c r="B255" s="160"/>
      <c r="C255" s="158" t="s">
        <v>535</v>
      </c>
      <c r="D255" s="158" t="str">
        <f>LEFT(C255,LEN(C255)-1)</f>
        <v>27</v>
      </c>
      <c r="E255" s="84" t="s">
        <v>199</v>
      </c>
      <c r="F255" s="84" t="str">
        <f>LEFT(E255,LEN(E255)-1)</f>
        <v>4</v>
      </c>
      <c r="G255" s="84"/>
      <c r="H255" s="84"/>
      <c r="I255" s="84"/>
      <c r="J255" s="84"/>
      <c r="K255" s="84"/>
      <c r="L255" s="84"/>
      <c r="M255" s="84"/>
      <c r="N255" s="136"/>
      <c r="O255" s="84"/>
      <c r="P255" s="136"/>
      <c r="Q255" s="31"/>
      <c r="R255" s="136"/>
      <c r="S255" s="53" t="str">
        <f>CONCATENATE((D255+F255),"万")</f>
        <v>31万</v>
      </c>
      <c r="T255" s="136"/>
      <c r="U255" s="450" t="s">
        <v>164</v>
      </c>
    </row>
    <row r="256" spans="1:21" ht="16.5" thickBot="1" x14ac:dyDescent="0.3">
      <c r="A256" s="148" t="s">
        <v>165</v>
      </c>
      <c r="B256" s="341"/>
      <c r="C256" s="155"/>
      <c r="D256" s="155"/>
      <c r="E256" s="155"/>
      <c r="F256" s="155"/>
      <c r="G256" s="428" t="s">
        <v>483</v>
      </c>
      <c r="H256" s="155" t="str">
        <f>LEFT(G256,LEN(G256)-1)</f>
        <v>30</v>
      </c>
      <c r="I256" s="428" t="s">
        <v>533</v>
      </c>
      <c r="J256" s="155" t="str">
        <f>LEFT(I256,LEN(I256)-1)</f>
        <v>48</v>
      </c>
      <c r="K256" s="155" t="s">
        <v>259</v>
      </c>
      <c r="L256" s="155" t="str">
        <f>LEFT(K256,LEN(K256)-1)</f>
        <v>35</v>
      </c>
      <c r="M256" s="428" t="s">
        <v>544</v>
      </c>
      <c r="N256" s="156" t="str">
        <f>LEFT(M256,LEN(M256)-1)</f>
        <v>205</v>
      </c>
      <c r="O256" s="155" t="s">
        <v>534</v>
      </c>
      <c r="P256" s="156" t="str">
        <f>LEFT(O256,LEN(O256)-1)</f>
        <v>0</v>
      </c>
      <c r="Q256" s="155" t="s">
        <v>236</v>
      </c>
      <c r="R256" s="156" t="str">
        <f>LEFT(Q256,LEN(Q256)-1)</f>
        <v>15</v>
      </c>
      <c r="S256" s="53" t="str">
        <f>CONCATENATE((H256+J256+L256+N256+R256+P256),"万")</f>
        <v>333万</v>
      </c>
      <c r="T256" s="152"/>
      <c r="U256" s="451">
        <v>43066</v>
      </c>
    </row>
    <row r="257" spans="1:22" x14ac:dyDescent="0.25">
      <c r="A257" s="151" t="s">
        <v>695</v>
      </c>
      <c r="B257" s="53" t="s">
        <v>718</v>
      </c>
      <c r="E257" s="98"/>
      <c r="T257" s="151"/>
    </row>
    <row r="258" spans="1:22" ht="16.5" thickBot="1" x14ac:dyDescent="0.3">
      <c r="T258" s="151"/>
    </row>
    <row r="259" spans="1:22" ht="16.5" thickBot="1" x14ac:dyDescent="0.3">
      <c r="A259" s="137"/>
      <c r="B259" s="138" t="s">
        <v>154</v>
      </c>
      <c r="C259" s="139" t="s">
        <v>155</v>
      </c>
      <c r="D259" s="139"/>
      <c r="E259" s="139" t="s">
        <v>156</v>
      </c>
      <c r="F259" s="139"/>
      <c r="G259" s="139" t="s">
        <v>43</v>
      </c>
      <c r="H259" s="139"/>
      <c r="I259" s="139" t="s">
        <v>157</v>
      </c>
      <c r="J259" s="139"/>
      <c r="K259" s="139" t="s">
        <v>57</v>
      </c>
      <c r="L259" s="140"/>
      <c r="M259" s="141" t="s">
        <v>64</v>
      </c>
      <c r="N259" s="142"/>
      <c r="O259" s="141" t="s">
        <v>466</v>
      </c>
      <c r="P259" s="142"/>
      <c r="Q259" s="141" t="s">
        <v>232</v>
      </c>
      <c r="R259" s="142"/>
      <c r="T259" s="151"/>
    </row>
    <row r="260" spans="1:22" ht="16.5" thickBot="1" x14ac:dyDescent="0.3">
      <c r="A260" s="143" t="s">
        <v>158</v>
      </c>
      <c r="B260" s="159" t="str">
        <f>CONCATENATE((N262+L262+J262+H262+F261+D261+R262+P262),"万")</f>
        <v>361万</v>
      </c>
      <c r="C260" s="77"/>
      <c r="D260" s="77"/>
      <c r="E260" s="77"/>
      <c r="F260" s="77"/>
      <c r="G260" s="77"/>
      <c r="H260" s="77"/>
      <c r="I260" s="77"/>
      <c r="J260" s="77"/>
      <c r="K260" s="77"/>
      <c r="L260" s="77"/>
      <c r="M260" s="77"/>
      <c r="N260" s="136"/>
      <c r="O260" s="77"/>
      <c r="P260" s="136"/>
      <c r="Q260" s="29"/>
      <c r="R260" s="136"/>
      <c r="T260" s="151"/>
    </row>
    <row r="261" spans="1:22" x14ac:dyDescent="0.25">
      <c r="A261" s="145" t="s">
        <v>160</v>
      </c>
      <c r="B261" s="160"/>
      <c r="C261" s="158" t="s">
        <v>191</v>
      </c>
      <c r="D261" s="158" t="str">
        <f>LEFT(C261,LEN(C261)-1)</f>
        <v>23</v>
      </c>
      <c r="E261" s="84" t="s">
        <v>199</v>
      </c>
      <c r="F261" s="84" t="str">
        <f>LEFT(E261,LEN(E261)-1)</f>
        <v>4</v>
      </c>
      <c r="G261" s="84"/>
      <c r="H261" s="84"/>
      <c r="I261" s="84"/>
      <c r="J261" s="84"/>
      <c r="K261" s="84"/>
      <c r="L261" s="84"/>
      <c r="M261" s="84"/>
      <c r="N261" s="136"/>
      <c r="O261" s="84"/>
      <c r="P261" s="136"/>
      <c r="Q261" s="31"/>
      <c r="R261" s="136"/>
      <c r="S261" s="53" t="str">
        <f>CONCATENATE((D261+F261),"万")</f>
        <v>27万</v>
      </c>
      <c r="T261" s="136"/>
      <c r="U261" s="450" t="s">
        <v>164</v>
      </c>
    </row>
    <row r="262" spans="1:22" ht="16.5" thickBot="1" x14ac:dyDescent="0.3">
      <c r="A262" s="148" t="s">
        <v>165</v>
      </c>
      <c r="B262" s="341"/>
      <c r="C262" s="155"/>
      <c r="D262" s="155"/>
      <c r="E262" s="155"/>
      <c r="F262" s="155"/>
      <c r="G262" s="428" t="s">
        <v>483</v>
      </c>
      <c r="H262" s="155" t="str">
        <f>LEFT(G262,LEN(G262)-1)</f>
        <v>30</v>
      </c>
      <c r="I262" s="428" t="s">
        <v>533</v>
      </c>
      <c r="J262" s="155" t="str">
        <f>LEFT(I262,LEN(I262)-1)</f>
        <v>48</v>
      </c>
      <c r="K262" s="153" t="s">
        <v>721</v>
      </c>
      <c r="L262" s="155" t="str">
        <f>LEFT(K262,LEN(K262)-1)</f>
        <v>36</v>
      </c>
      <c r="M262" s="428" t="s">
        <v>544</v>
      </c>
      <c r="N262" s="156" t="str">
        <f>LEFT(M262,LEN(M262)-1)</f>
        <v>205</v>
      </c>
      <c r="O262" s="155" t="s">
        <v>534</v>
      </c>
      <c r="P262" s="156" t="str">
        <f>LEFT(O262,LEN(O262)-1)</f>
        <v>0</v>
      </c>
      <c r="Q262" s="155" t="s">
        <v>236</v>
      </c>
      <c r="R262" s="156" t="str">
        <f>LEFT(Q262,LEN(Q262)-1)</f>
        <v>15</v>
      </c>
      <c r="S262" s="53" t="str">
        <f>CONCATENATE((H262+J262+L262+N262+R262+P262),"万")</f>
        <v>334万</v>
      </c>
      <c r="T262" s="152"/>
      <c r="U262" s="451">
        <v>43074</v>
      </c>
    </row>
    <row r="263" spans="1:22" x14ac:dyDescent="0.25">
      <c r="A263" s="151" t="s">
        <v>171</v>
      </c>
      <c r="B263" s="53" t="s">
        <v>722</v>
      </c>
      <c r="E263" s="98"/>
      <c r="T263" s="151"/>
    </row>
    <row r="264" spans="1:22" ht="16.5" thickBot="1" x14ac:dyDescent="0.3">
      <c r="T264" s="151"/>
    </row>
    <row r="265" spans="1:22" ht="16.5" thickBot="1" x14ac:dyDescent="0.3">
      <c r="A265" s="137"/>
      <c r="B265" s="138" t="s">
        <v>154</v>
      </c>
      <c r="C265" s="139" t="s">
        <v>155</v>
      </c>
      <c r="D265" s="139"/>
      <c r="E265" s="139" t="s">
        <v>156</v>
      </c>
      <c r="F265" s="139"/>
      <c r="G265" s="139" t="s">
        <v>43</v>
      </c>
      <c r="H265" s="139"/>
      <c r="I265" s="139" t="s">
        <v>157</v>
      </c>
      <c r="J265" s="139"/>
      <c r="K265" s="139" t="s">
        <v>57</v>
      </c>
      <c r="L265" s="140"/>
      <c r="M265" s="141" t="s">
        <v>64</v>
      </c>
      <c r="N265" s="142"/>
      <c r="O265" s="141" t="s">
        <v>466</v>
      </c>
      <c r="P265" s="142"/>
      <c r="Q265" s="141" t="s">
        <v>232</v>
      </c>
      <c r="R265" s="142"/>
      <c r="T265" s="151"/>
    </row>
    <row r="266" spans="1:22" ht="16.5" thickBot="1" x14ac:dyDescent="0.3">
      <c r="A266" s="143" t="s">
        <v>158</v>
      </c>
      <c r="B266" s="159" t="str">
        <f>CONCATENATE((N268+L268+J268+H268+F267+D267+R268+P268),"万")</f>
        <v>410万</v>
      </c>
      <c r="C266" s="77"/>
      <c r="D266" s="77"/>
      <c r="E266" s="77"/>
      <c r="F266" s="77"/>
      <c r="G266" s="77"/>
      <c r="H266" s="77"/>
      <c r="I266" s="77"/>
      <c r="J266" s="77"/>
      <c r="K266" s="77"/>
      <c r="L266" s="77"/>
      <c r="M266" s="77"/>
      <c r="N266" s="136"/>
      <c r="O266" s="77"/>
      <c r="P266" s="136"/>
      <c r="Q266" s="29"/>
      <c r="R266" s="136"/>
      <c r="T266" s="151"/>
    </row>
    <row r="267" spans="1:22" x14ac:dyDescent="0.25">
      <c r="A267" s="145" t="s">
        <v>160</v>
      </c>
      <c r="B267" s="160"/>
      <c r="C267" s="158" t="s">
        <v>724</v>
      </c>
      <c r="D267" s="158" t="str">
        <f>LEFT(C267,LEN(C267)-1)</f>
        <v>72</v>
      </c>
      <c r="E267" s="84" t="s">
        <v>199</v>
      </c>
      <c r="F267" s="84" t="str">
        <f>LEFT(E267,LEN(E267)-1)</f>
        <v>4</v>
      </c>
      <c r="G267" s="84"/>
      <c r="H267" s="84"/>
      <c r="I267" s="84"/>
      <c r="J267" s="84"/>
      <c r="K267" s="84"/>
      <c r="L267" s="84"/>
      <c r="M267" s="84"/>
      <c r="N267" s="136"/>
      <c r="O267" s="84"/>
      <c r="P267" s="136"/>
      <c r="Q267" s="31"/>
      <c r="R267" s="136"/>
      <c r="S267" s="53" t="str">
        <f>CONCATENATE((D267+F267),"万")</f>
        <v>76万</v>
      </c>
      <c r="T267" s="136"/>
      <c r="U267" s="450" t="s">
        <v>164</v>
      </c>
    </row>
    <row r="268" spans="1:22" ht="16.5" thickBot="1" x14ac:dyDescent="0.3">
      <c r="A268" s="148" t="s">
        <v>165</v>
      </c>
      <c r="B268" s="341"/>
      <c r="C268" s="155"/>
      <c r="D268" s="155"/>
      <c r="E268" s="155"/>
      <c r="F268" s="155"/>
      <c r="G268" s="428" t="s">
        <v>483</v>
      </c>
      <c r="H268" s="155" t="str">
        <f>LEFT(G268,LEN(G268)-1)</f>
        <v>30</v>
      </c>
      <c r="I268" s="428" t="s">
        <v>533</v>
      </c>
      <c r="J268" s="155" t="str">
        <f>LEFT(I268,LEN(I268)-1)</f>
        <v>48</v>
      </c>
      <c r="K268" s="155" t="s">
        <v>721</v>
      </c>
      <c r="L268" s="155" t="str">
        <f>LEFT(K268,LEN(K268)-1)</f>
        <v>36</v>
      </c>
      <c r="M268" s="428" t="s">
        <v>544</v>
      </c>
      <c r="N268" s="156" t="str">
        <f>LEFT(M268,LEN(M268)-1)</f>
        <v>205</v>
      </c>
      <c r="O268" s="155" t="s">
        <v>534</v>
      </c>
      <c r="P268" s="156" t="str">
        <f>LEFT(O268,LEN(O268)-1)</f>
        <v>0</v>
      </c>
      <c r="Q268" s="155" t="s">
        <v>236</v>
      </c>
      <c r="R268" s="156" t="str">
        <f>LEFT(Q268,LEN(Q268)-1)</f>
        <v>15</v>
      </c>
      <c r="S268" s="53" t="str">
        <f>CONCATENATE((H268+J268+L268+N268+R268+P268),"万")</f>
        <v>334万</v>
      </c>
      <c r="T268" s="152"/>
      <c r="U268" s="451">
        <v>43077</v>
      </c>
    </row>
    <row r="269" spans="1:22" x14ac:dyDescent="0.25">
      <c r="A269" s="151" t="s">
        <v>171</v>
      </c>
      <c r="B269" s="53" t="s">
        <v>725</v>
      </c>
      <c r="E269" s="98"/>
    </row>
    <row r="270" spans="1:22" ht="16.5" thickBot="1" x14ac:dyDescent="0.3"/>
    <row r="271" spans="1:22" ht="16.5" thickBot="1" x14ac:dyDescent="0.3">
      <c r="A271" s="137"/>
      <c r="B271" s="138" t="s">
        <v>154</v>
      </c>
      <c r="C271" s="139" t="s">
        <v>155</v>
      </c>
      <c r="D271" s="139"/>
      <c r="E271" s="139" t="s">
        <v>156</v>
      </c>
      <c r="F271" s="139"/>
      <c r="G271" s="139" t="s">
        <v>43</v>
      </c>
      <c r="H271" s="139"/>
      <c r="I271" s="139" t="s">
        <v>157</v>
      </c>
      <c r="J271" s="139"/>
      <c r="K271" s="139" t="s">
        <v>57</v>
      </c>
      <c r="L271" s="140"/>
      <c r="M271" s="141" t="s">
        <v>64</v>
      </c>
      <c r="N271" s="142"/>
      <c r="O271" s="141" t="s">
        <v>466</v>
      </c>
      <c r="P271" s="142"/>
      <c r="Q271" s="141" t="s">
        <v>733</v>
      </c>
      <c r="R271" s="142"/>
      <c r="S271" s="141" t="s">
        <v>734</v>
      </c>
      <c r="T271" s="142"/>
      <c r="U271" s="141" t="s">
        <v>232</v>
      </c>
      <c r="V271" s="142"/>
    </row>
    <row r="272" spans="1:22" ht="16.5" thickBot="1" x14ac:dyDescent="0.3">
      <c r="A272" s="143" t="s">
        <v>158</v>
      </c>
      <c r="B272" s="159" t="str">
        <f>CONCATENATE((N274+L274+J274+H274+F273+D273+V274+P274+R274+T274),"万")</f>
        <v>418万</v>
      </c>
      <c r="C272" s="77"/>
      <c r="D272" s="77"/>
      <c r="E272" s="77"/>
      <c r="F272" s="77"/>
      <c r="G272" s="77"/>
      <c r="H272" s="77"/>
      <c r="I272" s="77"/>
      <c r="J272" s="77"/>
      <c r="K272" s="77"/>
      <c r="L272" s="77"/>
      <c r="M272" s="77"/>
      <c r="N272" s="136"/>
      <c r="O272" s="77"/>
      <c r="P272" s="136"/>
      <c r="Q272" s="77"/>
      <c r="R272" s="136"/>
      <c r="S272" s="77"/>
      <c r="T272" s="136"/>
      <c r="U272" s="29"/>
      <c r="V272" s="136"/>
    </row>
    <row r="273" spans="1:24" x14ac:dyDescent="0.25">
      <c r="A273" s="145" t="s">
        <v>160</v>
      </c>
      <c r="B273" s="160"/>
      <c r="C273" s="158" t="s">
        <v>468</v>
      </c>
      <c r="D273" s="158" t="str">
        <f>LEFT(C273,LEN(C273)-1)</f>
        <v>19</v>
      </c>
      <c r="E273" s="84" t="s">
        <v>199</v>
      </c>
      <c r="F273" s="84" t="str">
        <f>LEFT(E273,LEN(E273)-1)</f>
        <v>4</v>
      </c>
      <c r="G273" s="84"/>
      <c r="H273" s="84"/>
      <c r="I273" s="84"/>
      <c r="J273" s="84"/>
      <c r="K273" s="84"/>
      <c r="L273" s="84"/>
      <c r="M273" s="84"/>
      <c r="N273" s="136"/>
      <c r="O273" s="84"/>
      <c r="P273" s="136"/>
      <c r="Q273" s="84"/>
      <c r="R273" s="136"/>
      <c r="S273" s="84"/>
      <c r="T273" s="136"/>
      <c r="U273" s="31"/>
      <c r="V273" s="136"/>
      <c r="W273" s="53" t="str">
        <f>CONCATENATE((D273+F273),"万")</f>
        <v>23万</v>
      </c>
      <c r="X273" s="147" t="s">
        <v>164</v>
      </c>
    </row>
    <row r="274" spans="1:24" ht="16.5" thickBot="1" x14ac:dyDescent="0.3">
      <c r="A274" s="148" t="s">
        <v>165</v>
      </c>
      <c r="B274" s="341"/>
      <c r="C274" s="155"/>
      <c r="D274" s="155"/>
      <c r="E274" s="155"/>
      <c r="F274" s="155"/>
      <c r="G274" s="428" t="s">
        <v>483</v>
      </c>
      <c r="H274" s="155" t="str">
        <f>LEFT(G274,LEN(G274)-1)</f>
        <v>30</v>
      </c>
      <c r="I274" s="428" t="s">
        <v>533</v>
      </c>
      <c r="J274" s="155" t="str">
        <f>LEFT(I274,LEN(I274)-1)</f>
        <v>48</v>
      </c>
      <c r="K274" s="153" t="s">
        <v>736</v>
      </c>
      <c r="L274" s="155" t="str">
        <f>LEFT(K274,LEN(K274)-1)</f>
        <v>39</v>
      </c>
      <c r="M274" s="428" t="s">
        <v>737</v>
      </c>
      <c r="N274" s="156" t="str">
        <f>LEFT(M274,LEN(M274)-1)</f>
        <v>201</v>
      </c>
      <c r="O274" s="155" t="s">
        <v>534</v>
      </c>
      <c r="P274" s="156" t="str">
        <f>LEFT(O274,LEN(O274)-1)</f>
        <v>0</v>
      </c>
      <c r="Q274" s="153" t="s">
        <v>518</v>
      </c>
      <c r="R274" s="156" t="str">
        <f>LEFT(Q274,LEN(Q274)-1)</f>
        <v>56</v>
      </c>
      <c r="S274" s="153" t="s">
        <v>735</v>
      </c>
      <c r="T274" s="156" t="str">
        <f>LEFT(S274,LEN(S274)-1)</f>
        <v>6</v>
      </c>
      <c r="U274" s="155" t="s">
        <v>236</v>
      </c>
      <c r="V274" s="156" t="str">
        <f>LEFT(U274,LEN(U274)-1)</f>
        <v>15</v>
      </c>
      <c r="W274" s="53" t="str">
        <f>CONCATENATE((H274+J274+L274+N274+P274+R274+T274+V274),"万")</f>
        <v>395万</v>
      </c>
      <c r="X274" s="150">
        <v>43096</v>
      </c>
    </row>
    <row r="275" spans="1:24" x14ac:dyDescent="0.25">
      <c r="A275" s="151" t="s">
        <v>171</v>
      </c>
      <c r="B275" s="53" t="s">
        <v>738</v>
      </c>
      <c r="E275" s="98"/>
    </row>
    <row r="276" spans="1:24" ht="16.5" thickBot="1" x14ac:dyDescent="0.3"/>
    <row r="277" spans="1:24" ht="16.5" thickBot="1" x14ac:dyDescent="0.3">
      <c r="A277" s="137"/>
      <c r="B277" s="138" t="s">
        <v>154</v>
      </c>
      <c r="C277" s="139" t="s">
        <v>155</v>
      </c>
      <c r="D277" s="139"/>
      <c r="E277" s="139" t="s">
        <v>156</v>
      </c>
      <c r="F277" s="139"/>
      <c r="G277" s="139" t="s">
        <v>43</v>
      </c>
      <c r="H277" s="139"/>
      <c r="I277" s="139" t="s">
        <v>157</v>
      </c>
      <c r="J277" s="139"/>
      <c r="K277" s="139" t="s">
        <v>57</v>
      </c>
      <c r="L277" s="140"/>
      <c r="M277" s="141" t="s">
        <v>64</v>
      </c>
      <c r="N277" s="142"/>
      <c r="O277" s="141" t="s">
        <v>466</v>
      </c>
      <c r="P277" s="142"/>
      <c r="Q277" s="141" t="s">
        <v>733</v>
      </c>
      <c r="R277" s="142"/>
      <c r="S277" s="141" t="s">
        <v>734</v>
      </c>
      <c r="T277" s="142"/>
      <c r="U277" s="141" t="s">
        <v>232</v>
      </c>
      <c r="V277" s="142"/>
    </row>
    <row r="278" spans="1:24" ht="16.5" thickBot="1" x14ac:dyDescent="0.3">
      <c r="A278" s="143" t="s">
        <v>158</v>
      </c>
      <c r="B278" s="159" t="str">
        <f>CONCATENATE((N280+L280+J280+H280+F279+D279+V280+P280+R280+T280),"万")</f>
        <v>409万</v>
      </c>
      <c r="C278" s="77"/>
      <c r="D278" s="77"/>
      <c r="E278" s="77"/>
      <c r="F278" s="77"/>
      <c r="G278" s="77"/>
      <c r="H278" s="77"/>
      <c r="I278" s="77"/>
      <c r="J278" s="77"/>
      <c r="K278" s="77"/>
      <c r="L278" s="77"/>
      <c r="M278" s="77"/>
      <c r="N278" s="136"/>
      <c r="O278" s="77"/>
      <c r="P278" s="136"/>
      <c r="Q278" s="77"/>
      <c r="R278" s="136"/>
      <c r="S278" s="77"/>
      <c r="T278" s="136"/>
      <c r="U278" s="29"/>
      <c r="V278" s="136"/>
    </row>
    <row r="279" spans="1:24" x14ac:dyDescent="0.25">
      <c r="A279" s="145" t="s">
        <v>160</v>
      </c>
      <c r="B279" s="160"/>
      <c r="C279" s="158" t="s">
        <v>740</v>
      </c>
      <c r="D279" s="158" t="str">
        <f>LEFT(C279,LEN(C279)-1)</f>
        <v>7</v>
      </c>
      <c r="E279" s="158" t="s">
        <v>258</v>
      </c>
      <c r="F279" s="84" t="str">
        <f>LEFT(E279,LEN(E279)-1)</f>
        <v>3</v>
      </c>
      <c r="G279" s="84"/>
      <c r="H279" s="84"/>
      <c r="I279" s="84"/>
      <c r="J279" s="84"/>
      <c r="K279" s="84"/>
      <c r="L279" s="84"/>
      <c r="M279" s="84"/>
      <c r="N279" s="136"/>
      <c r="O279" s="84"/>
      <c r="P279" s="136"/>
      <c r="Q279" s="84"/>
      <c r="R279" s="136"/>
      <c r="S279" s="84"/>
      <c r="T279" s="136"/>
      <c r="U279" s="31"/>
      <c r="V279" s="136"/>
      <c r="W279" s="53" t="str">
        <f>CONCATENATE((D279+F279),"万")</f>
        <v>10万</v>
      </c>
      <c r="X279" s="147" t="s">
        <v>164</v>
      </c>
    </row>
    <row r="280" spans="1:24" ht="16.5" thickBot="1" x14ac:dyDescent="0.3">
      <c r="A280" s="148" t="s">
        <v>165</v>
      </c>
      <c r="B280" s="341"/>
      <c r="C280" s="155"/>
      <c r="D280" s="155"/>
      <c r="E280" s="155"/>
      <c r="F280" s="155"/>
      <c r="G280" s="428" t="s">
        <v>483</v>
      </c>
      <c r="H280" s="155" t="str">
        <f>LEFT(G280,LEN(G280)-1)</f>
        <v>30</v>
      </c>
      <c r="I280" s="428" t="s">
        <v>533</v>
      </c>
      <c r="J280" s="155" t="str">
        <f>LEFT(I280,LEN(I280)-1)</f>
        <v>48</v>
      </c>
      <c r="K280" s="155" t="s">
        <v>736</v>
      </c>
      <c r="L280" s="155" t="str">
        <f>LEFT(K280,LEN(K280)-1)</f>
        <v>39</v>
      </c>
      <c r="M280" s="428" t="s">
        <v>737</v>
      </c>
      <c r="N280" s="156" t="str">
        <f>LEFT(M280,LEN(M280)-1)</f>
        <v>201</v>
      </c>
      <c r="O280" s="155" t="s">
        <v>534</v>
      </c>
      <c r="P280" s="156" t="str">
        <f>LEFT(O280,LEN(O280)-1)</f>
        <v>0</v>
      </c>
      <c r="Q280" s="153" t="s">
        <v>739</v>
      </c>
      <c r="R280" s="156" t="str">
        <f>LEFT(Q280,LEN(Q280)-1)</f>
        <v>66</v>
      </c>
      <c r="S280" s="153" t="s">
        <v>534</v>
      </c>
      <c r="T280" s="156" t="str">
        <f>LEFT(S280,LEN(S280)-1)</f>
        <v>0</v>
      </c>
      <c r="U280" s="155" t="s">
        <v>236</v>
      </c>
      <c r="V280" s="156" t="str">
        <f>LEFT(U280,LEN(U280)-1)</f>
        <v>15</v>
      </c>
      <c r="W280" s="53" t="str">
        <f>CONCATENATE((H280+J280+L280+N280+P280+R280+T280+V280),"万")</f>
        <v>399万</v>
      </c>
      <c r="X280" s="150">
        <v>43109</v>
      </c>
    </row>
    <row r="281" spans="1:24" x14ac:dyDescent="0.25">
      <c r="A281" s="151" t="s">
        <v>171</v>
      </c>
      <c r="B281" s="53" t="s">
        <v>741</v>
      </c>
      <c r="E281" s="98"/>
    </row>
  </sheetData>
  <phoneticPr fontId="2"/>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784"/>
  <sheetViews>
    <sheetView zoomScale="70" zoomScaleNormal="70" workbookViewId="0">
      <pane xSplit="1" ySplit="1" topLeftCell="B482" activePane="bottomRight" state="frozen"/>
      <selection pane="topRight" activeCell="B1" sqref="B1"/>
      <selection pane="bottomLeft" activeCell="A2" sqref="A2"/>
      <selection pane="bottomRight" activeCell="O23" sqref="O23"/>
    </sheetView>
  </sheetViews>
  <sheetFormatPr defaultRowHeight="15.75" x14ac:dyDescent="0.25"/>
  <cols>
    <col min="1" max="1" width="21.6640625" style="392" customWidth="1"/>
    <col min="2" max="11" width="11.6640625" bestFit="1" customWidth="1"/>
    <col min="12" max="12" width="11.6640625" customWidth="1"/>
  </cols>
  <sheetData>
    <row r="1" spans="1:12" x14ac:dyDescent="0.25">
      <c r="B1" s="394">
        <f ca="1">OFFSET(終値履歴!$A2,0,COUNTA(終値履歴!$G2:'終値履歴'!$XFD2)-5,1,-1)</f>
        <v>43004</v>
      </c>
      <c r="C1" s="394">
        <f ca="1">OFFSET(終値履歴!$A2,0,COUNTA(終値履歴!$G2:'終値履歴'!$XFD2)-4,1,-1)</f>
        <v>43005</v>
      </c>
      <c r="D1" s="394">
        <f ca="1">OFFSET(終値履歴!$A2,0,COUNTA(終値履歴!$G2:'終値履歴'!$XFD2)-3,1,-1)</f>
        <v>43006</v>
      </c>
      <c r="E1" s="394">
        <f ca="1">OFFSET(終値履歴!$A2,0,COUNTA(終値履歴!$G2:'終値履歴'!$XFD2)-2,1,-1)</f>
        <v>43007</v>
      </c>
      <c r="F1" s="394">
        <f ca="1">OFFSET(終値履歴!$A2,0,COUNTA(終値履歴!$G2:'終値履歴'!$XFD2)-1,1,-1)</f>
        <v>43010</v>
      </c>
      <c r="G1" s="394">
        <f ca="1">OFFSET(終値履歴!$A2,0,COUNTA(終値履歴!$G2:'終値履歴'!$XFD2)+0,1,-1)</f>
        <v>43011</v>
      </c>
      <c r="H1" s="394">
        <f ca="1">OFFSET(終値履歴!$A2,0,COUNTA(終値履歴!$G2:'終値履歴'!$XFD2)+1,1,-1)</f>
        <v>43012</v>
      </c>
      <c r="I1" s="394">
        <f ca="1">OFFSET(終値履歴!$A2,0,COUNTA(終値履歴!$G2:'終値履歴'!$XFD2)+2,1,-1)</f>
        <v>43013</v>
      </c>
      <c r="J1" s="394">
        <f ca="1">OFFSET(終値履歴!$A2,0,COUNTA(終値履歴!$G2:'終値履歴'!$XFD2)+3,1,-1)</f>
        <v>43014</v>
      </c>
      <c r="K1" s="394">
        <f ca="1">OFFSET(終値履歴!$A2,0,COUNTA(終値履歴!$G2:'終値履歴'!$XFD2)+4,1,-1)</f>
        <v>43018</v>
      </c>
      <c r="L1" s="394">
        <f ca="1">OFFSET(終値履歴!$A2,0,COUNTA(終値履歴!$G2:'終値履歴'!$XFD2)+5,1,-1)</f>
        <v>43019</v>
      </c>
    </row>
    <row r="2" spans="1:12" s="389" customFormat="1" x14ac:dyDescent="0.25">
      <c r="A2" s="393" t="str">
        <f>終値履歴!B3</f>
        <v>日宣</v>
      </c>
      <c r="B2" s="390">
        <f ca="1">OFFSET(終値履歴!$A3,0,COUNTA(終値履歴!$G3:'終値履歴'!$XFD3)-5,1,-1)</f>
        <v>2300</v>
      </c>
      <c r="C2" s="390">
        <f ca="1">OFFSET(終値履歴!$A3,0,COUNTA(終値履歴!$G3:'終値履歴'!$XFD3)-4,1,-1)</f>
        <v>2266</v>
      </c>
      <c r="D2" s="390">
        <f ca="1">OFFSET(終値履歴!$A3,0,COUNTA(終値履歴!$G3:'終値履歴'!$XFD3)-3,1,-1)</f>
        <v>2290</v>
      </c>
      <c r="E2" s="390">
        <f ca="1">OFFSET(終値履歴!$A3,0,COUNTA(終値履歴!$G3:'終値履歴'!$XFD3)-2,1,-1)</f>
        <v>2270</v>
      </c>
      <c r="F2" s="390">
        <f ca="1">OFFSET(終値履歴!$A3,0,COUNTA(終値履歴!$G3:'終値履歴'!$XFD3)-1,1,-1)</f>
        <v>2298</v>
      </c>
      <c r="G2" s="390">
        <f ca="1">OFFSET(終値履歴!$A3,0,COUNTA(終値履歴!$G3:'終値履歴'!$XFD3)+0,1,-1)</f>
        <v>2308</v>
      </c>
      <c r="H2" s="390">
        <f ca="1">OFFSET(終値履歴!$A3,0,COUNTA(終値履歴!$G3:'終値履歴'!$XFD3)+1,1,-1)</f>
        <v>2300</v>
      </c>
      <c r="I2" s="390">
        <f ca="1">OFFSET(終値履歴!$A3,0,COUNTA(終値履歴!$G3:'終値履歴'!$XFD3)+2,1,-1)</f>
        <v>2286</v>
      </c>
      <c r="J2" s="390">
        <f ca="1">OFFSET(終値履歴!$A3,0,COUNTA(終値履歴!$G3:'終値履歴'!$XFD3)+3,1,-1)</f>
        <v>2289</v>
      </c>
      <c r="K2" s="390">
        <f ca="1">OFFSET(終値履歴!$A3,0,COUNTA(終値履歴!$G3:'終値履歴'!$XFD3)+4,1,-1)</f>
        <v>2291</v>
      </c>
      <c r="L2" s="390">
        <f ca="1">OFFSET(終値履歴!$A3,0,COUNTA(終値履歴!$G3:'終値履歴'!$XFD3)+5,1,-1)</f>
        <v>2295</v>
      </c>
    </row>
    <row r="17" spans="1:12" s="389" customFormat="1" x14ac:dyDescent="0.25">
      <c r="A17" s="393" t="str">
        <f>終値履歴!B4</f>
        <v>レノバ </v>
      </c>
      <c r="B17" s="390">
        <f ca="1">OFFSET(終値履歴!$A4,0,COUNTA(終値履歴!$G4:'終値履歴'!$XFD4)-5,1,-1)</f>
        <v>1181</v>
      </c>
      <c r="C17" s="390">
        <f ca="1">OFFSET(終値履歴!$A4,0,COUNTA(終値履歴!$G4:'終値履歴'!$XFD4)-4,1,-1)</f>
        <v>1159</v>
      </c>
      <c r="D17" s="390">
        <f ca="1">OFFSET(終値履歴!$A4,0,COUNTA(終値履歴!$G4:'終値履歴'!$XFD4)-3,1,-1)</f>
        <v>1201</v>
      </c>
      <c r="E17" s="390">
        <f ca="1">OFFSET(終値履歴!$A4,0,COUNTA(終値履歴!$G4:'終値履歴'!$XFD4)-2,1,-1)</f>
        <v>1277</v>
      </c>
      <c r="F17" s="390">
        <f ca="1">OFFSET(終値履歴!$A4,0,COUNTA(終値履歴!$G4:'終値履歴'!$XFD4)-1,1,-1)</f>
        <v>1241</v>
      </c>
      <c r="G17" s="390">
        <f ca="1">OFFSET(終値履歴!$A4,0,COUNTA(終値履歴!$G4:'終値履歴'!$XFD4)+0,1,-1)</f>
        <v>1269</v>
      </c>
      <c r="H17" s="390">
        <f ca="1">OFFSET(終値履歴!$A4,0,COUNTA(終値履歴!$G4:'終値履歴'!$XFD4)+1,1,-1)</f>
        <v>1257</v>
      </c>
      <c r="I17" s="390">
        <f ca="1">OFFSET(終値履歴!$A4,0,COUNTA(終値履歴!$G4:'終値履歴'!$XFD4)+2,1,-1)</f>
        <v>1215</v>
      </c>
      <c r="J17" s="390">
        <f ca="1">OFFSET(終値履歴!$A4,0,COUNTA(終値履歴!$G4:'終値履歴'!$XFD4)+3,1,-1)</f>
        <v>1229</v>
      </c>
      <c r="K17" s="390">
        <f ca="1">OFFSET(終値履歴!$A4,0,COUNTA(終値履歴!$G4:'終値履歴'!$XFD4)+4,1,-1)</f>
        <v>1284</v>
      </c>
      <c r="L17" s="390">
        <f ca="1">OFFSET(終値履歴!$A4,0,COUNTA(終値履歴!$G4:'終値履歴'!$XFD4)+5,1,-1)</f>
        <v>1297</v>
      </c>
    </row>
    <row r="18" spans="1:12" x14ac:dyDescent="0.25">
      <c r="B18" s="395"/>
    </row>
    <row r="32" spans="1:12" s="389" customFormat="1" x14ac:dyDescent="0.25">
      <c r="A32" s="393" t="str">
        <f>終値履歴!B5</f>
        <v>ユナイテッド＆コレクティブ</v>
      </c>
      <c r="B32" s="390">
        <f ca="1">OFFSET(終値履歴!$A5,0,COUNTA(終値履歴!$G5:'終値履歴'!$XFD5)-5,1,-1)</f>
        <v>4325</v>
      </c>
      <c r="C32" s="390">
        <f ca="1">OFFSET(終値履歴!$A5,0,COUNTA(終値履歴!$G5:'終値履歴'!$XFD5)-4,1,-1)</f>
        <v>4475</v>
      </c>
      <c r="D32" s="390">
        <f ca="1">OFFSET(終値履歴!$A5,0,COUNTA(終値履歴!$G5:'終値履歴'!$XFD5)-3,1,-1)</f>
        <v>4455</v>
      </c>
      <c r="E32" s="390">
        <f ca="1">OFFSET(終値履歴!$A5,0,COUNTA(終値履歴!$G5:'終値履歴'!$XFD5)-2,1,-1)</f>
        <v>4605</v>
      </c>
      <c r="F32" s="390">
        <f ca="1">OFFSET(終値履歴!$A5,0,COUNTA(終値履歴!$G5:'終値履歴'!$XFD5)-1,1,-1)</f>
        <v>4600</v>
      </c>
      <c r="G32" s="390">
        <f ca="1">OFFSET(終値履歴!$A5,0,COUNTA(終値履歴!$G5:'終値履歴'!$XFD5)+0,1,-1)</f>
        <v>4660</v>
      </c>
      <c r="H32" s="390">
        <f ca="1">OFFSET(終値履歴!$A5,0,COUNTA(終値履歴!$G5:'終値履歴'!$XFD5)+1,1,-1)</f>
        <v>4755</v>
      </c>
      <c r="I32" s="390">
        <f ca="1">OFFSET(終値履歴!$A5,0,COUNTA(終値履歴!$G5:'終値履歴'!$XFD5)+2,1,-1)</f>
        <v>4685</v>
      </c>
      <c r="J32" s="390">
        <f ca="1">OFFSET(終値履歴!$A5,0,COUNTA(終値履歴!$G5:'終値履歴'!$XFD5)+3,1,-1)</f>
        <v>4760</v>
      </c>
      <c r="K32" s="390">
        <f ca="1">OFFSET(終値履歴!$A5,0,COUNTA(終値履歴!$G5:'終値履歴'!$XFD5)+4,1,-1)</f>
        <v>5100</v>
      </c>
      <c r="L32" s="390">
        <f ca="1">OFFSET(終値履歴!$A5,0,COUNTA(終値履歴!$G5:'終値履歴'!$XFD5)+5,1,-1)</f>
        <v>5150</v>
      </c>
    </row>
    <row r="47" spans="1:12" s="389" customFormat="1" x14ac:dyDescent="0.25">
      <c r="A47" s="393" t="str">
        <f>終値履歴!B6</f>
        <v>ロコンド</v>
      </c>
      <c r="B47" s="390">
        <f ca="1">OFFSET(終値履歴!$A6,0,COUNTA(終値履歴!$G6:'終値履歴'!$XFD6)-5,1,-1)</f>
        <v>1905</v>
      </c>
      <c r="C47" s="390">
        <f ca="1">OFFSET(終値履歴!$A6,0,COUNTA(終値履歴!$G6:'終値履歴'!$XFD6)-4,1,-1)</f>
        <v>1937</v>
      </c>
      <c r="D47" s="390">
        <f ca="1">OFFSET(終値履歴!$A6,0,COUNTA(終値履歴!$G6:'終値履歴'!$XFD6)-3,1,-1)</f>
        <v>1931</v>
      </c>
      <c r="E47" s="390">
        <f ca="1">OFFSET(終値履歴!$A6,0,COUNTA(終値履歴!$G6:'終値履歴'!$XFD6)-2,1,-1)</f>
        <v>1962</v>
      </c>
      <c r="F47" s="390">
        <f ca="1">OFFSET(終値履歴!$A6,0,COUNTA(終値履歴!$G6:'終値履歴'!$XFD6)-1,1,-1)</f>
        <v>2070</v>
      </c>
      <c r="G47" s="390">
        <f ca="1">OFFSET(終値履歴!$A6,0,COUNTA(終値履歴!$G6:'終値履歴'!$XFD6)+0,1,-1)</f>
        <v>2001</v>
      </c>
      <c r="H47" s="390">
        <f ca="1">OFFSET(終値履歴!$A6,0,COUNTA(終値履歴!$G6:'終値履歴'!$XFD6)+1,1,-1)</f>
        <v>1985</v>
      </c>
      <c r="I47" s="390">
        <f ca="1">OFFSET(終値履歴!$A6,0,COUNTA(終値履歴!$G6:'終値履歴'!$XFD6)+2,1,-1)</f>
        <v>1890</v>
      </c>
      <c r="J47" s="390">
        <f ca="1">OFFSET(終値履歴!$A6,0,COUNTA(終値履歴!$G6:'終値履歴'!$XFD6)+3,1,-1)</f>
        <v>1883</v>
      </c>
      <c r="K47" s="390">
        <f ca="1">OFFSET(終値履歴!$A6,0,COUNTA(終値履歴!$G6:'終値履歴'!$XFD6)+4,1,-1)</f>
        <v>1898</v>
      </c>
      <c r="L47" s="390">
        <f ca="1">OFFSET(終値履歴!$A6,0,COUNTA(終値履歴!$G6:'終値履歴'!$XFD6)+5,1,-1)</f>
        <v>1912</v>
      </c>
    </row>
    <row r="62" spans="1:12" s="389" customFormat="1" x14ac:dyDescent="0.25">
      <c r="A62" s="393" t="str">
        <f>終値履歴!B7</f>
        <v>ピーバンドットコム</v>
      </c>
      <c r="B62" s="390">
        <f ca="1">OFFSET(終値履歴!$A7,0,COUNTA(終値履歴!$G7:'終値履歴'!$XFD7)-5,1,-1)</f>
        <v>1786</v>
      </c>
      <c r="C62" s="390">
        <f ca="1">OFFSET(終値履歴!$A7,0,COUNTA(終値履歴!$G7:'終値履歴'!$XFD7)-4,1,-1)</f>
        <v>1891</v>
      </c>
      <c r="D62" s="390">
        <f ca="1">OFFSET(終値履歴!$A7,0,COUNTA(終値履歴!$G7:'終値履歴'!$XFD7)-3,1,-1)</f>
        <v>1873</v>
      </c>
      <c r="E62" s="390">
        <f ca="1">OFFSET(終値履歴!$A7,0,COUNTA(終値履歴!$G7:'終値履歴'!$XFD7)-2,1,-1)</f>
        <v>1849</v>
      </c>
      <c r="F62" s="390">
        <f ca="1">OFFSET(終値履歴!$A7,0,COUNTA(終値履歴!$G7:'終値履歴'!$XFD7)-1,1,-1)</f>
        <v>1875</v>
      </c>
      <c r="G62" s="390">
        <f ca="1">OFFSET(終値履歴!$A7,0,COUNTA(終値履歴!$G7:'終値履歴'!$XFD7)+0,1,-1)</f>
        <v>1904</v>
      </c>
      <c r="H62" s="390">
        <f ca="1">OFFSET(終値履歴!$A7,0,COUNTA(終値履歴!$G7:'終値履歴'!$XFD7)+1,1,-1)</f>
        <v>1850</v>
      </c>
      <c r="I62" s="390">
        <f ca="1">OFFSET(終値履歴!$A7,0,COUNTA(終値履歴!$G7:'終値履歴'!$XFD7)+2,1,-1)</f>
        <v>1810</v>
      </c>
      <c r="J62" s="390">
        <f ca="1">OFFSET(終値履歴!$A7,0,COUNTA(終値履歴!$G7:'終値履歴'!$XFD7)+3,1,-1)</f>
        <v>1810</v>
      </c>
      <c r="K62" s="390">
        <f ca="1">OFFSET(終値履歴!$A7,0,COUNTA(終値履歴!$G7:'終値履歴'!$XFD7)+4,1,-1)</f>
        <v>1811</v>
      </c>
      <c r="L62" s="390">
        <f ca="1">OFFSET(終値履歴!$A7,0,COUNTA(終値履歴!$G7:'終値履歴'!$XFD7)+5,1,-1)</f>
        <v>1792</v>
      </c>
    </row>
    <row r="77" spans="1:12" s="389" customFormat="1" x14ac:dyDescent="0.25">
      <c r="A77" s="393" t="str">
        <f>終値履歴!B8</f>
        <v>ファイズ</v>
      </c>
      <c r="B77" s="390">
        <f ca="1">OFFSET(終値履歴!$A8,0,COUNTA(終値履歴!$G8:'終値履歴'!$XFD8)-5,1,-1)</f>
        <v>5720</v>
      </c>
      <c r="C77" s="390">
        <f ca="1">OFFSET(終値履歴!$A8,0,COUNTA(終値履歴!$G8:'終値履歴'!$XFD8)-4,1,-1)</f>
        <v>2808</v>
      </c>
      <c r="D77" s="390">
        <f ca="1">OFFSET(終値履歴!$A8,0,COUNTA(終値履歴!$G8:'終値履歴'!$XFD8)-3,1,-1)</f>
        <v>2885</v>
      </c>
      <c r="E77" s="390">
        <f ca="1">OFFSET(終値履歴!$A8,0,COUNTA(終値履歴!$G8:'終値履歴'!$XFD8)-2,1,-1)</f>
        <v>2820</v>
      </c>
      <c r="F77" s="390">
        <f ca="1">OFFSET(終値履歴!$A8,0,COUNTA(終値履歴!$G8:'終値履歴'!$XFD8)-1,1,-1)</f>
        <v>2844</v>
      </c>
      <c r="G77" s="390">
        <f ca="1">OFFSET(終値履歴!$A8,0,COUNTA(終値履歴!$G8:'終値履歴'!$XFD8)+0,1,-1)</f>
        <v>2825</v>
      </c>
      <c r="H77" s="390">
        <f ca="1">OFFSET(終値履歴!$A8,0,COUNTA(終値履歴!$G8:'終値履歴'!$XFD8)+1,1,-1)</f>
        <v>2769</v>
      </c>
      <c r="I77" s="390">
        <f ca="1">OFFSET(終値履歴!$A8,0,COUNTA(終値履歴!$G8:'終値履歴'!$XFD8)+2,1,-1)</f>
        <v>2602</v>
      </c>
      <c r="J77" s="390">
        <f ca="1">OFFSET(終値履歴!$A8,0,COUNTA(終値履歴!$G8:'終値履歴'!$XFD8)+3,1,-1)</f>
        <v>2607</v>
      </c>
      <c r="K77" s="390">
        <f ca="1">OFFSET(終値履歴!$A8,0,COUNTA(終値履歴!$G8:'終値履歴'!$XFD8)+4,1,-1)</f>
        <v>2650</v>
      </c>
      <c r="L77" s="390">
        <f ca="1">OFFSET(終値履歴!$A8,0,COUNTA(終値履歴!$G8:'終値履歴'!$XFD8)+5,1,-1)</f>
        <v>2620</v>
      </c>
    </row>
    <row r="92" spans="1:12" s="389" customFormat="1" x14ac:dyDescent="0.25">
      <c r="A92" s="393" t="str">
        <f>終値履歴!B9</f>
        <v>うるる</v>
      </c>
      <c r="B92" s="390">
        <f ca="1">OFFSET(終値履歴!$A9,0,COUNTA(終値履歴!$G9:'終値履歴'!$XFD9)-5,1,-1)</f>
        <v>3610</v>
      </c>
      <c r="C92" s="390">
        <f ca="1">OFFSET(終値履歴!$A9,0,COUNTA(終値履歴!$G9:'終値履歴'!$XFD9)-4,1,-1)</f>
        <v>3660</v>
      </c>
      <c r="D92" s="390">
        <f ca="1">OFFSET(終値履歴!$A9,0,COUNTA(終値履歴!$G9:'終値履歴'!$XFD9)-3,1,-1)</f>
        <v>3640</v>
      </c>
      <c r="E92" s="390">
        <f ca="1">OFFSET(終値履歴!$A9,0,COUNTA(終値履歴!$G9:'終値履歴'!$XFD9)-2,1,-1)</f>
        <v>3700</v>
      </c>
      <c r="F92" s="390">
        <f ca="1">OFFSET(終値履歴!$A9,0,COUNTA(終値履歴!$G9:'終値履歴'!$XFD9)-1,1,-1)</f>
        <v>3840</v>
      </c>
      <c r="G92" s="390">
        <f ca="1">OFFSET(終値履歴!$A9,0,COUNTA(終値履歴!$G9:'終値履歴'!$XFD9)+0,1,-1)</f>
        <v>3860</v>
      </c>
      <c r="H92" s="390">
        <f ca="1">OFFSET(終値履歴!$A9,0,COUNTA(終値履歴!$G9:'終値履歴'!$XFD9)+1,1,-1)</f>
        <v>3855</v>
      </c>
      <c r="I92" s="390">
        <f ca="1">OFFSET(終値履歴!$A9,0,COUNTA(終値履歴!$G9:'終値履歴'!$XFD9)+2,1,-1)</f>
        <v>3705</v>
      </c>
      <c r="J92" s="390">
        <f ca="1">OFFSET(終値履歴!$A9,0,COUNTA(終値履歴!$G9:'終値履歴'!$XFD9)+3,1,-1)</f>
        <v>3675</v>
      </c>
      <c r="K92" s="390">
        <f ca="1">OFFSET(終値履歴!$A9,0,COUNTA(終値履歴!$G9:'終値履歴'!$XFD9)+4,1,-1)</f>
        <v>3630</v>
      </c>
      <c r="L92" s="390">
        <f ca="1">OFFSET(終値履歴!$A9,0,COUNTA(終値履歴!$G9:'終値履歴'!$XFD9)+5,1,-1)</f>
        <v>3725</v>
      </c>
    </row>
    <row r="107" spans="1:12" s="389" customFormat="1" x14ac:dyDescent="0.25">
      <c r="A107" s="393" t="str">
        <f>終値履歴!B10</f>
        <v>ほぼ日</v>
      </c>
      <c r="B107" s="390">
        <f ca="1">OFFSET(終値履歴!$A10,0,COUNTA(終値履歴!$G10:'終値履歴'!$XFD10)-5,1,-1)</f>
        <v>5210</v>
      </c>
      <c r="C107" s="390">
        <f ca="1">OFFSET(終値履歴!$A10,0,COUNTA(終値履歴!$G10:'終値履歴'!$XFD10)-4,1,-1)</f>
        <v>5300</v>
      </c>
      <c r="D107" s="390">
        <f ca="1">OFFSET(終値履歴!$A10,0,COUNTA(終値履歴!$G10:'終値履歴'!$XFD10)-3,1,-1)</f>
        <v>5300</v>
      </c>
      <c r="E107" s="390">
        <f ca="1">OFFSET(終値履歴!$A10,0,COUNTA(終値履歴!$G10:'終値履歴'!$XFD10)-2,1,-1)</f>
        <v>5350</v>
      </c>
      <c r="F107" s="390">
        <f ca="1">OFFSET(終値履歴!$A10,0,COUNTA(終値履歴!$G10:'終値履歴'!$XFD10)-1,1,-1)</f>
        <v>5400</v>
      </c>
      <c r="G107" s="390">
        <f ca="1">OFFSET(終値履歴!$A10,0,COUNTA(終値履歴!$G10:'終値履歴'!$XFD10)+0,1,-1)</f>
        <v>5360</v>
      </c>
      <c r="H107" s="390">
        <f ca="1">OFFSET(終値履歴!$A10,0,COUNTA(終値履歴!$G10:'終値履歴'!$XFD10)+1,1,-1)</f>
        <v>5300</v>
      </c>
      <c r="I107" s="390">
        <f ca="1">OFFSET(終値履歴!$A10,0,COUNTA(終値履歴!$G10:'終値履歴'!$XFD10)+2,1,-1)</f>
        <v>5310</v>
      </c>
      <c r="J107" s="390">
        <f ca="1">OFFSET(終値履歴!$A10,0,COUNTA(終値履歴!$G10:'終値履歴'!$XFD10)+3,1,-1)</f>
        <v>5280</v>
      </c>
      <c r="K107" s="390">
        <f ca="1">OFFSET(終値履歴!$A10,0,COUNTA(終値履歴!$G10:'終値履歴'!$XFD10)+4,1,-1)</f>
        <v>5310</v>
      </c>
      <c r="L107" s="390">
        <f ca="1">OFFSET(終値履歴!$A10,0,COUNTA(終値履歴!$G10:'終値履歴'!$XFD10)+5,1,-1)</f>
        <v>5300</v>
      </c>
    </row>
    <row r="122" spans="1:12" s="389" customFormat="1" x14ac:dyDescent="0.25">
      <c r="A122" s="393" t="str">
        <f>終値履歴!B11</f>
        <v>ジャパンエレベーターサービスHD</v>
      </c>
      <c r="B122" s="390">
        <f ca="1">OFFSET(終値履歴!$A11,0,COUNTA(終値履歴!$G11:'終値履歴'!$XFD11)-5,1,-1)</f>
        <v>2079</v>
      </c>
      <c r="C122" s="390">
        <f ca="1">OFFSET(終値履歴!$A11,0,COUNTA(終値履歴!$G11:'終値履歴'!$XFD11)-4,1,-1)</f>
        <v>1089</v>
      </c>
      <c r="D122" s="390">
        <f ca="1">OFFSET(終値履歴!$A11,0,COUNTA(終値履歴!$G11:'終値履歴'!$XFD11)-3,1,-1)</f>
        <v>1067</v>
      </c>
      <c r="E122" s="390">
        <f ca="1">OFFSET(終値履歴!$A11,0,COUNTA(終値履歴!$G11:'終値履歴'!$XFD11)-2,1,-1)</f>
        <v>1111</v>
      </c>
      <c r="F122" s="390">
        <f ca="1">OFFSET(終値履歴!$A11,0,COUNTA(終値履歴!$G11:'終値履歴'!$XFD11)-1,1,-1)</f>
        <v>1160</v>
      </c>
      <c r="G122" s="390">
        <f ca="1">OFFSET(終値履歴!$A11,0,COUNTA(終値履歴!$G11:'終値履歴'!$XFD11)+0,1,-1)</f>
        <v>1145</v>
      </c>
      <c r="H122" s="390">
        <f ca="1">OFFSET(終値履歴!$A11,0,COUNTA(終値履歴!$G11:'終値履歴'!$XFD11)+1,1,-1)</f>
        <v>1132</v>
      </c>
      <c r="I122" s="390">
        <f ca="1">OFFSET(終値履歴!$A11,0,COUNTA(終値履歴!$G11:'終値履歴'!$XFD11)+2,1,-1)</f>
        <v>1098</v>
      </c>
      <c r="J122" s="390">
        <f ca="1">OFFSET(終値履歴!$A11,0,COUNTA(終値履歴!$G11:'終値履歴'!$XFD11)+3,1,-1)</f>
        <v>1145</v>
      </c>
      <c r="K122" s="390">
        <f ca="1">OFFSET(終値履歴!$A11,0,COUNTA(終値履歴!$G11:'終値履歴'!$XFD11)+4,1,-1)</f>
        <v>1180</v>
      </c>
      <c r="L122" s="390">
        <f ca="1">OFFSET(終値履歴!$A11,0,COUNTA(終値履歴!$G11:'終値履歴'!$XFD11)+5,1,-1)</f>
        <v>1175</v>
      </c>
    </row>
    <row r="137" spans="1:12" s="389" customFormat="1" x14ac:dyDescent="0.25">
      <c r="A137" s="393" t="str">
        <f>終値履歴!B12</f>
        <v>ビーグリー</v>
      </c>
      <c r="B137" s="390">
        <f ca="1">OFFSET(終値履歴!$A12,0,COUNTA(終値履歴!$G12:'終値履歴'!$XFD12)-5,1,-1)</f>
        <v>1696</v>
      </c>
      <c r="C137" s="390">
        <f ca="1">OFFSET(終値履歴!$A12,0,COUNTA(終値履歴!$G12:'終値履歴'!$XFD12)-4,1,-1)</f>
        <v>1730</v>
      </c>
      <c r="D137" s="390">
        <f ca="1">OFFSET(終値履歴!$A12,0,COUNTA(終値履歴!$G12:'終値履歴'!$XFD12)-3,1,-1)</f>
        <v>1757</v>
      </c>
      <c r="E137" s="390">
        <f ca="1">OFFSET(終値履歴!$A12,0,COUNTA(終値履歴!$G12:'終値履歴'!$XFD12)-2,1,-1)</f>
        <v>1718</v>
      </c>
      <c r="F137" s="390">
        <f ca="1">OFFSET(終値履歴!$A12,0,COUNTA(終値履歴!$G12:'終値履歴'!$XFD12)-1,1,-1)</f>
        <v>1765</v>
      </c>
      <c r="G137" s="390">
        <f ca="1">OFFSET(終値履歴!$A12,0,COUNTA(終値履歴!$G12:'終値履歴'!$XFD12)+0,1,-1)</f>
        <v>1780</v>
      </c>
      <c r="H137" s="390">
        <f ca="1">OFFSET(終値履歴!$A12,0,COUNTA(終値履歴!$G12:'終値履歴'!$XFD12)+1,1,-1)</f>
        <v>1727</v>
      </c>
      <c r="I137" s="390">
        <f ca="1">OFFSET(終値履歴!$A12,0,COUNTA(終値履歴!$G12:'終値履歴'!$XFD12)+2,1,-1)</f>
        <v>1704</v>
      </c>
      <c r="J137" s="390">
        <f ca="1">OFFSET(終値履歴!$A12,0,COUNTA(終値履歴!$G12:'終値履歴'!$XFD12)+3,1,-1)</f>
        <v>1710</v>
      </c>
      <c r="K137" s="390">
        <f ca="1">OFFSET(終値履歴!$A12,0,COUNTA(終値履歴!$G12:'終値履歴'!$XFD12)+4,1,-1)</f>
        <v>1694</v>
      </c>
      <c r="L137" s="390">
        <f ca="1">OFFSET(終値履歴!$A12,0,COUNTA(終値履歴!$G12:'終値履歴'!$XFD12)+5,1,-1)</f>
        <v>1694</v>
      </c>
    </row>
    <row r="152" spans="1:12" s="389" customFormat="1" x14ac:dyDescent="0.25">
      <c r="A152" s="393" t="str">
        <f>終値履歴!B13</f>
        <v>力の源HD</v>
      </c>
      <c r="B152" s="390">
        <f ca="1">OFFSET(終値履歴!$A13,0,COUNTA(終値履歴!$G13:'終値履歴'!$XFD13)-5,1,-1)</f>
        <v>2168</v>
      </c>
      <c r="C152" s="390">
        <f ca="1">OFFSET(終値履歴!$A13,0,COUNTA(終値履歴!$G13:'終値履歴'!$XFD13)-4,1,-1)</f>
        <v>1126</v>
      </c>
      <c r="D152" s="390">
        <f ca="1">OFFSET(終値履歴!$A13,0,COUNTA(終値履歴!$G13:'終値履歴'!$XFD13)-3,1,-1)</f>
        <v>1200</v>
      </c>
      <c r="E152" s="390">
        <f ca="1">OFFSET(終値履歴!$A13,0,COUNTA(終値履歴!$G13:'終値履歴'!$XFD13)-2,1,-1)</f>
        <v>1186</v>
      </c>
      <c r="F152" s="390">
        <f ca="1">OFFSET(終値履歴!$A13,0,COUNTA(終値履歴!$G13:'終値履歴'!$XFD13)-1,1,-1)</f>
        <v>1153</v>
      </c>
      <c r="G152" s="390">
        <f ca="1">OFFSET(終値履歴!$A13,0,COUNTA(終値履歴!$G13:'終値履歴'!$XFD13)+0,1,-1)</f>
        <v>1165</v>
      </c>
      <c r="H152" s="390">
        <f ca="1">OFFSET(終値履歴!$A13,0,COUNTA(終値履歴!$G13:'終値履歴'!$XFD13)+1,1,-1)</f>
        <v>1137</v>
      </c>
      <c r="I152" s="390">
        <f ca="1">OFFSET(終値履歴!$A13,0,COUNTA(終値履歴!$G13:'終値履歴'!$XFD13)+2,1,-1)</f>
        <v>1140</v>
      </c>
      <c r="J152" s="390">
        <f ca="1">OFFSET(終値履歴!$A13,0,COUNTA(終値履歴!$G13:'終値履歴'!$XFD13)+3,1,-1)</f>
        <v>1111</v>
      </c>
      <c r="K152" s="390">
        <f ca="1">OFFSET(終値履歴!$A13,0,COUNTA(終値履歴!$G13:'終値履歴'!$XFD13)+4,1,-1)</f>
        <v>1128</v>
      </c>
      <c r="L152" s="390">
        <f ca="1">OFFSET(終値履歴!$A13,0,COUNTA(終値履歴!$G13:'終値履歴'!$XFD13)+5,1,-1)</f>
        <v>1128</v>
      </c>
    </row>
    <row r="167" spans="1:12" s="389" customFormat="1" x14ac:dyDescent="0.25">
      <c r="A167" s="393" t="str">
        <f>終値履歴!B14</f>
        <v>インターネットインフィニティー</v>
      </c>
      <c r="B167" s="390">
        <f ca="1">OFFSET(終値履歴!$A14,0,COUNTA(終値履歴!$G14:'終値履歴'!$XFD14)-5,1,-1)</f>
        <v>8440</v>
      </c>
      <c r="C167" s="390">
        <f ca="1">OFFSET(終値履歴!$A14,0,COUNTA(終値履歴!$G14:'終値履歴'!$XFD14)-4,1,-1)</f>
        <v>2111</v>
      </c>
      <c r="D167" s="390">
        <f ca="1">OFFSET(終値履歴!$A14,0,COUNTA(終値履歴!$G14:'終値履歴'!$XFD14)-3,1,-1)</f>
        <v>2034</v>
      </c>
      <c r="E167" s="390">
        <f ca="1">OFFSET(終値履歴!$A14,0,COUNTA(終値履歴!$G14:'終値履歴'!$XFD14)-2,1,-1)</f>
        <v>1977</v>
      </c>
      <c r="F167" s="390">
        <f ca="1">OFFSET(終値履歴!$A14,0,COUNTA(終値履歴!$G14:'終値履歴'!$XFD14)-1,1,-1)</f>
        <v>1950</v>
      </c>
      <c r="G167" s="390">
        <f ca="1">OFFSET(終値履歴!$A14,0,COUNTA(終値履歴!$G14:'終値履歴'!$XFD14)+0,1,-1)</f>
        <v>2060</v>
      </c>
      <c r="H167" s="390">
        <f ca="1">OFFSET(終値履歴!$A14,0,COUNTA(終値履歴!$G14:'終値履歴'!$XFD14)+1,1,-1)</f>
        <v>1948</v>
      </c>
      <c r="I167" s="390">
        <f ca="1">OFFSET(終値履歴!$A14,0,COUNTA(終値履歴!$G14:'終値履歴'!$XFD14)+2,1,-1)</f>
        <v>1880</v>
      </c>
      <c r="J167" s="390">
        <f ca="1">OFFSET(終値履歴!$A14,0,COUNTA(終値履歴!$G14:'終値履歴'!$XFD14)+3,1,-1)</f>
        <v>1839</v>
      </c>
      <c r="K167" s="390">
        <f ca="1">OFFSET(終値履歴!$A14,0,COUNTA(終値履歴!$G14:'終値履歴'!$XFD14)+4,1,-1)</f>
        <v>1870</v>
      </c>
      <c r="L167" s="390">
        <f ca="1">OFFSET(終値履歴!$A14,0,COUNTA(終値履歴!$G14:'終値履歴'!$XFD14)+5,1,-1)</f>
        <v>1808</v>
      </c>
    </row>
    <row r="182" spans="1:12" s="389" customFormat="1" x14ac:dyDescent="0.25">
      <c r="A182" s="393" t="str">
        <f>終値履歴!B15</f>
        <v>フルテック</v>
      </c>
      <c r="B182" s="390">
        <f ca="1">OFFSET(終値履歴!$A15,0,COUNTA(終値履歴!$G15:'終値履歴'!$XFD15)-5,1,-1)</f>
        <v>1105</v>
      </c>
      <c r="C182" s="390">
        <f ca="1">OFFSET(終値履歴!$A15,0,COUNTA(終値履歴!$G15:'終値履歴'!$XFD15)-4,1,-1)</f>
        <v>1073</v>
      </c>
      <c r="D182" s="390">
        <f ca="1">OFFSET(終値履歴!$A15,0,COUNTA(終値履歴!$G15:'終値履歴'!$XFD15)-3,1,-1)</f>
        <v>1079</v>
      </c>
      <c r="E182" s="390">
        <f ca="1">OFFSET(終値履歴!$A15,0,COUNTA(終値履歴!$G15:'終値履歴'!$XFD15)-2,1,-1)</f>
        <v>1063</v>
      </c>
      <c r="F182" s="390">
        <f ca="1">OFFSET(終値履歴!$A15,0,COUNTA(終値履歴!$G15:'終値履歴'!$XFD15)-1,1,-1)</f>
        <v>1080</v>
      </c>
      <c r="G182" s="390">
        <f ca="1">OFFSET(終値履歴!$A15,0,COUNTA(終値履歴!$G15:'終値履歴'!$XFD15)+0,1,-1)</f>
        <v>1074</v>
      </c>
      <c r="H182" s="390">
        <f ca="1">OFFSET(終値履歴!$A15,0,COUNTA(終値履歴!$G15:'終値履歴'!$XFD15)+1,1,-1)</f>
        <v>1056</v>
      </c>
      <c r="I182" s="390">
        <f ca="1">OFFSET(終値履歴!$A15,0,COUNTA(終値履歴!$G15:'終値履歴'!$XFD15)+2,1,-1)</f>
        <v>1055</v>
      </c>
      <c r="J182" s="390">
        <f ca="1">OFFSET(終値履歴!$A15,0,COUNTA(終値履歴!$G15:'終値履歴'!$XFD15)+3,1,-1)</f>
        <v>1050</v>
      </c>
      <c r="K182" s="390">
        <f ca="1">OFFSET(終値履歴!$A15,0,COUNTA(終値履歴!$G15:'終値履歴'!$XFD15)+4,1,-1)</f>
        <v>1050</v>
      </c>
      <c r="L182" s="390">
        <f ca="1">OFFSET(終値履歴!$A15,0,COUNTA(終値履歴!$G15:'終値履歴'!$XFD15)+5,1,-1)</f>
        <v>1041</v>
      </c>
    </row>
    <row r="197" spans="1:12" s="389" customFormat="1" x14ac:dyDescent="0.25">
      <c r="A197" s="393" t="str">
        <f>終値履歴!B16</f>
        <v>マクロミル</v>
      </c>
      <c r="B197" s="390">
        <f ca="1">OFFSET(終値履歴!$A16,0,COUNTA(終値履歴!$G16:'終値履歴'!$XFD16)-5,1,-1)</f>
        <v>2519</v>
      </c>
      <c r="C197" s="390">
        <f ca="1">OFFSET(終値履歴!$A16,0,COUNTA(終値履歴!$G16:'終値履歴'!$XFD16)-4,1,-1)</f>
        <v>2495</v>
      </c>
      <c r="D197" s="390">
        <f ca="1">OFFSET(終値履歴!$A16,0,COUNTA(終値履歴!$G16:'終値履歴'!$XFD16)-3,1,-1)</f>
        <v>2563</v>
      </c>
      <c r="E197" s="390">
        <f ca="1">OFFSET(終値履歴!$A16,0,COUNTA(終値履歴!$G16:'終値履歴'!$XFD16)-2,1,-1)</f>
        <v>2551</v>
      </c>
      <c r="F197" s="390">
        <f ca="1">OFFSET(終値履歴!$A16,0,COUNTA(終値履歴!$G16:'終値履歴'!$XFD16)-1,1,-1)</f>
        <v>2552</v>
      </c>
      <c r="G197" s="390">
        <f ca="1">OFFSET(終値履歴!$A16,0,COUNTA(終値履歴!$G16:'終値履歴'!$XFD16)+0,1,-1)</f>
        <v>2725</v>
      </c>
      <c r="H197" s="390">
        <f ca="1">OFFSET(終値履歴!$A16,0,COUNTA(終値履歴!$G16:'終値履歴'!$XFD16)+1,1,-1)</f>
        <v>2766</v>
      </c>
      <c r="I197" s="390">
        <f ca="1">OFFSET(終値履歴!$A16,0,COUNTA(終値履歴!$G16:'終値履歴'!$XFD16)+2,1,-1)</f>
        <v>2691</v>
      </c>
      <c r="J197" s="390">
        <f ca="1">OFFSET(終値履歴!$A16,0,COUNTA(終値履歴!$G16:'終値履歴'!$XFD16)+3,1,-1)</f>
        <v>2702</v>
      </c>
      <c r="K197" s="390">
        <f ca="1">OFFSET(終値履歴!$A16,0,COUNTA(終値履歴!$G16:'終値履歴'!$XFD16)+4,1,-1)</f>
        <v>2805</v>
      </c>
      <c r="L197" s="390">
        <f ca="1">OFFSET(終値履歴!$A16,0,COUNTA(終値履歴!$G16:'終値履歴'!$XFD16)+5,1,-1)</f>
        <v>2895</v>
      </c>
    </row>
    <row r="212" spans="1:12" s="389" customFormat="1" x14ac:dyDescent="0.25">
      <c r="A212" s="393" t="str">
        <f>終値履歴!B17</f>
        <v>グリーンズ</v>
      </c>
      <c r="B212" s="390">
        <f ca="1">OFFSET(終値履歴!$A17,0,COUNTA(終値履歴!$G17:'終値履歴'!$XFD17)-5,1,-1)</f>
        <v>1372</v>
      </c>
      <c r="C212" s="390">
        <f ca="1">OFFSET(終値履歴!$A17,0,COUNTA(終値履歴!$G17:'終値履歴'!$XFD17)-4,1,-1)</f>
        <v>1410</v>
      </c>
      <c r="D212" s="390">
        <f ca="1">OFFSET(終値履歴!$A17,0,COUNTA(終値履歴!$G17:'終値履歴'!$XFD17)-3,1,-1)</f>
        <v>1380</v>
      </c>
      <c r="E212" s="390">
        <f ca="1">OFFSET(終値履歴!$A17,0,COUNTA(終値履歴!$G17:'終値履歴'!$XFD17)-2,1,-1)</f>
        <v>1394</v>
      </c>
      <c r="F212" s="390">
        <f ca="1">OFFSET(終値履歴!$A17,0,COUNTA(終値履歴!$G17:'終値履歴'!$XFD17)-1,1,-1)</f>
        <v>1424</v>
      </c>
      <c r="G212" s="390">
        <f ca="1">OFFSET(終値履歴!$A17,0,COUNTA(終値履歴!$G17:'終値履歴'!$XFD17)+0,1,-1)</f>
        <v>1415</v>
      </c>
      <c r="H212" s="390">
        <f ca="1">OFFSET(終値履歴!$A17,0,COUNTA(終値履歴!$G17:'終値履歴'!$XFD17)+1,1,-1)</f>
        <v>1408</v>
      </c>
      <c r="I212" s="390">
        <f ca="1">OFFSET(終値履歴!$A17,0,COUNTA(終値履歴!$G17:'終値履歴'!$XFD17)+2,1,-1)</f>
        <v>1400</v>
      </c>
      <c r="J212" s="390">
        <f ca="1">OFFSET(終値履歴!$A17,0,COUNTA(終値履歴!$G17:'終値履歴'!$XFD17)+3,1,-1)</f>
        <v>1408</v>
      </c>
      <c r="K212" s="390">
        <f ca="1">OFFSET(終値履歴!$A17,0,COUNTA(終値履歴!$G17:'終値履歴'!$XFD17)+4,1,-1)</f>
        <v>1409</v>
      </c>
      <c r="L212" s="390">
        <f ca="1">OFFSET(終値履歴!$A17,0,COUNTA(終値履歴!$G17:'終値履歴'!$XFD17)+5,1,-1)</f>
        <v>1406</v>
      </c>
    </row>
    <row r="227" spans="1:12" s="389" customFormat="1" x14ac:dyDescent="0.25">
      <c r="A227" s="393" t="str">
        <f>終値履歴!B18</f>
        <v>オロ</v>
      </c>
      <c r="B227" s="390">
        <f ca="1">OFFSET(終値履歴!$A18,0,COUNTA(終値履歴!$G18:'終値履歴'!$XFD18)-5,1,-1)</f>
        <v>1642</v>
      </c>
      <c r="C227" s="390">
        <f ca="1">OFFSET(終値履歴!$A18,0,COUNTA(終値履歴!$G18:'終値履歴'!$XFD18)-4,1,-1)</f>
        <v>1660</v>
      </c>
      <c r="D227" s="390">
        <f ca="1">OFFSET(終値履歴!$A18,0,COUNTA(終値履歴!$G18:'終値履歴'!$XFD18)-3,1,-1)</f>
        <v>1669</v>
      </c>
      <c r="E227" s="390">
        <f ca="1">OFFSET(終値履歴!$A18,0,COUNTA(終値履歴!$G18:'終値履歴'!$XFD18)-2,1,-1)</f>
        <v>1684</v>
      </c>
      <c r="F227" s="390">
        <f ca="1">OFFSET(終値履歴!$A18,0,COUNTA(終値履歴!$G18:'終値履歴'!$XFD18)-1,1,-1)</f>
        <v>1670</v>
      </c>
      <c r="G227" s="390">
        <f ca="1">OFFSET(終値履歴!$A18,0,COUNTA(終値履歴!$G18:'終値履歴'!$XFD18)+0,1,-1)</f>
        <v>1643</v>
      </c>
      <c r="H227" s="390">
        <f ca="1">OFFSET(終値履歴!$A18,0,COUNTA(終値履歴!$G18:'終値履歴'!$XFD18)+1,1,-1)</f>
        <v>1657</v>
      </c>
      <c r="I227" s="390">
        <f ca="1">OFFSET(終値履歴!$A18,0,COUNTA(終値履歴!$G18:'終値履歴'!$XFD18)+2,1,-1)</f>
        <v>1764</v>
      </c>
      <c r="J227" s="390">
        <f ca="1">OFFSET(終値履歴!$A18,0,COUNTA(終値履歴!$G18:'終値履歴'!$XFD18)+3,1,-1)</f>
        <v>1777</v>
      </c>
      <c r="K227" s="390">
        <f ca="1">OFFSET(終値履歴!$A18,0,COUNTA(終値履歴!$G18:'終値履歴'!$XFD18)+4,1,-1)</f>
        <v>1799</v>
      </c>
      <c r="L227" s="390">
        <f ca="1">OFFSET(終値履歴!$A18,0,COUNTA(終値履歴!$G18:'終値履歴'!$XFD18)+5,1,-1)</f>
        <v>1791</v>
      </c>
    </row>
    <row r="242" spans="1:12" s="389" customFormat="1" x14ac:dyDescent="0.25">
      <c r="A242" s="393" t="str">
        <f>終値履歴!B19</f>
        <v>ソレイジア・ファーマ</v>
      </c>
      <c r="B242" s="390">
        <f ca="1">OFFSET(終値履歴!$A19,0,COUNTA(終値履歴!$G19:'終値履歴'!$XFD19)-5,1,-1)</f>
        <v>321</v>
      </c>
      <c r="C242" s="390">
        <f ca="1">OFFSET(終値履歴!$A19,0,COUNTA(終値履歴!$G19:'終値履歴'!$XFD19)-4,1,-1)</f>
        <v>324</v>
      </c>
      <c r="D242" s="390">
        <f ca="1">OFFSET(終値履歴!$A19,0,COUNTA(終値履歴!$G19:'終値履歴'!$XFD19)-3,1,-1)</f>
        <v>324</v>
      </c>
      <c r="E242" s="390">
        <f ca="1">OFFSET(終値履歴!$A19,0,COUNTA(終値履歴!$G19:'終値履歴'!$XFD19)-2,1,-1)</f>
        <v>329</v>
      </c>
      <c r="F242" s="390">
        <f ca="1">OFFSET(終値履歴!$A19,0,COUNTA(終値履歴!$G19:'終値履歴'!$XFD19)-1,1,-1)</f>
        <v>343</v>
      </c>
      <c r="G242" s="390">
        <f ca="1">OFFSET(終値履歴!$A19,0,COUNTA(終値履歴!$G19:'終値履歴'!$XFD19)+0,1,-1)</f>
        <v>332</v>
      </c>
      <c r="H242" s="390">
        <f ca="1">OFFSET(終値履歴!$A19,0,COUNTA(終値履歴!$G19:'終値履歴'!$XFD19)+1,1,-1)</f>
        <v>327</v>
      </c>
      <c r="I242" s="390">
        <f ca="1">OFFSET(終値履歴!$A19,0,COUNTA(終値履歴!$G19:'終値履歴'!$XFD19)+2,1,-1)</f>
        <v>334</v>
      </c>
      <c r="J242" s="390">
        <f ca="1">OFFSET(終値履歴!$A19,0,COUNTA(終値履歴!$G19:'終値履歴'!$XFD19)+3,1,-1)</f>
        <v>332</v>
      </c>
      <c r="K242" s="390">
        <f ca="1">OFFSET(終値履歴!$A19,0,COUNTA(終値履歴!$G19:'終値履歴'!$XFD19)+4,1,-1)</f>
        <v>334</v>
      </c>
      <c r="L242" s="390">
        <f ca="1">OFFSET(終値履歴!$A19,0,COUNTA(終値履歴!$G19:'終値履歴'!$XFD19)+5,1,-1)</f>
        <v>331</v>
      </c>
    </row>
    <row r="257" spans="1:12" s="389" customFormat="1" x14ac:dyDescent="0.25">
      <c r="A257" s="393" t="str">
        <f>終値履歴!B20</f>
        <v>ティーケーピー</v>
      </c>
      <c r="B257" s="390">
        <f ca="1">OFFSET(終値履歴!$A20,0,COUNTA(終値履歴!$G20:'終値履歴'!$XFD20)-5,1,-1)</f>
        <v>2332</v>
      </c>
      <c r="C257" s="390">
        <f ca="1">OFFSET(終値履歴!$A20,0,COUNTA(終値履歴!$G20:'終値履歴'!$XFD20)-4,1,-1)</f>
        <v>2436</v>
      </c>
      <c r="D257" s="390">
        <f ca="1">OFFSET(終値履歴!$A20,0,COUNTA(終値履歴!$G20:'終値履歴'!$XFD20)-3,1,-1)</f>
        <v>2407</v>
      </c>
      <c r="E257" s="390">
        <f ca="1">OFFSET(終値履歴!$A20,0,COUNTA(終値履歴!$G20:'終値履歴'!$XFD20)-2,1,-1)</f>
        <v>2392</v>
      </c>
      <c r="F257" s="390">
        <f ca="1">OFFSET(終値履歴!$A20,0,COUNTA(終値履歴!$G20:'終値履歴'!$XFD20)-1,1,-1)</f>
        <v>2451</v>
      </c>
      <c r="G257" s="390">
        <f ca="1">OFFSET(終値履歴!$A20,0,COUNTA(終値履歴!$G20:'終値履歴'!$XFD20)+0,1,-1)</f>
        <v>2507</v>
      </c>
      <c r="H257" s="390">
        <f ca="1">OFFSET(終値履歴!$A20,0,COUNTA(終値履歴!$G20:'終値履歴'!$XFD20)+1,1,-1)</f>
        <v>2480</v>
      </c>
      <c r="I257" s="390">
        <f ca="1">OFFSET(終値履歴!$A20,0,COUNTA(終値履歴!$G20:'終値履歴'!$XFD20)+2,1,-1)</f>
        <v>2381</v>
      </c>
      <c r="J257" s="390">
        <f ca="1">OFFSET(終値履歴!$A20,0,COUNTA(終値履歴!$G20:'終値履歴'!$XFD20)+3,1,-1)</f>
        <v>2459</v>
      </c>
      <c r="K257" s="390">
        <f ca="1">OFFSET(終値履歴!$A20,0,COUNTA(終値履歴!$G20:'終値履歴'!$XFD20)+4,1,-1)</f>
        <v>2478</v>
      </c>
      <c r="L257" s="390">
        <f ca="1">OFFSET(終値履歴!$A20,0,COUNTA(終値履歴!$G20:'終値履歴'!$XFD20)+5,1,-1)</f>
        <v>2451</v>
      </c>
    </row>
    <row r="272" spans="1:12" s="389" customFormat="1" x14ac:dyDescent="0.25">
      <c r="A272" s="393" t="str">
        <f>終値履歴!B21</f>
        <v>ズーム</v>
      </c>
      <c r="B272" s="390">
        <f ca="1">OFFSET(終値履歴!$A21,0,COUNTA(終値履歴!$G21:'終値履歴'!$XFD21)-5,1,-1)</f>
        <v>1865</v>
      </c>
      <c r="C272" s="390">
        <f ca="1">OFFSET(終値履歴!$A21,0,COUNTA(終値履歴!$G21:'終値履歴'!$XFD21)-4,1,-1)</f>
        <v>1910</v>
      </c>
      <c r="D272" s="390">
        <f ca="1">OFFSET(終値履歴!$A21,0,COUNTA(終値履歴!$G21:'終値履歴'!$XFD21)-3,1,-1)</f>
        <v>1934</v>
      </c>
      <c r="E272" s="390">
        <f ca="1">OFFSET(終値履歴!$A21,0,COUNTA(終値履歴!$G21:'終値履歴'!$XFD21)-2,1,-1)</f>
        <v>1922</v>
      </c>
      <c r="F272" s="390">
        <f ca="1">OFFSET(終値履歴!$A21,0,COUNTA(終値履歴!$G21:'終値履歴'!$XFD21)-1,1,-1)</f>
        <v>1980</v>
      </c>
      <c r="G272" s="390">
        <f ca="1">OFFSET(終値履歴!$A21,0,COUNTA(終値履歴!$G21:'終値履歴'!$XFD21)+0,1,-1)</f>
        <v>2030</v>
      </c>
      <c r="H272" s="390">
        <f ca="1">OFFSET(終値履歴!$A21,0,COUNTA(終値履歴!$G21:'終値履歴'!$XFD21)+1,1,-1)</f>
        <v>1971</v>
      </c>
      <c r="I272" s="390">
        <f ca="1">OFFSET(終値履歴!$A21,0,COUNTA(終値履歴!$G21:'終値履歴'!$XFD21)+2,1,-1)</f>
        <v>1913</v>
      </c>
      <c r="J272" s="390">
        <f ca="1">OFFSET(終値履歴!$A21,0,COUNTA(終値履歴!$G21:'終値履歴'!$XFD21)+3,1,-1)</f>
        <v>1949</v>
      </c>
      <c r="K272" s="390">
        <f ca="1">OFFSET(終値履歴!$A21,0,COUNTA(終値履歴!$G21:'終値履歴'!$XFD21)+4,1,-1)</f>
        <v>2006</v>
      </c>
      <c r="L272" s="390">
        <f ca="1">OFFSET(終値履歴!$A21,0,COUNTA(終値履歴!$G21:'終値履歴'!$XFD21)+5,1,-1)</f>
        <v>2024</v>
      </c>
    </row>
    <row r="287" spans="1:12" s="389" customFormat="1" x14ac:dyDescent="0.25">
      <c r="A287" s="393" t="str">
        <f>終値履歴!B22</f>
        <v>Ｎｏ．１</v>
      </c>
      <c r="B287" s="390">
        <f ca="1">OFFSET(終値履歴!$A22,0,COUNTA(終値履歴!$G22:'終値履歴'!$XFD22)-5,1,-1)</f>
        <v>2012</v>
      </c>
      <c r="C287" s="390">
        <f ca="1">OFFSET(終値履歴!$A22,0,COUNTA(終値履歴!$G22:'終値履歴'!$XFD22)-4,1,-1)</f>
        <v>1998</v>
      </c>
      <c r="D287" s="390">
        <f ca="1">OFFSET(終値履歴!$A22,0,COUNTA(終値履歴!$G22:'終値履歴'!$XFD22)-3,1,-1)</f>
        <v>1990</v>
      </c>
      <c r="E287" s="390">
        <f ca="1">OFFSET(終値履歴!$A22,0,COUNTA(終値履歴!$G22:'終値履歴'!$XFD22)-2,1,-1)</f>
        <v>1996</v>
      </c>
      <c r="F287" s="390">
        <f ca="1">OFFSET(終値履歴!$A22,0,COUNTA(終値履歴!$G22:'終値履歴'!$XFD22)-1,1,-1)</f>
        <v>1988</v>
      </c>
      <c r="G287" s="390">
        <f ca="1">OFFSET(終値履歴!$A22,0,COUNTA(終値履歴!$G22:'終値履歴'!$XFD22)+0,1,-1)</f>
        <v>2016</v>
      </c>
      <c r="H287" s="390">
        <f ca="1">OFFSET(終値履歴!$A22,0,COUNTA(終値履歴!$G22:'終値履歴'!$XFD22)+1,1,-1)</f>
        <v>2270</v>
      </c>
      <c r="I287" s="390">
        <f ca="1">OFFSET(終値履歴!$A22,0,COUNTA(終値履歴!$G22:'終値履歴'!$XFD22)+2,1,-1)</f>
        <v>2101</v>
      </c>
      <c r="J287" s="390">
        <f ca="1">OFFSET(終値履歴!$A22,0,COUNTA(終値履歴!$G22:'終値履歴'!$XFD22)+3,1,-1)</f>
        <v>2195</v>
      </c>
      <c r="K287" s="390">
        <f ca="1">OFFSET(終値履歴!$A22,0,COUNTA(終値履歴!$G22:'終値履歴'!$XFD22)+4,1,-1)</f>
        <v>2245</v>
      </c>
      <c r="L287" s="390">
        <f ca="1">OFFSET(終値履歴!$A22,0,COUNTA(終値履歴!$G22:'終値履歴'!$XFD22)+5,1,-1)</f>
        <v>2217</v>
      </c>
    </row>
    <row r="302" spans="1:12" s="389" customFormat="1" x14ac:dyDescent="0.25">
      <c r="A302" s="393" t="str">
        <f>終値履歴!B23</f>
        <v>オークネット</v>
      </c>
      <c r="B302" s="390">
        <f ca="1">OFFSET(終値履歴!$A23,0,COUNTA(終値履歴!$G23:'終値履歴'!$XFD23)-5,1,-1)</f>
        <v>1429</v>
      </c>
      <c r="C302" s="390">
        <f ca="1">OFFSET(終値履歴!$A23,0,COUNTA(終値履歴!$G23:'終値履歴'!$XFD23)-4,1,-1)</f>
        <v>1433</v>
      </c>
      <c r="D302" s="390">
        <f ca="1">OFFSET(終値履歴!$A23,0,COUNTA(終値履歴!$G23:'終値履歴'!$XFD23)-3,1,-1)</f>
        <v>1438</v>
      </c>
      <c r="E302" s="390">
        <f ca="1">OFFSET(終値履歴!$A23,0,COUNTA(終値履歴!$G23:'終値履歴'!$XFD23)-2,1,-1)</f>
        <v>1426</v>
      </c>
      <c r="F302" s="390">
        <f ca="1">OFFSET(終値履歴!$A23,0,COUNTA(終値履歴!$G23:'終値履歴'!$XFD23)-1,1,-1)</f>
        <v>1431</v>
      </c>
      <c r="G302" s="390">
        <f ca="1">OFFSET(終値履歴!$A23,0,COUNTA(終値履歴!$G23:'終値履歴'!$XFD23)+0,1,-1)</f>
        <v>1450</v>
      </c>
      <c r="H302" s="390">
        <f ca="1">OFFSET(終値履歴!$A23,0,COUNTA(終値履歴!$G23:'終値履歴'!$XFD23)+1,1,-1)</f>
        <v>1446</v>
      </c>
      <c r="I302" s="390">
        <f ca="1">OFFSET(終値履歴!$A23,0,COUNTA(終値履歴!$G23:'終値履歴'!$XFD23)+2,1,-1)</f>
        <v>1431</v>
      </c>
      <c r="J302" s="390">
        <f ca="1">OFFSET(終値履歴!$A23,0,COUNTA(終値履歴!$G23:'終値履歴'!$XFD23)+3,1,-1)</f>
        <v>1432</v>
      </c>
      <c r="K302" s="390">
        <f ca="1">OFFSET(終値履歴!$A23,0,COUNTA(終値履歴!$G23:'終値履歴'!$XFD23)+4,1,-1)</f>
        <v>1451</v>
      </c>
      <c r="L302" s="390">
        <f ca="1">OFFSET(終値履歴!$A23,0,COUNTA(終値履歴!$G23:'終値履歴'!$XFD23)+5,1,-1)</f>
        <v>1426</v>
      </c>
    </row>
    <row r="317" spans="1:12" s="389" customFormat="1" x14ac:dyDescent="0.25">
      <c r="A317" s="393" t="str">
        <f>終値履歴!B24</f>
        <v>スシローグローバルHD</v>
      </c>
      <c r="B317" s="390">
        <f ca="1">OFFSET(終値履歴!$A24,0,COUNTA(終値履歴!$G24:'終値履歴'!$XFD24)-5,1,-1)</f>
        <v>3430</v>
      </c>
      <c r="C317" s="390">
        <f ca="1">OFFSET(終値履歴!$A24,0,COUNTA(終値履歴!$G24:'終値履歴'!$XFD24)-4,1,-1)</f>
        <v>3425</v>
      </c>
      <c r="D317" s="390">
        <f ca="1">OFFSET(終値履歴!$A24,0,COUNTA(終値履歴!$G24:'終値履歴'!$XFD24)-3,1,-1)</f>
        <v>3470</v>
      </c>
      <c r="E317" s="390">
        <f ca="1">OFFSET(終値履歴!$A24,0,COUNTA(終値履歴!$G24:'終値履歴'!$XFD24)-2,1,-1)</f>
        <v>3610</v>
      </c>
      <c r="F317" s="390">
        <f ca="1">OFFSET(終値履歴!$A24,0,COUNTA(終値履歴!$G24:'終値履歴'!$XFD24)-1,1,-1)</f>
        <v>3630</v>
      </c>
      <c r="G317" s="390">
        <f ca="1">OFFSET(終値履歴!$A24,0,COUNTA(終値履歴!$G24:'終値履歴'!$XFD24)+0,1,-1)</f>
        <v>3640</v>
      </c>
      <c r="H317" s="390">
        <f ca="1">OFFSET(終値履歴!$A24,0,COUNTA(終値履歴!$G24:'終値履歴'!$XFD24)+1,1,-1)</f>
        <v>3640</v>
      </c>
      <c r="I317" s="390">
        <f ca="1">OFFSET(終値履歴!$A24,0,COUNTA(終値履歴!$G24:'終値履歴'!$XFD24)+2,1,-1)</f>
        <v>3630</v>
      </c>
      <c r="J317" s="390">
        <f ca="1">OFFSET(終値履歴!$A24,0,COUNTA(終値履歴!$G24:'終値履歴'!$XFD24)+3,1,-1)</f>
        <v>3570</v>
      </c>
      <c r="K317" s="390">
        <f ca="1">OFFSET(終値履歴!$A24,0,COUNTA(終値履歴!$G24:'終値履歴'!$XFD24)+4,1,-1)</f>
        <v>3605</v>
      </c>
      <c r="L317" s="390">
        <f ca="1">OFFSET(終値履歴!$A24,0,COUNTA(終値履歴!$G24:'終値履歴'!$XFD24)+5,1,-1)</f>
        <v>3625</v>
      </c>
    </row>
    <row r="332" spans="1:12" s="389" customFormat="1" x14ac:dyDescent="0.25">
      <c r="A332" s="393" t="str">
        <f>終値履歴!B25</f>
        <v>ユーザーローカル</v>
      </c>
      <c r="B332" s="390">
        <f ca="1">OFFSET(終値履歴!$A25,0,COUNTA(終値履歴!$G25:'終値履歴'!$XFD25)-5,1,-1)</f>
        <v>6940</v>
      </c>
      <c r="C332" s="390">
        <f ca="1">OFFSET(終値履歴!$A25,0,COUNTA(終値履歴!$G25:'終値履歴'!$XFD25)-4,1,-1)</f>
        <v>6870</v>
      </c>
      <c r="D332" s="390">
        <f ca="1">OFFSET(終値履歴!$A25,0,COUNTA(終値履歴!$G25:'終値履歴'!$XFD25)-3,1,-1)</f>
        <v>6690</v>
      </c>
      <c r="E332" s="390">
        <f ca="1">OFFSET(終値履歴!$A25,0,COUNTA(終値履歴!$G25:'終値履歴'!$XFD25)-2,1,-1)</f>
        <v>6390</v>
      </c>
      <c r="F332" s="390">
        <f ca="1">OFFSET(終値履歴!$A25,0,COUNTA(終値履歴!$G25:'終値履歴'!$XFD25)-1,1,-1)</f>
        <v>6520</v>
      </c>
      <c r="G332" s="390">
        <f ca="1">OFFSET(終値履歴!$A25,0,COUNTA(終値履歴!$G25:'終値履歴'!$XFD25)+0,1,-1)</f>
        <v>6470</v>
      </c>
      <c r="H332" s="390">
        <f ca="1">OFFSET(終値履歴!$A25,0,COUNTA(終値履歴!$G25:'終値履歴'!$XFD25)+1,1,-1)</f>
        <v>6270</v>
      </c>
      <c r="I332" s="390">
        <f ca="1">OFFSET(終値履歴!$A25,0,COUNTA(終値履歴!$G25:'終値履歴'!$XFD25)+2,1,-1)</f>
        <v>6380</v>
      </c>
      <c r="J332" s="390">
        <f ca="1">OFFSET(終値履歴!$A25,0,COUNTA(終値履歴!$G25:'終値履歴'!$XFD25)+3,1,-1)</f>
        <v>6160</v>
      </c>
      <c r="K332" s="390">
        <f ca="1">OFFSET(終値履歴!$A25,0,COUNTA(終値履歴!$G25:'終値履歴'!$XFD25)+4,1,-1)</f>
        <v>6270</v>
      </c>
      <c r="L332" s="390">
        <f ca="1">OFFSET(終値履歴!$A25,0,COUNTA(終値履歴!$G25:'終値履歴'!$XFD25)+5,1,-1)</f>
        <v>6280</v>
      </c>
    </row>
    <row r="347" spans="1:12" s="389" customFormat="1" x14ac:dyDescent="0.25">
      <c r="A347" s="393" t="str">
        <f>終値履歴!B26</f>
        <v>ネットマーケティング</v>
      </c>
      <c r="B347" s="390">
        <f ca="1">OFFSET(終値履歴!$A26,0,COUNTA(終値履歴!$G26:'終値履歴'!$XFD26)-5,1,-1)</f>
        <v>1356</v>
      </c>
      <c r="C347" s="390">
        <f ca="1">OFFSET(終値履歴!$A26,0,COUNTA(終値履歴!$G26:'終値履歴'!$XFD26)-4,1,-1)</f>
        <v>1371</v>
      </c>
      <c r="D347" s="390">
        <f ca="1">OFFSET(終値履歴!$A26,0,COUNTA(終値履歴!$G26:'終値履歴'!$XFD26)-3,1,-1)</f>
        <v>1399</v>
      </c>
      <c r="E347" s="390">
        <f ca="1">OFFSET(終値履歴!$A26,0,COUNTA(終値履歴!$G26:'終値履歴'!$XFD26)-2,1,-1)</f>
        <v>1431</v>
      </c>
      <c r="F347" s="390">
        <f ca="1">OFFSET(終値履歴!$A26,0,COUNTA(終値履歴!$G26:'終値履歴'!$XFD26)-1,1,-1)</f>
        <v>1458</v>
      </c>
      <c r="G347" s="390">
        <f ca="1">OFFSET(終値履歴!$A26,0,COUNTA(終値履歴!$G26:'終値履歴'!$XFD26)+0,1,-1)</f>
        <v>1449</v>
      </c>
      <c r="H347" s="390">
        <f ca="1">OFFSET(終値履歴!$A26,0,COUNTA(終値履歴!$G26:'終値履歴'!$XFD26)+1,1,-1)</f>
        <v>1420</v>
      </c>
      <c r="I347" s="390">
        <f ca="1">OFFSET(終値履歴!$A26,0,COUNTA(終値履歴!$G26:'終値履歴'!$XFD26)+2,1,-1)</f>
        <v>1379</v>
      </c>
      <c r="J347" s="390">
        <f ca="1">OFFSET(終値履歴!$A26,0,COUNTA(終値履歴!$G26:'終値履歴'!$XFD26)+3,1,-1)</f>
        <v>1381</v>
      </c>
      <c r="K347" s="390">
        <f ca="1">OFFSET(終値履歴!$A26,0,COUNTA(終値履歴!$G26:'終値履歴'!$XFD26)+4,1,-1)</f>
        <v>1406</v>
      </c>
      <c r="L347" s="390">
        <f ca="1">OFFSET(終値履歴!$A26,0,COUNTA(終値履歴!$G26:'終値履歴'!$XFD26)+5,1,-1)</f>
        <v>1405</v>
      </c>
    </row>
    <row r="362" spans="1:12" s="389" customFormat="1" x14ac:dyDescent="0.25">
      <c r="A362" s="393" t="str">
        <f>終値履歴!B27</f>
        <v>テモナ</v>
      </c>
      <c r="B362" s="390">
        <f ca="1">OFFSET(終値履歴!$A27,0,COUNTA(終値履歴!$G27:'終値履歴'!$XFD27)-5,1,-1)</f>
        <v>5650</v>
      </c>
      <c r="C362" s="390">
        <f ca="1">OFFSET(終値履歴!$A27,0,COUNTA(終値履歴!$G27:'終値履歴'!$XFD27)-4,1,-1)</f>
        <v>5760</v>
      </c>
      <c r="D362" s="390">
        <f ca="1">OFFSET(終値履歴!$A27,0,COUNTA(終値履歴!$G27:'終値履歴'!$XFD27)-3,1,-1)</f>
        <v>5780</v>
      </c>
      <c r="E362" s="390">
        <f ca="1">OFFSET(終値履歴!$A27,0,COUNTA(終値履歴!$G27:'終値履歴'!$XFD27)-2,1,-1)</f>
        <v>5900</v>
      </c>
      <c r="F362" s="390">
        <f ca="1">OFFSET(終値履歴!$A27,0,COUNTA(終値履歴!$G27:'終値履歴'!$XFD27)-1,1,-1)</f>
        <v>5840</v>
      </c>
      <c r="G362" s="390">
        <f ca="1">OFFSET(終値履歴!$A27,0,COUNTA(終値履歴!$G27:'終値履歴'!$XFD27)+0,1,-1)</f>
        <v>5900</v>
      </c>
      <c r="H362" s="390">
        <f ca="1">OFFSET(終値履歴!$A27,0,COUNTA(終値履歴!$G27:'終値履歴'!$XFD27)+1,1,-1)</f>
        <v>5850</v>
      </c>
      <c r="I362" s="390">
        <f ca="1">OFFSET(終値履歴!$A27,0,COUNTA(終値履歴!$G27:'終値履歴'!$XFD27)+2,1,-1)</f>
        <v>5850</v>
      </c>
      <c r="J362" s="390">
        <f ca="1">OFFSET(終値履歴!$A27,0,COUNTA(終値履歴!$G27:'終値履歴'!$XFD27)+3,1,-1)</f>
        <v>5690</v>
      </c>
      <c r="K362" s="390">
        <f ca="1">OFFSET(終値履歴!$A27,0,COUNTA(終値履歴!$G27:'終値履歴'!$XFD27)+4,1,-1)</f>
        <v>5570</v>
      </c>
      <c r="L362" s="390">
        <f ca="1">OFFSET(終値履歴!$A27,0,COUNTA(終値履歴!$G27:'終値履歴'!$XFD27)+5,1,-1)</f>
        <v>5530</v>
      </c>
    </row>
    <row r="377" spans="1:12" s="389" customFormat="1" x14ac:dyDescent="0.25">
      <c r="A377" s="393" t="str">
        <f>終値履歴!B28</f>
        <v>ウェーブロックHD</v>
      </c>
      <c r="B377" s="390">
        <f ca="1">OFFSET(終値履歴!$A28,0,COUNTA(終値履歴!$G28:'終値履歴'!$XFD28)-5,1,-1)</f>
        <v>1386</v>
      </c>
      <c r="C377" s="390">
        <f ca="1">OFFSET(終値履歴!$A28,0,COUNTA(終値履歴!$G28:'終値履歴'!$XFD28)-4,1,-1)</f>
        <v>1406</v>
      </c>
      <c r="D377" s="390">
        <f ca="1">OFFSET(終値履歴!$A28,0,COUNTA(終値履歴!$G28:'終値履歴'!$XFD28)-3,1,-1)</f>
        <v>1407</v>
      </c>
      <c r="E377" s="390">
        <f ca="1">OFFSET(終値履歴!$A28,0,COUNTA(終値履歴!$G28:'終値履歴'!$XFD28)-2,1,-1)</f>
        <v>1391</v>
      </c>
      <c r="F377" s="390">
        <f ca="1">OFFSET(終値履歴!$A28,0,COUNTA(終値履歴!$G28:'終値履歴'!$XFD28)-1,1,-1)</f>
        <v>1398</v>
      </c>
      <c r="G377" s="390">
        <f ca="1">OFFSET(終値履歴!$A28,0,COUNTA(終値履歴!$G28:'終値履歴'!$XFD28)+0,1,-1)</f>
        <v>1397</v>
      </c>
      <c r="H377" s="390">
        <f ca="1">OFFSET(終値履歴!$A28,0,COUNTA(終値履歴!$G28:'終値履歴'!$XFD28)+1,1,-1)</f>
        <v>1379</v>
      </c>
      <c r="I377" s="390">
        <f ca="1">OFFSET(終値履歴!$A28,0,COUNTA(終値履歴!$G28:'終値履歴'!$XFD28)+2,1,-1)</f>
        <v>1339</v>
      </c>
      <c r="J377" s="390">
        <f ca="1">OFFSET(終値履歴!$A28,0,COUNTA(終値履歴!$G28:'終値履歴'!$XFD28)+3,1,-1)</f>
        <v>1360</v>
      </c>
      <c r="K377" s="390">
        <f ca="1">OFFSET(終値履歴!$A28,0,COUNTA(終値履歴!$G28:'終値履歴'!$XFD28)+4,1,-1)</f>
        <v>1369</v>
      </c>
      <c r="L377" s="390">
        <f ca="1">OFFSET(終値履歴!$A28,0,COUNTA(終値履歴!$G28:'終値履歴'!$XFD28)+5,1,-1)</f>
        <v>1355</v>
      </c>
    </row>
    <row r="392" spans="1:12" s="389" customFormat="1" x14ac:dyDescent="0.25">
      <c r="A392" s="393" t="str">
        <f>終値履歴!B29</f>
        <v>LIXILビバ</v>
      </c>
      <c r="B392" s="390">
        <f ca="1">OFFSET(終値履歴!$A29,0,COUNTA(終値履歴!$G29:'終値履歴'!$XFD29)-5,1,-1)</f>
        <v>1876</v>
      </c>
      <c r="C392" s="390">
        <f ca="1">OFFSET(終値履歴!$A29,0,COUNTA(終値履歴!$G29:'終値履歴'!$XFD29)-4,1,-1)</f>
        <v>1871</v>
      </c>
      <c r="D392" s="390">
        <f ca="1">OFFSET(終値履歴!$A29,0,COUNTA(終値履歴!$G29:'終値履歴'!$XFD29)-3,1,-1)</f>
        <v>1874</v>
      </c>
      <c r="E392" s="390">
        <f ca="1">OFFSET(終値履歴!$A29,0,COUNTA(終値履歴!$G29:'終値履歴'!$XFD29)-2,1,-1)</f>
        <v>1874</v>
      </c>
      <c r="F392" s="390">
        <f ca="1">OFFSET(終値履歴!$A29,0,COUNTA(終値履歴!$G29:'終値履歴'!$XFD29)-1,1,-1)</f>
        <v>1915</v>
      </c>
      <c r="G392" s="390">
        <f ca="1">OFFSET(終値履歴!$A29,0,COUNTA(終値履歴!$G29:'終値履歴'!$XFD29)+0,1,-1)</f>
        <v>1895</v>
      </c>
      <c r="H392" s="390">
        <f ca="1">OFFSET(終値履歴!$A29,0,COUNTA(終値履歴!$G29:'終値履歴'!$XFD29)+1,1,-1)</f>
        <v>1867</v>
      </c>
      <c r="I392" s="390">
        <f ca="1">OFFSET(終値履歴!$A29,0,COUNTA(終値履歴!$G29:'終値履歴'!$XFD29)+2,1,-1)</f>
        <v>1850</v>
      </c>
      <c r="J392" s="390">
        <f ca="1">OFFSET(終値履歴!$A29,0,COUNTA(終値履歴!$G29:'終値履歴'!$XFD29)+3,1,-1)</f>
        <v>1850</v>
      </c>
      <c r="K392" s="390">
        <f ca="1">OFFSET(終値履歴!$A29,0,COUNTA(終値履歴!$G29:'終値履歴'!$XFD29)+4,1,-1)</f>
        <v>1832</v>
      </c>
      <c r="L392" s="390">
        <f ca="1">OFFSET(終値履歴!$A29,0,COUNTA(終値履歴!$G29:'終値履歴'!$XFD29)+5,1,-1)</f>
        <v>1831</v>
      </c>
    </row>
    <row r="407" spans="1:12" s="389" customFormat="1" x14ac:dyDescent="0.25">
      <c r="A407" s="393" t="str">
        <f>終値履歴!B30</f>
        <v>旅工房</v>
      </c>
      <c r="B407" s="390">
        <f ca="1">OFFSET(終値履歴!$A30,0,COUNTA(終値履歴!$G30:'終値履歴'!$XFD30)-5,1,-1)</f>
        <v>2444</v>
      </c>
      <c r="C407" s="390">
        <f ca="1">OFFSET(終値履歴!$A30,0,COUNTA(終値履歴!$G30:'終値履歴'!$XFD30)-4,1,-1)</f>
        <v>1270</v>
      </c>
      <c r="D407" s="390">
        <f ca="1">OFFSET(終値履歴!$A30,0,COUNTA(終値履歴!$G30:'終値履歴'!$XFD30)-3,1,-1)</f>
        <v>1275</v>
      </c>
      <c r="E407" s="390">
        <f ca="1">OFFSET(終値履歴!$A30,0,COUNTA(終値履歴!$G30:'終値履歴'!$XFD30)-2,1,-1)</f>
        <v>1295</v>
      </c>
      <c r="F407" s="390">
        <f ca="1">OFFSET(終値履歴!$A30,0,COUNTA(終値履歴!$G30:'終値履歴'!$XFD30)-1,1,-1)</f>
        <v>1346</v>
      </c>
      <c r="G407" s="390">
        <f ca="1">OFFSET(終値履歴!$A30,0,COUNTA(終値履歴!$G30:'終値履歴'!$XFD30)+0,1,-1)</f>
        <v>1380</v>
      </c>
      <c r="H407" s="390">
        <f ca="1">OFFSET(終値履歴!$A30,0,COUNTA(終値履歴!$G30:'終値履歴'!$XFD30)+1,1,-1)</f>
        <v>1477</v>
      </c>
      <c r="I407" s="390">
        <f ca="1">OFFSET(終値履歴!$A30,0,COUNTA(終値履歴!$G30:'終値履歴'!$XFD30)+2,1,-1)</f>
        <v>1422</v>
      </c>
      <c r="J407" s="390">
        <f ca="1">OFFSET(終値履歴!$A30,0,COUNTA(終値履歴!$G30:'終値履歴'!$XFD30)+3,1,-1)</f>
        <v>1363</v>
      </c>
      <c r="K407" s="390">
        <f ca="1">OFFSET(終値履歴!$A30,0,COUNTA(終値履歴!$G30:'終値履歴'!$XFD30)+4,1,-1)</f>
        <v>1329</v>
      </c>
      <c r="L407" s="390">
        <f ca="1">OFFSET(終値履歴!$A30,0,COUNTA(終値履歴!$G30:'終値履歴'!$XFD30)+5,1,-1)</f>
        <v>1295</v>
      </c>
    </row>
    <row r="422" spans="1:12" s="389" customFormat="1" x14ac:dyDescent="0.25">
      <c r="A422" s="393" t="str">
        <f>終値履歴!B31</f>
        <v>アセンテック</v>
      </c>
      <c r="B422" s="390">
        <f ca="1">OFFSET(終値履歴!$A31,0,COUNTA(終値履歴!$G31:'終値履歴'!$XFD31)-5,1,-1)</f>
        <v>4260</v>
      </c>
      <c r="C422" s="390">
        <f ca="1">OFFSET(終値履歴!$A31,0,COUNTA(終値履歴!$G31:'終値履歴'!$XFD31)-4,1,-1)</f>
        <v>4550</v>
      </c>
      <c r="D422" s="390">
        <f ca="1">OFFSET(終値履歴!$A31,0,COUNTA(終値履歴!$G31:'終値履歴'!$XFD31)-3,1,-1)</f>
        <v>4545</v>
      </c>
      <c r="E422" s="390">
        <f ca="1">OFFSET(終値履歴!$A31,0,COUNTA(終値履歴!$G31:'終値履歴'!$XFD31)-2,1,-1)</f>
        <v>4440</v>
      </c>
      <c r="F422" s="390">
        <f ca="1">OFFSET(終値履歴!$A31,0,COUNTA(終値履歴!$G31:'終値履歴'!$XFD31)-1,1,-1)</f>
        <v>4350</v>
      </c>
      <c r="G422" s="390">
        <f ca="1">OFFSET(終値履歴!$A31,0,COUNTA(終値履歴!$G31:'終値履歴'!$XFD31)+0,1,-1)</f>
        <v>4325</v>
      </c>
      <c r="H422" s="390">
        <f ca="1">OFFSET(終値履歴!$A31,0,COUNTA(終値履歴!$G31:'終値履歴'!$XFD31)+1,1,-1)</f>
        <v>4090</v>
      </c>
      <c r="I422" s="390">
        <f ca="1">OFFSET(終値履歴!$A31,0,COUNTA(終値履歴!$G31:'終値履歴'!$XFD31)+2,1,-1)</f>
        <v>3985</v>
      </c>
      <c r="J422" s="390">
        <f ca="1">OFFSET(終値履歴!$A31,0,COUNTA(終値履歴!$G31:'終値履歴'!$XFD31)+3,1,-1)</f>
        <v>4065</v>
      </c>
      <c r="K422" s="390">
        <f ca="1">OFFSET(終値履歴!$A31,0,COUNTA(終値履歴!$G31:'終値履歴'!$XFD31)+4,1,-1)</f>
        <v>4135</v>
      </c>
      <c r="L422" s="390">
        <f ca="1">OFFSET(終値履歴!$A31,0,COUNTA(終値履歴!$G31:'終値履歴'!$XFD31)+5,1,-1)</f>
        <v>4070</v>
      </c>
    </row>
    <row r="437" spans="1:12" s="389" customFormat="1" x14ac:dyDescent="0.25">
      <c r="A437" s="393" t="str">
        <f>終値履歴!B32</f>
        <v>アエリア</v>
      </c>
      <c r="B437" s="390">
        <f ca="1">OFFSET(終値履歴!$A32,0,COUNTA(終値履歴!$G32:'終値履歴'!$XFD32)-5,1,-1)</f>
        <v>2097</v>
      </c>
      <c r="C437" s="390">
        <f ca="1">OFFSET(終値履歴!$A32,0,COUNTA(終値履歴!$G32:'終値履歴'!$XFD32)-4,1,-1)</f>
        <v>2081</v>
      </c>
      <c r="D437" s="390">
        <f ca="1">OFFSET(終値履歴!$A32,0,COUNTA(終値履歴!$G32:'終値履歴'!$XFD32)-3,1,-1)</f>
        <v>2108</v>
      </c>
      <c r="E437" s="390">
        <f ca="1">OFFSET(終値履歴!$A32,0,COUNTA(終値履歴!$G32:'終値履歴'!$XFD32)-2,1,-1)</f>
        <v>2081</v>
      </c>
      <c r="F437" s="390">
        <f ca="1">OFFSET(終値履歴!$A32,0,COUNTA(終値履歴!$G32:'終値履歴'!$XFD32)-1,1,-1)</f>
        <v>2111</v>
      </c>
      <c r="G437" s="390">
        <f ca="1">OFFSET(終値履歴!$A32,0,COUNTA(終値履歴!$G32:'終値履歴'!$XFD32)+0,1,-1)</f>
        <v>2098</v>
      </c>
      <c r="H437" s="390">
        <f ca="1">OFFSET(終値履歴!$A32,0,COUNTA(終値履歴!$G32:'終値履歴'!$XFD32)+1,1,-1)</f>
        <v>2070</v>
      </c>
      <c r="I437" s="390">
        <f ca="1">OFFSET(終値履歴!$A32,0,COUNTA(終値履歴!$G32:'終値履歴'!$XFD32)+2,1,-1)</f>
        <v>2001</v>
      </c>
      <c r="J437" s="390">
        <f ca="1">OFFSET(終値履歴!$A32,0,COUNTA(終値履歴!$G32:'終値履歴'!$XFD32)+3,1,-1)</f>
        <v>2078</v>
      </c>
      <c r="K437" s="390">
        <f ca="1">OFFSET(終値履歴!$A32,0,COUNTA(終値履歴!$G32:'終値履歴'!$XFD32)+4,1,-1)</f>
        <v>1970</v>
      </c>
      <c r="L437" s="390">
        <f ca="1">OFFSET(終値履歴!$A32,0,COUNTA(終値履歴!$G32:'終値履歴'!$XFD32)+5,1,-1)</f>
        <v>2000</v>
      </c>
    </row>
    <row r="452" spans="1:12" s="389" customFormat="1" x14ac:dyDescent="0.25">
      <c r="A452" s="393" t="str">
        <f>終値履歴!B33</f>
        <v>アカツキ</v>
      </c>
      <c r="B452" s="390">
        <f ca="1">OFFSET(終値履歴!$A33,0,COUNTA(終値履歴!$G33:'終値履歴'!$XFD33)-5,1,-1)</f>
        <v>9310</v>
      </c>
      <c r="C452" s="390">
        <f ca="1">OFFSET(終値履歴!$A33,0,COUNTA(終値履歴!$G33:'終値履歴'!$XFD33)-4,1,-1)</f>
        <v>9240</v>
      </c>
      <c r="D452" s="390">
        <f ca="1">OFFSET(終値履歴!$A33,0,COUNTA(終値履歴!$G33:'終値履歴'!$XFD33)-3,1,-1)</f>
        <v>9010</v>
      </c>
      <c r="E452" s="390">
        <f ca="1">OFFSET(終値履歴!$A33,0,COUNTA(終値履歴!$G33:'終値履歴'!$XFD33)-2,1,-1)</f>
        <v>8800</v>
      </c>
      <c r="F452" s="390">
        <f ca="1">OFFSET(終値履歴!$A33,0,COUNTA(終値履歴!$G33:'終値履歴'!$XFD33)-1,1,-1)</f>
        <v>8970</v>
      </c>
      <c r="G452" s="390">
        <f ca="1">OFFSET(終値履歴!$A33,0,COUNTA(終値履歴!$G33:'終値履歴'!$XFD33)+0,1,-1)</f>
        <v>8670</v>
      </c>
      <c r="H452" s="390">
        <f ca="1">OFFSET(終値履歴!$A33,0,COUNTA(終値履歴!$G33:'終値履歴'!$XFD33)+1,1,-1)</f>
        <v>8580</v>
      </c>
      <c r="I452" s="390">
        <f ca="1">OFFSET(終値履歴!$A33,0,COUNTA(終値履歴!$G33:'終値履歴'!$XFD33)+2,1,-1)</f>
        <v>7990</v>
      </c>
      <c r="J452" s="390">
        <f ca="1">OFFSET(終値履歴!$A33,0,COUNTA(終値履歴!$G33:'終値履歴'!$XFD33)+3,1,-1)</f>
        <v>8080</v>
      </c>
      <c r="K452" s="390">
        <f ca="1">OFFSET(終値履歴!$A33,0,COUNTA(終値履歴!$G33:'終値履歴'!$XFD33)+4,1,-1)</f>
        <v>8470</v>
      </c>
      <c r="L452" s="390">
        <f ca="1">OFFSET(終値履歴!$A33,0,COUNTA(終値履歴!$G33:'終値履歴'!$XFD33)+5,1,-1)</f>
        <v>8500</v>
      </c>
    </row>
    <row r="467" spans="1:12" s="389" customFormat="1" x14ac:dyDescent="0.25">
      <c r="A467" s="393" t="str">
        <f>終値履歴!B34</f>
        <v>メイコー</v>
      </c>
      <c r="B467" s="390">
        <f ca="1">OFFSET(終値履歴!$A34,0,COUNTA(終値履歴!$G34:'終値履歴'!$XFD34)-5,1,-1)</f>
        <v>1990</v>
      </c>
      <c r="C467" s="390">
        <f ca="1">OFFSET(終値履歴!$A34,0,COUNTA(終値履歴!$G34:'終値履歴'!$XFD34)-4,1,-1)</f>
        <v>2069</v>
      </c>
      <c r="D467" s="390">
        <f ca="1">OFFSET(終値履歴!$A34,0,COUNTA(終値履歴!$G34:'終値履歴'!$XFD34)-3,1,-1)</f>
        <v>2148</v>
      </c>
      <c r="E467" s="390">
        <f ca="1">OFFSET(終値履歴!$A34,0,COUNTA(終値履歴!$G34:'終値履歴'!$XFD34)-2,1,-1)</f>
        <v>2107</v>
      </c>
      <c r="F467" s="390">
        <f ca="1">OFFSET(終値履歴!$A34,0,COUNTA(終値履歴!$G34:'終値履歴'!$XFD34)-1,1,-1)</f>
        <v>2140</v>
      </c>
      <c r="G467" s="390">
        <f ca="1">OFFSET(終値履歴!$A34,0,COUNTA(終値履歴!$G34:'終値履歴'!$XFD34)+0,1,-1)</f>
        <v>2154</v>
      </c>
      <c r="H467" s="390">
        <f ca="1">OFFSET(終値履歴!$A34,0,COUNTA(終値履歴!$G34:'終値履歴'!$XFD34)+1,1,-1)</f>
        <v>2060</v>
      </c>
      <c r="I467" s="390">
        <f ca="1">OFFSET(終値履歴!$A34,0,COUNTA(終値履歴!$G34:'終値履歴'!$XFD34)+2,1,-1)</f>
        <v>2016</v>
      </c>
      <c r="J467" s="390">
        <f ca="1">OFFSET(終値履歴!$A34,0,COUNTA(終値履歴!$G34:'終値履歴'!$XFD34)+3,1,-1)</f>
        <v>2021</v>
      </c>
      <c r="K467" s="390">
        <f ca="1">OFFSET(終値履歴!$A34,0,COUNTA(終値履歴!$G34:'終値履歴'!$XFD34)+4,1,-1)</f>
        <v>2031</v>
      </c>
      <c r="L467" s="390">
        <f ca="1">OFFSET(終値履歴!$A34,0,COUNTA(終値履歴!$G34:'終値履歴'!$XFD34)+5,1,-1)</f>
        <v>1975</v>
      </c>
    </row>
    <row r="482" spans="1:12" s="389" customFormat="1" x14ac:dyDescent="0.25">
      <c r="A482" s="393" t="str">
        <f>終値履歴!B35</f>
        <v>クルーズ</v>
      </c>
      <c r="B482" s="390">
        <f ca="1">OFFSET(終値履歴!$A35,0,COUNTA(終値履歴!$G35:'終値履歴'!$XFD35)-5,1,-1)</f>
        <v>2319</v>
      </c>
      <c r="C482" s="390">
        <f ca="1">OFFSET(終値履歴!$A35,0,COUNTA(終値履歴!$G35:'終値履歴'!$XFD35)-4,1,-1)</f>
        <v>2387</v>
      </c>
      <c r="D482" s="390">
        <f ca="1">OFFSET(終値履歴!$A35,0,COUNTA(終値履歴!$G35:'終値履歴'!$XFD35)-3,1,-1)</f>
        <v>2375</v>
      </c>
      <c r="E482" s="390">
        <f ca="1">OFFSET(終値履歴!$A35,0,COUNTA(終値履歴!$G35:'終値履歴'!$XFD35)-2,1,-1)</f>
        <v>2360</v>
      </c>
      <c r="F482" s="390">
        <f ca="1">OFFSET(終値履歴!$A35,0,COUNTA(終値履歴!$G35:'終値履歴'!$XFD35)-1,1,-1)</f>
        <v>2377</v>
      </c>
      <c r="G482" s="390">
        <f ca="1">OFFSET(終値履歴!$A35,0,COUNTA(終値履歴!$G35:'終値履歴'!$XFD35)+0,1,-1)</f>
        <v>2404</v>
      </c>
      <c r="H482" s="390">
        <f ca="1">OFFSET(終値履歴!$A35,0,COUNTA(終値履歴!$G35:'終値履歴'!$XFD35)+1,1,-1)</f>
        <v>2416</v>
      </c>
      <c r="I482" s="390">
        <f ca="1">OFFSET(終値履歴!$A35,0,COUNTA(終値履歴!$G35:'終値履歴'!$XFD35)+2,1,-1)</f>
        <v>2323</v>
      </c>
      <c r="J482" s="390">
        <f ca="1">OFFSET(終値履歴!$A35,0,COUNTA(終値履歴!$G35:'終値履歴'!$XFD35)+3,1,-1)</f>
        <v>2383</v>
      </c>
      <c r="K482" s="390">
        <f ca="1">OFFSET(終値履歴!$A35,0,COUNTA(終値履歴!$G35:'終値履歴'!$XFD35)+4,1,-1)</f>
        <v>2378</v>
      </c>
      <c r="L482" s="390">
        <f ca="1">OFFSET(終値履歴!$A35,0,COUNTA(終値履歴!$G35:'終値履歴'!$XFD35)+5,1,-1)</f>
        <v>2434</v>
      </c>
    </row>
    <row r="497" spans="1:12" s="389" customFormat="1" x14ac:dyDescent="0.25">
      <c r="A497" s="393" t="str">
        <f>終値履歴!B36</f>
        <v>サイバーステップ</v>
      </c>
      <c r="B497" s="390">
        <f ca="1">OFFSET(終値履歴!$A36,0,COUNTA(終値履歴!$G36:'終値履歴'!$XFD36)-5,1,-1)</f>
        <v>2187</v>
      </c>
      <c r="C497" s="390">
        <f ca="1">OFFSET(終値履歴!$A36,0,COUNTA(終値履歴!$G36:'終値履歴'!$XFD36)-4,1,-1)</f>
        <v>2500</v>
      </c>
      <c r="D497" s="390">
        <f ca="1">OFFSET(終値履歴!$A36,0,COUNTA(終値履歴!$G36:'終値履歴'!$XFD36)-3,1,-1)</f>
        <v>2766</v>
      </c>
      <c r="E497" s="390">
        <f ca="1">OFFSET(終値履歴!$A36,0,COUNTA(終値履歴!$G36:'終値履歴'!$XFD36)-2,1,-1)</f>
        <v>2809</v>
      </c>
      <c r="F497" s="390">
        <f ca="1">OFFSET(終値履歴!$A36,0,COUNTA(終値履歴!$G36:'終値履歴'!$XFD36)-1,1,-1)</f>
        <v>3300</v>
      </c>
      <c r="G497" s="390">
        <f ca="1">OFFSET(終値履歴!$A36,0,COUNTA(終値履歴!$G36:'終値履歴'!$XFD36)+0,1,-1)</f>
        <v>3130</v>
      </c>
      <c r="H497" s="390">
        <f ca="1">OFFSET(終値履歴!$A36,0,COUNTA(終値履歴!$G36:'終値履歴'!$XFD36)+1,1,-1)</f>
        <v>3315</v>
      </c>
      <c r="I497" s="390">
        <f ca="1">OFFSET(終値履歴!$A36,0,COUNTA(終値履歴!$G36:'終値履歴'!$XFD36)+2,1,-1)</f>
        <v>3130</v>
      </c>
      <c r="J497" s="390">
        <f ca="1">OFFSET(終値履歴!$A36,0,COUNTA(終値履歴!$G36:'終値履歴'!$XFD36)+3,1,-1)</f>
        <v>2937</v>
      </c>
      <c r="K497" s="390">
        <f ca="1">OFFSET(終値履歴!$A36,0,COUNTA(終値履歴!$G36:'終値履歴'!$XFD36)+4,1,-1)</f>
        <v>2661</v>
      </c>
      <c r="L497" s="390">
        <f ca="1">OFFSET(終値履歴!$A36,0,COUNTA(終値履歴!$G36:'終値履歴'!$XFD36)+5,1,-1)</f>
        <v>2671</v>
      </c>
    </row>
    <row r="512" spans="1:12" s="389" customFormat="1" x14ac:dyDescent="0.25">
      <c r="A512" s="393" t="str">
        <f>終値履歴!B37</f>
        <v>アズジェント</v>
      </c>
      <c r="B512" s="390">
        <f ca="1">OFFSET(終値履歴!$A37,0,COUNTA(終値履歴!$G37:'終値履歴'!$XFD37)-5,1,-1)</f>
        <v>2945</v>
      </c>
      <c r="C512" s="390">
        <f ca="1">OFFSET(終値履歴!$A37,0,COUNTA(終値履歴!$G37:'終値履歴'!$XFD37)-4,1,-1)</f>
        <v>3035</v>
      </c>
      <c r="D512" s="390">
        <f ca="1">OFFSET(終値履歴!$A37,0,COUNTA(終値履歴!$G37:'終値履歴'!$XFD37)-3,1,-1)</f>
        <v>2933</v>
      </c>
      <c r="E512" s="390">
        <f ca="1">OFFSET(終値履歴!$A37,0,COUNTA(終値履歴!$G37:'終値履歴'!$XFD37)-2,1,-1)</f>
        <v>2808</v>
      </c>
      <c r="F512" s="390">
        <f ca="1">OFFSET(終値履歴!$A37,0,COUNTA(終値履歴!$G37:'終値履歴'!$XFD37)-1,1,-1)</f>
        <v>2872</v>
      </c>
      <c r="G512" s="390">
        <f ca="1">OFFSET(終値履歴!$A37,0,COUNTA(終値履歴!$G37:'終値履歴'!$XFD37)+0,1,-1)</f>
        <v>2830</v>
      </c>
      <c r="H512" s="390">
        <f ca="1">OFFSET(終値履歴!$A37,0,COUNTA(終値履歴!$G37:'終値履歴'!$XFD37)+1,1,-1)</f>
        <v>2740</v>
      </c>
      <c r="I512" s="390">
        <f ca="1">OFFSET(終値履歴!$A37,0,COUNTA(終値履歴!$G37:'終値履歴'!$XFD37)+2,1,-1)</f>
        <v>2641</v>
      </c>
      <c r="J512" s="390">
        <f ca="1">OFFSET(終値履歴!$A37,0,COUNTA(終値履歴!$G37:'終値履歴'!$XFD37)+3,1,-1)</f>
        <v>2731</v>
      </c>
      <c r="K512" s="390">
        <f ca="1">OFFSET(終値履歴!$A37,0,COUNTA(終値履歴!$G37:'終値履歴'!$XFD37)+4,1,-1)</f>
        <v>2766</v>
      </c>
      <c r="L512" s="390">
        <f ca="1">OFFSET(終値履歴!$A37,0,COUNTA(終値履歴!$G37:'終値履歴'!$XFD37)+5,1,-1)</f>
        <v>2769</v>
      </c>
    </row>
    <row r="527" spans="1:12" s="389" customFormat="1" x14ac:dyDescent="0.25">
      <c r="A527" s="393" t="str">
        <f>終値履歴!B38</f>
        <v>リミックスポイント</v>
      </c>
      <c r="B527" s="390">
        <f ca="1">OFFSET(終値履歴!$A38,0,COUNTA(終値履歴!$G38:'終値履歴'!$XFD38)-5,1,-1)</f>
        <v>1043</v>
      </c>
      <c r="C527" s="390">
        <f ca="1">OFFSET(終値履歴!$A38,0,COUNTA(終値履歴!$G38:'終値履歴'!$XFD38)-4,1,-1)</f>
        <v>1079</v>
      </c>
      <c r="D527" s="390">
        <f ca="1">OFFSET(終値履歴!$A38,0,COUNTA(終値履歴!$G38:'終値履歴'!$XFD38)-3,1,-1)</f>
        <v>1199</v>
      </c>
      <c r="E527" s="390">
        <f ca="1">OFFSET(終値履歴!$A38,0,COUNTA(終値履歴!$G38:'終値履歴'!$XFD38)-2,1,-1)</f>
        <v>1220</v>
      </c>
      <c r="F527" s="390">
        <f ca="1">OFFSET(終値履歴!$A38,0,COUNTA(終値履歴!$G38:'終値履歴'!$XFD38)-1,1,-1)</f>
        <v>1167</v>
      </c>
      <c r="G527" s="390">
        <f ca="1">OFFSET(終値履歴!$A38,0,COUNTA(終値履歴!$G38:'終値履歴'!$XFD38)+0,1,-1)</f>
        <v>1111</v>
      </c>
      <c r="H527" s="390">
        <f ca="1">OFFSET(終値履歴!$A38,0,COUNTA(終値履歴!$G38:'終値履歴'!$XFD38)+1,1,-1)</f>
        <v>1091</v>
      </c>
      <c r="I527" s="390">
        <f ca="1">OFFSET(終値履歴!$A38,0,COUNTA(終値履歴!$G38:'終値履歴'!$XFD38)+2,1,-1)</f>
        <v>1027</v>
      </c>
      <c r="J527" s="390">
        <f ca="1">OFFSET(終値履歴!$A38,0,COUNTA(終値履歴!$G38:'終値履歴'!$XFD38)+3,1,-1)</f>
        <v>1024</v>
      </c>
      <c r="K527" s="390">
        <f ca="1">OFFSET(終値履歴!$A38,0,COUNTA(終値履歴!$G38:'終値履歴'!$XFD38)+4,1,-1)</f>
        <v>1005</v>
      </c>
      <c r="L527" s="390">
        <f ca="1">OFFSET(終値履歴!$A38,0,COUNTA(終値履歴!$G38:'終値履歴'!$XFD38)+5,1,-1)</f>
        <v>1006</v>
      </c>
    </row>
    <row r="542" spans="1:12" s="389" customFormat="1" x14ac:dyDescent="0.25">
      <c r="A542" s="393" t="str">
        <f>終値履歴!B39</f>
        <v>エムアップ</v>
      </c>
      <c r="B542" s="390">
        <f ca="1">OFFSET(終値履歴!$A39,0,COUNTA(終値履歴!$G39:'終値履歴'!$XFD39)-5,1,-1)</f>
        <v>1371</v>
      </c>
      <c r="C542" s="390">
        <f ca="1">OFFSET(終値履歴!$A39,0,COUNTA(終値履歴!$G39:'終値履歴'!$XFD39)-4,1,-1)</f>
        <v>1379</v>
      </c>
      <c r="D542" s="390">
        <f ca="1">OFFSET(終値履歴!$A39,0,COUNTA(終値履歴!$G39:'終値履歴'!$XFD39)-3,1,-1)</f>
        <v>1385</v>
      </c>
      <c r="E542" s="390">
        <f ca="1">OFFSET(終値履歴!$A39,0,COUNTA(終値履歴!$G39:'終値履歴'!$XFD39)-2,1,-1)</f>
        <v>1372</v>
      </c>
      <c r="F542" s="390">
        <f ca="1">OFFSET(終値履歴!$A39,0,COUNTA(終値履歴!$G39:'終値履歴'!$XFD39)-1,1,-1)</f>
        <v>1385</v>
      </c>
      <c r="G542" s="390">
        <f ca="1">OFFSET(終値履歴!$A39,0,COUNTA(終値履歴!$G39:'終値履歴'!$XFD39)+0,1,-1)</f>
        <v>1376</v>
      </c>
      <c r="H542" s="390">
        <f ca="1">OFFSET(終値履歴!$A39,0,COUNTA(終値履歴!$G39:'終値履歴'!$XFD39)+1,1,-1)</f>
        <v>1366</v>
      </c>
      <c r="I542" s="390">
        <f ca="1">OFFSET(終値履歴!$A39,0,COUNTA(終値履歴!$G39:'終値履歴'!$XFD39)+2,1,-1)</f>
        <v>1354</v>
      </c>
      <c r="J542" s="390">
        <f ca="1">OFFSET(終値履歴!$A39,0,COUNTA(終値履歴!$G39:'終値履歴'!$XFD39)+3,1,-1)</f>
        <v>1322</v>
      </c>
      <c r="K542" s="390">
        <f ca="1">OFFSET(終値履歴!$A39,0,COUNTA(終値履歴!$G39:'終値履歴'!$XFD39)+4,1,-1)</f>
        <v>1356</v>
      </c>
      <c r="L542" s="390">
        <f ca="1">OFFSET(終値履歴!$A39,0,COUNTA(終値履歴!$G39:'終値履歴'!$XFD39)+5,1,-1)</f>
        <v>1332</v>
      </c>
    </row>
    <row r="557" spans="1:12" s="389" customFormat="1" x14ac:dyDescent="0.25">
      <c r="A557" s="393" t="str">
        <f>終値履歴!B40</f>
        <v>ビーブレイクシステムズ</v>
      </c>
      <c r="B557" s="390">
        <f ca="1">OFFSET(終値履歴!$A40,0,COUNTA(終値履歴!$G40:'終値履歴'!$XFD40)-5,1,-1)</f>
        <v>4330</v>
      </c>
      <c r="C557" s="390">
        <f ca="1">OFFSET(終値履歴!$A40,0,COUNTA(終値履歴!$G40:'終値履歴'!$XFD40)-4,1,-1)</f>
        <v>4220</v>
      </c>
      <c r="D557" s="390">
        <f ca="1">OFFSET(終値履歴!$A40,0,COUNTA(終値履歴!$G40:'終値履歴'!$XFD40)-3,1,-1)</f>
        <v>4300</v>
      </c>
      <c r="E557" s="390">
        <f ca="1">OFFSET(終値履歴!$A40,0,COUNTA(終値履歴!$G40:'終値履歴'!$XFD40)-2,1,-1)</f>
        <v>4165</v>
      </c>
      <c r="F557" s="390">
        <f ca="1">OFFSET(終値履歴!$A40,0,COUNTA(終値履歴!$G40:'終値履歴'!$XFD40)-1,1,-1)</f>
        <v>4160</v>
      </c>
      <c r="G557" s="390">
        <f ca="1">OFFSET(終値履歴!$A40,0,COUNTA(終値履歴!$G40:'終値履歴'!$XFD40)+0,1,-1)</f>
        <v>4180</v>
      </c>
      <c r="H557" s="390">
        <f ca="1">OFFSET(終値履歴!$A40,0,COUNTA(終値履歴!$G40:'終値履歴'!$XFD40)+1,1,-1)</f>
        <v>4190</v>
      </c>
      <c r="I557" s="390">
        <f ca="1">OFFSET(終値履歴!$A40,0,COUNTA(終値履歴!$G40:'終値履歴'!$XFD40)+2,1,-1)</f>
        <v>4030</v>
      </c>
      <c r="J557" s="390">
        <f ca="1">OFFSET(終値履歴!$A40,0,COUNTA(終値履歴!$G40:'終値履歴'!$XFD40)+3,1,-1)</f>
        <v>4020</v>
      </c>
      <c r="K557" s="390">
        <f ca="1">OFFSET(終値履歴!$A40,0,COUNTA(終値履歴!$G40:'終値履歴'!$XFD40)+4,1,-1)</f>
        <v>4050</v>
      </c>
      <c r="L557" s="390">
        <f ca="1">OFFSET(終値履歴!$A40,0,COUNTA(終値履歴!$G40:'終値履歴'!$XFD40)+5,1,-1)</f>
        <v>4080</v>
      </c>
    </row>
    <row r="572" spans="1:12" s="389" customFormat="1" x14ac:dyDescent="0.25">
      <c r="A572" s="393" t="str">
        <f>終値履歴!B41</f>
        <v>ディーエムソリューションズ</v>
      </c>
      <c r="B572" s="390">
        <f ca="1">OFFSET(終値履歴!$A41,0,COUNTA(終値履歴!$G41:'終値履歴'!$XFD41)-5,1,-1)</f>
        <v>5090</v>
      </c>
      <c r="C572" s="390">
        <f ca="1">OFFSET(終値履歴!$A41,0,COUNTA(終値履歴!$G41:'終値履歴'!$XFD41)-4,1,-1)</f>
        <v>2589</v>
      </c>
      <c r="D572" s="390">
        <f ca="1">OFFSET(終値履歴!$A41,0,COUNTA(終値履歴!$G41:'終値履歴'!$XFD41)-3,1,-1)</f>
        <v>2555</v>
      </c>
      <c r="E572" s="390">
        <f ca="1">OFFSET(終値履歴!$A41,0,COUNTA(終値履歴!$G41:'終値履歴'!$XFD41)-2,1,-1)</f>
        <v>2500</v>
      </c>
      <c r="F572" s="390">
        <f ca="1">OFFSET(終値履歴!$A41,0,COUNTA(終値履歴!$G41:'終値履歴'!$XFD41)-1,1,-1)</f>
        <v>2460</v>
      </c>
      <c r="G572" s="390">
        <f ca="1">OFFSET(終値履歴!$A41,0,COUNTA(終値履歴!$G41:'終値履歴'!$XFD41)+0,1,-1)</f>
        <v>2591</v>
      </c>
      <c r="H572" s="390">
        <f ca="1">OFFSET(終値履歴!$A41,0,COUNTA(終値履歴!$G41:'終値履歴'!$XFD41)+1,1,-1)</f>
        <v>2522</v>
      </c>
      <c r="I572" s="390">
        <f ca="1">OFFSET(終値履歴!$A41,0,COUNTA(終値履歴!$G41:'終値履歴'!$XFD41)+2,1,-1)</f>
        <v>2420</v>
      </c>
      <c r="J572" s="390">
        <f ca="1">OFFSET(終値履歴!$A41,0,COUNTA(終値履歴!$G41:'終値履歴'!$XFD41)+3,1,-1)</f>
        <v>2377</v>
      </c>
      <c r="K572" s="390">
        <f ca="1">OFFSET(終値履歴!$A41,0,COUNTA(終値履歴!$G41:'終値履歴'!$XFD41)+4,1,-1)</f>
        <v>2355</v>
      </c>
      <c r="L572" s="390">
        <f ca="1">OFFSET(終値履歴!$A41,0,COUNTA(終値履歴!$G41:'終値履歴'!$XFD41)+5,1,-1)</f>
        <v>2365</v>
      </c>
    </row>
    <row r="587" spans="1:12" s="389" customFormat="1" x14ac:dyDescent="0.25">
      <c r="A587" s="393" t="str">
        <f>終値履歴!B42</f>
        <v>エコモット</v>
      </c>
      <c r="B587" s="390">
        <f ca="1">OFFSET(終値履歴!$A42,0,COUNTA(終値履歴!$G42:'終値履歴'!$XFD42)-5,1,-1)</f>
        <v>3600</v>
      </c>
      <c r="C587" s="390">
        <f ca="1">OFFSET(終値履歴!$A42,0,COUNTA(終値履歴!$G42:'終値履歴'!$XFD42)-4,1,-1)</f>
        <v>1810</v>
      </c>
      <c r="D587" s="390">
        <f ca="1">OFFSET(終値履歴!$A42,0,COUNTA(終値履歴!$G42:'終値履歴'!$XFD42)-3,1,-1)</f>
        <v>1815</v>
      </c>
      <c r="E587" s="390">
        <f ca="1">OFFSET(終値履歴!$A42,0,COUNTA(終値履歴!$G42:'終値履歴'!$XFD42)-2,1,-1)</f>
        <v>1824</v>
      </c>
      <c r="F587" s="390">
        <f ca="1">OFFSET(終値履歴!$A42,0,COUNTA(終値履歴!$G42:'終値履歴'!$XFD42)-1,1,-1)</f>
        <v>1800</v>
      </c>
      <c r="G587" s="390">
        <f ca="1">OFFSET(終値履歴!$A42,0,COUNTA(終値履歴!$G42:'終値履歴'!$XFD42)+0,1,-1)</f>
        <v>1830</v>
      </c>
      <c r="H587" s="390">
        <f ca="1">OFFSET(終値履歴!$A42,0,COUNTA(終値履歴!$G42:'終値履歴'!$XFD42)+1,1,-1)</f>
        <v>1828</v>
      </c>
      <c r="I587" s="390">
        <f ca="1">OFFSET(終値履歴!$A42,0,COUNTA(終値履歴!$G42:'終値履歴'!$XFD42)+2,1,-1)</f>
        <v>1819</v>
      </c>
      <c r="J587" s="390">
        <f ca="1">OFFSET(終値履歴!$A42,0,COUNTA(終値履歴!$G42:'終値履歴'!$XFD42)+3,1,-1)</f>
        <v>1820</v>
      </c>
      <c r="K587" s="390">
        <f ca="1">OFFSET(終値履歴!$A42,0,COUNTA(終値履歴!$G42:'終値履歴'!$XFD42)+4,1,-1)</f>
        <v>1822</v>
      </c>
      <c r="L587" s="390">
        <f ca="1">OFFSET(終値履歴!$A42,0,COUNTA(終値履歴!$G42:'終値履歴'!$XFD42)+5,1,-1)</f>
        <v>1830</v>
      </c>
    </row>
    <row r="602" spans="1:12" s="389" customFormat="1" x14ac:dyDescent="0.25">
      <c r="A602" s="393" t="str">
        <f>終値履歴!B43</f>
        <v>Fringe81</v>
      </c>
      <c r="B602" s="390">
        <f ca="1">OFFSET(終値履歴!$A43,0,COUNTA(終値履歴!$G43:'終値履歴'!$XFD43)-5,1,-1)</f>
        <v>4100</v>
      </c>
      <c r="C602" s="390">
        <f ca="1">OFFSET(終値履歴!$A43,0,COUNTA(終値履歴!$G43:'終値履歴'!$XFD43)-4,1,-1)</f>
        <v>4370</v>
      </c>
      <c r="D602" s="390">
        <f ca="1">OFFSET(終値履歴!$A43,0,COUNTA(終値履歴!$G43:'終値履歴'!$XFD43)-3,1,-1)</f>
        <v>4425</v>
      </c>
      <c r="E602" s="390">
        <f ca="1">OFFSET(終値履歴!$A43,0,COUNTA(終値履歴!$G43:'終値履歴'!$XFD43)-2,1,-1)</f>
        <v>4405</v>
      </c>
      <c r="F602" s="390">
        <f ca="1">OFFSET(終値履歴!$A43,0,COUNTA(終値履歴!$G43:'終値履歴'!$XFD43)-1,1,-1)</f>
        <v>4370</v>
      </c>
      <c r="G602" s="390">
        <f ca="1">OFFSET(終値履歴!$A43,0,COUNTA(終値履歴!$G43:'終値履歴'!$XFD43)+0,1,-1)</f>
        <v>4495</v>
      </c>
      <c r="H602" s="390">
        <f ca="1">OFFSET(終値履歴!$A43,0,COUNTA(終値履歴!$G43:'終値履歴'!$XFD43)+1,1,-1)</f>
        <v>4370</v>
      </c>
      <c r="I602" s="390">
        <f ca="1">OFFSET(終値履歴!$A43,0,COUNTA(終値履歴!$G43:'終値履歴'!$XFD43)+2,1,-1)</f>
        <v>4125</v>
      </c>
      <c r="J602" s="390">
        <f ca="1">OFFSET(終値履歴!$A43,0,COUNTA(終値履歴!$G43:'終値履歴'!$XFD43)+3,1,-1)</f>
        <v>4130</v>
      </c>
      <c r="K602" s="390">
        <f ca="1">OFFSET(終値履歴!$A43,0,COUNTA(終値履歴!$G43:'終値履歴'!$XFD43)+4,1,-1)</f>
        <v>4270</v>
      </c>
      <c r="L602" s="390">
        <f ca="1">OFFSET(終値履歴!$A43,0,COUNTA(終値履歴!$G43:'終値履歴'!$XFD43)+5,1,-1)</f>
        <v>4360</v>
      </c>
    </row>
    <row r="617" spans="1:12" s="389" customFormat="1" x14ac:dyDescent="0.25">
      <c r="A617" s="393" t="str">
        <f>終値履歴!B44</f>
        <v>インフォテリア</v>
      </c>
      <c r="B617" s="390">
        <f ca="1">OFFSET(終値履歴!$A44,0,COUNTA(終値履歴!$G44:'終値履歴'!$XFD44)-5,1,-1)</f>
        <v>1340</v>
      </c>
      <c r="C617" s="390">
        <f ca="1">OFFSET(終値履歴!$A44,0,COUNTA(終値履歴!$G44:'終値履歴'!$XFD44)-4,1,-1)</f>
        <v>1342</v>
      </c>
      <c r="D617" s="390">
        <f ca="1">OFFSET(終値履歴!$A44,0,COUNTA(終値履歴!$G44:'終値履歴'!$XFD44)-3,1,-1)</f>
        <v>1372</v>
      </c>
      <c r="E617" s="390">
        <f ca="1">OFFSET(終値履歴!$A44,0,COUNTA(終値履歴!$G44:'終値履歴'!$XFD44)-2,1,-1)</f>
        <v>1357</v>
      </c>
      <c r="F617" s="390">
        <f ca="1">OFFSET(終値履歴!$A44,0,COUNTA(終値履歴!$G44:'終値履歴'!$XFD44)-1,1,-1)</f>
        <v>1336</v>
      </c>
      <c r="G617" s="390">
        <f ca="1">OFFSET(終値履歴!$A44,0,COUNTA(終値履歴!$G44:'終値履歴'!$XFD44)+0,1,-1)</f>
        <v>1398</v>
      </c>
      <c r="H617" s="390">
        <f ca="1">OFFSET(終値履歴!$A44,0,COUNTA(終値履歴!$G44:'終値履歴'!$XFD44)+1,1,-1)</f>
        <v>1345</v>
      </c>
      <c r="I617" s="390">
        <f ca="1">OFFSET(終値履歴!$A44,0,COUNTA(終値履歴!$G44:'終値履歴'!$XFD44)+2,1,-1)</f>
        <v>1262</v>
      </c>
      <c r="J617" s="390">
        <f ca="1">OFFSET(終値履歴!$A44,0,COUNTA(終値履歴!$G44:'終値履歴'!$XFD44)+3,1,-1)</f>
        <v>1264</v>
      </c>
      <c r="K617" s="390">
        <f ca="1">OFFSET(終値履歴!$A44,0,COUNTA(終値履歴!$G44:'終値履歴'!$XFD44)+4,1,-1)</f>
        <v>1274</v>
      </c>
      <c r="L617" s="390">
        <f ca="1">OFFSET(終値履歴!$A44,0,COUNTA(終値履歴!$G44:'終値履歴'!$XFD44)+5,1,-1)</f>
        <v>1256</v>
      </c>
    </row>
    <row r="632" spans="1:12" s="389" customFormat="1" x14ac:dyDescent="0.25">
      <c r="A632" s="393" t="str">
        <f>終値履歴!B45</f>
        <v>GNIグループ</v>
      </c>
      <c r="B632" s="390">
        <f ca="1">OFFSET(終値履歴!$A45,0,COUNTA(終値履歴!$G45:'終値履歴'!$XFD45)-5,1,-1)</f>
        <v>403</v>
      </c>
      <c r="C632" s="390">
        <f ca="1">OFFSET(終値履歴!$A45,0,COUNTA(終値履歴!$G45:'終値履歴'!$XFD45)-4,1,-1)</f>
        <v>418</v>
      </c>
      <c r="D632" s="390">
        <f ca="1">OFFSET(終値履歴!$A45,0,COUNTA(終値履歴!$G45:'終値履歴'!$XFD45)-3,1,-1)</f>
        <v>405</v>
      </c>
      <c r="E632" s="390">
        <f ca="1">OFFSET(終値履歴!$A45,0,COUNTA(終値履歴!$G45:'終値履歴'!$XFD45)-2,1,-1)</f>
        <v>465</v>
      </c>
      <c r="F632" s="390">
        <f ca="1">OFFSET(終値履歴!$A45,0,COUNTA(終値履歴!$G45:'終値履歴'!$XFD45)-1,1,-1)</f>
        <v>523</v>
      </c>
      <c r="G632" s="390">
        <f ca="1">OFFSET(終値履歴!$A45,0,COUNTA(終値履歴!$G45:'終値履歴'!$XFD45)+0,1,-1)</f>
        <v>471</v>
      </c>
      <c r="H632" s="390">
        <f ca="1">OFFSET(終値履歴!$A45,0,COUNTA(終値履歴!$G45:'終値履歴'!$XFD45)+1,1,-1)</f>
        <v>446</v>
      </c>
      <c r="I632" s="390">
        <f ca="1">OFFSET(終値履歴!$A45,0,COUNTA(終値履歴!$G45:'終値履歴'!$XFD45)+2,1,-1)</f>
        <v>441</v>
      </c>
      <c r="J632" s="390">
        <f ca="1">OFFSET(終値履歴!$A45,0,COUNTA(終値履歴!$G45:'終値履歴'!$XFD45)+3,1,-1)</f>
        <v>418</v>
      </c>
      <c r="K632" s="390">
        <f ca="1">OFFSET(終値履歴!$A45,0,COUNTA(終値履歴!$G45:'終値履歴'!$XFD45)+4,1,-1)</f>
        <v>412</v>
      </c>
      <c r="L632" s="390">
        <f ca="1">OFFSET(終値履歴!$A45,0,COUNTA(終値履歴!$G45:'終値履歴'!$XFD45)+5,1,-1)</f>
        <v>407</v>
      </c>
    </row>
    <row r="647" spans="1:12" s="389" customFormat="1" x14ac:dyDescent="0.25">
      <c r="A647" s="393" t="str">
        <f>終値履歴!B46</f>
        <v>ツナグ・ソリューションズ</v>
      </c>
      <c r="B647" s="390">
        <f ca="1">OFFSET(終値履歴!$A46,0,COUNTA(終値履歴!$G46:'終値履歴'!$XFD46)-5,1,-1)</f>
        <v>4930</v>
      </c>
      <c r="C647" s="390">
        <f ca="1">OFFSET(終値履歴!$A46,0,COUNTA(終値履歴!$G46:'終値履歴'!$XFD46)-4,1,-1)</f>
        <v>5020</v>
      </c>
      <c r="D647" s="390">
        <f ca="1">OFFSET(終値履歴!$A46,0,COUNTA(終値履歴!$G46:'終値履歴'!$XFD46)-3,1,-1)</f>
        <v>4990</v>
      </c>
      <c r="E647" s="390">
        <f ca="1">OFFSET(終値履歴!$A46,0,COUNTA(終値履歴!$G46:'終値履歴'!$XFD46)-2,1,-1)</f>
        <v>4900</v>
      </c>
      <c r="F647" s="390">
        <f ca="1">OFFSET(終値履歴!$A46,0,COUNTA(終値履歴!$G46:'終値履歴'!$XFD46)-1,1,-1)</f>
        <v>5000</v>
      </c>
      <c r="G647" s="390">
        <f ca="1">OFFSET(終値履歴!$A46,0,COUNTA(終値履歴!$G46:'終値履歴'!$XFD46)+0,1,-1)</f>
        <v>5030</v>
      </c>
      <c r="H647" s="390">
        <f ca="1">OFFSET(終値履歴!$A46,0,COUNTA(終値履歴!$G46:'終値履歴'!$XFD46)+1,1,-1)</f>
        <v>4905</v>
      </c>
      <c r="I647" s="390">
        <f ca="1">OFFSET(終値履歴!$A46,0,COUNTA(終値履歴!$G46:'終値履歴'!$XFD46)+2,1,-1)</f>
        <v>4885</v>
      </c>
      <c r="J647" s="390">
        <f ca="1">OFFSET(終値履歴!$A46,0,COUNTA(終値履歴!$G46:'終値履歴'!$XFD46)+3,1,-1)</f>
        <v>4965</v>
      </c>
      <c r="K647" s="390">
        <f ca="1">OFFSET(終値履歴!$A46,0,COUNTA(終値履歴!$G46:'終値履歴'!$XFD46)+4,1,-1)</f>
        <v>4865</v>
      </c>
      <c r="L647" s="390">
        <f ca="1">OFFSET(終値履歴!$A46,0,COUNTA(終値履歴!$G46:'終値履歴'!$XFD46)+5,1,-1)</f>
        <v>4850</v>
      </c>
    </row>
    <row r="662" spans="1:12" s="389" customFormat="1" x14ac:dyDescent="0.25">
      <c r="A662" s="393" t="str">
        <f>終値履歴!B47</f>
        <v>ＳＹＳホールディングス</v>
      </c>
      <c r="B662" s="390">
        <f ca="1">OFFSET(終値履歴!$A47,0,COUNTA(終値履歴!$G47:'終値履歴'!$XFD47)-5,1,-1)</f>
        <v>3495</v>
      </c>
      <c r="C662" s="390">
        <f ca="1">OFFSET(終値履歴!$A47,0,COUNTA(終値履歴!$G47:'終値履歴'!$XFD47)-4,1,-1)</f>
        <v>3580</v>
      </c>
      <c r="D662" s="390">
        <f ca="1">OFFSET(終値履歴!$A47,0,COUNTA(終値履歴!$G47:'終値履歴'!$XFD47)-3,1,-1)</f>
        <v>3665</v>
      </c>
      <c r="E662" s="390">
        <f ca="1">OFFSET(終値履歴!$A47,0,COUNTA(終値履歴!$G47:'終値履歴'!$XFD47)-2,1,-1)</f>
        <v>3720</v>
      </c>
      <c r="F662" s="390">
        <f ca="1">OFFSET(終値履歴!$A47,0,COUNTA(終値履歴!$G47:'終値履歴'!$XFD47)-1,1,-1)</f>
        <v>3815</v>
      </c>
      <c r="G662" s="390">
        <f ca="1">OFFSET(終値履歴!$A47,0,COUNTA(終値履歴!$G47:'終値履歴'!$XFD47)+0,1,-1)</f>
        <v>3845</v>
      </c>
      <c r="H662" s="390">
        <f ca="1">OFFSET(終値履歴!$A47,0,COUNTA(終値履歴!$G47:'終値履歴'!$XFD47)+1,1,-1)</f>
        <v>3655</v>
      </c>
      <c r="I662" s="390">
        <f ca="1">OFFSET(終値履歴!$A47,0,COUNTA(終値履歴!$G47:'終値履歴'!$XFD47)+2,1,-1)</f>
        <v>3535</v>
      </c>
      <c r="J662" s="390">
        <f ca="1">OFFSET(終値履歴!$A47,0,COUNTA(終値履歴!$G47:'終値履歴'!$XFD47)+3,1,-1)</f>
        <v>3500</v>
      </c>
      <c r="K662" s="390">
        <f ca="1">OFFSET(終値履歴!$A47,0,COUNTA(終値履歴!$G47:'終値履歴'!$XFD47)+4,1,-1)</f>
        <v>3515</v>
      </c>
      <c r="L662" s="390">
        <f ca="1">OFFSET(終値履歴!$A47,0,COUNTA(終値履歴!$G47:'終値履歴'!$XFD47)+5,1,-1)</f>
        <v>3535</v>
      </c>
    </row>
    <row r="677" spans="1:12" s="389" customFormat="1" x14ac:dyDescent="0.25">
      <c r="A677" s="393" t="str">
        <f>終値履歴!B48</f>
        <v>GameWith</v>
      </c>
      <c r="B677" s="390">
        <f ca="1">OFFSET(終値履歴!$A48,0,COUNTA(終値履歴!$G48:'終値履歴'!$XFD48)-5,1,-1)</f>
        <v>3245</v>
      </c>
      <c r="C677" s="390">
        <f ca="1">OFFSET(終値履歴!$A48,0,COUNTA(終値履歴!$G48:'終値履歴'!$XFD48)-4,1,-1)</f>
        <v>3305</v>
      </c>
      <c r="D677" s="390">
        <f ca="1">OFFSET(終値履歴!$A48,0,COUNTA(終値履歴!$G48:'終値履歴'!$XFD48)-3,1,-1)</f>
        <v>3430</v>
      </c>
      <c r="E677" s="390">
        <f ca="1">OFFSET(終値履歴!$A48,0,COUNTA(終値履歴!$G48:'終値履歴'!$XFD48)-2,1,-1)</f>
        <v>3980</v>
      </c>
      <c r="F677" s="390">
        <f ca="1">OFFSET(終値履歴!$A48,0,COUNTA(終値履歴!$G48:'終値履歴'!$XFD48)-1,1,-1)</f>
        <v>3835</v>
      </c>
      <c r="G677" s="390">
        <f ca="1">OFFSET(終値履歴!$A48,0,COUNTA(終値履歴!$G48:'終値履歴'!$XFD48)+0,1,-1)</f>
        <v>3700</v>
      </c>
      <c r="H677" s="390">
        <f ca="1">OFFSET(終値履歴!$A48,0,COUNTA(終値履歴!$G48:'終値履歴'!$XFD48)+1,1,-1)</f>
        <v>3820</v>
      </c>
      <c r="I677" s="390">
        <f ca="1">OFFSET(終値履歴!$A48,0,COUNTA(終値履歴!$G48:'終値履歴'!$XFD48)+2,1,-1)</f>
        <v>3580</v>
      </c>
      <c r="J677" s="390">
        <f ca="1">OFFSET(終値履歴!$A48,0,COUNTA(終値履歴!$G48:'終値履歴'!$XFD48)+3,1,-1)</f>
        <v>3775</v>
      </c>
      <c r="K677" s="390">
        <f ca="1">OFFSET(終値履歴!$A48,0,COUNTA(終値履歴!$G48:'終値履歴'!$XFD48)+4,1,-1)</f>
        <v>3775</v>
      </c>
      <c r="L677" s="390">
        <f ca="1">OFFSET(終値履歴!$A48,0,COUNTA(終値履歴!$G48:'終値履歴'!$XFD48)+5,1,-1)</f>
        <v>3685</v>
      </c>
    </row>
    <row r="692" spans="1:12" s="389" customFormat="1" x14ac:dyDescent="0.25">
      <c r="A692" s="393" t="str">
        <f>終値履歴!B49</f>
        <v>アンジェス</v>
      </c>
      <c r="B692" s="390">
        <f ca="1">OFFSET(終値履歴!$A49,0,COUNTA(終値履歴!$G49:'終値履歴'!$XFD49)-5,1,-1)</f>
        <v>617</v>
      </c>
      <c r="C692" s="390">
        <f ca="1">OFFSET(終値履歴!$A49,0,COUNTA(終値履歴!$G49:'終値履歴'!$XFD49)-4,1,-1)</f>
        <v>642</v>
      </c>
      <c r="D692" s="390">
        <f ca="1">OFFSET(終値履歴!$A49,0,COUNTA(終値履歴!$G49:'終値履歴'!$XFD49)-3,1,-1)</f>
        <v>645</v>
      </c>
      <c r="E692" s="390">
        <f ca="1">OFFSET(終値履歴!$A49,0,COUNTA(終値履歴!$G49:'終値履歴'!$XFD49)-2,1,-1)</f>
        <v>661</v>
      </c>
      <c r="F692" s="390">
        <f ca="1">OFFSET(終値履歴!$A49,0,COUNTA(終値履歴!$G49:'終値履歴'!$XFD49)-1,1,-1)</f>
        <v>664</v>
      </c>
      <c r="G692" s="390">
        <f ca="1">OFFSET(終値履歴!$A49,0,COUNTA(終値履歴!$G49:'終値履歴'!$XFD49)+0,1,-1)</f>
        <v>657</v>
      </c>
      <c r="H692" s="390">
        <f ca="1">OFFSET(終値履歴!$A49,0,COUNTA(終値履歴!$G49:'終値履歴'!$XFD49)+1,1,-1)</f>
        <v>647</v>
      </c>
      <c r="I692" s="390">
        <f ca="1">OFFSET(終値履歴!$A49,0,COUNTA(終値履歴!$G49:'終値履歴'!$XFD49)+2,1,-1)</f>
        <v>643</v>
      </c>
      <c r="J692" s="390">
        <f ca="1">OFFSET(終値履歴!$A49,0,COUNTA(終値履歴!$G49:'終値履歴'!$XFD49)+3,1,-1)</f>
        <v>641</v>
      </c>
      <c r="K692" s="390">
        <f ca="1">OFFSET(終値履歴!$A49,0,COUNTA(終値履歴!$G49:'終値履歴'!$XFD49)+4,1,-1)</f>
        <v>647</v>
      </c>
      <c r="L692" s="390">
        <f ca="1">OFFSET(終値履歴!$A49,0,COUNTA(終値履歴!$G49:'終値履歴'!$XFD49)+5,1,-1)</f>
        <v>641</v>
      </c>
    </row>
    <row r="707" spans="1:12" s="389" customFormat="1" x14ac:dyDescent="0.25">
      <c r="A707" s="393" t="str">
        <f>終値履歴!B50</f>
        <v>トレイダーズHD</v>
      </c>
      <c r="B707" s="390">
        <f ca="1">OFFSET(終値履歴!$A50,0,COUNTA(終値履歴!$G50:'終値履歴'!$XFD50)-5,1,-1)</f>
        <v>158</v>
      </c>
      <c r="C707" s="390">
        <f ca="1">OFFSET(終値履歴!$A50,0,COUNTA(終値履歴!$G50:'終値履歴'!$XFD50)-4,1,-1)</f>
        <v>159</v>
      </c>
      <c r="D707" s="390">
        <f ca="1">OFFSET(終値履歴!$A50,0,COUNTA(終値履歴!$G50:'終値履歴'!$XFD50)-3,1,-1)</f>
        <v>166</v>
      </c>
      <c r="E707" s="390">
        <f ca="1">OFFSET(終値履歴!$A50,0,COUNTA(終値履歴!$G50:'終値履歴'!$XFD50)-2,1,-1)</f>
        <v>164</v>
      </c>
      <c r="F707" s="390">
        <f ca="1">OFFSET(終値履歴!$A50,0,COUNTA(終値履歴!$G50:'終値履歴'!$XFD50)-1,1,-1)</f>
        <v>162</v>
      </c>
      <c r="G707" s="390">
        <f ca="1">OFFSET(終値履歴!$A50,0,COUNTA(終値履歴!$G50:'終値履歴'!$XFD50)+0,1,-1)</f>
        <v>172</v>
      </c>
      <c r="H707" s="390">
        <f ca="1">OFFSET(終値履歴!$A50,0,COUNTA(終値履歴!$G50:'終値履歴'!$XFD50)+1,1,-1)</f>
        <v>167</v>
      </c>
      <c r="I707" s="390">
        <f ca="1">OFFSET(終値履歴!$A50,0,COUNTA(終値履歴!$G50:'終値履歴'!$XFD50)+2,1,-1)</f>
        <v>164</v>
      </c>
      <c r="J707" s="390">
        <f ca="1">OFFSET(終値履歴!$A50,0,COUNTA(終値履歴!$G50:'終値履歴'!$XFD50)+3,1,-1)</f>
        <v>161</v>
      </c>
      <c r="K707" s="390">
        <f ca="1">OFFSET(終値履歴!$A50,0,COUNTA(終値履歴!$G50:'終値履歴'!$XFD50)+4,1,-1)</f>
        <v>163</v>
      </c>
      <c r="L707" s="390">
        <f ca="1">OFFSET(終値履歴!$A50,0,COUNTA(終値履歴!$G50:'終値履歴'!$XFD50)+5,1,-1)</f>
        <v>159</v>
      </c>
    </row>
    <row r="722" spans="1:12" s="389" customFormat="1" x14ac:dyDescent="0.25">
      <c r="A722" s="393" t="str">
        <f>終値履歴!B51</f>
        <v>ソウルドアウト</v>
      </c>
      <c r="B722" s="390">
        <f ca="1">OFFSET(終値履歴!$A51,0,COUNTA(終値履歴!$G51:'終値履歴'!$XFD51)-5,1,-1)</f>
        <v>2327</v>
      </c>
      <c r="C722" s="390">
        <f ca="1">OFFSET(終値履歴!$A51,0,COUNTA(終値履歴!$G51:'終値履歴'!$XFD51)-4,1,-1)</f>
        <v>2430</v>
      </c>
      <c r="D722" s="390">
        <f ca="1">OFFSET(終値履歴!$A51,0,COUNTA(終値履歴!$G51:'終値履歴'!$XFD51)-3,1,-1)</f>
        <v>2430</v>
      </c>
      <c r="E722" s="390">
        <f ca="1">OFFSET(終値履歴!$A51,0,COUNTA(終値履歴!$G51:'終値履歴'!$XFD51)-2,1,-1)</f>
        <v>2528</v>
      </c>
      <c r="F722" s="390">
        <f ca="1">OFFSET(終値履歴!$A51,0,COUNTA(終値履歴!$G51:'終値履歴'!$XFD51)-1,1,-1)</f>
        <v>2529</v>
      </c>
      <c r="G722" s="390">
        <f ca="1">OFFSET(終値履歴!$A51,0,COUNTA(終値履歴!$G51:'終値履歴'!$XFD51)+0,1,-1)</f>
        <v>2522</v>
      </c>
      <c r="H722" s="390">
        <f ca="1">OFFSET(終値履歴!$A51,0,COUNTA(終値履歴!$G51:'終値履歴'!$XFD51)+1,1,-1)</f>
        <v>2413</v>
      </c>
      <c r="I722" s="390">
        <f ca="1">OFFSET(終値履歴!$A51,0,COUNTA(終値履歴!$G51:'終値履歴'!$XFD51)+2,1,-1)</f>
        <v>2340</v>
      </c>
      <c r="J722" s="390">
        <f ca="1">OFFSET(終値履歴!$A51,0,COUNTA(終値履歴!$G51:'終値履歴'!$XFD51)+3,1,-1)</f>
        <v>2303</v>
      </c>
      <c r="K722" s="390">
        <f ca="1">OFFSET(終値履歴!$A51,0,COUNTA(終値履歴!$G51:'終値履歴'!$XFD51)+4,1,-1)</f>
        <v>2344</v>
      </c>
      <c r="L722" s="390">
        <f ca="1">OFFSET(終値履歴!$A51,0,COUNTA(終値履歴!$G51:'終値履歴'!$XFD51)+5,1,-1)</f>
        <v>2308</v>
      </c>
    </row>
    <row r="737" spans="1:12" s="389" customFormat="1" x14ac:dyDescent="0.25">
      <c r="A737" s="393" t="str">
        <f>終値履歴!B52</f>
        <v>ユニフォームネクスト</v>
      </c>
      <c r="B737" s="390">
        <f ca="1">OFFSET(終値履歴!$A52,0,COUNTA(終値履歴!$G52:'終値履歴'!$XFD52)-5,1,-1)</f>
        <v>4705</v>
      </c>
      <c r="C737" s="390">
        <f ca="1">OFFSET(終値履歴!$A52,0,COUNTA(終値履歴!$G52:'終値履歴'!$XFD52)-4,1,-1)</f>
        <v>4760</v>
      </c>
      <c r="D737" s="390">
        <f ca="1">OFFSET(終値履歴!$A52,0,COUNTA(終値履歴!$G52:'終値履歴'!$XFD52)-3,1,-1)</f>
        <v>4615</v>
      </c>
      <c r="E737" s="390">
        <f ca="1">OFFSET(終値履歴!$A52,0,COUNTA(終値履歴!$G52:'終値履歴'!$XFD52)-2,1,-1)</f>
        <v>4665</v>
      </c>
      <c r="F737" s="390">
        <f ca="1">OFFSET(終値履歴!$A52,0,COUNTA(終値履歴!$G52:'終値履歴'!$XFD52)-1,1,-1)</f>
        <v>4705</v>
      </c>
      <c r="G737" s="390">
        <f ca="1">OFFSET(終値履歴!$A52,0,COUNTA(終値履歴!$G52:'終値履歴'!$XFD52)+0,1,-1)</f>
        <v>4800</v>
      </c>
      <c r="H737" s="390">
        <f ca="1">OFFSET(終値履歴!$A52,0,COUNTA(終値履歴!$G52:'終値履歴'!$XFD52)+1,1,-1)</f>
        <v>4875</v>
      </c>
      <c r="I737" s="390">
        <f ca="1">OFFSET(終値履歴!$A52,0,COUNTA(終値履歴!$G52:'終値履歴'!$XFD52)+2,1,-1)</f>
        <v>4945</v>
      </c>
      <c r="J737" s="390">
        <f ca="1">OFFSET(終値履歴!$A52,0,COUNTA(終値履歴!$G52:'終値履歴'!$XFD52)+3,1,-1)</f>
        <v>4890</v>
      </c>
      <c r="K737" s="390">
        <f ca="1">OFFSET(終値履歴!$A52,0,COUNTA(終値履歴!$G52:'終値履歴'!$XFD52)+4,1,-1)</f>
        <v>4900</v>
      </c>
      <c r="L737" s="390">
        <f ca="1">OFFSET(終値履歴!$A52,0,COUNTA(終値履歴!$G52:'終値履歴'!$XFD52)+5,1,-1)</f>
        <v>4860</v>
      </c>
    </row>
    <row r="752" spans="1:12" s="389" customFormat="1" x14ac:dyDescent="0.25">
      <c r="A752" s="393" t="str">
        <f>終値履歴!B53</f>
        <v>ジェイ・エス・ビー</v>
      </c>
      <c r="B752" s="390">
        <f ca="1">OFFSET(終値履歴!$A53,0,COUNTA(終値履歴!$G53:'終値履歴'!$XFD53)-5,1,-1)</f>
        <v>4175</v>
      </c>
      <c r="C752" s="390">
        <f ca="1">OFFSET(終値履歴!$A53,0,COUNTA(終値履歴!$G53:'終値履歴'!$XFD53)-4,1,-1)</f>
        <v>4095</v>
      </c>
      <c r="D752" s="390">
        <f ca="1">OFFSET(終値履歴!$A53,0,COUNTA(終値履歴!$G53:'終値履歴'!$XFD53)-3,1,-1)</f>
        <v>4100</v>
      </c>
      <c r="E752" s="390">
        <f ca="1">OFFSET(終値履歴!$A53,0,COUNTA(終値履歴!$G53:'終値履歴'!$XFD53)-2,1,-1)</f>
        <v>4210</v>
      </c>
      <c r="F752" s="390">
        <f ca="1">OFFSET(終値履歴!$A53,0,COUNTA(終値履歴!$G53:'終値履歴'!$XFD53)-1,1,-1)</f>
        <v>4255</v>
      </c>
      <c r="G752" s="390">
        <f ca="1">OFFSET(終値履歴!$A53,0,COUNTA(終値履歴!$G53:'終値履歴'!$XFD53)+0,1,-1)</f>
        <v>4255</v>
      </c>
      <c r="H752" s="390">
        <f ca="1">OFFSET(終値履歴!$A53,0,COUNTA(終値履歴!$G53:'終値履歴'!$XFD53)+1,1,-1)</f>
        <v>4350</v>
      </c>
      <c r="I752" s="390">
        <f ca="1">OFFSET(終値履歴!$A53,0,COUNTA(終値履歴!$G53:'終値履歴'!$XFD53)+2,1,-1)</f>
        <v>4345</v>
      </c>
      <c r="J752" s="390">
        <f ca="1">OFFSET(終値履歴!$A53,0,COUNTA(終値履歴!$G53:'終値履歴'!$XFD53)+3,1,-1)</f>
        <v>4540</v>
      </c>
      <c r="K752" s="390">
        <f ca="1">OFFSET(終値履歴!$A53,0,COUNTA(終値履歴!$G53:'終値履歴'!$XFD53)+4,1,-1)</f>
        <v>4385</v>
      </c>
      <c r="L752" s="390">
        <f ca="1">OFFSET(終値履歴!$A53,0,COUNTA(終値履歴!$G53:'終値履歴'!$XFD53)+5,1,-1)</f>
        <v>4220</v>
      </c>
    </row>
    <row r="767" spans="1:12" s="389" customFormat="1" x14ac:dyDescent="0.25">
      <c r="A767" s="393" t="str">
        <f>終値履歴!B54</f>
        <v>クロスフォー</v>
      </c>
      <c r="B767" s="390">
        <f ca="1">OFFSET(終値履歴!$A54,0,COUNTA(終値履歴!$G54:'終値履歴'!$XFD54)-5,1,-1)</f>
        <v>1035</v>
      </c>
      <c r="C767" s="390">
        <f ca="1">OFFSET(終値履歴!$A54,0,COUNTA(終値履歴!$G54:'終値履歴'!$XFD54)-4,1,-1)</f>
        <v>1045</v>
      </c>
      <c r="D767" s="390">
        <f ca="1">OFFSET(終値履歴!$A54,0,COUNTA(終値履歴!$G54:'終値履歴'!$XFD54)-3,1,-1)</f>
        <v>1027</v>
      </c>
      <c r="E767" s="390">
        <f ca="1">OFFSET(終値履歴!$A54,0,COUNTA(終値履歴!$G54:'終値履歴'!$XFD54)-2,1,-1)</f>
        <v>1108</v>
      </c>
      <c r="F767" s="390">
        <f ca="1">OFFSET(終値履歴!$A54,0,COUNTA(終値履歴!$G54:'終値履歴'!$XFD54)-1,1,-1)</f>
        <v>1201</v>
      </c>
      <c r="G767" s="390">
        <f ca="1">OFFSET(終値履歴!$A54,0,COUNTA(終値履歴!$G54:'終値履歴'!$XFD54)+0,1,-1)</f>
        <v>1186</v>
      </c>
      <c r="H767" s="390">
        <f ca="1">OFFSET(終値履歴!$A54,0,COUNTA(終値履歴!$G54:'終値履歴'!$XFD54)+1,1,-1)</f>
        <v>1181</v>
      </c>
      <c r="I767" s="390">
        <f ca="1">OFFSET(終値履歴!$A54,0,COUNTA(終値履歴!$G54:'終値履歴'!$XFD54)+2,1,-1)</f>
        <v>1266</v>
      </c>
      <c r="J767" s="390">
        <f ca="1">OFFSET(終値履歴!$A54,0,COUNTA(終値履歴!$G54:'終値履歴'!$XFD54)+3,1,-1)</f>
        <v>1266</v>
      </c>
      <c r="K767" s="390">
        <f ca="1">OFFSET(終値履歴!$A54,0,COUNTA(終値履歴!$G54:'終値履歴'!$XFD54)+4,1,-1)</f>
        <v>1294</v>
      </c>
      <c r="L767" s="390">
        <f ca="1">OFFSET(終値履歴!$A54,0,COUNTA(終値履歴!$G54:'終値履歴'!$XFD54)+5,1,-1)</f>
        <v>1286</v>
      </c>
    </row>
    <row r="782" spans="1:12" s="389" customFormat="1" x14ac:dyDescent="0.25">
      <c r="A782" s="393" t="str">
        <f>終値履歴!B55</f>
        <v>シェアリングテクノロジー</v>
      </c>
      <c r="B782" s="390">
        <f ca="1">OFFSET(終値履歴!$A55,0,COUNTA(終値履歴!$G55:'終値履歴'!$XFD55)-5,1,-1)</f>
        <v>2323</v>
      </c>
      <c r="C782" s="390">
        <f ca="1">OFFSET(終値履歴!$A55,0,COUNTA(終値履歴!$G55:'終値履歴'!$XFD55)-4,1,-1)</f>
        <v>2345</v>
      </c>
      <c r="D782" s="390">
        <f ca="1">OFFSET(終値履歴!$A55,0,COUNTA(終値履歴!$G55:'終値履歴'!$XFD55)-3,1,-1)</f>
        <v>2252</v>
      </c>
      <c r="E782" s="390">
        <f ca="1">OFFSET(終値履歴!$A55,0,COUNTA(終値履歴!$G55:'終値履歴'!$XFD55)-2,1,-1)</f>
        <v>2256</v>
      </c>
      <c r="F782" s="390">
        <f ca="1">OFFSET(終値履歴!$A55,0,COUNTA(終値履歴!$G55:'終値履歴'!$XFD55)-1,1,-1)</f>
        <v>2303</v>
      </c>
      <c r="G782" s="390">
        <f ca="1">OFFSET(終値履歴!$A55,0,COUNTA(終値履歴!$G55:'終値履歴'!$XFD55)+0,1,-1)</f>
        <v>2420</v>
      </c>
      <c r="H782" s="390">
        <f ca="1">OFFSET(終値履歴!$A55,0,COUNTA(終値履歴!$G55:'終値履歴'!$XFD55)+1,1,-1)</f>
        <v>2326</v>
      </c>
      <c r="I782" s="390">
        <f ca="1">OFFSET(終値履歴!$A55,0,COUNTA(終値履歴!$G55:'終値履歴'!$XFD55)+2,1,-1)</f>
        <v>2256</v>
      </c>
      <c r="J782" s="390">
        <f ca="1">OFFSET(終値履歴!$A55,0,COUNTA(終値履歴!$G55:'終値履歴'!$XFD55)+3,1,-1)</f>
        <v>2200</v>
      </c>
      <c r="K782" s="390">
        <f ca="1">OFFSET(終値履歴!$A55,0,COUNTA(終値履歴!$G55:'終値履歴'!$XFD55)+4,1,-1)</f>
        <v>2188</v>
      </c>
      <c r="L782" s="390">
        <f ca="1">OFFSET(終値履歴!$A55,0,COUNTA(終値履歴!$G55:'終値履歴'!$XFD55)+5,1,-1)</f>
        <v>2163</v>
      </c>
    </row>
    <row r="783" spans="1:12" s="389" customFormat="1" x14ac:dyDescent="0.25">
      <c r="A783" s="393" t="str">
        <f>終値履歴!B56</f>
        <v>トランザス</v>
      </c>
      <c r="B783" s="390">
        <f ca="1">OFFSET(終値履歴!$A56,0,COUNTA(終値履歴!$G56:'終値履歴'!$XFD56)-5,1,-1)</f>
        <v>2345</v>
      </c>
      <c r="C783" s="390">
        <f ca="1">OFFSET(終値履歴!$A56,0,COUNTA(終値履歴!$G56:'終値履歴'!$XFD56)-4,1,-1)</f>
        <v>2337</v>
      </c>
      <c r="D783" s="390">
        <f ca="1">OFFSET(終値履歴!$A56,0,COUNTA(終値履歴!$G56:'終値履歴'!$XFD56)-3,1,-1)</f>
        <v>2310</v>
      </c>
      <c r="E783" s="390">
        <f ca="1">OFFSET(終値履歴!$A56,0,COUNTA(終値履歴!$G56:'終値履歴'!$XFD56)-2,1,-1)</f>
        <v>2277</v>
      </c>
      <c r="F783" s="390">
        <f ca="1">OFFSET(終値履歴!$A56,0,COUNTA(終値履歴!$G56:'終値履歴'!$XFD56)-1,1,-1)</f>
        <v>2409</v>
      </c>
      <c r="G783" s="390">
        <f ca="1">OFFSET(終値履歴!$A56,0,COUNTA(終値履歴!$G56:'終値履歴'!$XFD56)+0,1,-1)</f>
        <v>2386</v>
      </c>
      <c r="H783" s="390">
        <f ca="1">OFFSET(終値履歴!$A56,0,COUNTA(終値履歴!$G56:'終値履歴'!$XFD56)+1,1,-1)</f>
        <v>2372</v>
      </c>
      <c r="I783" s="390">
        <f ca="1">OFFSET(終値履歴!$A56,0,COUNTA(終値履歴!$G56:'終値履歴'!$XFD56)+2,1,-1)</f>
        <v>2284</v>
      </c>
      <c r="J783" s="390">
        <f ca="1">OFFSET(終値履歴!$A56,0,COUNTA(終値履歴!$G56:'終値履歴'!$XFD56)+3,1,-1)</f>
        <v>2305</v>
      </c>
      <c r="K783" s="390">
        <f ca="1">OFFSET(終値履歴!$A56,0,COUNTA(終値履歴!$G56:'終値履歴'!$XFD56)+4,1,-1)</f>
        <v>2311</v>
      </c>
      <c r="L783" s="390">
        <f ca="1">OFFSET(終値履歴!$A56,0,COUNTA(終値履歴!$G56:'終値履歴'!$XFD56)+5,1,-1)</f>
        <v>2310</v>
      </c>
    </row>
    <row r="784" spans="1:12" x14ac:dyDescent="0.25">
      <c r="A784" s="392" t="str">
        <f>終値履歴!B57</f>
        <v>ＵＵＵＭ</v>
      </c>
      <c r="B784" s="391">
        <f ca="1">OFFSET(終値履歴!$A57,0,COUNTA(終値履歴!$G57:'終値履歴'!$XFD57)-5,1,-1)</f>
        <v>5020</v>
      </c>
      <c r="C784" s="391">
        <f ca="1">OFFSET(終値履歴!$A57,0,COUNTA(終値履歴!$G57:'終値履歴'!$XFD57)-4,1,-1)</f>
        <v>5390</v>
      </c>
      <c r="D784" s="391">
        <f ca="1">OFFSET(終値履歴!$A57,0,COUNTA(終値履歴!$G57:'終値履歴'!$XFD57)-3,1,-1)</f>
        <v>5500</v>
      </c>
      <c r="E784" s="391">
        <f ca="1">OFFSET(終値履歴!$A57,0,COUNTA(終値履歴!$G57:'終値履歴'!$XFD57)-2,1,-1)</f>
        <v>5680</v>
      </c>
      <c r="F784" s="391">
        <f ca="1">OFFSET(終値履歴!$A57,0,COUNTA(終値履歴!$G57:'終値履歴'!$XFD57)-1,1,-1)</f>
        <v>5530</v>
      </c>
      <c r="G784" s="391">
        <f ca="1">OFFSET(終値履歴!$A57,0,COUNTA(終値履歴!$G57:'終値履歴'!$XFD57)+0,1,-1)</f>
        <v>5260</v>
      </c>
      <c r="H784" s="391">
        <f ca="1">OFFSET(終値履歴!$A57,0,COUNTA(終値履歴!$G57:'終値履歴'!$XFD57)+1,1,-1)</f>
        <v>5060</v>
      </c>
      <c r="I784" s="391">
        <f ca="1">OFFSET(終値履歴!$A57,0,COUNTA(終値履歴!$G57:'終値履歴'!$XFD57)+2,1,-1)</f>
        <v>5110</v>
      </c>
      <c r="J784" s="391">
        <f ca="1">OFFSET(終値履歴!$A57,0,COUNTA(終値履歴!$G57:'終値履歴'!$XFD57)+3,1,-1)</f>
        <v>5460</v>
      </c>
      <c r="K784" s="391">
        <f ca="1">OFFSET(終値履歴!$A57,0,COUNTA(終値履歴!$G57:'終値履歴'!$XFD57)+4,1,-1)</f>
        <v>5490</v>
      </c>
      <c r="L784" s="391">
        <f ca="1">OFFSET(終値履歴!$A57,0,COUNTA(終値履歴!$G57:'終値履歴'!$XFD57)+5,1,-1)</f>
        <v>5310</v>
      </c>
    </row>
  </sheetData>
  <phoneticPr fontId="2"/>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x14ac:dyDescent="0.25"/>
  <cols>
    <col min="1" max="1" width="3.33203125" style="135" customWidth="1"/>
    <col min="2" max="16384" width="8.21875" style="135"/>
  </cols>
  <sheetData>
    <row r="2" spans="2:25" s="172" customFormat="1" ht="19.5" x14ac:dyDescent="0.25">
      <c r="B2" s="171" t="s">
        <v>269</v>
      </c>
    </row>
    <row r="3" spans="2:25" ht="16.5" thickBot="1" x14ac:dyDescent="0.3">
      <c r="B3" s="135" t="s">
        <v>270</v>
      </c>
    </row>
    <row r="4" spans="2:25" x14ac:dyDescent="0.25">
      <c r="C4" s="173" t="s">
        <v>271</v>
      </c>
      <c r="D4" s="174"/>
      <c r="E4" s="174"/>
      <c r="F4" s="174"/>
      <c r="G4" s="174"/>
      <c r="H4" s="174"/>
      <c r="I4" s="174"/>
      <c r="J4" s="175"/>
      <c r="O4" s="176"/>
      <c r="P4" s="177" t="s">
        <v>272</v>
      </c>
      <c r="Q4" s="178"/>
      <c r="R4" s="179"/>
      <c r="S4" s="178"/>
      <c r="T4" s="174"/>
      <c r="U4" s="174"/>
      <c r="V4" s="174"/>
      <c r="W4" s="175"/>
    </row>
    <row r="5" spans="2:25" x14ac:dyDescent="0.25">
      <c r="C5" s="180" t="s">
        <v>273</v>
      </c>
      <c r="D5" s="181"/>
      <c r="E5" s="181"/>
      <c r="F5" s="181"/>
      <c r="G5" s="181"/>
      <c r="H5" s="181"/>
      <c r="I5" s="181"/>
      <c r="J5" s="182"/>
      <c r="O5" s="176"/>
      <c r="P5" s="183"/>
      <c r="Q5" s="184" t="s">
        <v>274</v>
      </c>
      <c r="R5" s="185"/>
      <c r="S5" s="184"/>
      <c r="T5" s="181"/>
      <c r="U5" s="181"/>
      <c r="V5" s="181"/>
      <c r="W5" s="182"/>
    </row>
    <row r="6" spans="2:25" ht="16.5" thickBot="1" x14ac:dyDescent="0.3">
      <c r="C6" s="186" t="s">
        <v>275</v>
      </c>
      <c r="D6" s="187"/>
      <c r="E6" s="187"/>
      <c r="F6" s="187"/>
      <c r="G6" s="187"/>
      <c r="H6" s="187"/>
      <c r="I6" s="187"/>
      <c r="J6" s="188"/>
      <c r="K6" s="135" t="s">
        <v>276</v>
      </c>
      <c r="L6" s="135" t="s">
        <v>277</v>
      </c>
      <c r="M6" s="189" t="s">
        <v>278</v>
      </c>
      <c r="P6" s="190"/>
      <c r="Q6" s="184" t="s">
        <v>279</v>
      </c>
      <c r="R6" s="181"/>
      <c r="S6" s="184"/>
      <c r="T6" s="181"/>
      <c r="U6" s="181"/>
      <c r="V6" s="181"/>
      <c r="W6" s="182"/>
    </row>
    <row r="7" spans="2:25" ht="16.5" thickBot="1" x14ac:dyDescent="0.3">
      <c r="P7" s="190"/>
      <c r="Q7" s="184" t="s">
        <v>280</v>
      </c>
      <c r="R7" s="181"/>
      <c r="S7" s="184"/>
      <c r="T7" s="181"/>
      <c r="U7" s="181"/>
      <c r="V7" s="181"/>
      <c r="W7" s="182"/>
    </row>
    <row r="8" spans="2:25" x14ac:dyDescent="0.25">
      <c r="C8" s="173" t="s">
        <v>281</v>
      </c>
      <c r="D8" s="174"/>
      <c r="E8" s="174"/>
      <c r="F8" s="174"/>
      <c r="G8" s="174"/>
      <c r="H8" s="174"/>
      <c r="I8" s="174"/>
      <c r="J8" s="175"/>
      <c r="P8" s="190"/>
      <c r="Q8" s="184" t="s">
        <v>282</v>
      </c>
      <c r="R8" s="181"/>
      <c r="S8" s="184"/>
      <c r="T8" s="181"/>
      <c r="U8" s="181"/>
      <c r="V8" s="181"/>
      <c r="W8" s="182"/>
    </row>
    <row r="9" spans="2:25" ht="16.5" thickBot="1" x14ac:dyDescent="0.3">
      <c r="C9" s="180" t="s">
        <v>283</v>
      </c>
      <c r="D9" s="181"/>
      <c r="E9" s="181"/>
      <c r="F9" s="181"/>
      <c r="G9" s="181"/>
      <c r="H9" s="181"/>
      <c r="I9" s="181"/>
      <c r="J9" s="182"/>
      <c r="P9" s="186"/>
      <c r="Q9" s="191" t="s">
        <v>284</v>
      </c>
      <c r="R9" s="187"/>
      <c r="S9" s="187"/>
      <c r="T9" s="187"/>
      <c r="U9" s="187"/>
      <c r="V9" s="187"/>
      <c r="W9" s="188"/>
    </row>
    <row r="10" spans="2:25" ht="16.5" thickBot="1" x14ac:dyDescent="0.3">
      <c r="C10" s="186" t="s">
        <v>285</v>
      </c>
      <c r="D10" s="187"/>
      <c r="E10" s="187"/>
      <c r="F10" s="187"/>
      <c r="G10" s="187"/>
      <c r="H10" s="187" t="s">
        <v>286</v>
      </c>
      <c r="I10" s="187"/>
      <c r="J10" s="188"/>
      <c r="K10" s="135" t="s">
        <v>276</v>
      </c>
      <c r="L10" s="135" t="s">
        <v>287</v>
      </c>
      <c r="M10" s="189" t="s">
        <v>288</v>
      </c>
    </row>
    <row r="12" spans="2:25" x14ac:dyDescent="0.25">
      <c r="C12" s="192" t="s">
        <v>289</v>
      </c>
    </row>
    <row r="14" spans="2:25" ht="16.5" thickBot="1" x14ac:dyDescent="0.3">
      <c r="B14" s="135" t="s">
        <v>290</v>
      </c>
      <c r="W14" s="460" t="s">
        <v>276</v>
      </c>
      <c r="X14" s="460"/>
      <c r="Y14" s="460"/>
    </row>
    <row r="15" spans="2:25" ht="16.5" thickTop="1" x14ac:dyDescent="0.25">
      <c r="B15" s="193" t="s">
        <v>291</v>
      </c>
      <c r="C15" s="135" t="s">
        <v>292</v>
      </c>
      <c r="K15" s="135" t="s">
        <v>293</v>
      </c>
      <c r="O15" s="135" t="s">
        <v>294</v>
      </c>
      <c r="W15" s="135" t="s">
        <v>295</v>
      </c>
      <c r="Y15" s="135" t="s">
        <v>296</v>
      </c>
    </row>
    <row r="16" spans="2:25" ht="16.5" thickBot="1" x14ac:dyDescent="0.3">
      <c r="B16" s="193" t="s">
        <v>297</v>
      </c>
      <c r="C16" s="135" t="s">
        <v>298</v>
      </c>
      <c r="O16" s="135" t="s">
        <v>299</v>
      </c>
    </row>
    <row r="17" spans="2:25" ht="16.5" thickBot="1" x14ac:dyDescent="0.3">
      <c r="C17" s="135" t="s">
        <v>300</v>
      </c>
      <c r="L17" s="461" t="s">
        <v>276</v>
      </c>
      <c r="M17" s="462"/>
      <c r="N17" s="463"/>
      <c r="O17" s="135" t="s">
        <v>301</v>
      </c>
      <c r="W17" s="135" t="s">
        <v>302</v>
      </c>
      <c r="Y17" s="135" t="s">
        <v>303</v>
      </c>
    </row>
    <row r="18" spans="2:25" ht="16.5" thickTop="1" x14ac:dyDescent="0.25">
      <c r="B18" s="193" t="s">
        <v>304</v>
      </c>
      <c r="C18" s="135" t="s">
        <v>305</v>
      </c>
      <c r="L18" s="190" t="s">
        <v>306</v>
      </c>
      <c r="M18" s="194" t="s">
        <v>307</v>
      </c>
      <c r="N18" s="182"/>
      <c r="O18" s="135" t="s">
        <v>308</v>
      </c>
    </row>
    <row r="19" spans="2:25" x14ac:dyDescent="0.25">
      <c r="B19" s="193" t="s">
        <v>309</v>
      </c>
      <c r="C19" s="135" t="s">
        <v>310</v>
      </c>
      <c r="L19" s="190" t="s">
        <v>311</v>
      </c>
      <c r="M19" s="194"/>
      <c r="N19" s="182"/>
      <c r="O19" s="135" t="s">
        <v>312</v>
      </c>
      <c r="W19" s="135" t="s">
        <v>313</v>
      </c>
      <c r="Y19" s="135" t="s">
        <v>314</v>
      </c>
    </row>
    <row r="20" spans="2:25" x14ac:dyDescent="0.25">
      <c r="B20" s="193" t="s">
        <v>315</v>
      </c>
      <c r="C20" s="135" t="s">
        <v>316</v>
      </c>
      <c r="L20" s="190" t="s">
        <v>317</v>
      </c>
      <c r="M20" s="194" t="s">
        <v>318</v>
      </c>
      <c r="N20" s="182"/>
      <c r="O20" s="135" t="s">
        <v>319</v>
      </c>
      <c r="W20" s="135" t="s">
        <v>320</v>
      </c>
      <c r="Y20" s="135" t="s">
        <v>321</v>
      </c>
    </row>
    <row r="21" spans="2:25" ht="16.5" thickBot="1" x14ac:dyDescent="0.3">
      <c r="B21" s="193" t="s">
        <v>322</v>
      </c>
      <c r="C21" s="135" t="s">
        <v>323</v>
      </c>
      <c r="L21" s="186" t="s">
        <v>324</v>
      </c>
      <c r="M21" s="187" t="s">
        <v>325</v>
      </c>
      <c r="N21" s="188"/>
    </row>
    <row r="23" spans="2:25" x14ac:dyDescent="0.25">
      <c r="B23" s="195"/>
      <c r="C23" s="196" t="s">
        <v>326</v>
      </c>
      <c r="D23" s="195"/>
    </row>
    <row r="24" spans="2:25" x14ac:dyDescent="0.25">
      <c r="B24" s="197"/>
    </row>
    <row r="25" spans="2:25" x14ac:dyDescent="0.25">
      <c r="B25" s="197"/>
    </row>
    <row r="26" spans="2:25" x14ac:dyDescent="0.25">
      <c r="B26" s="197"/>
    </row>
    <row r="27" spans="2:25" x14ac:dyDescent="0.25">
      <c r="B27" s="197"/>
    </row>
    <row r="28" spans="2:25" x14ac:dyDescent="0.25">
      <c r="B28" s="197"/>
    </row>
    <row r="29" spans="2:25" x14ac:dyDescent="0.25">
      <c r="B29" s="197"/>
    </row>
    <row r="30" spans="2:25" x14ac:dyDescent="0.25">
      <c r="B30" s="197"/>
    </row>
    <row r="31" spans="2:25" x14ac:dyDescent="0.25">
      <c r="B31" s="197"/>
    </row>
    <row r="32" spans="2:25" x14ac:dyDescent="0.25">
      <c r="B32" s="197"/>
    </row>
    <row r="33" spans="2:5" x14ac:dyDescent="0.25">
      <c r="B33" s="197"/>
    </row>
    <row r="34" spans="2:5" x14ac:dyDescent="0.25">
      <c r="B34" s="197"/>
    </row>
    <row r="35" spans="2:5" x14ac:dyDescent="0.25">
      <c r="B35" s="197"/>
    </row>
    <row r="36" spans="2:5" x14ac:dyDescent="0.25">
      <c r="B36" s="197"/>
    </row>
    <row r="37" spans="2:5" x14ac:dyDescent="0.25">
      <c r="B37" s="197"/>
    </row>
    <row r="38" spans="2:5" x14ac:dyDescent="0.25">
      <c r="B38" s="197"/>
    </row>
    <row r="39" spans="2:5" x14ac:dyDescent="0.25">
      <c r="B39" s="197"/>
    </row>
    <row r="40" spans="2:5" x14ac:dyDescent="0.25">
      <c r="B40" s="197"/>
    </row>
    <row r="41" spans="2:5" x14ac:dyDescent="0.25">
      <c r="B41" s="197"/>
    </row>
    <row r="42" spans="2:5" x14ac:dyDescent="0.25">
      <c r="B42" s="197"/>
    </row>
    <row r="43" spans="2:5" x14ac:dyDescent="0.25">
      <c r="B43" s="197"/>
    </row>
    <row r="44" spans="2:5" x14ac:dyDescent="0.25">
      <c r="B44" s="197"/>
    </row>
    <row r="45" spans="2:5" x14ac:dyDescent="0.25">
      <c r="B45" s="197"/>
    </row>
    <row r="46" spans="2:5" x14ac:dyDescent="0.25">
      <c r="B46" s="197"/>
    </row>
    <row r="47" spans="2:5" ht="16.5" x14ac:dyDescent="0.25">
      <c r="B47" s="197"/>
      <c r="C47" s="198" t="s">
        <v>327</v>
      </c>
      <c r="D47" s="198"/>
      <c r="E47" s="198"/>
    </row>
    <row r="48" spans="2:5" x14ac:dyDescent="0.25">
      <c r="B48" s="197"/>
      <c r="C48" s="135" t="s">
        <v>328</v>
      </c>
    </row>
    <row r="49" spans="2:11" x14ac:dyDescent="0.25">
      <c r="B49" s="197"/>
      <c r="C49" s="135" t="s">
        <v>329</v>
      </c>
      <c r="K49" s="199" t="s">
        <v>278</v>
      </c>
    </row>
    <row r="50" spans="2:11" x14ac:dyDescent="0.25">
      <c r="B50" s="197"/>
      <c r="C50" s="192" t="s">
        <v>330</v>
      </c>
    </row>
    <row r="51" spans="2:11" x14ac:dyDescent="0.25">
      <c r="B51" s="197"/>
      <c r="C51" s="135" t="s">
        <v>331</v>
      </c>
    </row>
    <row r="52" spans="2:11" x14ac:dyDescent="0.25">
      <c r="B52" s="197"/>
      <c r="C52" s="135" t="s">
        <v>332</v>
      </c>
    </row>
    <row r="53" spans="2:11" x14ac:dyDescent="0.25">
      <c r="B53" s="197"/>
      <c r="C53" s="135" t="s">
        <v>333</v>
      </c>
    </row>
    <row r="54" spans="2:11" x14ac:dyDescent="0.25">
      <c r="B54" s="197"/>
      <c r="C54" s="135" t="s">
        <v>334</v>
      </c>
    </row>
    <row r="55" spans="2:11" x14ac:dyDescent="0.25">
      <c r="B55" s="197"/>
    </row>
    <row r="56" spans="2:11" x14ac:dyDescent="0.25">
      <c r="B56" s="197"/>
    </row>
    <row r="57" spans="2:11" x14ac:dyDescent="0.25">
      <c r="B57" s="197"/>
    </row>
    <row r="58" spans="2:11" x14ac:dyDescent="0.25">
      <c r="B58" s="197"/>
    </row>
    <row r="59" spans="2:11" x14ac:dyDescent="0.25">
      <c r="B59" s="197"/>
    </row>
    <row r="60" spans="2:11" x14ac:dyDescent="0.25">
      <c r="B60" s="197"/>
    </row>
    <row r="61" spans="2:11" x14ac:dyDescent="0.25">
      <c r="B61" s="197"/>
    </row>
    <row r="62" spans="2:11" x14ac:dyDescent="0.25">
      <c r="B62" s="197"/>
    </row>
    <row r="63" spans="2:11" x14ac:dyDescent="0.25">
      <c r="B63" s="197"/>
    </row>
    <row r="64" spans="2:11" x14ac:dyDescent="0.25">
      <c r="B64" s="197"/>
    </row>
    <row r="65" spans="2:3" x14ac:dyDescent="0.25">
      <c r="B65" s="197"/>
    </row>
    <row r="66" spans="2:3" x14ac:dyDescent="0.25">
      <c r="B66" s="197"/>
    </row>
    <row r="67" spans="2:3" x14ac:dyDescent="0.25">
      <c r="B67" s="197"/>
    </row>
    <row r="68" spans="2:3" x14ac:dyDescent="0.25">
      <c r="B68" s="197"/>
    </row>
    <row r="69" spans="2:3" x14ac:dyDescent="0.25">
      <c r="B69" s="197"/>
    </row>
    <row r="70" spans="2:3" x14ac:dyDescent="0.25">
      <c r="B70" s="197"/>
    </row>
    <row r="71" spans="2:3" x14ac:dyDescent="0.25">
      <c r="B71" s="197"/>
    </row>
    <row r="72" spans="2:3" x14ac:dyDescent="0.25">
      <c r="B72" s="197"/>
    </row>
    <row r="73" spans="2:3" x14ac:dyDescent="0.25">
      <c r="B73" s="197"/>
    </row>
    <row r="74" spans="2:3" x14ac:dyDescent="0.25">
      <c r="B74" s="197"/>
    </row>
    <row r="75" spans="2:3" x14ac:dyDescent="0.25">
      <c r="B75" s="197"/>
    </row>
    <row r="76" spans="2:3" x14ac:dyDescent="0.25">
      <c r="B76" s="197"/>
    </row>
    <row r="77" spans="2:3" x14ac:dyDescent="0.25">
      <c r="B77" s="197"/>
    </row>
    <row r="78" spans="2:3" x14ac:dyDescent="0.25">
      <c r="B78" s="197"/>
    </row>
    <row r="79" spans="2:3" x14ac:dyDescent="0.25">
      <c r="B79" s="197"/>
    </row>
    <row r="80" spans="2:3" ht="16.5" x14ac:dyDescent="0.25">
      <c r="B80" s="197"/>
      <c r="C80" s="198" t="s">
        <v>335</v>
      </c>
    </row>
    <row r="81" spans="2:24" x14ac:dyDescent="0.25">
      <c r="B81" s="197"/>
      <c r="C81" s="135" t="s">
        <v>336</v>
      </c>
      <c r="V81" s="192"/>
      <c r="X81" s="192"/>
    </row>
    <row r="82" spans="2:24" x14ac:dyDescent="0.25">
      <c r="B82" s="197"/>
      <c r="C82" s="135" t="s">
        <v>337</v>
      </c>
      <c r="P82" s="199" t="s">
        <v>288</v>
      </c>
    </row>
    <row r="83" spans="2:24" x14ac:dyDescent="0.25">
      <c r="B83" s="197"/>
      <c r="C83" s="192" t="s">
        <v>330</v>
      </c>
      <c r="X83" s="192"/>
    </row>
    <row r="84" spans="2:24" ht="16.5" x14ac:dyDescent="0.25">
      <c r="B84" s="197"/>
      <c r="C84" s="135" t="s">
        <v>338</v>
      </c>
      <c r="X84" s="198"/>
    </row>
    <row r="85" spans="2:24" x14ac:dyDescent="0.25">
      <c r="B85" s="197"/>
      <c r="C85" s="135" t="s">
        <v>339</v>
      </c>
    </row>
    <row r="86" spans="2:24" x14ac:dyDescent="0.25">
      <c r="B86" s="197"/>
      <c r="C86" s="135" t="s">
        <v>340</v>
      </c>
    </row>
    <row r="87" spans="2:24" x14ac:dyDescent="0.25">
      <c r="B87" s="197"/>
    </row>
    <row r="88" spans="2:24" x14ac:dyDescent="0.25">
      <c r="B88" s="197"/>
    </row>
    <row r="89" spans="2:24" x14ac:dyDescent="0.25">
      <c r="B89" s="197"/>
    </row>
    <row r="90" spans="2:24" x14ac:dyDescent="0.25">
      <c r="B90" s="197"/>
    </row>
    <row r="91" spans="2:24" x14ac:dyDescent="0.25">
      <c r="B91" s="197"/>
    </row>
    <row r="92" spans="2:24" x14ac:dyDescent="0.25">
      <c r="B92" s="197"/>
    </row>
    <row r="93" spans="2:24" x14ac:dyDescent="0.25">
      <c r="B93" s="197"/>
    </row>
    <row r="94" spans="2:24" x14ac:dyDescent="0.25">
      <c r="B94" s="197"/>
    </row>
    <row r="95" spans="2:24" x14ac:dyDescent="0.25">
      <c r="B95" s="197"/>
    </row>
    <row r="96" spans="2:24" x14ac:dyDescent="0.25">
      <c r="B96" s="197"/>
    </row>
    <row r="97" spans="2:3" x14ac:dyDescent="0.25">
      <c r="B97" s="197"/>
    </row>
    <row r="98" spans="2:3" x14ac:dyDescent="0.25">
      <c r="B98" s="197"/>
    </row>
    <row r="99" spans="2:3" x14ac:dyDescent="0.25">
      <c r="B99" s="197"/>
    </row>
    <row r="100" spans="2:3" x14ac:dyDescent="0.25">
      <c r="B100" s="197"/>
    </row>
    <row r="101" spans="2:3" x14ac:dyDescent="0.25">
      <c r="B101" s="197"/>
    </row>
    <row r="102" spans="2:3" x14ac:dyDescent="0.25">
      <c r="B102" s="197"/>
    </row>
    <row r="103" spans="2:3" x14ac:dyDescent="0.25">
      <c r="B103" s="197"/>
    </row>
    <row r="104" spans="2:3" x14ac:dyDescent="0.25">
      <c r="B104" s="197"/>
    </row>
    <row r="105" spans="2:3" x14ac:dyDescent="0.25">
      <c r="B105" s="197"/>
    </row>
    <row r="106" spans="2:3" x14ac:dyDescent="0.25">
      <c r="B106" s="197"/>
    </row>
    <row r="107" spans="2:3" x14ac:dyDescent="0.25">
      <c r="B107" s="197"/>
    </row>
    <row r="108" spans="2:3" x14ac:dyDescent="0.25">
      <c r="B108" s="197"/>
    </row>
    <row r="109" spans="2:3" x14ac:dyDescent="0.25">
      <c r="B109" s="197"/>
    </row>
    <row r="110" spans="2:3" x14ac:dyDescent="0.25">
      <c r="B110" s="197"/>
    </row>
    <row r="111" spans="2:3" x14ac:dyDescent="0.25">
      <c r="B111" s="197"/>
    </row>
    <row r="112" spans="2:3" ht="16.5" x14ac:dyDescent="0.25">
      <c r="B112" s="197"/>
      <c r="C112" s="198" t="s">
        <v>341</v>
      </c>
    </row>
    <row r="113" spans="2:16" x14ac:dyDescent="0.25">
      <c r="B113" s="197"/>
      <c r="C113" s="135" t="s">
        <v>342</v>
      </c>
    </row>
    <row r="114" spans="2:16" x14ac:dyDescent="0.25">
      <c r="B114" s="197"/>
      <c r="C114" s="135" t="s">
        <v>343</v>
      </c>
      <c r="P114" s="199" t="s">
        <v>318</v>
      </c>
    </row>
    <row r="115" spans="2:16" x14ac:dyDescent="0.25">
      <c r="B115" s="197"/>
      <c r="C115" s="192" t="s">
        <v>330</v>
      </c>
    </row>
    <row r="116" spans="2:16" x14ac:dyDescent="0.25">
      <c r="B116" s="197"/>
      <c r="C116" s="135" t="s">
        <v>344</v>
      </c>
    </row>
    <row r="117" spans="2:16" x14ac:dyDescent="0.25">
      <c r="B117" s="197"/>
      <c r="C117" s="135" t="s">
        <v>345</v>
      </c>
    </row>
    <row r="118" spans="2:16" x14ac:dyDescent="0.25">
      <c r="B118" s="197"/>
    </row>
    <row r="119" spans="2:16" x14ac:dyDescent="0.25">
      <c r="B119" s="197"/>
    </row>
    <row r="120" spans="2:16" x14ac:dyDescent="0.25">
      <c r="B120" s="197"/>
    </row>
    <row r="121" spans="2:16" x14ac:dyDescent="0.25">
      <c r="B121" s="197"/>
    </row>
    <row r="122" spans="2:16" x14ac:dyDescent="0.25">
      <c r="B122" s="197"/>
    </row>
    <row r="123" spans="2:16" x14ac:dyDescent="0.25">
      <c r="B123" s="197"/>
    </row>
    <row r="124" spans="2:16" x14ac:dyDescent="0.25">
      <c r="B124" s="197"/>
    </row>
    <row r="125" spans="2:16" x14ac:dyDescent="0.25">
      <c r="B125" s="197"/>
    </row>
    <row r="126" spans="2:16" x14ac:dyDescent="0.25">
      <c r="B126" s="197"/>
    </row>
    <row r="127" spans="2:16" x14ac:dyDescent="0.25">
      <c r="B127" s="197"/>
    </row>
    <row r="128" spans="2:16" x14ac:dyDescent="0.25">
      <c r="B128" s="197"/>
    </row>
    <row r="129" spans="2:3" x14ac:dyDescent="0.25">
      <c r="B129" s="197"/>
    </row>
    <row r="130" spans="2:3" x14ac:dyDescent="0.25">
      <c r="B130" s="197"/>
    </row>
    <row r="131" spans="2:3" x14ac:dyDescent="0.25">
      <c r="B131" s="197"/>
    </row>
    <row r="132" spans="2:3" x14ac:dyDescent="0.25">
      <c r="B132" s="197"/>
    </row>
    <row r="133" spans="2:3" x14ac:dyDescent="0.25">
      <c r="B133" s="197"/>
    </row>
    <row r="134" spans="2:3" x14ac:dyDescent="0.25">
      <c r="B134" s="197"/>
    </row>
    <row r="135" spans="2:3" x14ac:dyDescent="0.25">
      <c r="B135" s="197"/>
    </row>
    <row r="136" spans="2:3" x14ac:dyDescent="0.25">
      <c r="B136" s="197"/>
    </row>
    <row r="137" spans="2:3" x14ac:dyDescent="0.25">
      <c r="B137" s="197"/>
    </row>
    <row r="138" spans="2:3" x14ac:dyDescent="0.25">
      <c r="B138" s="197"/>
    </row>
    <row r="139" spans="2:3" x14ac:dyDescent="0.25">
      <c r="B139" s="197"/>
    </row>
    <row r="140" spans="2:3" x14ac:dyDescent="0.25">
      <c r="B140" s="197"/>
    </row>
    <row r="141" spans="2:3" x14ac:dyDescent="0.25">
      <c r="B141" s="197"/>
    </row>
    <row r="142" spans="2:3" x14ac:dyDescent="0.25">
      <c r="B142" s="197"/>
    </row>
    <row r="143" spans="2:3" ht="16.5" x14ac:dyDescent="0.25">
      <c r="B143" s="197"/>
      <c r="C143" s="198" t="s">
        <v>346</v>
      </c>
    </row>
    <row r="144" spans="2:3" x14ac:dyDescent="0.25">
      <c r="B144" s="197"/>
      <c r="C144" s="135" t="s">
        <v>347</v>
      </c>
    </row>
    <row r="145" spans="2:3" x14ac:dyDescent="0.25">
      <c r="B145" s="197"/>
      <c r="C145" s="135" t="s">
        <v>348</v>
      </c>
    </row>
    <row r="146" spans="2:3" x14ac:dyDescent="0.25">
      <c r="B146" s="197"/>
      <c r="C146" s="192" t="s">
        <v>330</v>
      </c>
    </row>
    <row r="147" spans="2:3" x14ac:dyDescent="0.25">
      <c r="B147" s="197"/>
      <c r="C147" s="135" t="s">
        <v>349</v>
      </c>
    </row>
    <row r="148" spans="2:3" x14ac:dyDescent="0.25">
      <c r="B148" s="197"/>
      <c r="C148" s="135" t="s">
        <v>350</v>
      </c>
    </row>
    <row r="149" spans="2:3" x14ac:dyDescent="0.25">
      <c r="B149" s="197"/>
    </row>
    <row r="150" spans="2:3" x14ac:dyDescent="0.25">
      <c r="B150" s="197"/>
    </row>
    <row r="151" spans="2:3" x14ac:dyDescent="0.25">
      <c r="B151" s="197"/>
    </row>
    <row r="152" spans="2:3" x14ac:dyDescent="0.25">
      <c r="B152" s="197"/>
    </row>
    <row r="153" spans="2:3" x14ac:dyDescent="0.25">
      <c r="B153" s="197"/>
    </row>
    <row r="154" spans="2:3" x14ac:dyDescent="0.25">
      <c r="B154" s="197"/>
    </row>
    <row r="155" spans="2:3" x14ac:dyDescent="0.25">
      <c r="B155" s="197"/>
    </row>
    <row r="156" spans="2:3" x14ac:dyDescent="0.25">
      <c r="B156" s="197"/>
    </row>
    <row r="157" spans="2:3" x14ac:dyDescent="0.25">
      <c r="B157" s="197"/>
    </row>
    <row r="158" spans="2:3" x14ac:dyDescent="0.25">
      <c r="B158" s="197"/>
    </row>
    <row r="159" spans="2:3" x14ac:dyDescent="0.25">
      <c r="B159" s="197"/>
    </row>
    <row r="160" spans="2:3" x14ac:dyDescent="0.25">
      <c r="B160" s="197"/>
    </row>
    <row r="161" spans="2:16" x14ac:dyDescent="0.25">
      <c r="B161" s="197"/>
    </row>
    <row r="162" spans="2:16" x14ac:dyDescent="0.25">
      <c r="B162" s="197"/>
    </row>
    <row r="163" spans="2:16" x14ac:dyDescent="0.25">
      <c r="B163" s="197"/>
    </row>
    <row r="164" spans="2:16" x14ac:dyDescent="0.25">
      <c r="B164" s="197"/>
    </row>
    <row r="165" spans="2:16" x14ac:dyDescent="0.25">
      <c r="B165" s="197"/>
    </row>
    <row r="166" spans="2:16" x14ac:dyDescent="0.25">
      <c r="B166" s="197"/>
    </row>
    <row r="167" spans="2:16" x14ac:dyDescent="0.25">
      <c r="B167" s="197"/>
    </row>
    <row r="168" spans="2:16" x14ac:dyDescent="0.25">
      <c r="B168" s="197"/>
    </row>
    <row r="169" spans="2:16" x14ac:dyDescent="0.25">
      <c r="B169" s="197"/>
    </row>
    <row r="170" spans="2:16" x14ac:dyDescent="0.25">
      <c r="B170" s="197"/>
    </row>
    <row r="171" spans="2:16" x14ac:dyDescent="0.25">
      <c r="B171" s="197"/>
    </row>
    <row r="172" spans="2:16" x14ac:dyDescent="0.25">
      <c r="B172" s="197"/>
    </row>
    <row r="173" spans="2:16" x14ac:dyDescent="0.25">
      <c r="B173" s="197"/>
    </row>
    <row r="174" spans="2:16" x14ac:dyDescent="0.25">
      <c r="B174" s="197"/>
    </row>
    <row r="175" spans="2:16" ht="16.5" x14ac:dyDescent="0.25">
      <c r="B175" s="197"/>
      <c r="C175" s="198" t="s">
        <v>351</v>
      </c>
      <c r="O175" s="135" t="s">
        <v>352</v>
      </c>
    </row>
    <row r="176" spans="2:16" x14ac:dyDescent="0.25">
      <c r="B176" s="197"/>
      <c r="C176" s="135" t="s">
        <v>353</v>
      </c>
      <c r="P176" s="199" t="s">
        <v>354</v>
      </c>
    </row>
    <row r="177" spans="2:3" x14ac:dyDescent="0.25">
      <c r="B177" s="197"/>
      <c r="C177" s="135" t="s">
        <v>355</v>
      </c>
    </row>
    <row r="178" spans="2:3" x14ac:dyDescent="0.25">
      <c r="B178" s="197"/>
      <c r="C178" s="192" t="s">
        <v>330</v>
      </c>
    </row>
    <row r="179" spans="2:3" x14ac:dyDescent="0.25">
      <c r="B179" s="197"/>
      <c r="C179" s="135" t="s">
        <v>356</v>
      </c>
    </row>
    <row r="180" spans="2:3" x14ac:dyDescent="0.25">
      <c r="B180" s="197"/>
      <c r="C180" s="135" t="s">
        <v>357</v>
      </c>
    </row>
    <row r="181" spans="2:3" x14ac:dyDescent="0.25">
      <c r="B181" s="197"/>
    </row>
    <row r="182" spans="2:3" x14ac:dyDescent="0.25">
      <c r="B182" s="197"/>
    </row>
    <row r="183" spans="2:3" x14ac:dyDescent="0.25">
      <c r="B183" s="197"/>
    </row>
    <row r="184" spans="2:3" x14ac:dyDescent="0.25">
      <c r="B184" s="197"/>
    </row>
    <row r="185" spans="2:3" x14ac:dyDescent="0.25">
      <c r="B185" s="200"/>
    </row>
    <row r="186" spans="2:3" x14ac:dyDescent="0.25">
      <c r="B186" s="197"/>
    </row>
    <row r="187" spans="2:3" x14ac:dyDescent="0.25">
      <c r="B187" s="197"/>
    </row>
    <row r="188" spans="2:3" x14ac:dyDescent="0.25">
      <c r="B188" s="197"/>
    </row>
    <row r="189" spans="2:3" x14ac:dyDescent="0.25">
      <c r="B189" s="197"/>
    </row>
    <row r="190" spans="2:3" x14ac:dyDescent="0.25">
      <c r="B190" s="200"/>
    </row>
    <row r="191" spans="2:3" x14ac:dyDescent="0.25">
      <c r="B191" s="200"/>
    </row>
    <row r="192" spans="2:3" x14ac:dyDescent="0.25">
      <c r="B192" s="200"/>
    </row>
    <row r="193" spans="2:15" x14ac:dyDescent="0.25">
      <c r="B193" s="200"/>
    </row>
    <row r="194" spans="2:15" x14ac:dyDescent="0.25">
      <c r="B194" s="200"/>
    </row>
    <row r="195" spans="2:15" x14ac:dyDescent="0.25">
      <c r="B195" s="200"/>
    </row>
    <row r="196" spans="2:15" x14ac:dyDescent="0.25">
      <c r="B196" s="200"/>
    </row>
    <row r="197" spans="2:15" x14ac:dyDescent="0.25">
      <c r="B197" s="200"/>
    </row>
    <row r="198" spans="2:15" x14ac:dyDescent="0.25">
      <c r="B198" s="200"/>
    </row>
    <row r="199" spans="2:15" x14ac:dyDescent="0.25">
      <c r="B199" s="200"/>
    </row>
    <row r="200" spans="2:15" x14ac:dyDescent="0.25">
      <c r="B200" s="200"/>
    </row>
    <row r="201" spans="2:15" x14ac:dyDescent="0.25">
      <c r="B201" s="200"/>
    </row>
    <row r="202" spans="2:15" x14ac:dyDescent="0.25">
      <c r="B202" s="200"/>
    </row>
    <row r="203" spans="2:15" x14ac:dyDescent="0.25">
      <c r="B203" s="200"/>
    </row>
    <row r="204" spans="2:15" x14ac:dyDescent="0.25">
      <c r="B204" s="200"/>
    </row>
    <row r="205" spans="2:15" x14ac:dyDescent="0.25">
      <c r="B205" s="200"/>
    </row>
    <row r="206" spans="2:15" ht="16.5" x14ac:dyDescent="0.25">
      <c r="B206" s="200"/>
      <c r="C206" s="198" t="s">
        <v>358</v>
      </c>
    </row>
    <row r="207" spans="2:15" x14ac:dyDescent="0.25">
      <c r="B207" s="200"/>
      <c r="C207" s="135" t="s">
        <v>359</v>
      </c>
      <c r="O207" s="199" t="s">
        <v>296</v>
      </c>
    </row>
    <row r="208" spans="2:15" x14ac:dyDescent="0.25">
      <c r="B208" s="200"/>
      <c r="C208" s="135" t="s">
        <v>360</v>
      </c>
    </row>
    <row r="209" spans="2:29" x14ac:dyDescent="0.25">
      <c r="B209" s="200"/>
      <c r="C209" s="135" t="s">
        <v>361</v>
      </c>
    </row>
    <row r="210" spans="2:29" x14ac:dyDescent="0.25">
      <c r="B210" s="200"/>
      <c r="C210" s="135" t="s">
        <v>362</v>
      </c>
    </row>
    <row r="211" spans="2:29" x14ac:dyDescent="0.25">
      <c r="B211" s="200"/>
      <c r="C211" s="135" t="s">
        <v>363</v>
      </c>
    </row>
    <row r="212" spans="2:29" x14ac:dyDescent="0.25">
      <c r="B212" s="200"/>
      <c r="O212" s="199" t="s">
        <v>321</v>
      </c>
      <c r="AC212" s="199" t="s">
        <v>314</v>
      </c>
    </row>
    <row r="213" spans="2:29" x14ac:dyDescent="0.25">
      <c r="B213" s="200"/>
    </row>
    <row r="214" spans="2:29" x14ac:dyDescent="0.25">
      <c r="B214" s="200"/>
    </row>
    <row r="215" spans="2:29" x14ac:dyDescent="0.25">
      <c r="B215" s="200"/>
    </row>
    <row r="216" spans="2:29" x14ac:dyDescent="0.25">
      <c r="B216" s="200"/>
    </row>
    <row r="217" spans="2:29" x14ac:dyDescent="0.25">
      <c r="B217" s="200"/>
    </row>
    <row r="218" spans="2:29" x14ac:dyDescent="0.25">
      <c r="B218" s="200"/>
    </row>
    <row r="219" spans="2:29" x14ac:dyDescent="0.25">
      <c r="B219" s="200"/>
    </row>
    <row r="220" spans="2:29" x14ac:dyDescent="0.25">
      <c r="B220" s="200"/>
    </row>
    <row r="221" spans="2:29" x14ac:dyDescent="0.25">
      <c r="B221" s="200"/>
    </row>
    <row r="222" spans="2:29" x14ac:dyDescent="0.25">
      <c r="B222" s="200"/>
    </row>
    <row r="223" spans="2:29" x14ac:dyDescent="0.25">
      <c r="B223" s="200"/>
    </row>
    <row r="224" spans="2:29" x14ac:dyDescent="0.25">
      <c r="B224" s="200"/>
    </row>
    <row r="225" spans="2:17" x14ac:dyDescent="0.25">
      <c r="B225" s="200"/>
    </row>
    <row r="226" spans="2:17" x14ac:dyDescent="0.25">
      <c r="B226" s="200"/>
    </row>
    <row r="227" spans="2:17" x14ac:dyDescent="0.25">
      <c r="B227" s="200"/>
    </row>
    <row r="228" spans="2:17" x14ac:dyDescent="0.25">
      <c r="B228" s="200"/>
    </row>
    <row r="229" spans="2:17" x14ac:dyDescent="0.25">
      <c r="B229" s="200"/>
    </row>
    <row r="230" spans="2:17" x14ac:dyDescent="0.25">
      <c r="B230" s="200"/>
    </row>
    <row r="231" spans="2:17" x14ac:dyDescent="0.25">
      <c r="B231" s="200"/>
    </row>
    <row r="232" spans="2:17" x14ac:dyDescent="0.25">
      <c r="B232" s="200"/>
    </row>
    <row r="233" spans="2:17" x14ac:dyDescent="0.25">
      <c r="B233" s="200"/>
    </row>
    <row r="234" spans="2:17" x14ac:dyDescent="0.25">
      <c r="B234" s="200"/>
    </row>
    <row r="235" spans="2:17" x14ac:dyDescent="0.25">
      <c r="B235" s="200"/>
    </row>
    <row r="236" spans="2:17" x14ac:dyDescent="0.25">
      <c r="B236" s="200"/>
    </row>
    <row r="237" spans="2:17" x14ac:dyDescent="0.25">
      <c r="B237" s="200"/>
    </row>
    <row r="238" spans="2:17" ht="16.5" x14ac:dyDescent="0.25">
      <c r="B238" s="200"/>
      <c r="Q238" s="198" t="s">
        <v>364</v>
      </c>
    </row>
    <row r="239" spans="2:17" x14ac:dyDescent="0.25">
      <c r="B239" s="200"/>
      <c r="Q239" s="135" t="s">
        <v>365</v>
      </c>
    </row>
    <row r="240" spans="2:17" x14ac:dyDescent="0.25">
      <c r="B240" s="200"/>
      <c r="Q240" s="135" t="s">
        <v>366</v>
      </c>
    </row>
    <row r="241" spans="2:17" x14ac:dyDescent="0.25">
      <c r="B241" s="200"/>
      <c r="Q241" s="135" t="s">
        <v>367</v>
      </c>
    </row>
    <row r="242" spans="2:17" x14ac:dyDescent="0.25">
      <c r="B242" s="200"/>
      <c r="Q242" s="135" t="s">
        <v>368</v>
      </c>
    </row>
    <row r="243" spans="2:17" x14ac:dyDescent="0.25">
      <c r="B243" s="200"/>
      <c r="Q243" s="135" t="s">
        <v>369</v>
      </c>
    </row>
    <row r="244" spans="2:17" x14ac:dyDescent="0.25">
      <c r="B244" s="200"/>
      <c r="Q244" s="192" t="s">
        <v>370</v>
      </c>
    </row>
    <row r="245" spans="2:17" x14ac:dyDescent="0.25">
      <c r="B245" s="200"/>
      <c r="Q245" s="135" t="s">
        <v>371</v>
      </c>
    </row>
    <row r="246" spans="2:17" x14ac:dyDescent="0.25">
      <c r="B246" s="200"/>
      <c r="Q246" s="135" t="s">
        <v>372</v>
      </c>
    </row>
    <row r="247" spans="2:17" x14ac:dyDescent="0.25">
      <c r="B247" s="200"/>
      <c r="Q247" s="135" t="s">
        <v>373</v>
      </c>
    </row>
    <row r="248" spans="2:17" x14ac:dyDescent="0.25">
      <c r="B248" s="200"/>
    </row>
    <row r="249" spans="2:17" x14ac:dyDescent="0.25">
      <c r="B249" s="200"/>
      <c r="Q249" s="135" t="s">
        <v>374</v>
      </c>
    </row>
    <row r="250" spans="2:17" x14ac:dyDescent="0.25">
      <c r="B250" s="200"/>
      <c r="Q250" s="135" t="s">
        <v>375</v>
      </c>
    </row>
    <row r="251" spans="2:17" x14ac:dyDescent="0.25">
      <c r="B251" s="200"/>
      <c r="Q251" s="135" t="s">
        <v>376</v>
      </c>
    </row>
    <row r="252" spans="2:17" x14ac:dyDescent="0.25">
      <c r="B252" s="200"/>
    </row>
    <row r="253" spans="2:17" x14ac:dyDescent="0.25">
      <c r="B253" s="200"/>
    </row>
    <row r="254" spans="2:17" x14ac:dyDescent="0.25">
      <c r="B254" s="200"/>
    </row>
    <row r="255" spans="2:17" x14ac:dyDescent="0.25">
      <c r="B255" s="200"/>
    </row>
    <row r="256" spans="2:17" x14ac:dyDescent="0.25">
      <c r="B256" s="200"/>
    </row>
    <row r="257" spans="2:2" x14ac:dyDescent="0.25">
      <c r="B257" s="200"/>
    </row>
    <row r="258" spans="2:2" x14ac:dyDescent="0.25">
      <c r="B258" s="200"/>
    </row>
    <row r="259" spans="2:2" x14ac:dyDescent="0.25">
      <c r="B259" s="200"/>
    </row>
    <row r="260" spans="2:2" x14ac:dyDescent="0.25">
      <c r="B260" s="200"/>
    </row>
    <row r="261" spans="2:2" x14ac:dyDescent="0.25">
      <c r="B261" s="200"/>
    </row>
    <row r="262" spans="2:2" x14ac:dyDescent="0.25">
      <c r="B262" s="200"/>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x14ac:dyDescent="0.25"/>
  <cols>
    <col min="1" max="1" width="3.33203125" style="53" customWidth="1"/>
    <col min="2" max="2" width="15.21875" style="53" customWidth="1"/>
    <col min="3" max="3" width="8.21875" style="135" bestFit="1" customWidth="1"/>
    <col min="4" max="4" width="6.88671875" style="53" bestFit="1" customWidth="1"/>
    <col min="5" max="5" width="8.77734375" style="53" bestFit="1" customWidth="1"/>
    <col min="6" max="6" width="6.5546875" style="53" bestFit="1" customWidth="1"/>
    <col min="7" max="7" width="8.21875" style="53" bestFit="1" customWidth="1"/>
    <col min="8" max="8" width="7.5546875" style="53" customWidth="1"/>
    <col min="9" max="9" width="8.6640625" style="53" bestFit="1" customWidth="1"/>
    <col min="10" max="10" width="7.88671875" style="135" bestFit="1" customWidth="1"/>
    <col min="11" max="11" width="7.33203125" style="53" customWidth="1"/>
    <col min="12" max="13" width="9.109375" style="53" bestFit="1" customWidth="1"/>
    <col min="14" max="14" width="8.77734375" style="12" bestFit="1" customWidth="1"/>
    <col min="15" max="15" width="9.109375" style="53" bestFit="1" customWidth="1"/>
    <col min="16" max="17" width="9.109375" style="114" customWidth="1"/>
    <col min="18" max="18" width="10.21875" style="53" bestFit="1" customWidth="1"/>
    <col min="19" max="19" width="7.88671875" style="53" bestFit="1" customWidth="1"/>
    <col min="20" max="21" width="8.5546875" style="53" bestFit="1" customWidth="1"/>
    <col min="22" max="16384" width="8" style="53"/>
  </cols>
  <sheetData>
    <row r="1" spans="1:21" x14ac:dyDescent="0.25">
      <c r="L1" s="124" t="s">
        <v>29</v>
      </c>
      <c r="M1" s="201"/>
      <c r="N1" s="17"/>
      <c r="O1" s="124" t="s">
        <v>29</v>
      </c>
      <c r="P1" s="201" t="s">
        <v>377</v>
      </c>
    </row>
    <row r="2" spans="1:21" ht="16.5" thickBot="1" x14ac:dyDescent="0.3">
      <c r="A2" s="22" t="s">
        <v>23</v>
      </c>
      <c r="B2" s="22" t="s">
        <v>17</v>
      </c>
      <c r="C2" s="23" t="s">
        <v>22</v>
      </c>
      <c r="D2" s="25" t="s">
        <v>30</v>
      </c>
      <c r="E2" s="22" t="s">
        <v>31</v>
      </c>
      <c r="F2" s="22" t="s">
        <v>120</v>
      </c>
      <c r="G2" s="22" t="s">
        <v>121</v>
      </c>
      <c r="H2" s="22" t="s">
        <v>122</v>
      </c>
      <c r="I2" s="22" t="s">
        <v>123</v>
      </c>
      <c r="J2" s="23" t="s">
        <v>125</v>
      </c>
      <c r="L2" s="202">
        <v>42801</v>
      </c>
      <c r="M2" s="203">
        <v>42802</v>
      </c>
      <c r="N2" s="204" t="s">
        <v>144</v>
      </c>
      <c r="O2" s="203">
        <v>42803</v>
      </c>
      <c r="P2" s="205" t="s">
        <v>144</v>
      </c>
      <c r="Q2" s="205" t="s">
        <v>149</v>
      </c>
      <c r="R2" s="203">
        <v>42804</v>
      </c>
      <c r="S2" s="205" t="s">
        <v>144</v>
      </c>
      <c r="T2" s="205" t="s">
        <v>149</v>
      </c>
      <c r="U2" s="206" t="s">
        <v>378</v>
      </c>
    </row>
    <row r="3" spans="1:21" ht="16.5" thickTop="1" x14ac:dyDescent="0.25">
      <c r="A3" s="76"/>
      <c r="B3" s="125" t="str">
        <f>IPO監視一覧!B3</f>
        <v>日宣</v>
      </c>
      <c r="C3" s="207">
        <v>1600</v>
      </c>
      <c r="D3" s="208">
        <v>3000</v>
      </c>
      <c r="E3" s="209" t="str">
        <f>CONCATENATE((IF(ISBLANK(D3),0,D3)-IF(ISBLANK(C3),0,C3))/IF(ISBLANK(C3),0,C3)*100,"%")</f>
        <v>87.5%</v>
      </c>
      <c r="F3" s="210"/>
      <c r="G3" s="210"/>
      <c r="H3" s="210"/>
      <c r="I3" s="210"/>
      <c r="J3" s="211"/>
      <c r="L3" s="212">
        <v>2519</v>
      </c>
      <c r="M3" s="213">
        <v>2603</v>
      </c>
      <c r="N3" s="214">
        <f>(M3-L3)/L3</f>
        <v>3.33465660976578E-2</v>
      </c>
      <c r="O3" s="213">
        <v>2592</v>
      </c>
      <c r="P3" s="215">
        <f>(O3-M3)/M3</f>
        <v>-4.2258932001536685E-3</v>
      </c>
      <c r="Q3" s="215">
        <f>(O3-L3)/L3</f>
        <v>2.8979753870583564E-2</v>
      </c>
      <c r="R3" s="213">
        <v>2632</v>
      </c>
      <c r="S3" s="216">
        <f>(R3-O3)/O3</f>
        <v>1.5432098765432098E-2</v>
      </c>
      <c r="T3" s="216">
        <f>(R3-M3)/M3</f>
        <v>1.114099116404149E-2</v>
      </c>
      <c r="U3" s="217">
        <f>(R3-L3)/L3</f>
        <v>4.4859071059944425E-2</v>
      </c>
    </row>
    <row r="4" spans="1:21" x14ac:dyDescent="0.25">
      <c r="A4" s="84" t="str">
        <f>IPO監視一覧!H4</f>
        <v>C</v>
      </c>
      <c r="B4" s="84" t="str">
        <f>IPO監視一覧!B4</f>
        <v>レノバ </v>
      </c>
      <c r="C4" s="94">
        <v>750</v>
      </c>
      <c r="D4" s="93">
        <v>1125</v>
      </c>
      <c r="E4" s="218" t="str">
        <f>CONCATENATE((IF(ISBLANK(D4),0,D4)-IF(ISBLANK(C4),0,C4))/IF(ISBLANK(C4),0,C4)*100,"%")</f>
        <v>50%</v>
      </c>
      <c r="F4" s="219"/>
      <c r="G4" s="219"/>
      <c r="H4" s="219"/>
      <c r="I4" s="219"/>
      <c r="J4" s="220"/>
      <c r="L4" s="212">
        <v>1990</v>
      </c>
      <c r="M4" s="213">
        <v>1915</v>
      </c>
      <c r="N4" s="214">
        <f>(M4-L4)/L4</f>
        <v>-3.7688442211055273E-2</v>
      </c>
      <c r="O4" s="213">
        <v>1872</v>
      </c>
      <c r="P4" s="215">
        <f>(O4-M4)/M4</f>
        <v>-2.2454308093994776E-2</v>
      </c>
      <c r="Q4" s="215">
        <f>(O4-L4)/L4</f>
        <v>-5.92964824120603E-2</v>
      </c>
      <c r="R4" s="213">
        <v>2073</v>
      </c>
      <c r="S4" s="216">
        <f>(R4-O4)/O4</f>
        <v>0.10737179487179487</v>
      </c>
      <c r="T4" s="216">
        <f>(R4-M4)/M4</f>
        <v>8.2506527415143596E-2</v>
      </c>
      <c r="U4" s="217">
        <f>(R4-L4)/L4</f>
        <v>4.1708542713567838E-2</v>
      </c>
    </row>
    <row r="5" spans="1:21" x14ac:dyDescent="0.25">
      <c r="A5" s="84" t="str">
        <f>IPO監視一覧!H5</f>
        <v>B</v>
      </c>
      <c r="B5" s="84" t="str">
        <f>IPO監視一覧!B5</f>
        <v>ユナイテッド＆コレクティブ</v>
      </c>
      <c r="C5" s="94">
        <v>1620</v>
      </c>
      <c r="D5" s="93">
        <v>4500</v>
      </c>
      <c r="E5" s="218" t="str">
        <f>CONCATENATE(ROUND((IF(ISBLANK(D5),0,D5)-IF(ISBLANK(C5),0,C5))/IF(ISBLANK(C5),0,C5)*100,2),"%")</f>
        <v>177.78%</v>
      </c>
      <c r="F5" s="219"/>
      <c r="G5" s="219"/>
      <c r="H5" s="219"/>
      <c r="I5" s="219"/>
      <c r="J5" s="220"/>
      <c r="L5" s="221">
        <v>5600</v>
      </c>
      <c r="M5" s="213">
        <v>5380</v>
      </c>
      <c r="N5" s="214">
        <f>(M5-L5)/L5</f>
        <v>-3.9285714285714285E-2</v>
      </c>
      <c r="O5" s="213">
        <v>5550</v>
      </c>
      <c r="P5" s="215">
        <f>(O5-M5)/M5</f>
        <v>3.1598513011152414E-2</v>
      </c>
      <c r="Q5" s="215">
        <f>(O5-L5)/L5</f>
        <v>-8.9285714285714281E-3</v>
      </c>
      <c r="R5" s="213">
        <v>5320</v>
      </c>
      <c r="S5" s="216">
        <f>(R5-O5)/O5</f>
        <v>-4.1441441441441441E-2</v>
      </c>
      <c r="T5" s="216">
        <f>(R5-M5)/M5</f>
        <v>-1.1152416356877323E-2</v>
      </c>
      <c r="U5" s="217">
        <f>(R5-L5)/L5</f>
        <v>-0.05</v>
      </c>
    </row>
    <row r="6" spans="1:21" x14ac:dyDescent="0.25">
      <c r="A6" s="84" t="str">
        <f>IPO監視一覧!H6</f>
        <v>D</v>
      </c>
      <c r="B6" s="84" t="str">
        <f>IPO監視一覧!B6</f>
        <v>ロコンド</v>
      </c>
      <c r="C6" s="94">
        <v>1850</v>
      </c>
      <c r="D6" s="93">
        <v>2625</v>
      </c>
      <c r="E6" s="218" t="str">
        <f>CONCATENATE(ROUND((IF(ISBLANK(D6),0,D6)-IF(ISBLANK(C6),0,C6))/IF(ISBLANK(C6),0,C6)*100,2),"%")</f>
        <v>41.89%</v>
      </c>
      <c r="F6" s="219"/>
      <c r="G6" s="219"/>
      <c r="H6" s="219"/>
      <c r="I6" s="219"/>
      <c r="J6" s="220"/>
      <c r="L6" s="134">
        <v>2735</v>
      </c>
      <c r="M6" s="222">
        <v>2402</v>
      </c>
      <c r="N6" s="223">
        <f>(M6-L6)/L6</f>
        <v>-0.12175502742230347</v>
      </c>
      <c r="O6" s="222">
        <v>2270</v>
      </c>
      <c r="P6" s="224">
        <f>(O6-M6)/M6</f>
        <v>-5.4954204829308906E-2</v>
      </c>
      <c r="Q6" s="225">
        <f>(O6-L6)/L6</f>
        <v>-0.17001828153564899</v>
      </c>
      <c r="R6" s="213">
        <v>2351</v>
      </c>
      <c r="S6" s="216">
        <f>(R6-O6)/O6</f>
        <v>3.5682819383259914E-2</v>
      </c>
      <c r="T6" s="216">
        <f>(R6-M6)/M6</f>
        <v>-2.1232306411323898E-2</v>
      </c>
      <c r="U6" s="217">
        <f>(R6-L6)/L6</f>
        <v>-0.14040219378427787</v>
      </c>
    </row>
    <row r="7" spans="1:21" x14ac:dyDescent="0.25">
      <c r="A7" s="84" t="str">
        <f>IPO監視一覧!H7</f>
        <v>C</v>
      </c>
      <c r="B7" s="92" t="str">
        <f>IPO監視一覧!B7</f>
        <v>ピーバンドットコム</v>
      </c>
      <c r="C7" s="94">
        <v>1650</v>
      </c>
      <c r="D7" s="93">
        <v>3530</v>
      </c>
      <c r="E7" s="218" t="str">
        <f>CONCATENATE(ROUND((IF(ISBLANK(D7),0,D7)-IF(ISBLANK(C7),0,C7))/IF(ISBLANK(C7),0,C7)*100,2),"%")</f>
        <v>113.94%</v>
      </c>
      <c r="F7" s="49">
        <v>3550</v>
      </c>
      <c r="G7" s="31">
        <v>200</v>
      </c>
      <c r="H7" s="49">
        <v>3320</v>
      </c>
      <c r="I7" s="49">
        <v>1050</v>
      </c>
      <c r="J7" s="220">
        <f>(H7-F7)*G7-I7</f>
        <v>-47050</v>
      </c>
      <c r="O7" s="134">
        <v>2850</v>
      </c>
      <c r="P7" s="226">
        <f>(O7-D7)/D7</f>
        <v>-0.19263456090651557</v>
      </c>
      <c r="Q7" s="227"/>
      <c r="R7" s="222">
        <v>3350</v>
      </c>
      <c r="S7" s="228">
        <f>(R7-O7)/O7</f>
        <v>0.17543859649122806</v>
      </c>
      <c r="T7" s="229"/>
      <c r="U7" s="230"/>
    </row>
    <row r="9" spans="1:21" ht="16.5" thickBot="1" x14ac:dyDescent="0.3">
      <c r="E9" s="231">
        <v>0.15</v>
      </c>
      <c r="F9" s="232">
        <v>0.1</v>
      </c>
      <c r="G9" s="231">
        <v>0.05</v>
      </c>
      <c r="H9" s="233">
        <v>0.03</v>
      </c>
      <c r="I9" s="233">
        <v>-0.03</v>
      </c>
      <c r="J9" s="234">
        <v>-0.05</v>
      </c>
      <c r="K9" s="233">
        <v>-7.0000000000000007E-2</v>
      </c>
    </row>
    <row r="10" spans="1:21" ht="16.5" thickTop="1" x14ac:dyDescent="0.25">
      <c r="B10" s="235" t="s">
        <v>379</v>
      </c>
      <c r="C10" s="236">
        <v>3670</v>
      </c>
      <c r="E10" s="237">
        <f>C10*1.15</f>
        <v>4220.5</v>
      </c>
      <c r="F10" s="237">
        <f>C10*1.1</f>
        <v>4037.0000000000005</v>
      </c>
      <c r="G10" s="237">
        <f>C10*1.05</f>
        <v>3853.5</v>
      </c>
      <c r="H10" s="237">
        <f>C10*1.03</f>
        <v>3780.1</v>
      </c>
      <c r="I10" s="237">
        <f>C10*0.97</f>
        <v>3559.9</v>
      </c>
      <c r="J10" s="237">
        <f>C10*0.95</f>
        <v>3486.5</v>
      </c>
      <c r="K10" s="237">
        <f>C10*0.93</f>
        <v>3413.1000000000004</v>
      </c>
    </row>
    <row r="11" spans="1:21" x14ac:dyDescent="0.25">
      <c r="E11" s="12"/>
      <c r="F11" s="12" t="s">
        <v>380</v>
      </c>
      <c r="G11" s="12"/>
      <c r="H11" s="12" t="s">
        <v>380</v>
      </c>
      <c r="I11" s="238" t="s">
        <v>381</v>
      </c>
      <c r="J11" s="15"/>
      <c r="K11" s="12" t="s">
        <v>382</v>
      </c>
    </row>
  </sheetData>
  <phoneticPr fontId="2"/>
  <conditionalFormatting sqref="J2:J7">
    <cfRule type="cellIs" dxfId="0" priority="1" operator="lessThan">
      <formula>0</formula>
    </cfRule>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x14ac:dyDescent="0.25"/>
  <cols>
    <col min="1" max="1" width="7.88671875" style="239" customWidth="1"/>
    <col min="2" max="16384" width="8.88671875" style="239"/>
  </cols>
  <sheetData>
    <row r="2" spans="2:2" ht="15.75" x14ac:dyDescent="0.25">
      <c r="B2" s="12"/>
    </row>
    <row r="3" spans="2:2" ht="15.75" x14ac:dyDescent="0.25">
      <c r="B3" s="12" t="s">
        <v>81</v>
      </c>
    </row>
    <row r="4" spans="2:2" ht="15.75" x14ac:dyDescent="0.25">
      <c r="B4" s="12" t="s">
        <v>383</v>
      </c>
    </row>
    <row r="5" spans="2:2" x14ac:dyDescent="0.25">
      <c r="B5" s="33" t="s">
        <v>384</v>
      </c>
    </row>
    <row r="6" spans="2:2" ht="15.75" x14ac:dyDescent="0.25">
      <c r="B6" s="12" t="s">
        <v>385</v>
      </c>
    </row>
    <row r="7" spans="2:2" x14ac:dyDescent="0.25">
      <c r="B7" s="33" t="s">
        <v>386</v>
      </c>
    </row>
    <row r="8" spans="2:2" ht="15.75" x14ac:dyDescent="0.25">
      <c r="B8" s="14" t="s">
        <v>387</v>
      </c>
    </row>
    <row r="9" spans="2:2" x14ac:dyDescent="0.25">
      <c r="B9" s="33" t="s">
        <v>388</v>
      </c>
    </row>
    <row r="10" spans="2:2" ht="15.75" x14ac:dyDescent="0.25">
      <c r="B10" s="12"/>
    </row>
  </sheetData>
  <phoneticPr fontId="2"/>
  <hyperlinks>
    <hyperlink ref="B5" r:id="rId1"/>
    <hyperlink ref="B7" r:id="rId2"/>
    <hyperlink ref="B9" r:id="rId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x14ac:dyDescent="0.25"/>
  <cols>
    <col min="1" max="1" width="7.88671875" style="53" customWidth="1"/>
    <col min="2" max="16384" width="8" style="53"/>
  </cols>
  <sheetData>
    <row r="2" spans="2:8" x14ac:dyDescent="0.25">
      <c r="B2" s="98" t="s">
        <v>389</v>
      </c>
      <c r="H2" s="98" t="s">
        <v>390</v>
      </c>
    </row>
    <row r="3" spans="2:8" x14ac:dyDescent="0.25">
      <c r="B3" s="53" t="s">
        <v>391</v>
      </c>
      <c r="H3" s="53" t="s">
        <v>392</v>
      </c>
    </row>
    <row r="4" spans="2:8" x14ac:dyDescent="0.25">
      <c r="B4" s="53" t="s">
        <v>393</v>
      </c>
      <c r="H4" s="53" t="s">
        <v>394</v>
      </c>
    </row>
    <row r="5" spans="2:8" x14ac:dyDescent="0.25">
      <c r="B5" s="53" t="s">
        <v>395</v>
      </c>
      <c r="H5" s="53" t="s">
        <v>396</v>
      </c>
    </row>
    <row r="33" spans="2:2" x14ac:dyDescent="0.25">
      <c r="B33" s="98" t="s">
        <v>397</v>
      </c>
    </row>
  </sheetData>
  <phoneticPr fontId="2"/>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x14ac:dyDescent="0.25"/>
  <cols>
    <col min="1" max="1" width="7.88671875" style="53" customWidth="1"/>
    <col min="2" max="2" width="14.5546875" style="53" bestFit="1" customWidth="1"/>
    <col min="3" max="3" width="118.88671875" style="53" bestFit="1" customWidth="1"/>
    <col min="4" max="16384" width="8" style="53"/>
  </cols>
  <sheetData>
    <row r="2" spans="2:3" x14ac:dyDescent="0.25">
      <c r="B2" s="240" t="s">
        <v>398</v>
      </c>
      <c r="C2" s="240" t="s">
        <v>399</v>
      </c>
    </row>
    <row r="3" spans="2:3" x14ac:dyDescent="0.25">
      <c r="B3" s="464" t="s">
        <v>400</v>
      </c>
      <c r="C3" s="241" t="s">
        <v>401</v>
      </c>
    </row>
    <row r="4" spans="2:3" x14ac:dyDescent="0.25">
      <c r="B4" s="465"/>
      <c r="C4" s="242" t="s">
        <v>402</v>
      </c>
    </row>
    <row r="5" spans="2:3" x14ac:dyDescent="0.25">
      <c r="B5" s="466" t="s">
        <v>403</v>
      </c>
      <c r="C5" s="243" t="s">
        <v>404</v>
      </c>
    </row>
    <row r="6" spans="2:3" x14ac:dyDescent="0.25">
      <c r="B6" s="467"/>
      <c r="C6" s="230" t="s">
        <v>405</v>
      </c>
    </row>
    <row r="7" spans="2:3" x14ac:dyDescent="0.25">
      <c r="B7" s="244" t="s">
        <v>406</v>
      </c>
      <c r="C7" s="244" t="s">
        <v>407</v>
      </c>
    </row>
    <row r="8" spans="2:3" x14ac:dyDescent="0.25">
      <c r="B8" s="468" t="s">
        <v>408</v>
      </c>
      <c r="C8" s="245" t="s">
        <v>409</v>
      </c>
    </row>
    <row r="9" spans="2:3" x14ac:dyDescent="0.25">
      <c r="B9" s="468"/>
      <c r="C9" s="246" t="s">
        <v>410</v>
      </c>
    </row>
    <row r="10" spans="2:3" x14ac:dyDescent="0.25">
      <c r="B10" s="468"/>
      <c r="C10" s="247" t="s">
        <v>411</v>
      </c>
    </row>
    <row r="11" spans="2:3" x14ac:dyDescent="0.25">
      <c r="B11" s="244" t="s">
        <v>412</v>
      </c>
      <c r="C11" s="244" t="s">
        <v>413</v>
      </c>
    </row>
    <row r="12" spans="2:3" x14ac:dyDescent="0.25">
      <c r="B12" s="466" t="s">
        <v>414</v>
      </c>
      <c r="C12" s="245" t="s">
        <v>415</v>
      </c>
    </row>
    <row r="13" spans="2:3" x14ac:dyDescent="0.25">
      <c r="B13" s="467"/>
      <c r="C13" s="247" t="s">
        <v>416</v>
      </c>
    </row>
    <row r="14" spans="2:3" x14ac:dyDescent="0.25">
      <c r="B14" s="464" t="s">
        <v>417</v>
      </c>
      <c r="C14" s="248" t="s">
        <v>418</v>
      </c>
    </row>
    <row r="15" spans="2:3" x14ac:dyDescent="0.25">
      <c r="B15" s="469"/>
      <c r="C15" s="249" t="s">
        <v>419</v>
      </c>
    </row>
    <row r="16" spans="2:3" x14ac:dyDescent="0.25">
      <c r="B16" s="465"/>
      <c r="C16" s="250" t="s">
        <v>420</v>
      </c>
    </row>
    <row r="17" spans="2:3" x14ac:dyDescent="0.25">
      <c r="B17" s="240" t="s">
        <v>421</v>
      </c>
      <c r="C17" s="240" t="s">
        <v>422</v>
      </c>
    </row>
    <row r="18" spans="2:3" x14ac:dyDescent="0.25">
      <c r="B18" s="464" t="s">
        <v>423</v>
      </c>
      <c r="C18" s="248" t="s">
        <v>424</v>
      </c>
    </row>
    <row r="19" spans="2:3" x14ac:dyDescent="0.25">
      <c r="B19" s="465"/>
      <c r="C19" s="250" t="s">
        <v>425</v>
      </c>
    </row>
    <row r="20" spans="2:3" x14ac:dyDescent="0.25">
      <c r="B20" s="240" t="s">
        <v>426</v>
      </c>
      <c r="C20" s="240" t="s">
        <v>427</v>
      </c>
    </row>
    <row r="21" spans="2:3" x14ac:dyDescent="0.25">
      <c r="B21" s="464" t="s">
        <v>428</v>
      </c>
      <c r="C21" s="248" t="s">
        <v>429</v>
      </c>
    </row>
    <row r="22" spans="2:3" x14ac:dyDescent="0.25">
      <c r="B22" s="465"/>
      <c r="C22" s="250" t="s">
        <v>430</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x14ac:dyDescent="0.25"/>
  <cols>
    <col min="1" max="1" width="18.6640625" style="239" customWidth="1"/>
    <col min="2" max="4" width="8.88671875" style="239"/>
    <col min="5" max="6" width="7.21875" style="239" customWidth="1"/>
    <col min="7" max="7" width="9.6640625" style="239" customWidth="1"/>
    <col min="8" max="9" width="8.88671875" style="239"/>
    <col min="10" max="10" width="9" style="239" customWidth="1"/>
    <col min="11" max="11" width="8.88671875" style="239"/>
    <col min="12" max="12" width="8.44140625" style="239" bestFit="1" customWidth="1"/>
    <col min="13" max="16384" width="8.88671875" style="239"/>
  </cols>
  <sheetData>
    <row r="2" spans="1:13" x14ac:dyDescent="0.25">
      <c r="A2" s="239" t="s">
        <v>431</v>
      </c>
      <c r="B2" s="239" t="s">
        <v>432</v>
      </c>
      <c r="C2" s="239" t="s">
        <v>433</v>
      </c>
      <c r="D2" s="239" t="s">
        <v>434</v>
      </c>
      <c r="E2" s="239" t="s">
        <v>435</v>
      </c>
      <c r="G2" s="239" t="s">
        <v>436</v>
      </c>
      <c r="J2" s="239" t="s">
        <v>437</v>
      </c>
    </row>
    <row r="3" spans="1:13" x14ac:dyDescent="0.25">
      <c r="A3" s="239">
        <v>2</v>
      </c>
      <c r="B3" s="239">
        <v>200</v>
      </c>
      <c r="C3" s="239">
        <v>3320</v>
      </c>
      <c r="D3" s="239">
        <v>487</v>
      </c>
      <c r="E3" s="239">
        <v>38</v>
      </c>
      <c r="G3" s="239">
        <v>663475</v>
      </c>
      <c r="J3" s="239">
        <v>663475</v>
      </c>
      <c r="L3" s="239">
        <v>710600</v>
      </c>
      <c r="M3" s="239">
        <f>J3-L3</f>
        <v>-47125</v>
      </c>
    </row>
    <row r="4" spans="1:13" x14ac:dyDescent="0.25">
      <c r="A4" s="239">
        <v>1</v>
      </c>
      <c r="B4" s="239">
        <v>200</v>
      </c>
      <c r="C4" s="239">
        <v>3550</v>
      </c>
      <c r="D4" s="239">
        <v>487</v>
      </c>
      <c r="E4" s="239">
        <v>38</v>
      </c>
      <c r="G4" s="239">
        <f>710525*-1</f>
        <v>-710525</v>
      </c>
    </row>
    <row r="5" spans="1:13" x14ac:dyDescent="0.25">
      <c r="A5" s="251">
        <v>2</v>
      </c>
      <c r="B5" s="251">
        <v>100</v>
      </c>
      <c r="C5" s="251">
        <v>3015</v>
      </c>
      <c r="D5" s="251">
        <v>272</v>
      </c>
      <c r="E5" s="251">
        <v>21</v>
      </c>
      <c r="F5" s="251"/>
      <c r="G5" s="251">
        <v>301207</v>
      </c>
      <c r="J5" s="239">
        <v>301207</v>
      </c>
      <c r="L5" s="239">
        <v>300200</v>
      </c>
      <c r="M5" s="239">
        <f>J5-L5</f>
        <v>1007</v>
      </c>
    </row>
    <row r="6" spans="1:13" x14ac:dyDescent="0.25">
      <c r="A6" s="251">
        <v>2</v>
      </c>
      <c r="B6" s="251">
        <v>100</v>
      </c>
      <c r="C6" s="251">
        <v>3120</v>
      </c>
      <c r="D6" s="251">
        <v>244</v>
      </c>
      <c r="E6" s="251">
        <v>20</v>
      </c>
      <c r="F6" s="251"/>
      <c r="G6" s="251">
        <v>311736</v>
      </c>
      <c r="J6" s="239">
        <v>311239</v>
      </c>
      <c r="L6" s="239">
        <v>300200</v>
      </c>
      <c r="M6" s="239">
        <f>J6-L6</f>
        <v>11039</v>
      </c>
    </row>
    <row r="7" spans="1:13" x14ac:dyDescent="0.25">
      <c r="A7" s="251">
        <v>2</v>
      </c>
      <c r="B7" s="251">
        <v>100</v>
      </c>
      <c r="C7" s="251">
        <v>3115</v>
      </c>
      <c r="D7" s="251">
        <v>243</v>
      </c>
      <c r="E7" s="251">
        <v>18</v>
      </c>
      <c r="F7" s="251"/>
      <c r="G7" s="251">
        <v>311239</v>
      </c>
      <c r="J7" s="239">
        <v>311736</v>
      </c>
      <c r="L7" s="239">
        <v>300200</v>
      </c>
      <c r="M7" s="239">
        <f>J7-L7</f>
        <v>11536</v>
      </c>
    </row>
    <row r="8" spans="1:13" x14ac:dyDescent="0.25">
      <c r="A8" s="251">
        <v>2</v>
      </c>
      <c r="B8" s="251">
        <v>100</v>
      </c>
      <c r="C8" s="251">
        <v>1912</v>
      </c>
      <c r="D8" s="251">
        <v>176</v>
      </c>
      <c r="E8" s="251">
        <v>14</v>
      </c>
      <c r="F8" s="251"/>
      <c r="G8" s="252">
        <v>191010</v>
      </c>
      <c r="J8" s="239">
        <v>191010</v>
      </c>
      <c r="L8" s="239">
        <v>190200</v>
      </c>
      <c r="M8" s="239">
        <f>J8-L8</f>
        <v>810</v>
      </c>
    </row>
    <row r="9" spans="1:13" x14ac:dyDescent="0.25">
      <c r="A9" s="251">
        <v>2</v>
      </c>
      <c r="B9" s="251">
        <v>100</v>
      </c>
      <c r="C9" s="251">
        <v>1926</v>
      </c>
      <c r="D9" s="251">
        <v>176</v>
      </c>
      <c r="E9" s="251">
        <v>14</v>
      </c>
      <c r="F9" s="251"/>
      <c r="G9" s="252">
        <v>192410</v>
      </c>
      <c r="J9" s="239">
        <v>192410</v>
      </c>
      <c r="L9" s="239">
        <v>190200</v>
      </c>
      <c r="M9" s="239">
        <f>J9-L9</f>
        <v>2210</v>
      </c>
    </row>
    <row r="10" spans="1:13" x14ac:dyDescent="0.25">
      <c r="A10" s="251">
        <v>1</v>
      </c>
      <c r="B10" s="251">
        <v>200</v>
      </c>
      <c r="C10" s="251">
        <v>2996</v>
      </c>
      <c r="D10" s="251">
        <v>487</v>
      </c>
      <c r="E10" s="251">
        <v>38</v>
      </c>
      <c r="F10" s="251"/>
      <c r="G10" s="251">
        <f>599725*-1</f>
        <v>-599725</v>
      </c>
    </row>
    <row r="11" spans="1:13" x14ac:dyDescent="0.25">
      <c r="A11" s="251">
        <v>1</v>
      </c>
      <c r="B11" s="251">
        <v>100</v>
      </c>
      <c r="C11" s="251">
        <v>3005</v>
      </c>
      <c r="D11" s="251">
        <v>272</v>
      </c>
      <c r="E11" s="251">
        <v>21</v>
      </c>
      <c r="F11" s="251"/>
      <c r="G11" s="251">
        <f>300793*-1</f>
        <v>-300793</v>
      </c>
    </row>
    <row r="12" spans="1:13" x14ac:dyDescent="0.25">
      <c r="A12" s="251">
        <v>1</v>
      </c>
      <c r="B12" s="251">
        <v>100</v>
      </c>
      <c r="C12" s="251">
        <v>1900</v>
      </c>
      <c r="D12" s="251">
        <v>185</v>
      </c>
      <c r="E12" s="251">
        <v>14</v>
      </c>
      <c r="F12" s="251"/>
      <c r="G12" s="252">
        <f>190199*-1</f>
        <v>-190199</v>
      </c>
    </row>
    <row r="13" spans="1:13" x14ac:dyDescent="0.25">
      <c r="A13" s="251">
        <v>1</v>
      </c>
      <c r="B13" s="251">
        <v>100</v>
      </c>
      <c r="C13" s="251">
        <v>1900</v>
      </c>
      <c r="D13" s="251">
        <v>185</v>
      </c>
      <c r="E13" s="251">
        <v>14</v>
      </c>
      <c r="F13" s="251"/>
      <c r="G13" s="252">
        <f>190199*-1</f>
        <v>-190199</v>
      </c>
    </row>
    <row r="14" spans="1:13" x14ac:dyDescent="0.25">
      <c r="A14" s="239">
        <v>1</v>
      </c>
      <c r="B14" s="239">
        <v>200</v>
      </c>
      <c r="C14" s="239">
        <v>2900</v>
      </c>
      <c r="D14" s="239">
        <v>325</v>
      </c>
      <c r="E14" s="239">
        <v>26</v>
      </c>
      <c r="G14" s="239">
        <f>580351*-1</f>
        <v>-580351</v>
      </c>
    </row>
    <row r="15" spans="1:13" x14ac:dyDescent="0.25">
      <c r="A15" s="239">
        <v>1</v>
      </c>
      <c r="B15" s="239">
        <v>100</v>
      </c>
      <c r="C15" s="239">
        <v>2901</v>
      </c>
      <c r="D15" s="239">
        <v>162</v>
      </c>
      <c r="E15" s="239">
        <v>12</v>
      </c>
      <c r="G15" s="239">
        <f>290274*-1</f>
        <v>-290274</v>
      </c>
    </row>
    <row r="16" spans="1:13" x14ac:dyDescent="0.25">
      <c r="A16" s="239">
        <v>2</v>
      </c>
      <c r="B16" s="239">
        <v>300</v>
      </c>
      <c r="C16" s="239">
        <v>3020</v>
      </c>
      <c r="D16" s="239">
        <v>487</v>
      </c>
      <c r="E16" s="239">
        <v>38</v>
      </c>
      <c r="G16" s="239">
        <v>905475</v>
      </c>
      <c r="J16" s="239">
        <v>905475</v>
      </c>
      <c r="L16" s="239">
        <v>870900</v>
      </c>
      <c r="M16" s="239">
        <f>J16-L16</f>
        <v>34575</v>
      </c>
    </row>
    <row r="17" spans="1:15" x14ac:dyDescent="0.25">
      <c r="A17" s="253">
        <v>1</v>
      </c>
      <c r="B17" s="253">
        <v>500</v>
      </c>
      <c r="C17" s="253">
        <v>901.8</v>
      </c>
      <c r="D17" s="253">
        <v>457</v>
      </c>
      <c r="E17" s="253">
        <v>35</v>
      </c>
      <c r="F17" s="253"/>
      <c r="G17" s="253">
        <f>(B17*C17+D17+E17)*-1</f>
        <v>-451392</v>
      </c>
      <c r="H17" s="239" t="s">
        <v>438</v>
      </c>
      <c r="I17" s="239">
        <v>451392</v>
      </c>
      <c r="O17" s="239">
        <f>I17+G17</f>
        <v>0</v>
      </c>
    </row>
    <row r="18" spans="1:15" x14ac:dyDescent="0.25">
      <c r="A18" s="253">
        <v>2</v>
      </c>
      <c r="B18" s="253">
        <v>500</v>
      </c>
      <c r="C18" s="253">
        <v>950.4</v>
      </c>
      <c r="D18" s="253">
        <v>457</v>
      </c>
      <c r="E18" s="253">
        <v>4772</v>
      </c>
      <c r="F18" s="253"/>
      <c r="G18" s="253">
        <f>B18*C18-D18-E18</f>
        <v>469971</v>
      </c>
      <c r="H18" s="239" t="s">
        <v>438</v>
      </c>
      <c r="L18" s="239">
        <f>(B17*C17-D17-E17)</f>
        <v>450408</v>
      </c>
    </row>
    <row r="19" spans="1:15" x14ac:dyDescent="0.25">
      <c r="A19" s="253">
        <v>1</v>
      </c>
      <c r="B19" s="253">
        <v>200</v>
      </c>
      <c r="C19" s="253">
        <v>3700</v>
      </c>
      <c r="D19" s="253">
        <v>487</v>
      </c>
      <c r="E19" s="253">
        <v>38</v>
      </c>
      <c r="F19" s="253"/>
      <c r="G19" s="253">
        <f>(B19*C19+D19+E19)*-1</f>
        <v>-740525</v>
      </c>
      <c r="H19" s="239" t="s">
        <v>438</v>
      </c>
      <c r="I19" s="239">
        <v>740525</v>
      </c>
      <c r="O19" s="239">
        <f>I19+G19</f>
        <v>0</v>
      </c>
    </row>
    <row r="20" spans="1:15" x14ac:dyDescent="0.25">
      <c r="A20" s="253">
        <v>2</v>
      </c>
      <c r="B20" s="253">
        <v>200</v>
      </c>
      <c r="C20" s="253">
        <v>3807.5</v>
      </c>
      <c r="D20" s="253">
        <v>487</v>
      </c>
      <c r="E20" s="253">
        <v>4179</v>
      </c>
      <c r="F20" s="253"/>
      <c r="G20" s="253">
        <f>C20*B20-D20-E20</f>
        <v>756834</v>
      </c>
      <c r="H20" s="239" t="s">
        <v>438</v>
      </c>
      <c r="L20" s="239">
        <f>(B19*C19-D19-E19)</f>
        <v>739475</v>
      </c>
    </row>
    <row r="21" spans="1:15" x14ac:dyDescent="0.25">
      <c r="M21" s="239">
        <f>SUM(M3:M20)</f>
        <v>14052</v>
      </c>
    </row>
    <row r="22" spans="1:15" x14ac:dyDescent="0.25">
      <c r="M22" s="239">
        <f>M21*0.20315</f>
        <v>2854.6637999999998</v>
      </c>
    </row>
    <row r="24" spans="1:15" x14ac:dyDescent="0.25">
      <c r="L24" s="239">
        <f>SUM(L3:L23)*-1</f>
        <v>-4052383</v>
      </c>
    </row>
    <row r="25" spans="1:15" x14ac:dyDescent="0.25">
      <c r="A25" s="254" t="s">
        <v>439</v>
      </c>
      <c r="B25" s="239">
        <v>46520</v>
      </c>
      <c r="E25" s="254" t="s">
        <v>440</v>
      </c>
      <c r="F25" s="239">
        <v>1</v>
      </c>
      <c r="G25" s="239">
        <f>G4+G10+G11+G12+G13+G14+G15+G17+G19</f>
        <v>-4053983</v>
      </c>
    </row>
    <row r="26" spans="1:15" x14ac:dyDescent="0.25">
      <c r="E26" s="254" t="s">
        <v>441</v>
      </c>
      <c r="F26" s="239">
        <v>2</v>
      </c>
      <c r="G26" s="239">
        <f>G3+G5+G6+G7+G8+G9+G16+G18+G20</f>
        <v>4103357</v>
      </c>
    </row>
    <row r="29" spans="1:15" x14ac:dyDescent="0.25">
      <c r="E29" s="239" t="s">
        <v>262</v>
      </c>
      <c r="G29" s="239">
        <f>G26+G25</f>
        <v>49374</v>
      </c>
      <c r="I29" s="239">
        <v>47050</v>
      </c>
      <c r="L29" s="239">
        <f>G26+L24</f>
        <v>50974</v>
      </c>
    </row>
    <row r="30" spans="1:15" x14ac:dyDescent="0.25">
      <c r="E30" s="239" t="s">
        <v>442</v>
      </c>
      <c r="G30" s="239">
        <f>2854*-1</f>
        <v>-2854</v>
      </c>
      <c r="L30" s="239">
        <f>2854*-1</f>
        <v>-2854</v>
      </c>
    </row>
    <row r="31" spans="1:15" x14ac:dyDescent="0.25">
      <c r="E31" s="239" t="s">
        <v>443</v>
      </c>
      <c r="G31" s="239">
        <f>G29-2854</f>
        <v>46520</v>
      </c>
      <c r="L31" s="239">
        <f>L29+L30</f>
        <v>48120</v>
      </c>
    </row>
    <row r="34" spans="7:10" x14ac:dyDescent="0.25">
      <c r="G34" s="239">
        <v>46520</v>
      </c>
      <c r="J34" s="239">
        <f>G17+G19</f>
        <v>-1191917</v>
      </c>
    </row>
    <row r="35" spans="7:10" x14ac:dyDescent="0.25">
      <c r="J35" s="255">
        <v>-1191917</v>
      </c>
    </row>
    <row r="36" spans="7:10" x14ac:dyDescent="0.25">
      <c r="G36" s="239">
        <f>G31-G34</f>
        <v>0</v>
      </c>
    </row>
    <row r="37" spans="7:10" x14ac:dyDescent="0.25">
      <c r="J37" s="255">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IPO監視一覧</vt:lpstr>
      <vt:lpstr>セカンダリ投資分析(SBI証券)</vt:lpstr>
      <vt:lpstr>参加条件計算</vt:lpstr>
      <vt:lpstr>終値履歴</vt:lpstr>
      <vt:lpstr>株価一覧</vt:lpstr>
      <vt:lpstr>株式売買勝敗サマリ</vt:lpstr>
      <vt:lpstr>口座残高一覧</vt:lpstr>
      <vt:lpstr>グラフライン</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NEC-USER</cp:lastModifiedBy>
  <dcterms:created xsi:type="dcterms:W3CDTF">2017-05-21T04:36:32Z</dcterms:created>
  <dcterms:modified xsi:type="dcterms:W3CDTF">2018-02-14T05:14:33Z</dcterms:modified>
</cp:coreProperties>
</file>