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mc:AlternateContent xmlns:mc="http://schemas.openxmlformats.org/markup-compatibility/2006">
    <mc:Choice Requires="x15">
      <x15ac:absPath xmlns:x15ac="http://schemas.microsoft.com/office/spreadsheetml/2010/11/ac" url="D:\ICF_AutoCapsule_disabled\source tree\"/>
    </mc:Choice>
  </mc:AlternateContent>
  <bookViews>
    <workbookView xWindow="0" yWindow="0" windowWidth="25185" windowHeight="12270" activeTab="2"/>
  </bookViews>
  <sheets>
    <sheet name="IPO監視一覧" sheetId="3" r:id="rId1"/>
    <sheet name="セカンダリ投資分析(SBI証券)" sheetId="4" r:id="rId2"/>
    <sheet name="参加条件計算" sheetId="5" r:id="rId3"/>
    <sheet name="終値履歴" sheetId="6" r:id="rId4"/>
    <sheet name="口座残高一覧" sheetId="7" r:id="rId5"/>
    <sheet name="株価一覧" sheetId="2" r:id="rId6"/>
    <sheet name="株式売買勝敗サマリ" sheetId="9" r:id="rId7"/>
    <sheet name="セカンダリマイルール " sheetId="10" r:id="rId8"/>
    <sheet name="【OLD】セカンダリマイルール" sheetId="11" r:id="rId9"/>
    <sheet name="参考リンク" sheetId="12" r:id="rId10"/>
    <sheet name="IPO気配キャプチャ" sheetId="13" r:id="rId11"/>
    <sheet name="用語集" sheetId="14" r:id="rId12"/>
    <sheet name="損益計算方法参考" sheetId="15" r:id="rId13"/>
  </sheets>
  <functionGroups builtInGroupCount="18"/>
  <definedNames>
    <definedName name="_xlnm._FilterDatabase" localSheetId="1" hidden="1">'セカンダリ投資分析(SBI証券)'!$A$2:$AA$181</definedName>
    <definedName name="_xlnm._FilterDatabase" localSheetId="12" hidden="1">損益計算方法参考!$A$2:$O$20</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C11" i="9" l="1"/>
  <c r="D20" i="9"/>
  <c r="V39" i="3" l="1"/>
  <c r="G20" i="9"/>
  <c r="C18" i="9"/>
  <c r="E18" i="9" s="1"/>
  <c r="C17" i="9"/>
  <c r="E17" i="9" s="1"/>
  <c r="C16" i="9"/>
  <c r="E16" i="9" s="1"/>
  <c r="C15" i="9"/>
  <c r="E15" i="9" s="1"/>
  <c r="C14" i="9"/>
  <c r="E14" i="9" s="1"/>
  <c r="C20" i="9" l="1"/>
  <c r="H17" i="9"/>
  <c r="I1" i="3"/>
  <c r="H18" i="9"/>
  <c r="Q1" i="3"/>
  <c r="K1" i="3"/>
  <c r="H15" i="9"/>
  <c r="H16" i="9"/>
  <c r="M1" i="3"/>
  <c r="A49" i="3"/>
  <c r="P49" i="3"/>
  <c r="R49" i="3"/>
  <c r="A50" i="3"/>
  <c r="P50" i="3"/>
  <c r="R50" i="3"/>
  <c r="A51" i="3"/>
  <c r="P51" i="3"/>
  <c r="R51" i="3"/>
  <c r="A52" i="3"/>
  <c r="P52" i="3"/>
  <c r="R52" i="3"/>
  <c r="A53" i="3"/>
  <c r="P53" i="3"/>
  <c r="R53" i="3"/>
  <c r="A54" i="3"/>
  <c r="P54" i="3"/>
  <c r="R54" i="3"/>
  <c r="E20" i="9" l="1"/>
  <c r="H14" i="9"/>
  <c r="H20" i="9" s="1"/>
  <c r="O1" i="3"/>
  <c r="R132" i="4"/>
  <c r="S132" i="4" s="1"/>
  <c r="Q132" i="4"/>
  <c r="R131" i="4"/>
  <c r="S131" i="4" s="1"/>
  <c r="Q131" i="4"/>
  <c r="C51" i="5" l="1"/>
  <c r="I180" i="4" s="1"/>
  <c r="C52" i="5"/>
  <c r="C53" i="5"/>
  <c r="C54" i="5"/>
  <c r="C55" i="5"/>
  <c r="C56" i="5"/>
  <c r="C57" i="5"/>
  <c r="C58" i="5"/>
  <c r="R58" i="5"/>
  <c r="T58" i="5"/>
  <c r="W58" i="5"/>
  <c r="D50" i="5"/>
  <c r="E50" i="5"/>
  <c r="F50" i="5"/>
  <c r="G50" i="5"/>
  <c r="D51" i="5"/>
  <c r="E51" i="5"/>
  <c r="F51" i="5"/>
  <c r="G51" i="5"/>
  <c r="D52" i="5"/>
  <c r="E52" i="5"/>
  <c r="F52" i="5"/>
  <c r="G52" i="5"/>
  <c r="D53" i="5"/>
  <c r="E53" i="5"/>
  <c r="F53" i="5"/>
  <c r="G53" i="5"/>
  <c r="D54" i="5"/>
  <c r="E54" i="5"/>
  <c r="F54" i="5"/>
  <c r="G54" i="5"/>
  <c r="D55" i="5"/>
  <c r="E55" i="5"/>
  <c r="F55" i="5"/>
  <c r="G55" i="5"/>
  <c r="D56" i="5"/>
  <c r="E56" i="5"/>
  <c r="F56" i="5"/>
  <c r="G56" i="5"/>
  <c r="D57" i="5"/>
  <c r="E57" i="5"/>
  <c r="F57" i="5"/>
  <c r="G57" i="5"/>
  <c r="D58" i="5"/>
  <c r="E58" i="5"/>
  <c r="F58" i="5"/>
  <c r="G58" i="5"/>
  <c r="C51" i="6"/>
  <c r="H180" i="4" s="1"/>
  <c r="D51" i="6"/>
  <c r="R51" i="5" s="1"/>
  <c r="E51" i="6"/>
  <c r="T51" i="5" s="1"/>
  <c r="F51" i="6"/>
  <c r="W51" i="5" s="1"/>
  <c r="C52" i="6"/>
  <c r="D52" i="6"/>
  <c r="R52" i="5" s="1"/>
  <c r="E52" i="6"/>
  <c r="T52" i="5" s="1"/>
  <c r="F52" i="6"/>
  <c r="W52" i="5" s="1"/>
  <c r="X52" i="5" s="1"/>
  <c r="C53" i="6"/>
  <c r="D53" i="6"/>
  <c r="R53" i="5" s="1"/>
  <c r="E53" i="6"/>
  <c r="T53" i="5" s="1"/>
  <c r="F53" i="6"/>
  <c r="W53" i="5" s="1"/>
  <c r="X53" i="5" s="1"/>
  <c r="C54" i="6"/>
  <c r="D54" i="6"/>
  <c r="R54" i="5" s="1"/>
  <c r="E54" i="6"/>
  <c r="T54" i="5" s="1"/>
  <c r="F54" i="6"/>
  <c r="W54" i="5" s="1"/>
  <c r="C55" i="6"/>
  <c r="D55" i="6"/>
  <c r="R55" i="5" s="1"/>
  <c r="E55" i="6"/>
  <c r="T55" i="5" s="1"/>
  <c r="F55" i="6"/>
  <c r="W55" i="5" s="1"/>
  <c r="C56" i="6"/>
  <c r="D56" i="6"/>
  <c r="R56" i="5" s="1"/>
  <c r="E56" i="6"/>
  <c r="T56" i="5" s="1"/>
  <c r="F56" i="6"/>
  <c r="W56" i="5" s="1"/>
  <c r="X56" i="5" s="1"/>
  <c r="C57" i="6"/>
  <c r="D57" i="6"/>
  <c r="R57" i="5" s="1"/>
  <c r="E57" i="6"/>
  <c r="T57" i="5" s="1"/>
  <c r="F57" i="6"/>
  <c r="W57" i="5" s="1"/>
  <c r="X57" i="5" s="1"/>
  <c r="R46" i="4"/>
  <c r="Q46" i="4"/>
  <c r="S46" i="4" l="1"/>
  <c r="K51" i="5"/>
  <c r="J57" i="5"/>
  <c r="J53" i="5"/>
  <c r="M55" i="5"/>
  <c r="M53" i="5"/>
  <c r="M52" i="5"/>
  <c r="M51" i="5"/>
  <c r="Q58" i="5"/>
  <c r="I58" i="5"/>
  <c r="I55" i="5"/>
  <c r="I54" i="5"/>
  <c r="I51" i="5"/>
  <c r="I50" i="5"/>
  <c r="K56" i="5"/>
  <c r="K52" i="5"/>
  <c r="K58" i="5"/>
  <c r="N58" i="5"/>
  <c r="N57" i="5"/>
  <c r="P56" i="5"/>
  <c r="N54" i="5"/>
  <c r="N50" i="5"/>
  <c r="U58" i="5"/>
  <c r="J56" i="5"/>
  <c r="K54" i="5"/>
  <c r="S57" i="5"/>
  <c r="S56" i="5"/>
  <c r="S53" i="5"/>
  <c r="S52" i="5"/>
  <c r="J55" i="5"/>
  <c r="J51" i="5"/>
  <c r="K55" i="5"/>
  <c r="J52" i="5"/>
  <c r="U55" i="5"/>
  <c r="Q55" i="5"/>
  <c r="Q54" i="5"/>
  <c r="U54" i="5"/>
  <c r="Q51" i="5"/>
  <c r="U51" i="5"/>
  <c r="M50" i="5"/>
  <c r="K50" i="5"/>
  <c r="M58" i="5"/>
  <c r="I57" i="5"/>
  <c r="M54" i="5"/>
  <c r="N53" i="5"/>
  <c r="I53" i="5"/>
  <c r="P52" i="5"/>
  <c r="M57" i="5"/>
  <c r="N56" i="5"/>
  <c r="I56" i="5"/>
  <c r="P55" i="5"/>
  <c r="N52" i="5"/>
  <c r="I52" i="5"/>
  <c r="P51" i="5"/>
  <c r="P58" i="5"/>
  <c r="J58" i="5"/>
  <c r="U57" i="5"/>
  <c r="Q57" i="5"/>
  <c r="K57" i="5"/>
  <c r="M56" i="5"/>
  <c r="X55" i="5"/>
  <c r="S55" i="5"/>
  <c r="N55" i="5"/>
  <c r="P54" i="5"/>
  <c r="J54" i="5"/>
  <c r="U53" i="5"/>
  <c r="Q53" i="5"/>
  <c r="K53" i="5"/>
  <c r="X51" i="5"/>
  <c r="S51" i="5"/>
  <c r="N51" i="5"/>
  <c r="P50" i="5"/>
  <c r="J50" i="5"/>
  <c r="X58" i="5"/>
  <c r="S58" i="5"/>
  <c r="P57" i="5"/>
  <c r="U56" i="5"/>
  <c r="Q56" i="5"/>
  <c r="X54" i="5"/>
  <c r="S54" i="5"/>
  <c r="P53" i="5"/>
  <c r="U52" i="5"/>
  <c r="Q52" i="5"/>
  <c r="F50" i="6"/>
  <c r="W50" i="5" s="1"/>
  <c r="X50" i="5" s="1"/>
  <c r="E50" i="6"/>
  <c r="T50" i="5" s="1"/>
  <c r="D50" i="6"/>
  <c r="R50" i="5" s="1"/>
  <c r="S50" i="5" s="1"/>
  <c r="C50" i="6"/>
  <c r="C50" i="5"/>
  <c r="B50" i="5"/>
  <c r="B50" i="6" s="1"/>
  <c r="Q50" i="5" l="1"/>
  <c r="U50" i="5"/>
  <c r="R45" i="4"/>
  <c r="S45" i="4" s="1"/>
  <c r="Q45" i="4"/>
  <c r="C49" i="6" l="1"/>
  <c r="D49" i="6"/>
  <c r="R49" i="5" s="1"/>
  <c r="E49" i="6"/>
  <c r="T49" i="5" s="1"/>
  <c r="F49" i="6"/>
  <c r="W49" i="5" s="1"/>
  <c r="B49" i="5"/>
  <c r="B49" i="6" s="1"/>
  <c r="C49" i="5"/>
  <c r="D49" i="5"/>
  <c r="E49" i="5"/>
  <c r="F49" i="5"/>
  <c r="G49" i="5"/>
  <c r="P49" i="5" l="1"/>
  <c r="X49" i="5"/>
  <c r="S49" i="5"/>
  <c r="N49" i="5"/>
  <c r="M49" i="5"/>
  <c r="J49" i="5"/>
  <c r="K49" i="5"/>
  <c r="I49" i="5"/>
  <c r="U49" i="5"/>
  <c r="Q49" i="5"/>
  <c r="A56" i="6"/>
  <c r="B56" i="6"/>
  <c r="A57" i="6"/>
  <c r="B57" i="6"/>
  <c r="A186" i="4"/>
  <c r="B186" i="4"/>
  <c r="C186" i="4"/>
  <c r="F186" i="4"/>
  <c r="L186" i="4" s="1"/>
  <c r="G186" i="4"/>
  <c r="K186" i="4"/>
  <c r="S186" i="4"/>
  <c r="A187" i="4"/>
  <c r="B187" i="4"/>
  <c r="C187" i="4"/>
  <c r="F187" i="4"/>
  <c r="L187" i="4" s="1"/>
  <c r="G187" i="4"/>
  <c r="K187" i="4" s="1"/>
  <c r="S187" i="4"/>
  <c r="A188" i="4"/>
  <c r="B188" i="4"/>
  <c r="C188" i="4"/>
  <c r="F188" i="4"/>
  <c r="L188" i="4" s="1"/>
  <c r="G188" i="4"/>
  <c r="K188" i="4" s="1"/>
  <c r="S188" i="4"/>
  <c r="A189" i="4"/>
  <c r="B189" i="4"/>
  <c r="C189" i="4"/>
  <c r="F189" i="4"/>
  <c r="L189" i="4" s="1"/>
  <c r="G189" i="4"/>
  <c r="S189" i="4"/>
  <c r="A190" i="4"/>
  <c r="B190" i="4"/>
  <c r="C190" i="4"/>
  <c r="F190" i="4"/>
  <c r="G190" i="4"/>
  <c r="K190" i="4" s="1"/>
  <c r="L190" i="4"/>
  <c r="S190" i="4"/>
  <c r="A191" i="4"/>
  <c r="B191" i="4"/>
  <c r="C191" i="4"/>
  <c r="F191" i="4"/>
  <c r="G191" i="4"/>
  <c r="K191" i="4" s="1"/>
  <c r="L191" i="4"/>
  <c r="S191" i="4"/>
  <c r="A192" i="4"/>
  <c r="B192" i="4"/>
  <c r="C192" i="4"/>
  <c r="F192" i="4"/>
  <c r="L192" i="4" s="1"/>
  <c r="G192" i="4"/>
  <c r="K192" i="4" s="1"/>
  <c r="S192" i="4"/>
  <c r="AA10" i="3"/>
  <c r="B55" i="5"/>
  <c r="B56" i="5"/>
  <c r="B57" i="5"/>
  <c r="B58" i="5"/>
  <c r="J192" i="4" l="1"/>
  <c r="J191" i="4"/>
  <c r="J190" i="4"/>
  <c r="J188" i="4"/>
  <c r="J189" i="4"/>
  <c r="J187" i="4"/>
  <c r="J186" i="4"/>
  <c r="K189" i="4"/>
  <c r="R43" i="4"/>
  <c r="S43" i="4"/>
  <c r="Q43" i="4"/>
  <c r="F46" i="6" l="1"/>
  <c r="F47" i="6"/>
  <c r="F48" i="6"/>
  <c r="E46" i="6"/>
  <c r="E47" i="6"/>
  <c r="E48" i="6"/>
  <c r="D47" i="6"/>
  <c r="D48" i="6"/>
  <c r="C48" i="6"/>
  <c r="H179" i="4" s="1"/>
  <c r="D46" i="6"/>
  <c r="C46" i="6"/>
  <c r="H177" i="4" s="1"/>
  <c r="C47" i="6"/>
  <c r="H178" i="4" s="1"/>
  <c r="V36" i="3"/>
  <c r="V37" i="3"/>
  <c r="V38" i="3"/>
  <c r="R202" i="7" l="1"/>
  <c r="P202" i="7"/>
  <c r="N202" i="7"/>
  <c r="L202" i="7"/>
  <c r="J202" i="7"/>
  <c r="H202" i="7"/>
  <c r="F201" i="7"/>
  <c r="S201" i="7" s="1"/>
  <c r="D201" i="7"/>
  <c r="S202" i="7" l="1"/>
  <c r="B200" i="7"/>
  <c r="R27" i="4"/>
  <c r="S27" i="4" s="1"/>
  <c r="Q27" i="4"/>
  <c r="X44" i="4"/>
  <c r="W44" i="4"/>
  <c r="P44" i="4"/>
  <c r="R44" i="4" l="1"/>
  <c r="Q44" i="4"/>
  <c r="S44" i="4" l="1"/>
  <c r="D44" i="6"/>
  <c r="D45" i="6"/>
  <c r="C44" i="6"/>
  <c r="C45" i="6"/>
  <c r="R46" i="5"/>
  <c r="T46" i="5"/>
  <c r="W46" i="5"/>
  <c r="R47" i="5"/>
  <c r="T47" i="5"/>
  <c r="W47" i="5"/>
  <c r="R48" i="5"/>
  <c r="T48" i="5"/>
  <c r="W48" i="5"/>
  <c r="D44" i="5"/>
  <c r="F44" i="5"/>
  <c r="G44" i="5"/>
  <c r="D45" i="5"/>
  <c r="D46" i="5"/>
  <c r="E46" i="5"/>
  <c r="F46" i="5"/>
  <c r="G46" i="5"/>
  <c r="D47" i="5"/>
  <c r="E47" i="5"/>
  <c r="F47" i="5"/>
  <c r="G47" i="5"/>
  <c r="D48" i="5"/>
  <c r="E48" i="5"/>
  <c r="F48" i="5"/>
  <c r="G48" i="5"/>
  <c r="C44" i="5"/>
  <c r="C45" i="5"/>
  <c r="C46" i="5"/>
  <c r="I177" i="4" s="1"/>
  <c r="C47" i="5"/>
  <c r="I178" i="4" s="1"/>
  <c r="C48" i="5"/>
  <c r="I179" i="4" s="1"/>
  <c r="B45" i="5"/>
  <c r="B45" i="6" s="1"/>
  <c r="B44" i="5"/>
  <c r="B44" i="6" s="1"/>
  <c r="A54" i="6"/>
  <c r="B54" i="6"/>
  <c r="A55" i="6"/>
  <c r="B55" i="6"/>
  <c r="U47" i="5" l="1"/>
  <c r="S48" i="5"/>
  <c r="S46" i="5"/>
  <c r="G45" i="5"/>
  <c r="K45" i="5" s="1"/>
  <c r="U48" i="5"/>
  <c r="X47" i="5"/>
  <c r="S47" i="5"/>
  <c r="U46" i="5"/>
  <c r="I46" i="5"/>
  <c r="Q47" i="5"/>
  <c r="J47" i="5"/>
  <c r="J46" i="5"/>
  <c r="Q46" i="5"/>
  <c r="X48" i="5"/>
  <c r="X46" i="5"/>
  <c r="K48" i="5"/>
  <c r="K44" i="5"/>
  <c r="I48" i="5"/>
  <c r="I47" i="5"/>
  <c r="K46" i="5"/>
  <c r="I44" i="5"/>
  <c r="K47" i="5"/>
  <c r="Q48" i="5"/>
  <c r="J48" i="5"/>
  <c r="R42" i="4"/>
  <c r="S42" i="4" s="1"/>
  <c r="Q42" i="4"/>
  <c r="B53" i="5" l="1"/>
  <c r="B54" i="5"/>
  <c r="C43" i="5"/>
  <c r="I176" i="4" s="1"/>
  <c r="D43" i="6"/>
  <c r="E43" i="6"/>
  <c r="F43" i="6"/>
  <c r="C43" i="6"/>
  <c r="H176" i="4" s="1"/>
  <c r="V35" i="3"/>
  <c r="R37" i="4" l="1"/>
  <c r="S37" i="4" s="1"/>
  <c r="Q37" i="4"/>
  <c r="V33" i="3" l="1"/>
  <c r="V34" i="3"/>
  <c r="B51" i="5"/>
  <c r="B52" i="5"/>
  <c r="C42" i="5"/>
  <c r="I175" i="4" s="1"/>
  <c r="C42" i="6"/>
  <c r="H175" i="4" s="1"/>
  <c r="V36" i="4" l="1"/>
  <c r="R36" i="4" s="1"/>
  <c r="U36" i="4"/>
  <c r="Q36" i="4" s="1"/>
  <c r="N36" i="4"/>
  <c r="S36" i="4" l="1"/>
  <c r="C41" i="5"/>
  <c r="I174" i="4" s="1"/>
  <c r="D41" i="6"/>
  <c r="C41" i="6"/>
  <c r="H174" i="4" s="1"/>
  <c r="R35" i="4"/>
  <c r="Q35" i="4"/>
  <c r="S35" i="4" l="1"/>
  <c r="V32" i="3"/>
  <c r="L36" i="3" l="1"/>
  <c r="R26" i="4"/>
  <c r="Q26" i="4"/>
  <c r="S26" i="4" l="1"/>
  <c r="R173" i="4"/>
  <c r="Q173" i="4"/>
  <c r="R74" i="4"/>
  <c r="Q74" i="4"/>
  <c r="S74" i="4" s="1"/>
  <c r="S173" i="4" l="1"/>
  <c r="R130" i="4"/>
  <c r="Q130" i="4"/>
  <c r="S130" i="4" l="1"/>
  <c r="A51" i="6"/>
  <c r="B51" i="6"/>
  <c r="A52" i="6"/>
  <c r="B52" i="6"/>
  <c r="A53" i="6"/>
  <c r="B53" i="6"/>
  <c r="C40" i="6"/>
  <c r="H173" i="4" s="1"/>
  <c r="C40" i="5"/>
  <c r="I173" i="4" s="1"/>
  <c r="R129" i="4" l="1"/>
  <c r="Q129" i="4"/>
  <c r="S129" i="4" l="1"/>
  <c r="P42" i="3"/>
  <c r="L42" i="3"/>
  <c r="R196" i="7" l="1"/>
  <c r="P196" i="7"/>
  <c r="N196" i="7"/>
  <c r="L196" i="7"/>
  <c r="J196" i="7"/>
  <c r="H196" i="7"/>
  <c r="F195" i="7"/>
  <c r="D195" i="7"/>
  <c r="S195" i="7" s="1"/>
  <c r="R34" i="4"/>
  <c r="Q34" i="4"/>
  <c r="R41" i="4"/>
  <c r="Q41" i="4"/>
  <c r="S41" i="4" l="1"/>
  <c r="B194" i="7"/>
  <c r="S34" i="4"/>
  <c r="S196" i="7"/>
  <c r="R25" i="4"/>
  <c r="Q25" i="4"/>
  <c r="S25" i="4" l="1"/>
  <c r="R21" i="4"/>
  <c r="Q21" i="4"/>
  <c r="S21" i="4" l="1"/>
  <c r="R20" i="4"/>
  <c r="Q20" i="4"/>
  <c r="R40" i="4"/>
  <c r="Q40" i="4"/>
  <c r="S40" i="4" l="1"/>
  <c r="S20" i="4"/>
  <c r="A182" i="4"/>
  <c r="B182" i="4"/>
  <c r="C182" i="4"/>
  <c r="F182" i="4"/>
  <c r="L182" i="4" s="1"/>
  <c r="G182" i="4"/>
  <c r="K182" i="4" s="1"/>
  <c r="S182" i="4"/>
  <c r="A183" i="4"/>
  <c r="B183" i="4"/>
  <c r="C183" i="4"/>
  <c r="F183" i="4"/>
  <c r="L183" i="4" s="1"/>
  <c r="G183" i="4"/>
  <c r="K183" i="4" s="1"/>
  <c r="S183" i="4"/>
  <c r="A184" i="4"/>
  <c r="B184" i="4"/>
  <c r="C184" i="4"/>
  <c r="F184" i="4"/>
  <c r="L184" i="4" s="1"/>
  <c r="G184" i="4"/>
  <c r="K184" i="4" s="1"/>
  <c r="S184" i="4"/>
  <c r="A185" i="4"/>
  <c r="B185" i="4"/>
  <c r="C185" i="4"/>
  <c r="F185" i="4"/>
  <c r="L185" i="4" s="1"/>
  <c r="G185" i="4"/>
  <c r="S185" i="4"/>
  <c r="J183" i="4" l="1"/>
  <c r="J182" i="4"/>
  <c r="J184" i="4"/>
  <c r="J185" i="4"/>
  <c r="K185" i="4"/>
  <c r="B39" i="5"/>
  <c r="B39" i="6" s="1"/>
  <c r="G39" i="5"/>
  <c r="F39" i="5"/>
  <c r="E39" i="5"/>
  <c r="D39" i="5"/>
  <c r="C39" i="5"/>
  <c r="F39" i="6"/>
  <c r="W39" i="5" s="1"/>
  <c r="E39" i="6"/>
  <c r="T39" i="5" s="1"/>
  <c r="D39" i="6"/>
  <c r="R39" i="5" s="1"/>
  <c r="C39" i="6"/>
  <c r="X39" i="5" l="1"/>
  <c r="U39" i="5"/>
  <c r="K39" i="5"/>
  <c r="J39" i="5"/>
  <c r="P39" i="5"/>
  <c r="N39" i="5"/>
  <c r="Q39" i="5"/>
  <c r="M39" i="5"/>
  <c r="I39" i="5"/>
  <c r="S39" i="5"/>
  <c r="R33" i="4"/>
  <c r="S33" i="4" s="1"/>
  <c r="Q33" i="4"/>
  <c r="R32" i="4" l="1"/>
  <c r="Q32" i="4"/>
  <c r="S32" i="4" l="1"/>
  <c r="V128" i="4"/>
  <c r="R128" i="4" s="1"/>
  <c r="U128" i="4"/>
  <c r="Q128" i="4" s="1"/>
  <c r="N128" i="4"/>
  <c r="R160" i="4"/>
  <c r="Q160" i="4"/>
  <c r="S128" i="4" l="1"/>
  <c r="S160" i="4"/>
  <c r="P190" i="7"/>
  <c r="R190" i="7"/>
  <c r="N190" i="7"/>
  <c r="L190" i="7"/>
  <c r="J190" i="7"/>
  <c r="H190" i="7"/>
  <c r="S190" i="7" s="1"/>
  <c r="F189" i="7"/>
  <c r="D189" i="7"/>
  <c r="R7" i="3"/>
  <c r="R8" i="3"/>
  <c r="R9" i="3"/>
  <c r="R10" i="3"/>
  <c r="R11" i="3"/>
  <c r="R12" i="3"/>
  <c r="R13" i="3"/>
  <c r="R14" i="3"/>
  <c r="R15" i="3"/>
  <c r="R16" i="3"/>
  <c r="R17" i="3"/>
  <c r="R18" i="3"/>
  <c r="R19" i="3"/>
  <c r="R20" i="3"/>
  <c r="R21" i="3"/>
  <c r="R22" i="3"/>
  <c r="R23" i="3"/>
  <c r="R24" i="3"/>
  <c r="R25" i="3"/>
  <c r="R26" i="3"/>
  <c r="R27" i="3"/>
  <c r="R28" i="3"/>
  <c r="R29" i="3"/>
  <c r="R30" i="3"/>
  <c r="R31" i="3"/>
  <c r="R32" i="3"/>
  <c r="R34" i="3"/>
  <c r="R35" i="3"/>
  <c r="R36" i="3"/>
  <c r="R37" i="3"/>
  <c r="R38" i="3"/>
  <c r="R39" i="3"/>
  <c r="R40" i="3"/>
  <c r="R41" i="3"/>
  <c r="R42" i="3"/>
  <c r="R43" i="3"/>
  <c r="R44" i="3"/>
  <c r="R45" i="3"/>
  <c r="R46" i="3"/>
  <c r="R47" i="3"/>
  <c r="R48" i="3"/>
  <c r="R33" i="3"/>
  <c r="R6" i="3"/>
  <c r="R96" i="4"/>
  <c r="Q96" i="4"/>
  <c r="B188" i="7" l="1"/>
  <c r="S96" i="4"/>
  <c r="S189" i="7"/>
  <c r="R24" i="4"/>
  <c r="Q24" i="4"/>
  <c r="S24" i="4" l="1"/>
  <c r="R29" i="4"/>
  <c r="Q29" i="4"/>
  <c r="S29" i="4" l="1"/>
  <c r="R31" i="4"/>
  <c r="Q31" i="4"/>
  <c r="S31" i="4" l="1"/>
  <c r="A48" i="6"/>
  <c r="B48" i="6"/>
  <c r="R184" i="7" l="1"/>
  <c r="N184" i="7"/>
  <c r="L184" i="7"/>
  <c r="J184" i="7"/>
  <c r="H184" i="7"/>
  <c r="S184" i="7" s="1"/>
  <c r="F183" i="7"/>
  <c r="D183" i="7"/>
  <c r="E38" i="5"/>
  <c r="D38" i="5"/>
  <c r="F38" i="5"/>
  <c r="G38" i="5"/>
  <c r="R30" i="4"/>
  <c r="Q30" i="4"/>
  <c r="F38" i="6"/>
  <c r="W38" i="5" s="1"/>
  <c r="E38" i="6"/>
  <c r="T38" i="5" s="1"/>
  <c r="D38" i="6"/>
  <c r="R38" i="5" s="1"/>
  <c r="C38" i="6"/>
  <c r="C38" i="5"/>
  <c r="B38" i="5"/>
  <c r="B38" i="6" s="1"/>
  <c r="R95" i="4"/>
  <c r="S95" i="4" s="1"/>
  <c r="Q95" i="4"/>
  <c r="R19" i="4"/>
  <c r="Q19" i="4"/>
  <c r="S30" i="4" l="1"/>
  <c r="S19" i="4"/>
  <c r="S183" i="7"/>
  <c r="B182" i="7"/>
  <c r="M38" i="5"/>
  <c r="N38" i="5"/>
  <c r="I38" i="5"/>
  <c r="J38" i="5"/>
  <c r="P38" i="5"/>
  <c r="K38" i="5"/>
  <c r="R28" i="4"/>
  <c r="Q28" i="4"/>
  <c r="B37" i="5"/>
  <c r="B37" i="6" s="1"/>
  <c r="G37" i="5"/>
  <c r="F37" i="5"/>
  <c r="E37" i="5"/>
  <c r="D37" i="5"/>
  <c r="C37" i="5"/>
  <c r="F37" i="6"/>
  <c r="W37" i="5" s="1"/>
  <c r="E37" i="6"/>
  <c r="T37" i="5" s="1"/>
  <c r="D37" i="6"/>
  <c r="R37" i="5" s="1"/>
  <c r="C37" i="6"/>
  <c r="S28" i="4" l="1"/>
  <c r="U37" i="5"/>
  <c r="N37" i="5"/>
  <c r="X37" i="5"/>
  <c r="K37" i="5"/>
  <c r="J37" i="5"/>
  <c r="P37" i="5"/>
  <c r="Q37" i="5"/>
  <c r="M37" i="5"/>
  <c r="I37" i="5"/>
  <c r="S37" i="5"/>
  <c r="R23" i="4"/>
  <c r="Q23" i="4"/>
  <c r="S23" i="4" l="1"/>
  <c r="V127" i="4"/>
  <c r="R127" i="4" s="1"/>
  <c r="U127" i="4"/>
  <c r="Q127" i="4" s="1"/>
  <c r="N127" i="4"/>
  <c r="S127" i="4" l="1"/>
  <c r="R87" i="4"/>
  <c r="Q87" i="4"/>
  <c r="S87" i="4" s="1"/>
  <c r="B46" i="5" l="1"/>
  <c r="B47" i="5"/>
  <c r="B48" i="5"/>
  <c r="R94" i="4"/>
  <c r="Q94" i="4"/>
  <c r="R93" i="4"/>
  <c r="Q93" i="4"/>
  <c r="R18" i="4"/>
  <c r="Q18" i="4"/>
  <c r="S18" i="4" l="1"/>
  <c r="S94" i="4"/>
  <c r="S93" i="4"/>
  <c r="M48" i="5"/>
  <c r="M46" i="5"/>
  <c r="N48" i="5"/>
  <c r="M47" i="5"/>
  <c r="N47" i="5"/>
  <c r="P46" i="5"/>
  <c r="P47" i="5"/>
  <c r="N46" i="5"/>
  <c r="P48" i="5"/>
  <c r="B43" i="5"/>
  <c r="D43" i="5"/>
  <c r="E43" i="5"/>
  <c r="F43" i="5"/>
  <c r="G43" i="5"/>
  <c r="R43" i="5"/>
  <c r="T43" i="5"/>
  <c r="W43" i="5"/>
  <c r="A178" i="4"/>
  <c r="B178" i="4"/>
  <c r="C178" i="4"/>
  <c r="F178" i="4"/>
  <c r="L178" i="4" s="1"/>
  <c r="G178" i="4"/>
  <c r="K178" i="4" s="1"/>
  <c r="S178" i="4"/>
  <c r="A179" i="4"/>
  <c r="B179" i="4"/>
  <c r="C179" i="4"/>
  <c r="F179" i="4"/>
  <c r="L179" i="4" s="1"/>
  <c r="G179" i="4"/>
  <c r="K179" i="4" s="1"/>
  <c r="S179" i="4"/>
  <c r="A180" i="4"/>
  <c r="B180" i="4"/>
  <c r="C180" i="4"/>
  <c r="F180" i="4"/>
  <c r="L180" i="4" s="1"/>
  <c r="G180" i="4"/>
  <c r="K180" i="4" s="1"/>
  <c r="S180" i="4"/>
  <c r="A181" i="4"/>
  <c r="B181" i="4"/>
  <c r="C181" i="4"/>
  <c r="F181" i="4"/>
  <c r="L181" i="4" s="1"/>
  <c r="G181" i="4"/>
  <c r="S181" i="4"/>
  <c r="X43" i="5" l="1"/>
  <c r="S43" i="5"/>
  <c r="J179" i="4"/>
  <c r="J180" i="4"/>
  <c r="J181" i="4"/>
  <c r="J178" i="4"/>
  <c r="I43" i="5"/>
  <c r="P43" i="5"/>
  <c r="M43" i="5"/>
  <c r="N43" i="5"/>
  <c r="J43" i="5"/>
  <c r="K43" i="5"/>
  <c r="U43" i="5"/>
  <c r="Q43" i="5"/>
  <c r="K181" i="4"/>
  <c r="R178" i="7"/>
  <c r="N178" i="7"/>
  <c r="L178" i="7"/>
  <c r="J178" i="7"/>
  <c r="H178" i="7"/>
  <c r="S178" i="7" s="1"/>
  <c r="F177" i="7"/>
  <c r="B176" i="7" s="1"/>
  <c r="D177" i="7"/>
  <c r="S177" i="7" l="1"/>
  <c r="R92" i="4"/>
  <c r="Q92" i="4"/>
  <c r="R17" i="4"/>
  <c r="Q17" i="4"/>
  <c r="R77" i="4"/>
  <c r="Q77" i="4"/>
  <c r="S17" i="4" l="1"/>
  <c r="S77" i="4"/>
  <c r="S92" i="4"/>
  <c r="D19" i="5"/>
  <c r="D20" i="5"/>
  <c r="D35" i="5"/>
  <c r="D36" i="5"/>
  <c r="E14" i="5"/>
  <c r="E15" i="5"/>
  <c r="E30" i="5"/>
  <c r="E31" i="5"/>
  <c r="F9" i="5"/>
  <c r="F10" i="5"/>
  <c r="F25" i="5"/>
  <c r="F26" i="5"/>
  <c r="F4" i="5"/>
  <c r="F3" i="5"/>
  <c r="G5" i="5"/>
  <c r="G6" i="5"/>
  <c r="G7" i="5"/>
  <c r="G8" i="5"/>
  <c r="G9" i="5"/>
  <c r="G10" i="5"/>
  <c r="G11" i="5"/>
  <c r="G12" i="5"/>
  <c r="G13" i="5"/>
  <c r="G14" i="5"/>
  <c r="G15" i="5"/>
  <c r="G16" i="5"/>
  <c r="G17" i="5"/>
  <c r="G18" i="5"/>
  <c r="G19" i="5"/>
  <c r="G20" i="5"/>
  <c r="G21" i="5"/>
  <c r="G22" i="5"/>
  <c r="G23" i="5"/>
  <c r="G24" i="5"/>
  <c r="G25" i="5"/>
  <c r="G26" i="5"/>
  <c r="G27" i="5"/>
  <c r="G28" i="5"/>
  <c r="G29" i="5"/>
  <c r="G30" i="5"/>
  <c r="G31" i="5"/>
  <c r="G32" i="5"/>
  <c r="G33" i="5"/>
  <c r="G34" i="5"/>
  <c r="G35" i="5"/>
  <c r="G36" i="5"/>
  <c r="G40" i="5"/>
  <c r="G41" i="5"/>
  <c r="G42" i="5"/>
  <c r="G4" i="5"/>
  <c r="G3" i="5"/>
  <c r="F5" i="6"/>
  <c r="F5" i="5" s="1"/>
  <c r="F6" i="6"/>
  <c r="F6" i="5" s="1"/>
  <c r="F7" i="6"/>
  <c r="F7" i="5" s="1"/>
  <c r="F8" i="6"/>
  <c r="F8" i="5" s="1"/>
  <c r="F9" i="6"/>
  <c r="F10" i="6"/>
  <c r="F11" i="6"/>
  <c r="F11" i="5" s="1"/>
  <c r="F12" i="6"/>
  <c r="F12" i="5" s="1"/>
  <c r="F13" i="6"/>
  <c r="F13" i="5" s="1"/>
  <c r="F14" i="6"/>
  <c r="F14" i="5" s="1"/>
  <c r="F15" i="6"/>
  <c r="F15" i="5" s="1"/>
  <c r="F16" i="6"/>
  <c r="F16" i="5" s="1"/>
  <c r="F17" i="6"/>
  <c r="F17" i="5" s="1"/>
  <c r="F18" i="6"/>
  <c r="F18" i="5" s="1"/>
  <c r="F19" i="6"/>
  <c r="F19" i="5" s="1"/>
  <c r="F20" i="6"/>
  <c r="F20" i="5" s="1"/>
  <c r="F21" i="6"/>
  <c r="F21" i="5" s="1"/>
  <c r="F22" i="6"/>
  <c r="F22" i="5" s="1"/>
  <c r="F23" i="6"/>
  <c r="F23" i="5" s="1"/>
  <c r="F24" i="6"/>
  <c r="F24" i="5" s="1"/>
  <c r="F25" i="6"/>
  <c r="F26" i="6"/>
  <c r="F27" i="6"/>
  <c r="F27" i="5" s="1"/>
  <c r="F28" i="6"/>
  <c r="F28" i="5" s="1"/>
  <c r="F29" i="6"/>
  <c r="F29" i="5" s="1"/>
  <c r="F30" i="6"/>
  <c r="F30" i="5" s="1"/>
  <c r="F31" i="6"/>
  <c r="F31" i="5" s="1"/>
  <c r="F32" i="6"/>
  <c r="F32" i="5" s="1"/>
  <c r="F33" i="6"/>
  <c r="F33" i="5" s="1"/>
  <c r="F34" i="6"/>
  <c r="F34" i="5" s="1"/>
  <c r="F35" i="6"/>
  <c r="F36" i="6"/>
  <c r="F36" i="5" s="1"/>
  <c r="F40" i="6"/>
  <c r="F41" i="6"/>
  <c r="F41" i="5" s="1"/>
  <c r="F42" i="6"/>
  <c r="F42" i="5" s="1"/>
  <c r="E5" i="6"/>
  <c r="T5" i="5" s="1"/>
  <c r="E6" i="6"/>
  <c r="T6" i="5" s="1"/>
  <c r="E7" i="6"/>
  <c r="T7" i="5" s="1"/>
  <c r="E8" i="6"/>
  <c r="T8" i="5" s="1"/>
  <c r="E9" i="6"/>
  <c r="T9" i="5" s="1"/>
  <c r="E10" i="6"/>
  <c r="T10" i="5" s="1"/>
  <c r="E11" i="6"/>
  <c r="T11" i="5" s="1"/>
  <c r="E12" i="6"/>
  <c r="T12" i="5" s="1"/>
  <c r="E13" i="6"/>
  <c r="T13" i="5" s="1"/>
  <c r="E14" i="6"/>
  <c r="T14" i="5" s="1"/>
  <c r="E15" i="6"/>
  <c r="T15" i="5" s="1"/>
  <c r="E16" i="6"/>
  <c r="T16" i="5" s="1"/>
  <c r="E17" i="6"/>
  <c r="T17" i="5" s="1"/>
  <c r="E18" i="6"/>
  <c r="T18" i="5" s="1"/>
  <c r="E19" i="6"/>
  <c r="T19" i="5" s="1"/>
  <c r="E20" i="6"/>
  <c r="T20" i="5" s="1"/>
  <c r="E21" i="6"/>
  <c r="T21" i="5" s="1"/>
  <c r="E22" i="6"/>
  <c r="T22" i="5" s="1"/>
  <c r="E23" i="6"/>
  <c r="T23" i="5" s="1"/>
  <c r="E24" i="6"/>
  <c r="T24" i="5" s="1"/>
  <c r="E25" i="6"/>
  <c r="T25" i="5" s="1"/>
  <c r="E26" i="6"/>
  <c r="T26" i="5" s="1"/>
  <c r="E27" i="6"/>
  <c r="T27" i="5" s="1"/>
  <c r="E28" i="6"/>
  <c r="T28" i="5" s="1"/>
  <c r="E29" i="6"/>
  <c r="T29" i="5" s="1"/>
  <c r="E30" i="6"/>
  <c r="T30" i="5" s="1"/>
  <c r="E31" i="6"/>
  <c r="T31" i="5" s="1"/>
  <c r="E32" i="6"/>
  <c r="T32" i="5" s="1"/>
  <c r="E33" i="6"/>
  <c r="T33" i="5" s="1"/>
  <c r="E34" i="6"/>
  <c r="T34" i="5" s="1"/>
  <c r="E35" i="6"/>
  <c r="E36" i="6"/>
  <c r="T36" i="5" s="1"/>
  <c r="E40" i="6"/>
  <c r="E41" i="6"/>
  <c r="T41" i="5" s="1"/>
  <c r="E42" i="6"/>
  <c r="T42" i="5" s="1"/>
  <c r="D5" i="6"/>
  <c r="R5" i="5" s="1"/>
  <c r="D6" i="6"/>
  <c r="R6" i="5" s="1"/>
  <c r="D7" i="6"/>
  <c r="R7" i="5" s="1"/>
  <c r="D8" i="6"/>
  <c r="R8" i="5" s="1"/>
  <c r="D9" i="6"/>
  <c r="R9" i="5" s="1"/>
  <c r="D10" i="6"/>
  <c r="R10" i="5" s="1"/>
  <c r="D11" i="6"/>
  <c r="R11" i="5" s="1"/>
  <c r="D12" i="6"/>
  <c r="R12" i="5" s="1"/>
  <c r="D13" i="6"/>
  <c r="R13" i="5" s="1"/>
  <c r="D14" i="6"/>
  <c r="R14" i="5" s="1"/>
  <c r="D15" i="6"/>
  <c r="R15" i="5" s="1"/>
  <c r="D16" i="6"/>
  <c r="R16" i="5" s="1"/>
  <c r="D17" i="6"/>
  <c r="R17" i="5" s="1"/>
  <c r="D18" i="6"/>
  <c r="R18" i="5" s="1"/>
  <c r="D19" i="6"/>
  <c r="R19" i="5" s="1"/>
  <c r="D20" i="6"/>
  <c r="R20" i="5" s="1"/>
  <c r="D21" i="6"/>
  <c r="R21" i="5" s="1"/>
  <c r="D22" i="6"/>
  <c r="R22" i="5" s="1"/>
  <c r="D23" i="6"/>
  <c r="R23" i="5" s="1"/>
  <c r="D24" i="6"/>
  <c r="R24" i="5" s="1"/>
  <c r="D25" i="6"/>
  <c r="R25" i="5" s="1"/>
  <c r="D26" i="6"/>
  <c r="R26" i="5" s="1"/>
  <c r="D27" i="6"/>
  <c r="R27" i="5" s="1"/>
  <c r="D28" i="6"/>
  <c r="R28" i="5" s="1"/>
  <c r="D29" i="6"/>
  <c r="R29" i="5" s="1"/>
  <c r="D30" i="6"/>
  <c r="R30" i="5" s="1"/>
  <c r="D31" i="6"/>
  <c r="R31" i="5" s="1"/>
  <c r="D32" i="6"/>
  <c r="R32" i="5" s="1"/>
  <c r="D33" i="6"/>
  <c r="R33" i="5" s="1"/>
  <c r="D34" i="6"/>
  <c r="R34" i="5" s="1"/>
  <c r="D35" i="6"/>
  <c r="D36" i="6"/>
  <c r="R36" i="5" s="1"/>
  <c r="D40" i="6"/>
  <c r="R41" i="5"/>
  <c r="D42" i="6"/>
  <c r="R42" i="5" s="1"/>
  <c r="F3" i="6"/>
  <c r="W3" i="5" s="1"/>
  <c r="E3" i="6"/>
  <c r="T3" i="5" s="1"/>
  <c r="D3" i="6"/>
  <c r="R3" i="5" s="1"/>
  <c r="F4" i="6"/>
  <c r="E4" i="6"/>
  <c r="T4" i="5" s="1"/>
  <c r="D4" i="6"/>
  <c r="R4" i="5" s="1"/>
  <c r="R86" i="4"/>
  <c r="Q86" i="4"/>
  <c r="F40" i="5" l="1"/>
  <c r="X38" i="5"/>
  <c r="T40" i="5"/>
  <c r="R40" i="5"/>
  <c r="S38" i="5"/>
  <c r="S30" i="5"/>
  <c r="S31" i="5"/>
  <c r="S15" i="5"/>
  <c r="T35" i="5"/>
  <c r="R35" i="5"/>
  <c r="F35" i="5"/>
  <c r="S14" i="5"/>
  <c r="S86" i="4"/>
  <c r="E42" i="5"/>
  <c r="S42" i="5" s="1"/>
  <c r="E23" i="5"/>
  <c r="S23" i="5" s="1"/>
  <c r="E7" i="5"/>
  <c r="S7" i="5" s="1"/>
  <c r="D28" i="5"/>
  <c r="D12" i="5"/>
  <c r="E41" i="5"/>
  <c r="S41" i="5" s="1"/>
  <c r="E22" i="5"/>
  <c r="S22" i="5" s="1"/>
  <c r="E6" i="5"/>
  <c r="S6" i="5" s="1"/>
  <c r="D27" i="5"/>
  <c r="D11" i="5"/>
  <c r="E35" i="5"/>
  <c r="E27" i="5"/>
  <c r="S27" i="5" s="1"/>
  <c r="E19" i="5"/>
  <c r="S19" i="5" s="1"/>
  <c r="E11" i="5"/>
  <c r="S11" i="5" s="1"/>
  <c r="D4" i="5"/>
  <c r="D32" i="5"/>
  <c r="D24" i="5"/>
  <c r="D16" i="5"/>
  <c r="D8" i="5"/>
  <c r="E34" i="5"/>
  <c r="S34" i="5" s="1"/>
  <c r="E26" i="5"/>
  <c r="S26" i="5" s="1"/>
  <c r="E18" i="5"/>
  <c r="S18" i="5" s="1"/>
  <c r="E10" i="5"/>
  <c r="S10" i="5" s="1"/>
  <c r="D42" i="5"/>
  <c r="D31" i="5"/>
  <c r="D23" i="5"/>
  <c r="D15" i="5"/>
  <c r="D7" i="5"/>
  <c r="E3" i="5"/>
  <c r="S3" i="5" s="1"/>
  <c r="E40" i="5"/>
  <c r="E33" i="5"/>
  <c r="S33" i="5" s="1"/>
  <c r="E29" i="5"/>
  <c r="S29" i="5" s="1"/>
  <c r="E25" i="5"/>
  <c r="S25" i="5" s="1"/>
  <c r="E21" i="5"/>
  <c r="S21" i="5" s="1"/>
  <c r="E17" i="5"/>
  <c r="S17" i="5" s="1"/>
  <c r="E13" i="5"/>
  <c r="S13" i="5" s="1"/>
  <c r="E9" i="5"/>
  <c r="S9" i="5" s="1"/>
  <c r="E5" i="5"/>
  <c r="S5" i="5" s="1"/>
  <c r="D41" i="5"/>
  <c r="D34" i="5"/>
  <c r="D30" i="5"/>
  <c r="D26" i="5"/>
  <c r="D22" i="5"/>
  <c r="D18" i="5"/>
  <c r="D14" i="5"/>
  <c r="D10" i="5"/>
  <c r="D6" i="5"/>
  <c r="E4" i="5"/>
  <c r="S4" i="5" s="1"/>
  <c r="E36" i="5"/>
  <c r="S36" i="5" s="1"/>
  <c r="E32" i="5"/>
  <c r="S32" i="5" s="1"/>
  <c r="E28" i="5"/>
  <c r="S28" i="5" s="1"/>
  <c r="E24" i="5"/>
  <c r="S24" i="5" s="1"/>
  <c r="E20" i="5"/>
  <c r="S20" i="5" s="1"/>
  <c r="E16" i="5"/>
  <c r="S16" i="5" s="1"/>
  <c r="E12" i="5"/>
  <c r="S12" i="5" s="1"/>
  <c r="E8" i="5"/>
  <c r="S8" i="5" s="1"/>
  <c r="D3" i="5"/>
  <c r="D40" i="5"/>
  <c r="D33" i="5"/>
  <c r="D29" i="5"/>
  <c r="D25" i="5"/>
  <c r="D21" i="5"/>
  <c r="D17" i="5"/>
  <c r="D13" i="5"/>
  <c r="D9" i="5"/>
  <c r="D5" i="5"/>
  <c r="Q14" i="5"/>
  <c r="Q6" i="5"/>
  <c r="Q3" i="5"/>
  <c r="Q9" i="5"/>
  <c r="Q5" i="5"/>
  <c r="Q4" i="5"/>
  <c r="Q8" i="5"/>
  <c r="Q7" i="5"/>
  <c r="Q30" i="5"/>
  <c r="Q41" i="5"/>
  <c r="Q34" i="5"/>
  <c r="Q26" i="5"/>
  <c r="Q22" i="5"/>
  <c r="Q18" i="5"/>
  <c r="Q33" i="5"/>
  <c r="Q29" i="5"/>
  <c r="Q25" i="5"/>
  <c r="Q21" i="5"/>
  <c r="Q17" i="5"/>
  <c r="Q13" i="5"/>
  <c r="Q42" i="5"/>
  <c r="Q31" i="5"/>
  <c r="Q27" i="5"/>
  <c r="Q23" i="5"/>
  <c r="Q19" i="5"/>
  <c r="Q15" i="5"/>
  <c r="Q11" i="5"/>
  <c r="Q36" i="5"/>
  <c r="Q32" i="5"/>
  <c r="Q28" i="5"/>
  <c r="Q24" i="5"/>
  <c r="Q20" i="5"/>
  <c r="Q16" i="5"/>
  <c r="Q12" i="5"/>
  <c r="Q10" i="5"/>
  <c r="R73" i="4"/>
  <c r="Q73" i="4"/>
  <c r="R52" i="4"/>
  <c r="Q52" i="4"/>
  <c r="S52" i="4" l="1"/>
  <c r="Q40" i="5"/>
  <c r="S40" i="5"/>
  <c r="Q38" i="5"/>
  <c r="U38" i="5"/>
  <c r="Q35" i="5"/>
  <c r="S35" i="5"/>
  <c r="S73" i="4"/>
  <c r="B36" i="5"/>
  <c r="B36" i="6" s="1"/>
  <c r="C36" i="5"/>
  <c r="C36" i="6"/>
  <c r="J36" i="5" l="1"/>
  <c r="N36" i="5"/>
  <c r="W36" i="5"/>
  <c r="R91" i="4"/>
  <c r="Q91" i="4"/>
  <c r="S91" i="4" l="1"/>
  <c r="X36" i="5"/>
  <c r="U36" i="5"/>
  <c r="K36" i="5"/>
  <c r="P36" i="5"/>
  <c r="M36" i="5"/>
  <c r="I36" i="5"/>
  <c r="R16" i="4"/>
  <c r="Q16" i="4"/>
  <c r="R22" i="4"/>
  <c r="Q22" i="4"/>
  <c r="S16" i="4" l="1"/>
  <c r="S22" i="4"/>
  <c r="R125" i="4"/>
  <c r="Q125" i="4"/>
  <c r="S125" i="4" l="1"/>
  <c r="X85" i="4"/>
  <c r="R85" i="4" s="1"/>
  <c r="W85" i="4"/>
  <c r="Q85" i="4" s="1"/>
  <c r="P85" i="4"/>
  <c r="N85" i="4" l="1"/>
  <c r="S85" i="4" s="1"/>
  <c r="R13" i="4" l="1"/>
  <c r="Q13" i="4"/>
  <c r="S13" i="4" l="1"/>
  <c r="R15" i="4"/>
  <c r="Q15" i="4"/>
  <c r="S15" i="4" l="1"/>
  <c r="W4" i="5"/>
  <c r="W5" i="5"/>
  <c r="W6" i="5"/>
  <c r="W7" i="5"/>
  <c r="W8" i="5"/>
  <c r="W9" i="5"/>
  <c r="W10" i="5"/>
  <c r="W11" i="5"/>
  <c r="W12" i="5"/>
  <c r="W13" i="5"/>
  <c r="W14" i="5"/>
  <c r="W15" i="5"/>
  <c r="W16" i="5"/>
  <c r="W17" i="5"/>
  <c r="W18" i="5"/>
  <c r="W19" i="5"/>
  <c r="W20" i="5"/>
  <c r="W21" i="5"/>
  <c r="W22" i="5"/>
  <c r="W23" i="5"/>
  <c r="W24" i="5"/>
  <c r="W25" i="5"/>
  <c r="W26" i="5"/>
  <c r="W27" i="5"/>
  <c r="W28" i="5"/>
  <c r="W29" i="5"/>
  <c r="W30" i="5"/>
  <c r="W31" i="5"/>
  <c r="B3" i="6"/>
  <c r="C3" i="6"/>
  <c r="C33" i="6"/>
  <c r="C34" i="6"/>
  <c r="C35" i="6"/>
  <c r="C32" i="6"/>
  <c r="C35" i="5"/>
  <c r="C34" i="5"/>
  <c r="C33" i="5"/>
  <c r="C32" i="5"/>
  <c r="B35" i="5"/>
  <c r="B35" i="6" s="1"/>
  <c r="B34" i="5"/>
  <c r="B34" i="6" s="1"/>
  <c r="B33" i="5"/>
  <c r="B33" i="6" s="1"/>
  <c r="B32" i="5"/>
  <c r="B32" i="6" s="1"/>
  <c r="U18" i="5" l="1"/>
  <c r="X30" i="5"/>
  <c r="U14" i="5"/>
  <c r="U26" i="5"/>
  <c r="X10" i="5"/>
  <c r="X22" i="5"/>
  <c r="X6" i="5"/>
  <c r="U29" i="5"/>
  <c r="U25" i="5"/>
  <c r="X21" i="5"/>
  <c r="X17" i="5"/>
  <c r="U13" i="5"/>
  <c r="U9" i="5"/>
  <c r="U5" i="5"/>
  <c r="U3" i="5"/>
  <c r="K32" i="5"/>
  <c r="U28" i="5"/>
  <c r="X24" i="5"/>
  <c r="X20" i="5"/>
  <c r="X16" i="5"/>
  <c r="X12" i="5"/>
  <c r="U8" i="5"/>
  <c r="U4" i="5"/>
  <c r="K35" i="5"/>
  <c r="X31" i="5"/>
  <c r="U27" i="5"/>
  <c r="U23" i="5"/>
  <c r="X19" i="5"/>
  <c r="X15" i="5"/>
  <c r="U11" i="5"/>
  <c r="U42" i="5"/>
  <c r="W42" i="5"/>
  <c r="X42" i="5" s="1"/>
  <c r="W32" i="5"/>
  <c r="U41" i="5"/>
  <c r="W41" i="5"/>
  <c r="X41" i="5" s="1"/>
  <c r="W35" i="5"/>
  <c r="U40" i="5"/>
  <c r="W40" i="5"/>
  <c r="X40" i="5" s="1"/>
  <c r="I34" i="5"/>
  <c r="W34" i="5"/>
  <c r="X34" i="5" s="1"/>
  <c r="N33" i="5"/>
  <c r="W33" i="5"/>
  <c r="K34" i="5"/>
  <c r="C5" i="5"/>
  <c r="C6" i="5"/>
  <c r="C7" i="5"/>
  <c r="C8" i="5"/>
  <c r="C9" i="5"/>
  <c r="C10" i="5"/>
  <c r="C11" i="5"/>
  <c r="C12" i="5"/>
  <c r="C13" i="5"/>
  <c r="C14" i="5"/>
  <c r="C15" i="5"/>
  <c r="C16" i="5"/>
  <c r="C17" i="5"/>
  <c r="C18" i="5"/>
  <c r="C19" i="5"/>
  <c r="C20" i="5"/>
  <c r="C21" i="5"/>
  <c r="C22" i="5"/>
  <c r="C23" i="5"/>
  <c r="C24" i="5"/>
  <c r="C25" i="5"/>
  <c r="C26" i="5"/>
  <c r="C27" i="5"/>
  <c r="C28" i="5"/>
  <c r="C29" i="5"/>
  <c r="C30" i="5"/>
  <c r="C31" i="5"/>
  <c r="C4" i="5"/>
  <c r="C3" i="5"/>
  <c r="C5" i="6"/>
  <c r="C6" i="6"/>
  <c r="C7" i="6"/>
  <c r="C8" i="6"/>
  <c r="C9" i="6"/>
  <c r="C10" i="6"/>
  <c r="C11" i="6"/>
  <c r="C12" i="6"/>
  <c r="C13" i="6"/>
  <c r="C14" i="6"/>
  <c r="C15" i="6"/>
  <c r="C16" i="6"/>
  <c r="C17" i="6"/>
  <c r="C18" i="6"/>
  <c r="C19" i="6"/>
  <c r="C20" i="6"/>
  <c r="C21" i="6"/>
  <c r="C22" i="6"/>
  <c r="C23" i="6"/>
  <c r="C24" i="6"/>
  <c r="C25" i="6"/>
  <c r="C26" i="6"/>
  <c r="C27" i="6"/>
  <c r="C28" i="6"/>
  <c r="C29" i="6"/>
  <c r="C30" i="6"/>
  <c r="C31" i="6"/>
  <c r="C4" i="6"/>
  <c r="X14" i="5" l="1"/>
  <c r="U31" i="5"/>
  <c r="X7" i="5"/>
  <c r="U7" i="5"/>
  <c r="X32" i="5"/>
  <c r="X29" i="5"/>
  <c r="X8" i="5"/>
  <c r="I33" i="5"/>
  <c r="U17" i="5"/>
  <c r="X3" i="5"/>
  <c r="X5" i="5"/>
  <c r="U6" i="5"/>
  <c r="K33" i="5"/>
  <c r="U10" i="5"/>
  <c r="X18" i="5"/>
  <c r="X26" i="5"/>
  <c r="U21" i="5"/>
  <c r="U12" i="5"/>
  <c r="U19" i="5"/>
  <c r="X35" i="5"/>
  <c r="X4" i="5"/>
  <c r="U22" i="5"/>
  <c r="X13" i="5"/>
  <c r="U30" i="5"/>
  <c r="U20" i="5"/>
  <c r="X33" i="5"/>
  <c r="U24" i="5"/>
  <c r="X28" i="5"/>
  <c r="X9" i="5"/>
  <c r="X25" i="5"/>
  <c r="I35" i="5"/>
  <c r="N35" i="5"/>
  <c r="P35" i="5"/>
  <c r="N32" i="5"/>
  <c r="I32" i="5"/>
  <c r="P32" i="5"/>
  <c r="P33" i="5"/>
  <c r="X23" i="5"/>
  <c r="P34" i="5"/>
  <c r="N34" i="5"/>
  <c r="X11" i="5"/>
  <c r="X27" i="5"/>
  <c r="U16" i="5"/>
  <c r="U15" i="5"/>
  <c r="U34" i="5"/>
  <c r="U32" i="5"/>
  <c r="U33" i="5"/>
  <c r="U35" i="5"/>
  <c r="L30" i="15"/>
  <c r="G30" i="15"/>
  <c r="L20" i="15"/>
  <c r="G20" i="15"/>
  <c r="G19" i="15"/>
  <c r="O19" i="15" s="1"/>
  <c r="L18" i="15"/>
  <c r="L24" i="15" s="1"/>
  <c r="G18" i="15"/>
  <c r="G17" i="15"/>
  <c r="O17" i="15" s="1"/>
  <c r="M16" i="15"/>
  <c r="G15" i="15"/>
  <c r="G14" i="15"/>
  <c r="G13" i="15"/>
  <c r="G12" i="15"/>
  <c r="G11" i="15"/>
  <c r="G10" i="15"/>
  <c r="M9" i="15"/>
  <c r="M8" i="15"/>
  <c r="M7" i="15"/>
  <c r="M6" i="15"/>
  <c r="M5" i="15"/>
  <c r="G4" i="15"/>
  <c r="M3" i="15"/>
  <c r="K10" i="11"/>
  <c r="J10" i="11"/>
  <c r="I10" i="11"/>
  <c r="H10" i="11"/>
  <c r="G10" i="11"/>
  <c r="F10" i="11"/>
  <c r="E10" i="11"/>
  <c r="S7" i="11"/>
  <c r="P7" i="11"/>
  <c r="J7" i="11"/>
  <c r="E7" i="11"/>
  <c r="B7" i="11"/>
  <c r="A7" i="11"/>
  <c r="U6" i="11"/>
  <c r="T6" i="11"/>
  <c r="S6" i="11"/>
  <c r="Q6" i="11"/>
  <c r="P6" i="11"/>
  <c r="N6" i="11"/>
  <c r="E6" i="11"/>
  <c r="B6" i="11"/>
  <c r="A6" i="11"/>
  <c r="U5" i="11"/>
  <c r="T5" i="11"/>
  <c r="S5" i="11"/>
  <c r="Q5" i="11"/>
  <c r="P5" i="11"/>
  <c r="N5" i="11"/>
  <c r="E5" i="11"/>
  <c r="B5" i="11"/>
  <c r="A5" i="11"/>
  <c r="U4" i="11"/>
  <c r="T4" i="11"/>
  <c r="S4" i="11"/>
  <c r="Q4" i="11"/>
  <c r="P4" i="11"/>
  <c r="N4" i="11"/>
  <c r="E4" i="11"/>
  <c r="B4" i="11"/>
  <c r="A4" i="11"/>
  <c r="U3" i="11"/>
  <c r="T3" i="11"/>
  <c r="S3" i="11"/>
  <c r="Q3" i="11"/>
  <c r="P3" i="11"/>
  <c r="N3" i="11"/>
  <c r="E3" i="11"/>
  <c r="B3" i="11"/>
  <c r="R172" i="7"/>
  <c r="N172" i="7"/>
  <c r="L172" i="7"/>
  <c r="J172" i="7"/>
  <c r="H172" i="7"/>
  <c r="F171" i="7"/>
  <c r="D171" i="7"/>
  <c r="S171" i="7" s="1"/>
  <c r="R166" i="7"/>
  <c r="N166" i="7"/>
  <c r="L166" i="7"/>
  <c r="J166" i="7"/>
  <c r="H166" i="7"/>
  <c r="F165" i="7"/>
  <c r="D165" i="7"/>
  <c r="S165" i="7" s="1"/>
  <c r="R160" i="7"/>
  <c r="N160" i="7"/>
  <c r="L160" i="7"/>
  <c r="J160" i="7"/>
  <c r="H160" i="7"/>
  <c r="F159" i="7"/>
  <c r="D159" i="7"/>
  <c r="S159" i="7" s="1"/>
  <c r="R154" i="7"/>
  <c r="N154" i="7"/>
  <c r="L154" i="7"/>
  <c r="J154" i="7"/>
  <c r="H154" i="7"/>
  <c r="F153" i="7"/>
  <c r="D153" i="7"/>
  <c r="S153" i="7" s="1"/>
  <c r="R148" i="7"/>
  <c r="N148" i="7"/>
  <c r="L148" i="7"/>
  <c r="J148" i="7"/>
  <c r="H148" i="7"/>
  <c r="F147" i="7"/>
  <c r="D147" i="7"/>
  <c r="S147" i="7" s="1"/>
  <c r="R142" i="7"/>
  <c r="N142" i="7"/>
  <c r="L142" i="7"/>
  <c r="J142" i="7"/>
  <c r="H142" i="7"/>
  <c r="S142" i="7" s="1"/>
  <c r="F141" i="7"/>
  <c r="D141" i="7"/>
  <c r="R136" i="7"/>
  <c r="N136" i="7"/>
  <c r="B134" i="7" s="1"/>
  <c r="L136" i="7"/>
  <c r="J136" i="7"/>
  <c r="H136" i="7"/>
  <c r="S135" i="7"/>
  <c r="F135" i="7"/>
  <c r="D135" i="7"/>
  <c r="R130" i="7"/>
  <c r="N130" i="7"/>
  <c r="L130" i="7"/>
  <c r="J130" i="7"/>
  <c r="H130" i="7"/>
  <c r="F129" i="7"/>
  <c r="D129" i="7"/>
  <c r="R124" i="7"/>
  <c r="N124" i="7"/>
  <c r="L124" i="7"/>
  <c r="J124" i="7"/>
  <c r="H124" i="7"/>
  <c r="F123" i="7"/>
  <c r="D123" i="7"/>
  <c r="S123" i="7" s="1"/>
  <c r="R118" i="7"/>
  <c r="N118" i="7"/>
  <c r="L118" i="7"/>
  <c r="J118" i="7"/>
  <c r="H118" i="7"/>
  <c r="F117" i="7"/>
  <c r="D117" i="7"/>
  <c r="S117" i="7" s="1"/>
  <c r="R112" i="7"/>
  <c r="N112" i="7"/>
  <c r="L112" i="7"/>
  <c r="J112" i="7"/>
  <c r="H112" i="7"/>
  <c r="F111" i="7"/>
  <c r="D111" i="7"/>
  <c r="S111" i="7" s="1"/>
  <c r="N106" i="7"/>
  <c r="L106" i="7"/>
  <c r="J106" i="7"/>
  <c r="H106" i="7"/>
  <c r="B104" i="7" s="1"/>
  <c r="F105" i="7"/>
  <c r="D105" i="7"/>
  <c r="N100" i="7"/>
  <c r="L100" i="7"/>
  <c r="J100" i="7"/>
  <c r="H100" i="7"/>
  <c r="F99" i="7"/>
  <c r="D99" i="7"/>
  <c r="S99" i="7" s="1"/>
  <c r="N94" i="7"/>
  <c r="L94" i="7"/>
  <c r="J94" i="7"/>
  <c r="H94" i="7"/>
  <c r="F93" i="7"/>
  <c r="S93" i="7" s="1"/>
  <c r="D93" i="7"/>
  <c r="N88" i="7"/>
  <c r="L88" i="7"/>
  <c r="J88" i="7"/>
  <c r="H88" i="7"/>
  <c r="F87" i="7"/>
  <c r="D87" i="7"/>
  <c r="S87" i="7" s="1"/>
  <c r="N82" i="7"/>
  <c r="L82" i="7"/>
  <c r="J82" i="7"/>
  <c r="H82" i="7"/>
  <c r="F81" i="7"/>
  <c r="D81" i="7"/>
  <c r="S81" i="7" s="1"/>
  <c r="N76" i="7"/>
  <c r="L76" i="7"/>
  <c r="J76" i="7"/>
  <c r="H76" i="7"/>
  <c r="F75" i="7"/>
  <c r="D75" i="7"/>
  <c r="N70" i="7"/>
  <c r="L70" i="7"/>
  <c r="J70" i="7"/>
  <c r="H70" i="7"/>
  <c r="F69" i="7"/>
  <c r="D69" i="7"/>
  <c r="N64" i="7"/>
  <c r="B62" i="7" s="1"/>
  <c r="L64" i="7"/>
  <c r="J64" i="7"/>
  <c r="H64" i="7"/>
  <c r="S63" i="7"/>
  <c r="F63" i="7"/>
  <c r="D63" i="7"/>
  <c r="N58" i="7"/>
  <c r="L58" i="7"/>
  <c r="J58" i="7"/>
  <c r="H58" i="7"/>
  <c r="F57" i="7"/>
  <c r="D57" i="7"/>
  <c r="S57" i="7" s="1"/>
  <c r="N52" i="7"/>
  <c r="L52" i="7"/>
  <c r="J52" i="7"/>
  <c r="H52" i="7"/>
  <c r="F51" i="7"/>
  <c r="D51" i="7"/>
  <c r="B47" i="6"/>
  <c r="A47" i="6"/>
  <c r="B46" i="6"/>
  <c r="A46" i="6"/>
  <c r="B43" i="6"/>
  <c r="A43" i="6"/>
  <c r="B42" i="6"/>
  <c r="A42" i="6"/>
  <c r="B41" i="6"/>
  <c r="A41" i="6"/>
  <c r="B40" i="6"/>
  <c r="A40" i="6"/>
  <c r="B31" i="6"/>
  <c r="A31" i="6"/>
  <c r="B30" i="6"/>
  <c r="A30" i="6"/>
  <c r="B29" i="6"/>
  <c r="A29" i="6"/>
  <c r="B28" i="6"/>
  <c r="A28" i="6"/>
  <c r="B27" i="6"/>
  <c r="A27" i="6"/>
  <c r="B26" i="6"/>
  <c r="A26" i="6"/>
  <c r="H145" i="4"/>
  <c r="B25" i="6"/>
  <c r="A25" i="6"/>
  <c r="B24" i="6"/>
  <c r="A24" i="6"/>
  <c r="B23" i="6"/>
  <c r="A23" i="6"/>
  <c r="B22" i="6"/>
  <c r="A22" i="6"/>
  <c r="H139" i="4"/>
  <c r="B21" i="6"/>
  <c r="A21" i="6"/>
  <c r="B20" i="6"/>
  <c r="A20" i="6"/>
  <c r="B19" i="6"/>
  <c r="A19" i="6"/>
  <c r="B18" i="6"/>
  <c r="A18" i="6"/>
  <c r="H103" i="4"/>
  <c r="B17" i="6"/>
  <c r="A17" i="6"/>
  <c r="B16" i="6"/>
  <c r="A16" i="6"/>
  <c r="B15" i="6"/>
  <c r="A15" i="6"/>
  <c r="B14" i="6"/>
  <c r="A14" i="6"/>
  <c r="H97" i="4"/>
  <c r="B13" i="6"/>
  <c r="A13" i="6"/>
  <c r="B12" i="6"/>
  <c r="A12" i="6"/>
  <c r="B11" i="6"/>
  <c r="A11" i="6"/>
  <c r="B10" i="6"/>
  <c r="A10" i="6"/>
  <c r="H75" i="4"/>
  <c r="B9" i="6"/>
  <c r="A9" i="6"/>
  <c r="B8" i="6"/>
  <c r="A8" i="6"/>
  <c r="B7" i="6"/>
  <c r="A7" i="6"/>
  <c r="B6" i="6"/>
  <c r="A6" i="6"/>
  <c r="B5" i="6"/>
  <c r="A5" i="6"/>
  <c r="B4" i="6"/>
  <c r="A4" i="6"/>
  <c r="P42" i="5"/>
  <c r="N42" i="5"/>
  <c r="M42" i="5"/>
  <c r="K42" i="5"/>
  <c r="J42" i="5"/>
  <c r="I42" i="5"/>
  <c r="B42" i="5"/>
  <c r="P41" i="5"/>
  <c r="N41" i="5"/>
  <c r="M41" i="5"/>
  <c r="K41" i="5"/>
  <c r="J41" i="5"/>
  <c r="I41" i="5"/>
  <c r="B41" i="5"/>
  <c r="P40" i="5"/>
  <c r="N40" i="5"/>
  <c r="M40" i="5"/>
  <c r="K40" i="5"/>
  <c r="J40" i="5"/>
  <c r="I40" i="5"/>
  <c r="B40" i="5"/>
  <c r="P31" i="5"/>
  <c r="N31" i="5"/>
  <c r="M31" i="5"/>
  <c r="K31" i="5"/>
  <c r="J31" i="5"/>
  <c r="I31" i="5"/>
  <c r="B31" i="5"/>
  <c r="P30" i="5"/>
  <c r="N30" i="5"/>
  <c r="M30" i="5"/>
  <c r="K30" i="5"/>
  <c r="J30" i="5"/>
  <c r="I30" i="5"/>
  <c r="B30" i="5"/>
  <c r="P29" i="5"/>
  <c r="N29" i="5"/>
  <c r="M29" i="5"/>
  <c r="K29" i="5"/>
  <c r="J29" i="5"/>
  <c r="I29" i="5"/>
  <c r="I167" i="4"/>
  <c r="B29" i="5"/>
  <c r="P28" i="5"/>
  <c r="N28" i="5"/>
  <c r="M28" i="5"/>
  <c r="K28" i="5"/>
  <c r="J28" i="5"/>
  <c r="I28" i="5"/>
  <c r="B28" i="5"/>
  <c r="P27" i="5"/>
  <c r="N27" i="5"/>
  <c r="M27" i="5"/>
  <c r="K27" i="5"/>
  <c r="J27" i="5"/>
  <c r="I27" i="5"/>
  <c r="B27" i="5"/>
  <c r="P26" i="5"/>
  <c r="N26" i="5"/>
  <c r="M26" i="5"/>
  <c r="K26" i="5"/>
  <c r="J26" i="5"/>
  <c r="I26" i="5"/>
  <c r="B26" i="5"/>
  <c r="P25" i="5"/>
  <c r="N25" i="5"/>
  <c r="M25" i="5"/>
  <c r="K25" i="5"/>
  <c r="J25" i="5"/>
  <c r="I25" i="5"/>
  <c r="B25" i="5"/>
  <c r="P24" i="5"/>
  <c r="N24" i="5"/>
  <c r="M24" i="5"/>
  <c r="K24" i="5"/>
  <c r="J24" i="5"/>
  <c r="I24" i="5"/>
  <c r="B24" i="5"/>
  <c r="P23" i="5"/>
  <c r="N23" i="5"/>
  <c r="M23" i="5"/>
  <c r="K23" i="5"/>
  <c r="J23" i="5"/>
  <c r="I23" i="5"/>
  <c r="B23" i="5"/>
  <c r="P22" i="5"/>
  <c r="N22" i="5"/>
  <c r="M22" i="5"/>
  <c r="K22" i="5"/>
  <c r="J22" i="5"/>
  <c r="I22" i="5"/>
  <c r="B22" i="5"/>
  <c r="P21" i="5"/>
  <c r="N21" i="5"/>
  <c r="M21" i="5"/>
  <c r="K21" i="5"/>
  <c r="J21" i="5"/>
  <c r="I21" i="5"/>
  <c r="B21" i="5"/>
  <c r="P20" i="5"/>
  <c r="N20" i="5"/>
  <c r="M20" i="5"/>
  <c r="K20" i="5"/>
  <c r="J20" i="5"/>
  <c r="I20" i="5"/>
  <c r="B20" i="5"/>
  <c r="P19" i="5"/>
  <c r="N19" i="5"/>
  <c r="M19" i="5"/>
  <c r="K19" i="5"/>
  <c r="J19" i="5"/>
  <c r="I19" i="5"/>
  <c r="B19" i="5"/>
  <c r="P18" i="5"/>
  <c r="N18" i="5"/>
  <c r="M18" i="5"/>
  <c r="K18" i="5"/>
  <c r="J18" i="5"/>
  <c r="I18" i="5"/>
  <c r="B18" i="5"/>
  <c r="P17" i="5"/>
  <c r="N17" i="5"/>
  <c r="M17" i="5"/>
  <c r="K17" i="5"/>
  <c r="J17" i="5"/>
  <c r="I17" i="5"/>
  <c r="B17" i="5"/>
  <c r="P16" i="5"/>
  <c r="N16" i="5"/>
  <c r="M16" i="5"/>
  <c r="K16" i="5"/>
  <c r="J16" i="5"/>
  <c r="I16" i="5"/>
  <c r="B16" i="5"/>
  <c r="P15" i="5"/>
  <c r="N15" i="5"/>
  <c r="M15" i="5"/>
  <c r="K15" i="5"/>
  <c r="J15" i="5"/>
  <c r="I15" i="5"/>
  <c r="B15" i="5"/>
  <c r="P14" i="5"/>
  <c r="N14" i="5"/>
  <c r="M14" i="5"/>
  <c r="K14" i="5"/>
  <c r="J14" i="5"/>
  <c r="I14" i="5"/>
  <c r="B14" i="5"/>
  <c r="P13" i="5"/>
  <c r="N13" i="5"/>
  <c r="M13" i="5"/>
  <c r="K13" i="5"/>
  <c r="J13" i="5"/>
  <c r="I13" i="5"/>
  <c r="B13" i="5"/>
  <c r="P12" i="5"/>
  <c r="N12" i="5"/>
  <c r="M12" i="5"/>
  <c r="K12" i="5"/>
  <c r="J12" i="5"/>
  <c r="I12" i="5"/>
  <c r="B12" i="5"/>
  <c r="P11" i="5"/>
  <c r="N11" i="5"/>
  <c r="M11" i="5"/>
  <c r="K11" i="5"/>
  <c r="J11" i="5"/>
  <c r="I11" i="5"/>
  <c r="B11" i="5"/>
  <c r="P10" i="5"/>
  <c r="N10" i="5"/>
  <c r="M10" i="5"/>
  <c r="K10" i="5"/>
  <c r="J10" i="5"/>
  <c r="I10" i="5"/>
  <c r="B10" i="5"/>
  <c r="P9" i="5"/>
  <c r="N9" i="5"/>
  <c r="M9" i="5"/>
  <c r="K9" i="5"/>
  <c r="J9" i="5"/>
  <c r="I9" i="5"/>
  <c r="B9" i="5"/>
  <c r="P8" i="5"/>
  <c r="N8" i="5"/>
  <c r="M8" i="5"/>
  <c r="K8" i="5"/>
  <c r="J8" i="5"/>
  <c r="I8" i="5"/>
  <c r="B8" i="5"/>
  <c r="P7" i="5"/>
  <c r="N7" i="5"/>
  <c r="M7" i="5"/>
  <c r="K7" i="5"/>
  <c r="J7" i="5"/>
  <c r="I7" i="5"/>
  <c r="B7" i="5"/>
  <c r="P6" i="5"/>
  <c r="N6" i="5"/>
  <c r="M6" i="5"/>
  <c r="K6" i="5"/>
  <c r="J6" i="5"/>
  <c r="I6" i="5"/>
  <c r="B6" i="5"/>
  <c r="P5" i="5"/>
  <c r="N5" i="5"/>
  <c r="M5" i="5"/>
  <c r="K5" i="5"/>
  <c r="J5" i="5"/>
  <c r="I5" i="5"/>
  <c r="B5" i="5"/>
  <c r="P4" i="5"/>
  <c r="N4" i="5"/>
  <c r="M4" i="5"/>
  <c r="K4" i="5"/>
  <c r="J4" i="5"/>
  <c r="I4" i="5"/>
  <c r="B4" i="5"/>
  <c r="P3" i="5"/>
  <c r="N3" i="5"/>
  <c r="M3" i="5"/>
  <c r="K3" i="5"/>
  <c r="J3" i="5"/>
  <c r="I3" i="5"/>
  <c r="B3" i="5"/>
  <c r="S177" i="4"/>
  <c r="G177" i="4"/>
  <c r="F177" i="4"/>
  <c r="L177" i="4" s="1"/>
  <c r="C177" i="4"/>
  <c r="B177" i="4"/>
  <c r="A177" i="4"/>
  <c r="S176" i="4"/>
  <c r="G176" i="4"/>
  <c r="K176" i="4" s="1"/>
  <c r="F176" i="4"/>
  <c r="L176" i="4" s="1"/>
  <c r="C176" i="4"/>
  <c r="B176" i="4"/>
  <c r="A176" i="4"/>
  <c r="S175" i="4"/>
  <c r="G175" i="4"/>
  <c r="K175" i="4" s="1"/>
  <c r="F175" i="4"/>
  <c r="L175" i="4" s="1"/>
  <c r="C175" i="4"/>
  <c r="B175" i="4"/>
  <c r="A175" i="4"/>
  <c r="S174" i="4"/>
  <c r="G174" i="4"/>
  <c r="F174" i="4"/>
  <c r="L174" i="4" s="1"/>
  <c r="C174" i="4"/>
  <c r="B174" i="4"/>
  <c r="A174" i="4"/>
  <c r="G173" i="4"/>
  <c r="F173" i="4"/>
  <c r="L173" i="4" s="1"/>
  <c r="C173" i="4"/>
  <c r="B173" i="4"/>
  <c r="A173" i="4"/>
  <c r="R172" i="4"/>
  <c r="Q172" i="4"/>
  <c r="R171" i="4"/>
  <c r="Q171" i="4"/>
  <c r="R170" i="4"/>
  <c r="Q170" i="4"/>
  <c r="R169" i="4"/>
  <c r="Q169" i="4"/>
  <c r="R168" i="4"/>
  <c r="Q168" i="4"/>
  <c r="V167" i="4"/>
  <c r="R167" i="4" s="1"/>
  <c r="U167" i="4"/>
  <c r="Q167" i="4" s="1"/>
  <c r="N167" i="4"/>
  <c r="H167" i="4"/>
  <c r="G167" i="4"/>
  <c r="F167" i="4"/>
  <c r="L167" i="4" s="1"/>
  <c r="C167" i="4"/>
  <c r="B167" i="4"/>
  <c r="A167" i="4"/>
  <c r="R166" i="4"/>
  <c r="Q166" i="4"/>
  <c r="R165" i="4"/>
  <c r="Q165" i="4"/>
  <c r="R164" i="4"/>
  <c r="Q164" i="4"/>
  <c r="R163" i="4"/>
  <c r="Q163" i="4"/>
  <c r="R162" i="4"/>
  <c r="Q162" i="4"/>
  <c r="I162" i="4"/>
  <c r="H162" i="4"/>
  <c r="G162" i="4"/>
  <c r="F162" i="4"/>
  <c r="L162" i="4" s="1"/>
  <c r="C162" i="4"/>
  <c r="B162" i="4"/>
  <c r="A162" i="4"/>
  <c r="R161" i="4"/>
  <c r="Q161" i="4"/>
  <c r="I161" i="4"/>
  <c r="H161" i="4"/>
  <c r="G161" i="4"/>
  <c r="F161" i="4"/>
  <c r="L161" i="4" s="1"/>
  <c r="C161" i="4"/>
  <c r="B161" i="4"/>
  <c r="A161" i="4"/>
  <c r="R159" i="4"/>
  <c r="Q159" i="4"/>
  <c r="I159" i="4"/>
  <c r="H159" i="4"/>
  <c r="G159" i="4"/>
  <c r="F159" i="4"/>
  <c r="L159" i="4" s="1"/>
  <c r="C159" i="4"/>
  <c r="B159" i="4"/>
  <c r="A159" i="4"/>
  <c r="R158" i="4"/>
  <c r="Q158" i="4"/>
  <c r="R157" i="4"/>
  <c r="Q157" i="4"/>
  <c r="R156" i="4"/>
  <c r="Q156" i="4"/>
  <c r="R155" i="4"/>
  <c r="Q155" i="4"/>
  <c r="R154" i="4"/>
  <c r="S154" i="4" s="1"/>
  <c r="Q154" i="4"/>
  <c r="R153" i="4"/>
  <c r="Q153" i="4"/>
  <c r="R152" i="4"/>
  <c r="S152" i="4" s="1"/>
  <c r="Q152" i="4"/>
  <c r="R151" i="4"/>
  <c r="Q151" i="4"/>
  <c r="R150" i="4"/>
  <c r="Q150" i="4"/>
  <c r="R149" i="4"/>
  <c r="Q149" i="4"/>
  <c r="I149" i="4"/>
  <c r="H149" i="4"/>
  <c r="G149" i="4"/>
  <c r="F149" i="4"/>
  <c r="L149" i="4" s="1"/>
  <c r="C149" i="4"/>
  <c r="B149" i="4"/>
  <c r="A149" i="4"/>
  <c r="R148" i="4"/>
  <c r="Q148" i="4"/>
  <c r="R147" i="4"/>
  <c r="Q147" i="4"/>
  <c r="R146" i="4"/>
  <c r="Q146" i="4"/>
  <c r="I146" i="4"/>
  <c r="H146" i="4"/>
  <c r="G146" i="4"/>
  <c r="F146" i="4"/>
  <c r="L146" i="4" s="1"/>
  <c r="C146" i="4"/>
  <c r="B146" i="4"/>
  <c r="A146" i="4"/>
  <c r="R145" i="4"/>
  <c r="Q145" i="4"/>
  <c r="I145" i="4"/>
  <c r="G145" i="4"/>
  <c r="F145" i="4"/>
  <c r="L145" i="4" s="1"/>
  <c r="C145" i="4"/>
  <c r="B145" i="4"/>
  <c r="A145" i="4"/>
  <c r="R144" i="4"/>
  <c r="Q144" i="4"/>
  <c r="I144" i="4"/>
  <c r="H144" i="4"/>
  <c r="G144" i="4"/>
  <c r="F144" i="4"/>
  <c r="L144" i="4" s="1"/>
  <c r="C144" i="4"/>
  <c r="B144" i="4"/>
  <c r="A144" i="4"/>
  <c r="S143" i="4"/>
  <c r="I143" i="4"/>
  <c r="H143" i="4"/>
  <c r="G143" i="4"/>
  <c r="F143" i="4"/>
  <c r="L143" i="4" s="1"/>
  <c r="C143" i="4"/>
  <c r="B143" i="4"/>
  <c r="A143" i="4"/>
  <c r="R142" i="4"/>
  <c r="Q142" i="4"/>
  <c r="K142" i="4"/>
  <c r="R141" i="4"/>
  <c r="Q141" i="4"/>
  <c r="K141" i="4"/>
  <c r="R140" i="4"/>
  <c r="Q140" i="4"/>
  <c r="I140" i="4"/>
  <c r="H140" i="4"/>
  <c r="G140" i="4"/>
  <c r="F140" i="4"/>
  <c r="L140" i="4" s="1"/>
  <c r="C140" i="4"/>
  <c r="B140" i="4"/>
  <c r="A140" i="4"/>
  <c r="R139" i="4"/>
  <c r="S139" i="4" s="1"/>
  <c r="Q139" i="4"/>
  <c r="I139" i="4"/>
  <c r="G139" i="4"/>
  <c r="F139" i="4"/>
  <c r="L139" i="4" s="1"/>
  <c r="C139" i="4"/>
  <c r="B139" i="4"/>
  <c r="A139" i="4"/>
  <c r="R138" i="4"/>
  <c r="Q138" i="4"/>
  <c r="R137" i="4"/>
  <c r="Q137" i="4"/>
  <c r="R136" i="4"/>
  <c r="Q136" i="4"/>
  <c r="R135" i="4"/>
  <c r="Q135" i="4"/>
  <c r="R134" i="4"/>
  <c r="Q134" i="4"/>
  <c r="R133" i="4"/>
  <c r="Q133" i="4"/>
  <c r="I133" i="4"/>
  <c r="H133" i="4"/>
  <c r="G133" i="4"/>
  <c r="F133" i="4"/>
  <c r="L133" i="4" s="1"/>
  <c r="C133" i="4"/>
  <c r="B133" i="4"/>
  <c r="A133" i="4"/>
  <c r="R124" i="4"/>
  <c r="Q124" i="4"/>
  <c r="R123" i="4"/>
  <c r="Q123" i="4"/>
  <c r="R122" i="4"/>
  <c r="Q122" i="4"/>
  <c r="R121" i="4"/>
  <c r="Q121" i="4"/>
  <c r="R120" i="4"/>
  <c r="Q120" i="4"/>
  <c r="R119" i="4"/>
  <c r="Q119" i="4"/>
  <c r="R118" i="4"/>
  <c r="Q118" i="4"/>
  <c r="R117" i="4"/>
  <c r="Q117" i="4"/>
  <c r="R116" i="4"/>
  <c r="Q116" i="4"/>
  <c r="R115" i="4"/>
  <c r="Q115" i="4"/>
  <c r="R114" i="4"/>
  <c r="Q114" i="4"/>
  <c r="R113" i="4"/>
  <c r="Q113" i="4"/>
  <c r="R112" i="4"/>
  <c r="Q112" i="4"/>
  <c r="R111" i="4"/>
  <c r="S111" i="4" s="1"/>
  <c r="Q111" i="4"/>
  <c r="R110" i="4"/>
  <c r="Q110" i="4"/>
  <c r="R109" i="4"/>
  <c r="Q109" i="4"/>
  <c r="R108" i="4"/>
  <c r="Q108" i="4"/>
  <c r="R107" i="4"/>
  <c r="Q107" i="4"/>
  <c r="R106" i="4"/>
  <c r="Q106" i="4"/>
  <c r="I106" i="4"/>
  <c r="H106" i="4"/>
  <c r="G106" i="4"/>
  <c r="F106" i="4"/>
  <c r="L106" i="4" s="1"/>
  <c r="C106" i="4"/>
  <c r="B106" i="4"/>
  <c r="A106" i="4"/>
  <c r="R105" i="4"/>
  <c r="Q105" i="4"/>
  <c r="R104" i="4"/>
  <c r="Q104" i="4"/>
  <c r="I104" i="4"/>
  <c r="H104" i="4"/>
  <c r="G104" i="4"/>
  <c r="F104" i="4"/>
  <c r="L104" i="4" s="1"/>
  <c r="C104" i="4"/>
  <c r="B104" i="4"/>
  <c r="A104" i="4"/>
  <c r="R103" i="4"/>
  <c r="Q103" i="4"/>
  <c r="I103" i="4"/>
  <c r="G103" i="4"/>
  <c r="F103" i="4"/>
  <c r="L103" i="4" s="1"/>
  <c r="C103" i="4"/>
  <c r="B103" i="4"/>
  <c r="A103" i="4"/>
  <c r="R102" i="4"/>
  <c r="Q102" i="4"/>
  <c r="I102" i="4"/>
  <c r="H102" i="4"/>
  <c r="G102" i="4"/>
  <c r="F102" i="4"/>
  <c r="L102" i="4" s="1"/>
  <c r="C102" i="4"/>
  <c r="B102" i="4"/>
  <c r="A102" i="4"/>
  <c r="R101" i="4"/>
  <c r="Q101" i="4"/>
  <c r="I101" i="4"/>
  <c r="H101" i="4"/>
  <c r="G101" i="4"/>
  <c r="F101" i="4"/>
  <c r="L101" i="4" s="1"/>
  <c r="C101" i="4"/>
  <c r="B101" i="4"/>
  <c r="A101" i="4"/>
  <c r="R100" i="4"/>
  <c r="Q100" i="4"/>
  <c r="I100" i="4"/>
  <c r="H100" i="4"/>
  <c r="G100" i="4"/>
  <c r="F100" i="4"/>
  <c r="L100" i="4" s="1"/>
  <c r="C100" i="4"/>
  <c r="B100" i="4"/>
  <c r="A100" i="4"/>
  <c r="R99" i="4"/>
  <c r="Q99" i="4"/>
  <c r="P99" i="4"/>
  <c r="R98" i="4"/>
  <c r="Q98" i="4"/>
  <c r="R97" i="4"/>
  <c r="Q97" i="4"/>
  <c r="I97" i="4"/>
  <c r="G97" i="4"/>
  <c r="F97" i="4"/>
  <c r="L97" i="4" s="1"/>
  <c r="C97" i="4"/>
  <c r="B97" i="4"/>
  <c r="A97" i="4"/>
  <c r="R90" i="4"/>
  <c r="Q90" i="4"/>
  <c r="R89" i="4"/>
  <c r="Q89" i="4"/>
  <c r="R88" i="4"/>
  <c r="Q88" i="4"/>
  <c r="I88" i="4"/>
  <c r="H88" i="4"/>
  <c r="G88" i="4"/>
  <c r="F88" i="4"/>
  <c r="L88" i="4" s="1"/>
  <c r="C88" i="4"/>
  <c r="B88" i="4"/>
  <c r="A88" i="4"/>
  <c r="R84" i="4"/>
  <c r="Q84" i="4"/>
  <c r="R83" i="4"/>
  <c r="Q83" i="4"/>
  <c r="R82" i="4"/>
  <c r="Q82" i="4"/>
  <c r="R81" i="4"/>
  <c r="Q81" i="4"/>
  <c r="R80" i="4"/>
  <c r="Q80" i="4"/>
  <c r="R79" i="4"/>
  <c r="Q79" i="4"/>
  <c r="I79" i="4"/>
  <c r="H79" i="4"/>
  <c r="G79" i="4"/>
  <c r="F79" i="4"/>
  <c r="L79" i="4" s="1"/>
  <c r="C79" i="4"/>
  <c r="B79" i="4"/>
  <c r="A79" i="4"/>
  <c r="R78" i="4"/>
  <c r="Q78" i="4"/>
  <c r="I78" i="4"/>
  <c r="H78" i="4"/>
  <c r="G78" i="4"/>
  <c r="F78" i="4"/>
  <c r="L78" i="4" s="1"/>
  <c r="C78" i="4"/>
  <c r="B78" i="4"/>
  <c r="A78" i="4"/>
  <c r="R76" i="4"/>
  <c r="S76" i="4" s="1"/>
  <c r="Q76" i="4"/>
  <c r="R75" i="4"/>
  <c r="Q75" i="4"/>
  <c r="I75" i="4"/>
  <c r="G75" i="4"/>
  <c r="F75" i="4"/>
  <c r="L75" i="4" s="1"/>
  <c r="C75" i="4"/>
  <c r="B75" i="4"/>
  <c r="A75" i="4"/>
  <c r="R72" i="4"/>
  <c r="Q72" i="4"/>
  <c r="R71" i="4"/>
  <c r="S71" i="4" s="1"/>
  <c r="Q71" i="4"/>
  <c r="R70" i="4"/>
  <c r="Q70" i="4"/>
  <c r="R69" i="4"/>
  <c r="Q69" i="4"/>
  <c r="R68" i="4"/>
  <c r="Q68" i="4"/>
  <c r="R67" i="4"/>
  <c r="Q67" i="4"/>
  <c r="R66" i="4"/>
  <c r="Q66" i="4"/>
  <c r="R65" i="4"/>
  <c r="Q65" i="4"/>
  <c r="R64" i="4"/>
  <c r="Q64" i="4"/>
  <c r="R63" i="4"/>
  <c r="Q63" i="4"/>
  <c r="R62" i="4"/>
  <c r="Q62" i="4"/>
  <c r="R61" i="4"/>
  <c r="Q61" i="4"/>
  <c r="R60" i="4"/>
  <c r="Q60" i="4"/>
  <c r="S60" i="4" s="1"/>
  <c r="R59" i="4"/>
  <c r="Q59" i="4"/>
  <c r="R58" i="4"/>
  <c r="Q58" i="4"/>
  <c r="I58" i="4"/>
  <c r="H58" i="4"/>
  <c r="G58" i="4"/>
  <c r="F58" i="4"/>
  <c r="L58" i="4" s="1"/>
  <c r="C58" i="4"/>
  <c r="B58" i="4"/>
  <c r="A58" i="4"/>
  <c r="R57" i="4"/>
  <c r="Q57" i="4"/>
  <c r="R56" i="4"/>
  <c r="Q56" i="4"/>
  <c r="R55" i="4"/>
  <c r="Q55" i="4"/>
  <c r="I55" i="4"/>
  <c r="H55" i="4"/>
  <c r="G55" i="4"/>
  <c r="F55" i="4"/>
  <c r="L55" i="4" s="1"/>
  <c r="C55" i="4"/>
  <c r="B55" i="4"/>
  <c r="A55" i="4"/>
  <c r="S54" i="4"/>
  <c r="I54" i="4"/>
  <c r="H54" i="4"/>
  <c r="G54" i="4"/>
  <c r="F54" i="4"/>
  <c r="L54" i="4" s="1"/>
  <c r="C54" i="4"/>
  <c r="B54" i="4"/>
  <c r="A54" i="4"/>
  <c r="S53" i="4"/>
  <c r="I53" i="4"/>
  <c r="H53" i="4"/>
  <c r="G53" i="4"/>
  <c r="F53" i="4"/>
  <c r="L53" i="4" s="1"/>
  <c r="C53" i="4"/>
  <c r="B53" i="4"/>
  <c r="A53" i="4"/>
  <c r="R51" i="4"/>
  <c r="Q51" i="4"/>
  <c r="R50" i="4"/>
  <c r="Q50" i="4"/>
  <c r="R49" i="4"/>
  <c r="Q49" i="4"/>
  <c r="I49" i="4"/>
  <c r="H49" i="4"/>
  <c r="G49" i="4"/>
  <c r="F49" i="4"/>
  <c r="L49" i="4" s="1"/>
  <c r="C49" i="4"/>
  <c r="B49" i="4"/>
  <c r="A49" i="4"/>
  <c r="S48" i="4"/>
  <c r="I48" i="4"/>
  <c r="H48" i="4"/>
  <c r="G48" i="4"/>
  <c r="F48" i="4"/>
  <c r="L48" i="4" s="1"/>
  <c r="C48" i="4"/>
  <c r="B48" i="4"/>
  <c r="R14" i="4"/>
  <c r="Q14" i="4"/>
  <c r="R12" i="4"/>
  <c r="Q12" i="4"/>
  <c r="R11" i="4"/>
  <c r="Q11" i="4"/>
  <c r="R10" i="4"/>
  <c r="Q10" i="4"/>
  <c r="R9" i="4"/>
  <c r="Q9" i="4"/>
  <c r="R8" i="4"/>
  <c r="Q8" i="4"/>
  <c r="R7" i="4"/>
  <c r="S7" i="4" s="1"/>
  <c r="Q7" i="4"/>
  <c r="R5" i="4"/>
  <c r="Q5" i="4"/>
  <c r="R4" i="4"/>
  <c r="Q4" i="4"/>
  <c r="R3" i="4"/>
  <c r="Q3" i="4"/>
  <c r="P48" i="3"/>
  <c r="A48" i="3"/>
  <c r="V47" i="3"/>
  <c r="P47" i="3"/>
  <c r="A47" i="3"/>
  <c r="V46" i="3"/>
  <c r="P46" i="3"/>
  <c r="A46" i="3"/>
  <c r="V45" i="3"/>
  <c r="P45" i="3"/>
  <c r="A45" i="3"/>
  <c r="V44" i="3"/>
  <c r="P44" i="3"/>
  <c r="A44" i="3"/>
  <c r="V43" i="3"/>
  <c r="P43" i="3"/>
  <c r="L43" i="3"/>
  <c r="A43" i="3"/>
  <c r="V42" i="3"/>
  <c r="A42" i="3"/>
  <c r="V41" i="3"/>
  <c r="P41" i="3"/>
  <c r="L41" i="3"/>
  <c r="A41" i="3"/>
  <c r="V40" i="3"/>
  <c r="P40" i="3"/>
  <c r="J40" i="3"/>
  <c r="A40" i="3"/>
  <c r="P39" i="3"/>
  <c r="L39" i="3"/>
  <c r="A39" i="3"/>
  <c r="P38" i="3"/>
  <c r="L38" i="3"/>
  <c r="A38" i="3"/>
  <c r="P37" i="3"/>
  <c r="L37" i="3"/>
  <c r="A37" i="3"/>
  <c r="P36" i="3"/>
  <c r="A36" i="3"/>
  <c r="P35" i="3"/>
  <c r="L35" i="3"/>
  <c r="A35" i="3"/>
  <c r="P34" i="3"/>
  <c r="L34" i="3"/>
  <c r="J34" i="3"/>
  <c r="A34" i="3"/>
  <c r="P33" i="3"/>
  <c r="L33" i="3"/>
  <c r="A33" i="3"/>
  <c r="P32" i="3"/>
  <c r="L32" i="3"/>
  <c r="A32" i="3"/>
  <c r="V31" i="3"/>
  <c r="P31" i="3"/>
  <c r="L31" i="3"/>
  <c r="A31" i="3"/>
  <c r="V30" i="3"/>
  <c r="P30" i="3"/>
  <c r="L30" i="3"/>
  <c r="A30" i="3"/>
  <c r="V29" i="3"/>
  <c r="P29" i="3"/>
  <c r="L29" i="3"/>
  <c r="A29" i="3"/>
  <c r="V28" i="3"/>
  <c r="P28" i="3"/>
  <c r="L28" i="3"/>
  <c r="J28" i="3"/>
  <c r="A28" i="3"/>
  <c r="V27" i="3"/>
  <c r="P27" i="3"/>
  <c r="L27" i="3"/>
  <c r="J27" i="3"/>
  <c r="A27" i="3"/>
  <c r="V26" i="3"/>
  <c r="P26" i="3"/>
  <c r="N26" i="3"/>
  <c r="L26" i="3"/>
  <c r="J26" i="3"/>
  <c r="A26" i="3"/>
  <c r="V25" i="3"/>
  <c r="P25" i="3"/>
  <c r="L25" i="3"/>
  <c r="J25" i="3"/>
  <c r="A25" i="3"/>
  <c r="V24" i="3"/>
  <c r="P24" i="3"/>
  <c r="N24" i="3"/>
  <c r="L24" i="3"/>
  <c r="J24" i="3"/>
  <c r="A24" i="3"/>
  <c r="V23" i="3"/>
  <c r="P23" i="3"/>
  <c r="N23" i="3"/>
  <c r="L23" i="3"/>
  <c r="J23" i="3"/>
  <c r="A23" i="3"/>
  <c r="V22" i="3"/>
  <c r="P22" i="3"/>
  <c r="N22" i="3"/>
  <c r="L22" i="3"/>
  <c r="J22" i="3"/>
  <c r="A22" i="3"/>
  <c r="V21" i="3"/>
  <c r="P21" i="3"/>
  <c r="N21" i="3"/>
  <c r="L21" i="3"/>
  <c r="J21" i="3"/>
  <c r="A21" i="3"/>
  <c r="V20" i="3"/>
  <c r="P20" i="3"/>
  <c r="N20" i="3"/>
  <c r="L20" i="3"/>
  <c r="J20" i="3"/>
  <c r="A20" i="3"/>
  <c r="V19" i="3"/>
  <c r="P19" i="3"/>
  <c r="N19" i="3"/>
  <c r="L19" i="3"/>
  <c r="J19" i="3"/>
  <c r="A19" i="3"/>
  <c r="V18" i="3"/>
  <c r="P18" i="3"/>
  <c r="N18" i="3"/>
  <c r="L18" i="3"/>
  <c r="J18" i="3"/>
  <c r="A18" i="3"/>
  <c r="V17" i="3"/>
  <c r="P17" i="3"/>
  <c r="N17" i="3"/>
  <c r="L17" i="3"/>
  <c r="J17" i="3"/>
  <c r="A17" i="3"/>
  <c r="V16" i="3"/>
  <c r="P16" i="3"/>
  <c r="N16" i="3"/>
  <c r="L16" i="3"/>
  <c r="J16" i="3"/>
  <c r="A16" i="3"/>
  <c r="V15" i="3"/>
  <c r="P15" i="3"/>
  <c r="L15" i="3"/>
  <c r="J15" i="3"/>
  <c r="A15" i="3"/>
  <c r="V14" i="3"/>
  <c r="P14" i="3"/>
  <c r="L14" i="3"/>
  <c r="J14" i="3"/>
  <c r="A14" i="3"/>
  <c r="V13" i="3"/>
  <c r="P13" i="3"/>
  <c r="L13" i="3"/>
  <c r="J13" i="3"/>
  <c r="A13" i="3"/>
  <c r="V12" i="3"/>
  <c r="P12" i="3"/>
  <c r="L12" i="3"/>
  <c r="J12" i="3"/>
  <c r="A12" i="3"/>
  <c r="V11" i="3"/>
  <c r="P11" i="3"/>
  <c r="L11" i="3"/>
  <c r="J11" i="3"/>
  <c r="A11" i="3"/>
  <c r="AA11" i="3"/>
  <c r="V10" i="3"/>
  <c r="P10" i="3"/>
  <c r="L10" i="3"/>
  <c r="J10" i="3"/>
  <c r="A10" i="3"/>
  <c r="AA9" i="3"/>
  <c r="V9" i="3"/>
  <c r="P9" i="3"/>
  <c r="L9" i="3"/>
  <c r="J9" i="3"/>
  <c r="A9" i="3"/>
  <c r="AA8" i="3"/>
  <c r="V8" i="3"/>
  <c r="P8" i="3"/>
  <c r="L8" i="3"/>
  <c r="J8" i="3"/>
  <c r="A8" i="3"/>
  <c r="AA7" i="3"/>
  <c r="V7" i="3"/>
  <c r="P7" i="3"/>
  <c r="L7" i="3"/>
  <c r="J7" i="3"/>
  <c r="A7" i="3"/>
  <c r="AA6" i="3"/>
  <c r="V6" i="3"/>
  <c r="P6" i="3"/>
  <c r="L6" i="3"/>
  <c r="J6" i="3"/>
  <c r="A6" i="3"/>
  <c r="AA5" i="3"/>
  <c r="V5" i="3"/>
  <c r="A5" i="3"/>
  <c r="AA4" i="3"/>
  <c r="V4" i="3"/>
  <c r="A4" i="3"/>
  <c r="AA3" i="3"/>
  <c r="V3" i="3"/>
  <c r="A3" i="3"/>
  <c r="S51" i="7" l="1"/>
  <c r="S58" i="7"/>
  <c r="S69" i="7"/>
  <c r="S100" i="7"/>
  <c r="S105" i="7"/>
  <c r="B110" i="7"/>
  <c r="S118" i="7"/>
  <c r="S124" i="7"/>
  <c r="S141" i="7"/>
  <c r="B158" i="7"/>
  <c r="S166" i="7"/>
  <c r="S172" i="7"/>
  <c r="G26" i="15"/>
  <c r="S70" i="7"/>
  <c r="S75" i="7"/>
  <c r="B80" i="7"/>
  <c r="S112" i="7"/>
  <c r="S129" i="7"/>
  <c r="B146" i="7"/>
  <c r="S154" i="7"/>
  <c r="S160" i="7"/>
  <c r="M21" i="15"/>
  <c r="M22" i="15" s="1"/>
  <c r="S148" i="7"/>
  <c r="G25" i="15"/>
  <c r="S64" i="4"/>
  <c r="S76" i="7"/>
  <c r="B86" i="7"/>
  <c r="B98" i="7"/>
  <c r="B122" i="7"/>
  <c r="S130" i="7"/>
  <c r="S136" i="7"/>
  <c r="B170" i="7"/>
  <c r="N1" i="3"/>
  <c r="S167" i="4"/>
  <c r="S120" i="4"/>
  <c r="S10" i="4"/>
  <c r="S50" i="4"/>
  <c r="S56" i="4"/>
  <c r="S68" i="4"/>
  <c r="S81" i="4"/>
  <c r="S104" i="4"/>
  <c r="S137" i="4"/>
  <c r="S90" i="4"/>
  <c r="S122" i="4"/>
  <c r="S51" i="4"/>
  <c r="S58" i="4"/>
  <c r="S62" i="4"/>
  <c r="S98" i="4"/>
  <c r="S100" i="4"/>
  <c r="S107" i="4"/>
  <c r="S133" i="4"/>
  <c r="S140" i="4"/>
  <c r="S146" i="4"/>
  <c r="S148" i="4"/>
  <c r="S171" i="4"/>
  <c r="S72" i="4"/>
  <c r="S99" i="4"/>
  <c r="S105" i="4"/>
  <c r="S113" i="4"/>
  <c r="S115" i="4"/>
  <c r="S119" i="4"/>
  <c r="S123" i="4"/>
  <c r="S151" i="4"/>
  <c r="S155" i="4"/>
  <c r="S3" i="4"/>
  <c r="S8" i="4"/>
  <c r="S12" i="4"/>
  <c r="S59" i="4"/>
  <c r="S63" i="4"/>
  <c r="S65" i="4"/>
  <c r="S67" i="4"/>
  <c r="S97" i="4"/>
  <c r="S103" i="4"/>
  <c r="S106" i="4"/>
  <c r="S162" i="4"/>
  <c r="S166" i="4"/>
  <c r="S11" i="4"/>
  <c r="S80" i="4"/>
  <c r="S89" i="4"/>
  <c r="S108" i="4"/>
  <c r="S124" i="4"/>
  <c r="S134" i="4"/>
  <c r="S158" i="4"/>
  <c r="S5" i="4"/>
  <c r="S14" i="4"/>
  <c r="S49" i="4"/>
  <c r="S101" i="4"/>
  <c r="S110" i="4"/>
  <c r="S136" i="4"/>
  <c r="S149" i="4"/>
  <c r="S156" i="4"/>
  <c r="S66" i="4"/>
  <c r="S75" i="4"/>
  <c r="S78" i="4"/>
  <c r="S82" i="4"/>
  <c r="S84" i="4"/>
  <c r="S102" i="4"/>
  <c r="S112" i="4"/>
  <c r="S114" i="4"/>
  <c r="S121" i="4"/>
  <c r="S138" i="4"/>
  <c r="S142" i="4"/>
  <c r="S168" i="4"/>
  <c r="S170" i="4"/>
  <c r="S4" i="4"/>
  <c r="S57" i="4"/>
  <c r="S79" i="4"/>
  <c r="S88" i="4"/>
  <c r="S116" i="4"/>
  <c r="S118" i="4"/>
  <c r="S141" i="4"/>
  <c r="S144" i="4"/>
  <c r="S150" i="4"/>
  <c r="S157" i="4"/>
  <c r="S161" i="4"/>
  <c r="S163" i="4"/>
  <c r="S165" i="4"/>
  <c r="S172" i="4"/>
  <c r="M32" i="5"/>
  <c r="J32" i="5"/>
  <c r="J33" i="5"/>
  <c r="M33" i="5"/>
  <c r="J34" i="5"/>
  <c r="M34" i="5"/>
  <c r="M35" i="5"/>
  <c r="J35" i="5"/>
  <c r="J106" i="4"/>
  <c r="J133" i="4"/>
  <c r="J78" i="4"/>
  <c r="J55" i="4"/>
  <c r="J75" i="4"/>
  <c r="J104" i="4"/>
  <c r="J144" i="4"/>
  <c r="J167" i="4"/>
  <c r="J140" i="4"/>
  <c r="J159" i="4"/>
  <c r="K161" i="4"/>
  <c r="J162" i="4"/>
  <c r="J97" i="4"/>
  <c r="J145" i="4"/>
  <c r="J146" i="4"/>
  <c r="J174" i="4"/>
  <c r="J176" i="4"/>
  <c r="K139" i="4"/>
  <c r="K75" i="4"/>
  <c r="K145" i="4"/>
  <c r="J100" i="4"/>
  <c r="K146" i="4"/>
  <c r="J161" i="4"/>
  <c r="K48" i="4"/>
  <c r="K54" i="4"/>
  <c r="J48" i="4"/>
  <c r="K55" i="4"/>
  <c r="J79" i="4"/>
  <c r="J88" i="4"/>
  <c r="J101" i="4"/>
  <c r="K102" i="4"/>
  <c r="K97" i="4"/>
  <c r="J102" i="4"/>
  <c r="J103" i="4"/>
  <c r="J139" i="4"/>
  <c r="J143" i="4"/>
  <c r="J149" i="4"/>
  <c r="K49" i="4"/>
  <c r="K140" i="4"/>
  <c r="K143" i="4"/>
  <c r="K149" i="4"/>
  <c r="K167" i="4"/>
  <c r="K78" i="4"/>
  <c r="K159" i="4"/>
  <c r="K144" i="4"/>
  <c r="K106" i="4"/>
  <c r="K104" i="4"/>
  <c r="K100" i="4"/>
  <c r="K58" i="4"/>
  <c r="K53" i="4"/>
  <c r="K79" i="4"/>
  <c r="K88" i="4"/>
  <c r="K101" i="4"/>
  <c r="S106" i="7"/>
  <c r="J53" i="4"/>
  <c r="J54" i="4"/>
  <c r="S55" i="4"/>
  <c r="S69" i="4"/>
  <c r="S83" i="4"/>
  <c r="K103" i="4"/>
  <c r="S117" i="4"/>
  <c r="K133" i="4"/>
  <c r="S135" i="4"/>
  <c r="S145" i="4"/>
  <c r="S147" i="4"/>
  <c r="S153" i="4"/>
  <c r="S159" i="4"/>
  <c r="S52" i="7"/>
  <c r="B56" i="7"/>
  <c r="B68" i="7"/>
  <c r="S94" i="7"/>
  <c r="G29" i="15"/>
  <c r="G31" i="15" s="1"/>
  <c r="G36" i="15" s="1"/>
  <c r="L29" i="15"/>
  <c r="L31" i="15" s="1"/>
  <c r="S9" i="4"/>
  <c r="J49" i="4"/>
  <c r="J58" i="4"/>
  <c r="S61" i="4"/>
  <c r="S70" i="4"/>
  <c r="S109" i="4"/>
  <c r="K162" i="4"/>
  <c r="S164" i="4"/>
  <c r="S169" i="4"/>
  <c r="K173" i="4"/>
  <c r="J173" i="4"/>
  <c r="K177" i="4"/>
  <c r="J177" i="4"/>
  <c r="B74" i="7"/>
  <c r="S82" i="7"/>
  <c r="S88" i="7"/>
  <c r="J175" i="4"/>
  <c r="B50" i="7"/>
  <c r="S64" i="7"/>
  <c r="B92" i="7"/>
  <c r="B116" i="7"/>
  <c r="B128" i="7"/>
  <c r="B140" i="7"/>
  <c r="B152" i="7"/>
  <c r="B164" i="7"/>
  <c r="K174" i="4"/>
  <c r="J34" i="15"/>
  <c r="J37" i="15" s="1"/>
  <c r="T5" i="9" l="1"/>
  <c r="V4" i="9"/>
  <c r="Z4" i="9"/>
  <c r="O5" i="9"/>
  <c r="H5" i="9"/>
  <c r="P5" i="9"/>
  <c r="W5" i="9"/>
  <c r="R5" i="9"/>
  <c r="P4" i="9"/>
  <c r="C4" i="9"/>
  <c r="I5" i="9"/>
  <c r="G4" i="9"/>
  <c r="X5" i="9"/>
  <c r="X4" i="9"/>
  <c r="S4" i="9"/>
  <c r="F4" i="9"/>
  <c r="Z5" i="9"/>
  <c r="W4" i="9"/>
  <c r="M4" i="9"/>
  <c r="Y5" i="9"/>
  <c r="Y4" i="9"/>
  <c r="C5" i="9"/>
  <c r="M5" i="9"/>
  <c r="F5" i="9"/>
  <c r="L4" i="9"/>
  <c r="H4" i="9"/>
  <c r="K4" i="9"/>
  <c r="E4" i="9"/>
  <c r="U4" i="9"/>
  <c r="O4" i="9"/>
  <c r="K5" i="9"/>
  <c r="I4" i="9"/>
  <c r="E5" i="9"/>
  <c r="U5" i="9"/>
  <c r="R4" i="9"/>
  <c r="N5" i="9"/>
  <c r="D4" i="9"/>
  <c r="D5" i="9"/>
  <c r="S5" i="9"/>
  <c r="J4" i="9"/>
  <c r="L5" i="9"/>
  <c r="Q4" i="9"/>
  <c r="V5" i="9"/>
  <c r="G5" i="9"/>
  <c r="Q5" i="9"/>
  <c r="N4" i="9"/>
  <c r="J5" i="9"/>
  <c r="T4" i="9"/>
  <c r="T8" i="9" s="1"/>
  <c r="W8" i="9" l="1"/>
  <c r="I8" i="9"/>
  <c r="P8" i="9"/>
  <c r="V8" i="9"/>
  <c r="O8" i="9"/>
  <c r="W6" i="9"/>
  <c r="Y8" i="9"/>
  <c r="O6" i="9"/>
  <c r="H8" i="9"/>
  <c r="R8" i="9"/>
  <c r="Z8" i="9"/>
  <c r="Y6" i="9"/>
  <c r="F8" i="9"/>
  <c r="X8" i="9"/>
  <c r="L8" i="9"/>
  <c r="J8" i="9"/>
  <c r="Q6" i="9"/>
  <c r="Q8" i="9"/>
  <c r="S8" i="9"/>
  <c r="S6" i="9"/>
  <c r="G6" i="9"/>
  <c r="G8" i="9"/>
  <c r="D8" i="9"/>
  <c r="N8" i="9"/>
  <c r="E8" i="9"/>
  <c r="E6" i="9"/>
  <c r="K8" i="9"/>
  <c r="K6" i="9"/>
  <c r="M8" i="9"/>
  <c r="M6" i="9"/>
  <c r="I6" i="9"/>
  <c r="U8" i="9"/>
  <c r="U6" i="9"/>
  <c r="C8" i="9"/>
  <c r="C6" i="9"/>
  <c r="C10" i="9" l="1"/>
  <c r="R44" i="5" l="1"/>
  <c r="E44" i="5"/>
  <c r="J44" i="5" s="1"/>
  <c r="E45" i="5"/>
  <c r="J45" i="5" s="1"/>
  <c r="R45" i="5"/>
  <c r="F45" i="5"/>
  <c r="I45" i="5" s="1"/>
  <c r="S44" i="5" l="1"/>
  <c r="S45" i="5"/>
  <c r="F45" i="6"/>
  <c r="E45" i="6" s="1"/>
  <c r="T45" i="5" s="1"/>
  <c r="Q45" i="5" l="1"/>
  <c r="U45" i="5"/>
  <c r="W45" i="5"/>
  <c r="X45" i="5" s="1"/>
  <c r="F44" i="6"/>
  <c r="E44" i="6" s="1"/>
  <c r="T44" i="5" s="1"/>
  <c r="U44" i="5" l="1"/>
  <c r="Q44" i="5"/>
  <c r="W44" i="5"/>
  <c r="X44" i="5" s="1"/>
</calcChain>
</file>

<file path=xl/sharedStrings.xml><?xml version="1.0" encoding="utf-8"?>
<sst xmlns="http://schemas.openxmlformats.org/spreadsheetml/2006/main" count="1866" uniqueCount="605">
  <si>
    <t>コード</t>
    <phoneticPr fontId="3"/>
  </si>
  <si>
    <t>銘柄名</t>
    <rPh sb="0" eb="2">
      <t>メイガラ</t>
    </rPh>
    <rPh sb="2" eb="3">
      <t>メイ</t>
    </rPh>
    <phoneticPr fontId="3"/>
  </si>
  <si>
    <t>市場</t>
    <rPh sb="0" eb="2">
      <t>シジョウ</t>
    </rPh>
    <phoneticPr fontId="3"/>
  </si>
  <si>
    <t>単元</t>
    <rPh sb="0" eb="2">
      <t>タンゲン</t>
    </rPh>
    <phoneticPr fontId="3"/>
  </si>
  <si>
    <t>現在値</t>
    <rPh sb="0" eb="2">
      <t>ゲンザイ</t>
    </rPh>
    <rPh sb="2" eb="3">
      <t>ネ</t>
    </rPh>
    <phoneticPr fontId="3"/>
  </si>
  <si>
    <t>前日差</t>
    <rPh sb="0" eb="2">
      <t>ゼンジツ</t>
    </rPh>
    <rPh sb="2" eb="3">
      <t>サ</t>
    </rPh>
    <phoneticPr fontId="3"/>
  </si>
  <si>
    <t>前日比(%)</t>
    <rPh sb="0" eb="3">
      <t>ゼンジツヒ</t>
    </rPh>
    <phoneticPr fontId="3"/>
  </si>
  <si>
    <t>出来高</t>
    <rPh sb="0" eb="3">
      <t>デキダカ</t>
    </rPh>
    <phoneticPr fontId="3"/>
  </si>
  <si>
    <t>始値</t>
    <rPh sb="0" eb="2">
      <t>ハジメネ</t>
    </rPh>
    <phoneticPr fontId="3"/>
  </si>
  <si>
    <t>高値</t>
    <rPh sb="0" eb="2">
      <t>タカネ</t>
    </rPh>
    <phoneticPr fontId="3"/>
  </si>
  <si>
    <t>安値</t>
    <rPh sb="0" eb="2">
      <t>ヤスネ</t>
    </rPh>
    <phoneticPr fontId="3"/>
  </si>
  <si>
    <t>日付</t>
    <rPh sb="0" eb="2">
      <t>ヒヅケ</t>
    </rPh>
    <phoneticPr fontId="3"/>
  </si>
  <si>
    <t>時間</t>
    <rPh sb="0" eb="2">
      <t>ジカン</t>
    </rPh>
    <phoneticPr fontId="3"/>
  </si>
  <si>
    <t>最終分割情報</t>
  </si>
  <si>
    <t>Initial Public Offering</t>
  </si>
  <si>
    <t>※当日11:00まで</t>
    <rPh sb="1" eb="3">
      <t>トウジツ</t>
    </rPh>
    <phoneticPr fontId="8"/>
  </si>
  <si>
    <t>※当日か翌営業日</t>
    <rPh sb="1" eb="3">
      <t>トウジツ</t>
    </rPh>
    <rPh sb="4" eb="8">
      <t>ヨクエイギョウビ</t>
    </rPh>
    <phoneticPr fontId="8"/>
  </si>
  <si>
    <t>余力</t>
    <rPh sb="0" eb="2">
      <t>ヨリョク</t>
    </rPh>
    <phoneticPr fontId="8"/>
  </si>
  <si>
    <t>銘柄名</t>
    <rPh sb="0" eb="2">
      <t>メイガラ</t>
    </rPh>
    <rPh sb="2" eb="3">
      <t>メイ</t>
    </rPh>
    <phoneticPr fontId="8"/>
  </si>
  <si>
    <t>BB開始日</t>
    <rPh sb="2" eb="4">
      <t>カイシ</t>
    </rPh>
    <rPh sb="4" eb="5">
      <t>ビ</t>
    </rPh>
    <phoneticPr fontId="8"/>
  </si>
  <si>
    <t>BB終了日※</t>
    <rPh sb="2" eb="5">
      <t>シュウリョウビ</t>
    </rPh>
    <phoneticPr fontId="8"/>
  </si>
  <si>
    <t>抽選日※</t>
    <rPh sb="0" eb="3">
      <t>チュウセンビ</t>
    </rPh>
    <phoneticPr fontId="8"/>
  </si>
  <si>
    <t>市場</t>
    <rPh sb="0" eb="2">
      <t>シジョウ</t>
    </rPh>
    <phoneticPr fontId="8"/>
  </si>
  <si>
    <t>公開価格</t>
    <rPh sb="0" eb="2">
      <t>コウカイ</t>
    </rPh>
    <rPh sb="2" eb="4">
      <t>カカク</t>
    </rPh>
    <phoneticPr fontId="8"/>
  </si>
  <si>
    <t>評価</t>
    <rPh sb="0" eb="2">
      <t>ヒョウカ</t>
    </rPh>
    <phoneticPr fontId="8"/>
  </si>
  <si>
    <t>マネックス証券</t>
    <rPh sb="5" eb="7">
      <t>ショウケン</t>
    </rPh>
    <phoneticPr fontId="8"/>
  </si>
  <si>
    <t>SMBC日興証券</t>
    <rPh sb="4" eb="6">
      <t>ニッコウ</t>
    </rPh>
    <rPh sb="6" eb="8">
      <t>ショウケン</t>
    </rPh>
    <phoneticPr fontId="8"/>
  </si>
  <si>
    <t>大和証券</t>
    <rPh sb="0" eb="2">
      <t>ダイワ</t>
    </rPh>
    <rPh sb="2" eb="4">
      <t>ショウケン</t>
    </rPh>
    <phoneticPr fontId="8"/>
  </si>
  <si>
    <t>SBI証券</t>
    <rPh sb="3" eb="5">
      <t>ショウケン</t>
    </rPh>
    <phoneticPr fontId="8"/>
  </si>
  <si>
    <t>主幹事</t>
    <rPh sb="0" eb="3">
      <t>シュカンジ</t>
    </rPh>
    <phoneticPr fontId="8"/>
  </si>
  <si>
    <t>上場日</t>
    <rPh sb="0" eb="3">
      <t>ジョウジョウビ</t>
    </rPh>
    <phoneticPr fontId="8"/>
  </si>
  <si>
    <t>初値</t>
    <rPh sb="0" eb="2">
      <t>ハツネ</t>
    </rPh>
    <phoneticPr fontId="8"/>
  </si>
  <si>
    <t>騰落率</t>
    <rPh sb="0" eb="3">
      <t>トウラクリツ</t>
    </rPh>
    <phoneticPr fontId="8"/>
  </si>
  <si>
    <t>備考</t>
    <rPh sb="0" eb="2">
      <t>ビコウ</t>
    </rPh>
    <phoneticPr fontId="8"/>
  </si>
  <si>
    <t>回数</t>
    <rPh sb="0" eb="2">
      <t>カイスウ</t>
    </rPh>
    <phoneticPr fontId="8"/>
  </si>
  <si>
    <t>買付証券</t>
    <rPh sb="0" eb="2">
      <t>カイツケ</t>
    </rPh>
    <rPh sb="2" eb="4">
      <t>ショウケン</t>
    </rPh>
    <phoneticPr fontId="8"/>
  </si>
  <si>
    <t>日宣</t>
    <rPh sb="0" eb="2">
      <t>ニッセン</t>
    </rPh>
    <phoneticPr fontId="8"/>
  </si>
  <si>
    <t>-</t>
    <phoneticPr fontId="8"/>
  </si>
  <si>
    <t>ジャスダック</t>
  </si>
  <si>
    <t>落選</t>
    <rPh sb="0" eb="2">
      <t>ラクセン</t>
    </rPh>
    <phoneticPr fontId="8"/>
  </si>
  <si>
    <t>大和証券</t>
  </si>
  <si>
    <t>初IPO</t>
    <rPh sb="0" eb="1">
      <t>ハツ</t>
    </rPh>
    <phoneticPr fontId="8"/>
  </si>
  <si>
    <t>東証一部</t>
    <rPh sb="0" eb="2">
      <t>トウショウ</t>
    </rPh>
    <rPh sb="2" eb="4">
      <t>イチブ</t>
    </rPh>
    <phoneticPr fontId="8"/>
  </si>
  <si>
    <t>S</t>
    <phoneticPr fontId="8"/>
  </si>
  <si>
    <t>マネックス</t>
    <phoneticPr fontId="8"/>
  </si>
  <si>
    <t>レノバ </t>
  </si>
  <si>
    <t>マザーズ</t>
  </si>
  <si>
    <t>C</t>
  </si>
  <si>
    <t>東証二部</t>
    <rPh sb="0" eb="2">
      <t>トウショウ</t>
    </rPh>
    <rPh sb="2" eb="4">
      <t>ニブ</t>
    </rPh>
    <phoneticPr fontId="8"/>
  </si>
  <si>
    <t>SMBC日興証券</t>
    <phoneticPr fontId="8"/>
  </si>
  <si>
    <t>A</t>
    <phoneticPr fontId="8"/>
  </si>
  <si>
    <t>SMBC日興</t>
    <rPh sb="4" eb="6">
      <t>ニッコウ</t>
    </rPh>
    <phoneticPr fontId="8"/>
  </si>
  <si>
    <t>ユナイテッド＆コレクティブ</t>
  </si>
  <si>
    <t>B</t>
  </si>
  <si>
    <t>SMBC日興証券</t>
  </si>
  <si>
    <t>マザーズ</t>
    <phoneticPr fontId="8"/>
  </si>
  <si>
    <t>SBI証券</t>
  </si>
  <si>
    <t>B</t>
    <phoneticPr fontId="8"/>
  </si>
  <si>
    <t>大和</t>
    <rPh sb="0" eb="2">
      <t>ダイワ</t>
    </rPh>
    <phoneticPr fontId="8"/>
  </si>
  <si>
    <t>ロコンド</t>
  </si>
  <si>
    <t>D</t>
  </si>
  <si>
    <t>-</t>
    <phoneticPr fontId="8"/>
  </si>
  <si>
    <t>野村証券</t>
    <rPh sb="0" eb="2">
      <t>ノムラ</t>
    </rPh>
    <rPh sb="2" eb="4">
      <t>ショウケン</t>
    </rPh>
    <phoneticPr fontId="8"/>
  </si>
  <si>
    <t>東海東京証券</t>
  </si>
  <si>
    <t>C</t>
    <phoneticPr fontId="8"/>
  </si>
  <si>
    <t>SBI</t>
    <phoneticPr fontId="8"/>
  </si>
  <si>
    <t>ピーバンドットコム</t>
  </si>
  <si>
    <t>初セカンダリ</t>
    <rPh sb="0" eb="1">
      <t>ハツ</t>
    </rPh>
    <phoneticPr fontId="8"/>
  </si>
  <si>
    <t>東証インフラ</t>
    <rPh sb="0" eb="2">
      <t>トウショウ</t>
    </rPh>
    <phoneticPr fontId="8"/>
  </si>
  <si>
    <t>三菱UFJ・MS証券</t>
    <phoneticPr fontId="8"/>
  </si>
  <si>
    <t>D</t>
    <phoneticPr fontId="8"/>
  </si>
  <si>
    <t>ファイズ</t>
  </si>
  <si>
    <t>A</t>
  </si>
  <si>
    <t>札幌アンビシャス</t>
    <rPh sb="0" eb="2">
      <t>サッポロ</t>
    </rPh>
    <phoneticPr fontId="8"/>
  </si>
  <si>
    <t>みずほ証券</t>
    <rPh sb="3" eb="5">
      <t>ショウケン</t>
    </rPh>
    <phoneticPr fontId="8"/>
  </si>
  <si>
    <t>E</t>
    <phoneticPr fontId="8"/>
  </si>
  <si>
    <t>うるる</t>
  </si>
  <si>
    <t>ほぼ日</t>
  </si>
  <si>
    <t>岡三証券</t>
    <rPh sb="0" eb="2">
      <t>オカサン</t>
    </rPh>
    <rPh sb="2" eb="4">
      <t>ショウケン</t>
    </rPh>
    <phoneticPr fontId="8"/>
  </si>
  <si>
    <t>ジャパンエレベーターサービスHD</t>
    <phoneticPr fontId="8"/>
  </si>
  <si>
    <t>ビーグリー</t>
  </si>
  <si>
    <t>力の源HD</t>
    <phoneticPr fontId="8"/>
  </si>
  <si>
    <t>参考URL</t>
    <rPh sb="0" eb="2">
      <t>サンコウ</t>
    </rPh>
    <phoneticPr fontId="8"/>
  </si>
  <si>
    <t>インターネットインフィニティー</t>
  </si>
  <si>
    <t>TOKYO IPO</t>
    <phoneticPr fontId="8"/>
  </si>
  <si>
    <t>フルテック</t>
    <phoneticPr fontId="8"/>
  </si>
  <si>
    <t>http://www.tokyoipo.com/ipo/schedule.php</t>
    <phoneticPr fontId="8"/>
  </si>
  <si>
    <t>マクロミル</t>
  </si>
  <si>
    <t>繰上当選済</t>
    <rPh sb="0" eb="1">
      <t>ク</t>
    </rPh>
    <rPh sb="1" eb="2">
      <t>ウエ</t>
    </rPh>
    <rPh sb="2" eb="4">
      <t>トウセン</t>
    </rPh>
    <rPh sb="4" eb="5">
      <t>ズ</t>
    </rPh>
    <phoneticPr fontId="8"/>
  </si>
  <si>
    <t>三菱UFJ・MS証券</t>
  </si>
  <si>
    <t>公募割れ</t>
    <rPh sb="0" eb="3">
      <t>コウボワ</t>
    </rPh>
    <phoneticPr fontId="8"/>
  </si>
  <si>
    <t>グリーンズ</t>
    <phoneticPr fontId="8"/>
  </si>
  <si>
    <t>-</t>
    <phoneticPr fontId="8"/>
  </si>
  <si>
    <t>当選済</t>
    <rPh sb="0" eb="2">
      <t>トウセン</t>
    </rPh>
    <rPh sb="2" eb="3">
      <t>ズ</t>
    </rPh>
    <phoneticPr fontId="8"/>
  </si>
  <si>
    <t>初当選</t>
    <rPh sb="0" eb="1">
      <t>ハツ</t>
    </rPh>
    <rPh sb="1" eb="3">
      <t>トウセン</t>
    </rPh>
    <phoneticPr fontId="8"/>
  </si>
  <si>
    <t>IPO スケジュール</t>
    <phoneticPr fontId="8"/>
  </si>
  <si>
    <t>オロ</t>
    <phoneticPr fontId="8"/>
  </si>
  <si>
    <t>ソレイジア・ファーマ</t>
    <phoneticPr fontId="8"/>
  </si>
  <si>
    <t>ティーケーピー</t>
  </si>
  <si>
    <t>IPO ゲッター</t>
    <phoneticPr fontId="8"/>
  </si>
  <si>
    <t>ズーム</t>
  </si>
  <si>
    <t>Ｎｏ．１</t>
  </si>
  <si>
    <t>オークネット</t>
  </si>
  <si>
    <t>スシローグローバルHD</t>
    <phoneticPr fontId="8"/>
  </si>
  <si>
    <t>ユーザーローカル</t>
  </si>
  <si>
    <t>ネットマーケティング</t>
  </si>
  <si>
    <t>テモナ</t>
  </si>
  <si>
    <t>ウェーブロックHD</t>
    <phoneticPr fontId="8"/>
  </si>
  <si>
    <t>LIXILビバ</t>
    <phoneticPr fontId="8"/>
  </si>
  <si>
    <t>旅工房</t>
  </si>
  <si>
    <t>アセンテック</t>
  </si>
  <si>
    <t>ビーブレイクシステムズ</t>
  </si>
  <si>
    <t>BB前</t>
    <rPh sb="2" eb="3">
      <t>マエ</t>
    </rPh>
    <phoneticPr fontId="8"/>
  </si>
  <si>
    <t>ディーエムソリューションズ</t>
  </si>
  <si>
    <t>エコモット</t>
    <phoneticPr fontId="8"/>
  </si>
  <si>
    <t>IPO secondary investment</t>
    <phoneticPr fontId="8"/>
  </si>
  <si>
    <t>VC依存</t>
    <rPh sb="2" eb="4">
      <t>イゾン</t>
    </rPh>
    <phoneticPr fontId="8"/>
  </si>
  <si>
    <t>&lt; 税抜金額 100株単位 &gt;</t>
    <rPh sb="2" eb="3">
      <t>ゼイ</t>
    </rPh>
    <rPh sb="3" eb="4">
      <t>バツ</t>
    </rPh>
    <rPh sb="4" eb="6">
      <t>キンガク</t>
    </rPh>
    <rPh sb="10" eb="11">
      <t>カブ</t>
    </rPh>
    <rPh sb="11" eb="13">
      <t>タンイ</t>
    </rPh>
    <phoneticPr fontId="8"/>
  </si>
  <si>
    <t>※約定した翌日反映(当日約定分は0.2320で計算)</t>
    <rPh sb="1" eb="3">
      <t>ヤクテイ</t>
    </rPh>
    <rPh sb="5" eb="7">
      <t>ヨクジツ</t>
    </rPh>
    <rPh sb="7" eb="9">
      <t>ハンエイ</t>
    </rPh>
    <rPh sb="10" eb="12">
      <t>トウジツ</t>
    </rPh>
    <rPh sb="12" eb="14">
      <t>ヤクテイ</t>
    </rPh>
    <rPh sb="14" eb="15">
      <t>ブン</t>
    </rPh>
    <rPh sb="23" eb="25">
      <t>ケイサン</t>
    </rPh>
    <phoneticPr fontId="8"/>
  </si>
  <si>
    <t>公募株数</t>
    <rPh sb="0" eb="2">
      <t>コウボ</t>
    </rPh>
    <rPh sb="2" eb="4">
      <t>カブスウ</t>
    </rPh>
    <phoneticPr fontId="8"/>
  </si>
  <si>
    <t>売出株数</t>
    <rPh sb="0" eb="1">
      <t>ウ</t>
    </rPh>
    <rPh sb="1" eb="2">
      <t>ダ</t>
    </rPh>
    <rPh sb="2" eb="4">
      <t>カブスウ</t>
    </rPh>
    <phoneticPr fontId="8"/>
  </si>
  <si>
    <t>現行終値</t>
    <rPh sb="0" eb="2">
      <t>ゲンコウ</t>
    </rPh>
    <rPh sb="2" eb="4">
      <t>オワリネ</t>
    </rPh>
    <phoneticPr fontId="8"/>
  </si>
  <si>
    <t>出来高</t>
    <rPh sb="0" eb="3">
      <t>デキダカ</t>
    </rPh>
    <phoneticPr fontId="8"/>
  </si>
  <si>
    <t>初値売却損益</t>
    <rPh sb="0" eb="2">
      <t>ハツネ</t>
    </rPh>
    <rPh sb="2" eb="4">
      <t>バイキャク</t>
    </rPh>
    <rPh sb="4" eb="6">
      <t>ソンエキ</t>
    </rPh>
    <phoneticPr fontId="8"/>
  </si>
  <si>
    <t>現行差損益</t>
    <rPh sb="0" eb="2">
      <t>ゲンコウ</t>
    </rPh>
    <rPh sb="2" eb="5">
      <t>サソンエキ</t>
    </rPh>
    <phoneticPr fontId="8"/>
  </si>
  <si>
    <t>経過日数</t>
    <rPh sb="0" eb="2">
      <t>ケイカ</t>
    </rPh>
    <rPh sb="2" eb="4">
      <t>ニッスウ</t>
    </rPh>
    <phoneticPr fontId="8"/>
  </si>
  <si>
    <t>買付額</t>
    <rPh sb="0" eb="2">
      <t>カイツケ</t>
    </rPh>
    <rPh sb="2" eb="3">
      <t>ガク</t>
    </rPh>
    <phoneticPr fontId="8"/>
  </si>
  <si>
    <t>買付株数</t>
    <rPh sb="0" eb="2">
      <t>カイツケ</t>
    </rPh>
    <rPh sb="2" eb="4">
      <t>カブスウ</t>
    </rPh>
    <phoneticPr fontId="8"/>
  </si>
  <si>
    <t>売却額</t>
    <rPh sb="0" eb="3">
      <t>バイキャクガク</t>
    </rPh>
    <phoneticPr fontId="8"/>
  </si>
  <si>
    <t>手数料</t>
    <rPh sb="0" eb="3">
      <t>テスウリョウ</t>
    </rPh>
    <phoneticPr fontId="8"/>
  </si>
  <si>
    <t>諸税</t>
    <rPh sb="0" eb="2">
      <t>ショゼイ</t>
    </rPh>
    <phoneticPr fontId="8"/>
  </si>
  <si>
    <t>損益計</t>
    <rPh sb="0" eb="2">
      <t>ソンエキ</t>
    </rPh>
    <rPh sb="2" eb="3">
      <t>ケイ</t>
    </rPh>
    <phoneticPr fontId="8"/>
  </si>
  <si>
    <t>購入日</t>
    <rPh sb="0" eb="2">
      <t>コウニュウ</t>
    </rPh>
    <rPh sb="2" eb="3">
      <t>ビ</t>
    </rPh>
    <phoneticPr fontId="8"/>
  </si>
  <si>
    <t>買付手数料</t>
    <rPh sb="0" eb="2">
      <t>カイツケ</t>
    </rPh>
    <rPh sb="2" eb="5">
      <t>テスウリョウ</t>
    </rPh>
    <phoneticPr fontId="8"/>
  </si>
  <si>
    <t>買付譲渡益</t>
    <rPh sb="0" eb="2">
      <t>カイツケ</t>
    </rPh>
    <rPh sb="2" eb="5">
      <t>ジョウトエキ</t>
    </rPh>
    <phoneticPr fontId="8"/>
  </si>
  <si>
    <t>売却手数料</t>
    <rPh sb="0" eb="2">
      <t>バイキャク</t>
    </rPh>
    <rPh sb="2" eb="5">
      <t>テスウリョウ</t>
    </rPh>
    <phoneticPr fontId="8"/>
  </si>
  <si>
    <t>売却譲渡益</t>
    <rPh sb="0" eb="2">
      <t>バイキャク</t>
    </rPh>
    <rPh sb="2" eb="5">
      <t>ジョウトエキ</t>
    </rPh>
    <phoneticPr fontId="8"/>
  </si>
  <si>
    <t>大和証券グループ</t>
    <rPh sb="0" eb="2">
      <t>ダイワ</t>
    </rPh>
    <rPh sb="2" eb="4">
      <t>ショウケン</t>
    </rPh>
    <phoneticPr fontId="8"/>
  </si>
  <si>
    <t>SBI</t>
  </si>
  <si>
    <t>コマツ</t>
    <phoneticPr fontId="8"/>
  </si>
  <si>
    <t>ニコン</t>
    <phoneticPr fontId="8"/>
  </si>
  <si>
    <t>マネックス</t>
  </si>
  <si>
    <t>アエリア</t>
  </si>
  <si>
    <t>クルーズ</t>
    <phoneticPr fontId="8"/>
  </si>
  <si>
    <t>アカツキ</t>
    <phoneticPr fontId="8"/>
  </si>
  <si>
    <t>メイコー</t>
    <phoneticPr fontId="8"/>
  </si>
  <si>
    <t>東証一部・二部はセカンダリ投資に不向き</t>
    <rPh sb="0" eb="2">
      <t>トウショウ</t>
    </rPh>
    <rPh sb="2" eb="4">
      <t>イチブ</t>
    </rPh>
    <rPh sb="5" eb="7">
      <t>ニブ</t>
    </rPh>
    <rPh sb="13" eb="15">
      <t>トウシ</t>
    </rPh>
    <rPh sb="16" eb="18">
      <t>フム</t>
    </rPh>
    <phoneticPr fontId="8"/>
  </si>
  <si>
    <t>※上場日当日の場合は初値が1日前に相当　　</t>
    <rPh sb="1" eb="4">
      <t>ジョウジョウビ</t>
    </rPh>
    <rPh sb="4" eb="6">
      <t>トウジツ</t>
    </rPh>
    <rPh sb="7" eb="9">
      <t>バアイ</t>
    </rPh>
    <rPh sb="10" eb="12">
      <t>ハツネ</t>
    </rPh>
    <rPh sb="14" eb="16">
      <t>ニチマエ</t>
    </rPh>
    <rPh sb="17" eb="19">
      <t>ソウトウ</t>
    </rPh>
    <phoneticPr fontId="8"/>
  </si>
  <si>
    <t>本日基準</t>
    <rPh sb="0" eb="2">
      <t>ホンジツ</t>
    </rPh>
    <rPh sb="2" eb="4">
      <t>キジュン</t>
    </rPh>
    <phoneticPr fontId="8"/>
  </si>
  <si>
    <t>前日基準</t>
    <rPh sb="0" eb="2">
      <t>ゼンジツ</t>
    </rPh>
    <rPh sb="2" eb="4">
      <t>キジュン</t>
    </rPh>
    <phoneticPr fontId="8"/>
  </si>
  <si>
    <t>前日比</t>
    <rPh sb="0" eb="3">
      <t>ゼンジツヒ</t>
    </rPh>
    <phoneticPr fontId="8"/>
  </si>
  <si>
    <t>3日前</t>
    <rPh sb="1" eb="3">
      <t>カマエ</t>
    </rPh>
    <phoneticPr fontId="8"/>
  </si>
  <si>
    <t>2日前</t>
    <rPh sb="1" eb="3">
      <t>カマエ</t>
    </rPh>
    <phoneticPr fontId="8"/>
  </si>
  <si>
    <t>1日前</t>
    <rPh sb="1" eb="3">
      <t>ニチマエ</t>
    </rPh>
    <phoneticPr fontId="8"/>
  </si>
  <si>
    <t>本日終値</t>
    <rPh sb="0" eb="2">
      <t>ホンジツ</t>
    </rPh>
    <rPh sb="2" eb="4">
      <t>オワリネ</t>
    </rPh>
    <phoneticPr fontId="8"/>
  </si>
  <si>
    <t>前々日比</t>
    <rPh sb="0" eb="3">
      <t>ゼンゼンジツ</t>
    </rPh>
    <rPh sb="3" eb="4">
      <t>ヒ</t>
    </rPh>
    <phoneticPr fontId="8"/>
  </si>
  <si>
    <t>三日前比</t>
    <rPh sb="0" eb="3">
      <t>ミッカマエ</t>
    </rPh>
    <rPh sb="3" eb="4">
      <t>ヒ</t>
    </rPh>
    <phoneticPr fontId="8"/>
  </si>
  <si>
    <t>履歴</t>
    <rPh sb="0" eb="2">
      <t>リレキ</t>
    </rPh>
    <phoneticPr fontId="8"/>
  </si>
  <si>
    <t>(適宜非表示にする)</t>
    <rPh sb="3" eb="6">
      <t>ヒヒョウジ</t>
    </rPh>
    <phoneticPr fontId="8"/>
  </si>
  <si>
    <t>現行値</t>
    <rPh sb="0" eb="2">
      <t>ゲンコウ</t>
    </rPh>
    <rPh sb="2" eb="3">
      <t>アタイ</t>
    </rPh>
    <phoneticPr fontId="8"/>
  </si>
  <si>
    <t>総額</t>
    <rPh sb="0" eb="2">
      <t>ソウガク</t>
    </rPh>
    <phoneticPr fontId="8"/>
  </si>
  <si>
    <t>UFJ</t>
    <phoneticPr fontId="8"/>
  </si>
  <si>
    <t>三井住友</t>
    <rPh sb="0" eb="2">
      <t>ミツイ</t>
    </rPh>
    <rPh sb="2" eb="4">
      <t>スミトモ</t>
    </rPh>
    <phoneticPr fontId="8"/>
  </si>
  <si>
    <t>SMBC</t>
    <phoneticPr fontId="8"/>
  </si>
  <si>
    <t>残高</t>
    <rPh sb="0" eb="2">
      <t>ザンダカ</t>
    </rPh>
    <phoneticPr fontId="8"/>
  </si>
  <si>
    <t>305万</t>
    <rPh sb="3" eb="4">
      <t>マン</t>
    </rPh>
    <phoneticPr fontId="8"/>
  </si>
  <si>
    <t>銀行口座</t>
    <rPh sb="0" eb="2">
      <t>ギンコウ</t>
    </rPh>
    <rPh sb="2" eb="4">
      <t>コウザ</t>
    </rPh>
    <phoneticPr fontId="8"/>
  </si>
  <si>
    <t>20万</t>
    <rPh sb="2" eb="3">
      <t>マン</t>
    </rPh>
    <phoneticPr fontId="8"/>
  </si>
  <si>
    <t>5万</t>
    <rPh sb="1" eb="2">
      <t>マン</t>
    </rPh>
    <phoneticPr fontId="8"/>
  </si>
  <si>
    <t>25万</t>
    <rPh sb="2" eb="3">
      <t>マン</t>
    </rPh>
    <phoneticPr fontId="8"/>
  </si>
  <si>
    <t>記載日</t>
    <rPh sb="0" eb="2">
      <t>キサイ</t>
    </rPh>
    <rPh sb="2" eb="3">
      <t>ビ</t>
    </rPh>
    <phoneticPr fontId="8"/>
  </si>
  <si>
    <t>証券口座</t>
    <rPh sb="0" eb="2">
      <t>ショウケン</t>
    </rPh>
    <rPh sb="2" eb="4">
      <t>コウザ</t>
    </rPh>
    <phoneticPr fontId="8"/>
  </si>
  <si>
    <t>60万</t>
    <rPh sb="2" eb="3">
      <t>マン</t>
    </rPh>
    <phoneticPr fontId="8"/>
  </si>
  <si>
    <t>70万</t>
    <rPh sb="2" eb="3">
      <t>マン</t>
    </rPh>
    <phoneticPr fontId="8"/>
  </si>
  <si>
    <t>50万</t>
    <rPh sb="2" eb="3">
      <t>マン</t>
    </rPh>
    <phoneticPr fontId="8"/>
  </si>
  <si>
    <t>100万</t>
    <rPh sb="3" eb="4">
      <t>マン</t>
    </rPh>
    <phoneticPr fontId="8"/>
  </si>
  <si>
    <t>280万</t>
    <rPh sb="3" eb="4">
      <t>マン</t>
    </rPh>
    <phoneticPr fontId="8"/>
  </si>
  <si>
    <t>コメント：</t>
    <phoneticPr fontId="8"/>
  </si>
  <si>
    <t>SBI</t>
    <phoneticPr fontId="8"/>
  </si>
  <si>
    <t>80万</t>
    <rPh sb="2" eb="3">
      <t>マン</t>
    </rPh>
    <phoneticPr fontId="8"/>
  </si>
  <si>
    <t>40万</t>
    <rPh sb="2" eb="3">
      <t>マン</t>
    </rPh>
    <phoneticPr fontId="8"/>
  </si>
  <si>
    <t>コメント：</t>
    <phoneticPr fontId="8"/>
  </si>
  <si>
    <t>IPO振分を考慮し、SMBCに加算,大和証券は資金拘束なしの為、減算</t>
    <rPh sb="3" eb="4">
      <t>フ</t>
    </rPh>
    <rPh sb="4" eb="5">
      <t>ワ</t>
    </rPh>
    <rPh sb="6" eb="8">
      <t>コウリョ</t>
    </rPh>
    <rPh sb="15" eb="17">
      <t>カサン</t>
    </rPh>
    <rPh sb="18" eb="20">
      <t>ダイワ</t>
    </rPh>
    <rPh sb="20" eb="22">
      <t>ショウケン</t>
    </rPh>
    <rPh sb="23" eb="25">
      <t>シキン</t>
    </rPh>
    <rPh sb="25" eb="27">
      <t>コウソク</t>
    </rPh>
    <rPh sb="30" eb="31">
      <t>タメ</t>
    </rPh>
    <rPh sb="32" eb="34">
      <t>ゲンザン</t>
    </rPh>
    <phoneticPr fontId="8"/>
  </si>
  <si>
    <t>UFJ</t>
    <phoneticPr fontId="8"/>
  </si>
  <si>
    <t>マネックス</t>
    <phoneticPr fontId="8"/>
  </si>
  <si>
    <t>SMBC</t>
    <phoneticPr fontId="8"/>
  </si>
  <si>
    <t>マネックスで補欠当選。IPO振分を考慮。資金不足</t>
    <rPh sb="6" eb="8">
      <t>ホケツ</t>
    </rPh>
    <rPh sb="8" eb="10">
      <t>トウセン</t>
    </rPh>
    <rPh sb="14" eb="15">
      <t>フ</t>
    </rPh>
    <rPh sb="15" eb="16">
      <t>ワ</t>
    </rPh>
    <rPh sb="17" eb="19">
      <t>コウリョ</t>
    </rPh>
    <rPh sb="20" eb="22">
      <t>シキン</t>
    </rPh>
    <rPh sb="22" eb="24">
      <t>ブソク</t>
    </rPh>
    <phoneticPr fontId="8"/>
  </si>
  <si>
    <t>同上、マネックスで補欠当選余波.資金不足。どうせ当たらないのに</t>
    <rPh sb="0" eb="2">
      <t>ドウジョウ</t>
    </rPh>
    <rPh sb="9" eb="11">
      <t>ホケツ</t>
    </rPh>
    <rPh sb="11" eb="13">
      <t>トウセン</t>
    </rPh>
    <rPh sb="13" eb="15">
      <t>ヨハ</t>
    </rPh>
    <rPh sb="16" eb="18">
      <t>シキン</t>
    </rPh>
    <rPh sb="18" eb="20">
      <t>ブソク</t>
    </rPh>
    <rPh sb="24" eb="25">
      <t>ア</t>
    </rPh>
    <phoneticPr fontId="8"/>
  </si>
  <si>
    <t>300万</t>
    <rPh sb="3" eb="4">
      <t>マン</t>
    </rPh>
    <phoneticPr fontId="8"/>
  </si>
  <si>
    <t>95万</t>
    <rPh sb="2" eb="3">
      <t>マン</t>
    </rPh>
    <phoneticPr fontId="8"/>
  </si>
  <si>
    <t>275万</t>
    <rPh sb="3" eb="4">
      <t>マン</t>
    </rPh>
    <phoneticPr fontId="8"/>
  </si>
  <si>
    <r>
      <t>初セカンダリー投資で、初大敗。ピーバンドットコムにて</t>
    </r>
    <r>
      <rPr>
        <sz val="11"/>
        <color rgb="FFFF0000"/>
        <rFont val="Meiryo UI"/>
        <family val="3"/>
        <charset val="128"/>
      </rPr>
      <t>-5万</t>
    </r>
    <r>
      <rPr>
        <sz val="11"/>
        <color theme="1"/>
        <rFont val="Meiryo UI"/>
        <family val="3"/>
        <charset val="128"/>
      </rPr>
      <t>赤字</t>
    </r>
    <rPh sb="0" eb="1">
      <t>ハツ</t>
    </rPh>
    <rPh sb="7" eb="9">
      <t>トウシ</t>
    </rPh>
    <rPh sb="11" eb="12">
      <t>ハツ</t>
    </rPh>
    <rPh sb="12" eb="14">
      <t>タイハイ</t>
    </rPh>
    <rPh sb="28" eb="29">
      <t>マン</t>
    </rPh>
    <rPh sb="29" eb="31">
      <t>アカジ</t>
    </rPh>
    <phoneticPr fontId="8"/>
  </si>
  <si>
    <t>55万</t>
    <rPh sb="2" eb="3">
      <t>マン</t>
    </rPh>
    <phoneticPr fontId="8"/>
  </si>
  <si>
    <t>IPO投資(TKP(株))対応 入出金は14日実施</t>
    <rPh sb="3" eb="5">
      <t>トウシ</t>
    </rPh>
    <rPh sb="10" eb="11">
      <t>カブ</t>
    </rPh>
    <rPh sb="13" eb="15">
      <t>タイオウ</t>
    </rPh>
    <rPh sb="16" eb="18">
      <t>ニュウシュツ</t>
    </rPh>
    <rPh sb="18" eb="19">
      <t>キン</t>
    </rPh>
    <rPh sb="22" eb="23">
      <t>ニチ</t>
    </rPh>
    <rPh sb="23" eb="25">
      <t>ジッシ</t>
    </rPh>
    <phoneticPr fontId="8"/>
  </si>
  <si>
    <t>3/14 25万追加</t>
    <rPh sb="7" eb="8">
      <t>マン</t>
    </rPh>
    <rPh sb="8" eb="10">
      <t>ツイカ</t>
    </rPh>
    <phoneticPr fontId="8"/>
  </si>
  <si>
    <t>16万</t>
    <rPh sb="2" eb="3">
      <t>マン</t>
    </rPh>
    <phoneticPr fontId="8"/>
  </si>
  <si>
    <t>21万</t>
    <rPh sb="2" eb="3">
      <t>マン</t>
    </rPh>
    <phoneticPr fontId="8"/>
  </si>
  <si>
    <t>23万</t>
    <rPh sb="2" eb="3">
      <t>マン</t>
    </rPh>
    <phoneticPr fontId="8"/>
  </si>
  <si>
    <t>63万</t>
    <rPh sb="2" eb="3">
      <t>マン</t>
    </rPh>
    <phoneticPr fontId="8"/>
  </si>
  <si>
    <t>96万</t>
    <rPh sb="2" eb="3">
      <t>マン</t>
    </rPh>
    <phoneticPr fontId="8"/>
  </si>
  <si>
    <t>279万</t>
    <rPh sb="3" eb="4">
      <t>マン</t>
    </rPh>
    <phoneticPr fontId="8"/>
  </si>
  <si>
    <t>IPO投資(TKP(株))対応 入出金は15日実施</t>
    <rPh sb="3" eb="5">
      <t>トウシ</t>
    </rPh>
    <rPh sb="10" eb="11">
      <t>カブ</t>
    </rPh>
    <rPh sb="13" eb="15">
      <t>タイオウ</t>
    </rPh>
    <rPh sb="16" eb="18">
      <t>ニュウシュツ</t>
    </rPh>
    <rPh sb="18" eb="19">
      <t>キン</t>
    </rPh>
    <rPh sb="22" eb="23">
      <t>ニチ</t>
    </rPh>
    <rPh sb="23" eb="25">
      <t>ジッシ</t>
    </rPh>
    <phoneticPr fontId="8"/>
  </si>
  <si>
    <t>3/15 32万追加</t>
    <rPh sb="7" eb="8">
      <t>マン</t>
    </rPh>
    <rPh sb="8" eb="10">
      <t>ツイカ</t>
    </rPh>
    <phoneticPr fontId="8"/>
  </si>
  <si>
    <t>65万</t>
    <rPh sb="2" eb="3">
      <t>マン</t>
    </rPh>
    <phoneticPr fontId="8"/>
  </si>
  <si>
    <t>13万</t>
    <rPh sb="2" eb="3">
      <t>マン</t>
    </rPh>
    <phoneticPr fontId="8"/>
  </si>
  <si>
    <t>4万</t>
    <rPh sb="1" eb="2">
      <t>マン</t>
    </rPh>
    <phoneticPr fontId="8"/>
  </si>
  <si>
    <t>101万</t>
    <rPh sb="3" eb="4">
      <t>マン</t>
    </rPh>
    <phoneticPr fontId="8"/>
  </si>
  <si>
    <t>現金引き落とし＆銀行資産評価見直し。SBI資産増</t>
    <rPh sb="0" eb="2">
      <t>ゲンキン</t>
    </rPh>
    <rPh sb="2" eb="3">
      <t>ヒ</t>
    </rPh>
    <rPh sb="4" eb="5">
      <t>オ</t>
    </rPh>
    <rPh sb="8" eb="10">
      <t>ギンコウ</t>
    </rPh>
    <rPh sb="10" eb="12">
      <t>シサン</t>
    </rPh>
    <rPh sb="12" eb="14">
      <t>ヒョウカ</t>
    </rPh>
    <rPh sb="14" eb="16">
      <t>ミナオ</t>
    </rPh>
    <rPh sb="21" eb="23">
      <t>シサン</t>
    </rPh>
    <rPh sb="23" eb="24">
      <t>ゾウ</t>
    </rPh>
    <phoneticPr fontId="8"/>
  </si>
  <si>
    <t>18万</t>
    <rPh sb="2" eb="3">
      <t>マン</t>
    </rPh>
    <phoneticPr fontId="8"/>
  </si>
  <si>
    <t>75万</t>
    <rPh sb="2" eb="3">
      <t>マン</t>
    </rPh>
    <phoneticPr fontId="8"/>
  </si>
  <si>
    <t>105万</t>
    <rPh sb="3" eb="4">
      <t>マン</t>
    </rPh>
    <phoneticPr fontId="8"/>
  </si>
  <si>
    <t>SMBC,大和IPO対策＆SBI資産増</t>
    <rPh sb="5" eb="7">
      <t>ダイワ</t>
    </rPh>
    <rPh sb="10" eb="12">
      <t>タイサク</t>
    </rPh>
    <rPh sb="16" eb="18">
      <t>シサン</t>
    </rPh>
    <rPh sb="18" eb="19">
      <t>ゾウ</t>
    </rPh>
    <phoneticPr fontId="8"/>
  </si>
  <si>
    <t>10万</t>
    <rPh sb="2" eb="3">
      <t>マン</t>
    </rPh>
    <phoneticPr fontId="8"/>
  </si>
  <si>
    <t>102万</t>
    <rPh sb="3" eb="4">
      <t>マン</t>
    </rPh>
    <phoneticPr fontId="8"/>
  </si>
  <si>
    <t>SBI敗退(原因分析済),マネックス買付持越(※たぶんまける…)</t>
    <rPh sb="3" eb="5">
      <t>ハイタイ</t>
    </rPh>
    <rPh sb="6" eb="8">
      <t>ゲンイン</t>
    </rPh>
    <rPh sb="8" eb="10">
      <t>ブンセキ</t>
    </rPh>
    <rPh sb="10" eb="11">
      <t>ズ</t>
    </rPh>
    <rPh sb="18" eb="20">
      <t>カイツケ</t>
    </rPh>
    <rPh sb="20" eb="22">
      <t>モチコ</t>
    </rPh>
    <phoneticPr fontId="8"/>
  </si>
  <si>
    <t>SBI資産増と同時に持ち越し有。マネックス(JESHD)・大和(マクロミル)とも持ち越し有。</t>
    <rPh sb="3" eb="5">
      <t>シサン</t>
    </rPh>
    <rPh sb="5" eb="6">
      <t>ゾウ</t>
    </rPh>
    <rPh sb="7" eb="9">
      <t>ドウジ</t>
    </rPh>
    <rPh sb="10" eb="11">
      <t>モ</t>
    </rPh>
    <rPh sb="12" eb="13">
      <t>コ</t>
    </rPh>
    <rPh sb="14" eb="15">
      <t>アリ</t>
    </rPh>
    <rPh sb="29" eb="31">
      <t>ダイワ</t>
    </rPh>
    <rPh sb="40" eb="41">
      <t>モ</t>
    </rPh>
    <rPh sb="42" eb="43">
      <t>コ</t>
    </rPh>
    <rPh sb="44" eb="45">
      <t>アリ</t>
    </rPh>
    <phoneticPr fontId="8"/>
  </si>
  <si>
    <t>37万</t>
    <rPh sb="2" eb="3">
      <t>マン</t>
    </rPh>
    <phoneticPr fontId="8"/>
  </si>
  <si>
    <t>33万</t>
    <rPh sb="2" eb="3">
      <t>マン</t>
    </rPh>
    <phoneticPr fontId="8"/>
  </si>
  <si>
    <t>73万</t>
    <rPh sb="2" eb="3">
      <t>マン</t>
    </rPh>
    <phoneticPr fontId="8"/>
  </si>
  <si>
    <t>110万</t>
    <rPh sb="3" eb="4">
      <t>マン</t>
    </rPh>
    <phoneticPr fontId="8"/>
  </si>
  <si>
    <t>SBI資産増に対し、マネックス,大和資産減。スシロー当選(大和,36万) IPO投資の為、マネックス資産投下。IPOラッシュ終焉の為、SMBC資産返納</t>
    <rPh sb="3" eb="5">
      <t>シサン</t>
    </rPh>
    <rPh sb="5" eb="6">
      <t>ゾウ</t>
    </rPh>
    <rPh sb="7" eb="8">
      <t>タイ</t>
    </rPh>
    <rPh sb="16" eb="18">
      <t>ダイワ</t>
    </rPh>
    <rPh sb="18" eb="20">
      <t>シサン</t>
    </rPh>
    <rPh sb="20" eb="21">
      <t>ゲン</t>
    </rPh>
    <rPh sb="26" eb="28">
      <t>トウセン</t>
    </rPh>
    <rPh sb="29" eb="31">
      <t>ダイワ</t>
    </rPh>
    <rPh sb="34" eb="35">
      <t>マン</t>
    </rPh>
    <rPh sb="40" eb="42">
      <t>トウシ</t>
    </rPh>
    <rPh sb="43" eb="44">
      <t>タメ</t>
    </rPh>
    <rPh sb="50" eb="52">
      <t>シサン</t>
    </rPh>
    <rPh sb="52" eb="54">
      <t>トウカ</t>
    </rPh>
    <rPh sb="62" eb="64">
      <t>シュウエン</t>
    </rPh>
    <rPh sb="65" eb="66">
      <t>タメ</t>
    </rPh>
    <rPh sb="71" eb="73">
      <t>シサン</t>
    </rPh>
    <rPh sb="73" eb="75">
      <t>ヘンノウ</t>
    </rPh>
    <phoneticPr fontId="8"/>
  </si>
  <si>
    <t>133万</t>
    <rPh sb="3" eb="4">
      <t>マン</t>
    </rPh>
    <phoneticPr fontId="8"/>
  </si>
  <si>
    <t>給料日、SBI微妙な資産増及び資本投下(19万)</t>
    <rPh sb="0" eb="3">
      <t>キュウリョウビ</t>
    </rPh>
    <rPh sb="7" eb="9">
      <t>ビミョウ</t>
    </rPh>
    <rPh sb="10" eb="12">
      <t>シサン</t>
    </rPh>
    <rPh sb="12" eb="13">
      <t>ゾウ</t>
    </rPh>
    <rPh sb="13" eb="14">
      <t>オヨ</t>
    </rPh>
    <rPh sb="15" eb="17">
      <t>シホン</t>
    </rPh>
    <rPh sb="17" eb="19">
      <t>トウカ</t>
    </rPh>
    <rPh sb="22" eb="23">
      <t>マン</t>
    </rPh>
    <phoneticPr fontId="8"/>
  </si>
  <si>
    <t>71万</t>
    <rPh sb="2" eb="3">
      <t>マン</t>
    </rPh>
    <phoneticPr fontId="8"/>
  </si>
  <si>
    <t>131万</t>
    <rPh sb="3" eb="4">
      <t>マン</t>
    </rPh>
    <phoneticPr fontId="8"/>
  </si>
  <si>
    <t>スシロー公募割れ(大和証券資産減)、セカンダリ投資失敗(SBI資産減)</t>
    <rPh sb="4" eb="6">
      <t>コウボ</t>
    </rPh>
    <rPh sb="6" eb="7">
      <t>ワ</t>
    </rPh>
    <rPh sb="9" eb="11">
      <t>ダイワ</t>
    </rPh>
    <rPh sb="11" eb="13">
      <t>ショウケン</t>
    </rPh>
    <rPh sb="13" eb="15">
      <t>シサン</t>
    </rPh>
    <rPh sb="15" eb="16">
      <t>ゲン</t>
    </rPh>
    <rPh sb="23" eb="25">
      <t>トウシ</t>
    </rPh>
    <rPh sb="25" eb="27">
      <t>シッパイ</t>
    </rPh>
    <rPh sb="31" eb="33">
      <t>シサン</t>
    </rPh>
    <rPh sb="33" eb="34">
      <t>ゲン</t>
    </rPh>
    <phoneticPr fontId="8"/>
  </si>
  <si>
    <t>53万</t>
    <rPh sb="2" eb="3">
      <t>マン</t>
    </rPh>
    <phoneticPr fontId="8"/>
  </si>
  <si>
    <t>41万</t>
    <rPh sb="2" eb="3">
      <t>マン</t>
    </rPh>
    <phoneticPr fontId="8"/>
  </si>
  <si>
    <t>コメント：</t>
    <phoneticPr fontId="8"/>
  </si>
  <si>
    <t>大和証券から30万戻し</t>
    <rPh sb="0" eb="2">
      <t>ダイワ</t>
    </rPh>
    <rPh sb="2" eb="4">
      <t>ショウケン</t>
    </rPh>
    <rPh sb="8" eb="9">
      <t>マン</t>
    </rPh>
    <rPh sb="9" eb="10">
      <t>モド</t>
    </rPh>
    <phoneticPr fontId="8"/>
  </si>
  <si>
    <t>UFJ</t>
    <phoneticPr fontId="8"/>
  </si>
  <si>
    <t>マネックス</t>
    <phoneticPr fontId="8"/>
  </si>
  <si>
    <t>SMBC</t>
    <phoneticPr fontId="8"/>
  </si>
  <si>
    <t>171万</t>
    <rPh sb="3" eb="4">
      <t>マン</t>
    </rPh>
    <phoneticPr fontId="8"/>
  </si>
  <si>
    <t>SBI証券へ40万追加</t>
    <rPh sb="3" eb="5">
      <t>ショウケン</t>
    </rPh>
    <rPh sb="8" eb="9">
      <t>マン</t>
    </rPh>
    <rPh sb="9" eb="11">
      <t>ツイカ</t>
    </rPh>
    <phoneticPr fontId="8"/>
  </si>
  <si>
    <t>11万</t>
    <rPh sb="2" eb="3">
      <t>マン</t>
    </rPh>
    <phoneticPr fontId="8"/>
  </si>
  <si>
    <t>149万</t>
    <rPh sb="3" eb="4">
      <t>マン</t>
    </rPh>
    <phoneticPr fontId="8"/>
  </si>
  <si>
    <t>資産大幅減。30万大敗(力の源HD,No.1)。資金引き出し</t>
    <rPh sb="0" eb="2">
      <t>シサン</t>
    </rPh>
    <rPh sb="2" eb="5">
      <t>オオハバゲン</t>
    </rPh>
    <rPh sb="8" eb="9">
      <t>マン</t>
    </rPh>
    <rPh sb="9" eb="11">
      <t>タイハイ</t>
    </rPh>
    <rPh sb="12" eb="13">
      <t>チカラ</t>
    </rPh>
    <rPh sb="14" eb="15">
      <t>ミナモト</t>
    </rPh>
    <rPh sb="24" eb="26">
      <t>シキン</t>
    </rPh>
    <rPh sb="26" eb="27">
      <t>ヒ</t>
    </rPh>
    <rPh sb="28" eb="29">
      <t>ダ</t>
    </rPh>
    <phoneticPr fontId="8"/>
  </si>
  <si>
    <t>貸付金</t>
    <rPh sb="0" eb="2">
      <t>カシツケ</t>
    </rPh>
    <rPh sb="2" eb="3">
      <t>キン</t>
    </rPh>
    <phoneticPr fontId="8"/>
  </si>
  <si>
    <t>9万</t>
    <rPh sb="1" eb="2">
      <t>マン</t>
    </rPh>
    <phoneticPr fontId="8"/>
  </si>
  <si>
    <t>26万</t>
    <rPh sb="2" eb="3">
      <t>マン</t>
    </rPh>
    <phoneticPr fontId="8"/>
  </si>
  <si>
    <t>151万</t>
    <rPh sb="3" eb="4">
      <t>マン</t>
    </rPh>
    <phoneticPr fontId="8"/>
  </si>
  <si>
    <t>15万</t>
    <rPh sb="2" eb="3">
      <t>マン</t>
    </rPh>
    <phoneticPr fontId="8"/>
  </si>
  <si>
    <t>資金引き出し。すなほに15万貸出</t>
    <rPh sb="0" eb="2">
      <t>シキン</t>
    </rPh>
    <rPh sb="2" eb="3">
      <t>ヒ</t>
    </rPh>
    <rPh sb="4" eb="5">
      <t>ダ</t>
    </rPh>
    <rPh sb="13" eb="14">
      <t>マン</t>
    </rPh>
    <rPh sb="14" eb="16">
      <t>カシダシ</t>
    </rPh>
    <phoneticPr fontId="8"/>
  </si>
  <si>
    <t>147万</t>
    <rPh sb="3" eb="4">
      <t>マン</t>
    </rPh>
    <phoneticPr fontId="8"/>
  </si>
  <si>
    <t>SBI証券セカンダリ失敗(ユーザローカル)</t>
    <rPh sb="3" eb="5">
      <t>ショウケン</t>
    </rPh>
    <rPh sb="10" eb="12">
      <t>シッパイ</t>
    </rPh>
    <phoneticPr fontId="8"/>
  </si>
  <si>
    <t>157万</t>
    <rPh sb="3" eb="4">
      <t>マン</t>
    </rPh>
    <phoneticPr fontId="8"/>
  </si>
  <si>
    <t>頑張って返済中</t>
    <rPh sb="0" eb="2">
      <t>ガンバ</t>
    </rPh>
    <rPh sb="4" eb="6">
      <t>ヘンサイ</t>
    </rPh>
    <rPh sb="6" eb="7">
      <t>チュウ</t>
    </rPh>
    <phoneticPr fontId="8"/>
  </si>
  <si>
    <t>34万</t>
    <rPh sb="2" eb="3">
      <t>マン</t>
    </rPh>
    <phoneticPr fontId="8"/>
  </si>
  <si>
    <t>161万</t>
    <rPh sb="3" eb="4">
      <t>マン</t>
    </rPh>
    <phoneticPr fontId="8"/>
  </si>
  <si>
    <t>完遂成功</t>
    <rPh sb="0" eb="2">
      <t>カンスイ</t>
    </rPh>
    <rPh sb="2" eb="4">
      <t>セイコウ</t>
    </rPh>
    <phoneticPr fontId="8"/>
  </si>
  <si>
    <t>164万</t>
    <rPh sb="3" eb="4">
      <t>マン</t>
    </rPh>
    <phoneticPr fontId="8"/>
  </si>
  <si>
    <t>完遂成功。さらに追加</t>
    <rPh sb="0" eb="2">
      <t>カンスイ</t>
    </rPh>
    <rPh sb="2" eb="4">
      <t>セイコウ</t>
    </rPh>
    <rPh sb="8" eb="10">
      <t>ツイカ</t>
    </rPh>
    <phoneticPr fontId="8"/>
  </si>
  <si>
    <t>2万</t>
    <rPh sb="1" eb="2">
      <t>マン</t>
    </rPh>
    <phoneticPr fontId="8"/>
  </si>
  <si>
    <t>140万</t>
    <rPh sb="3" eb="4">
      <t>マン</t>
    </rPh>
    <phoneticPr fontId="8"/>
  </si>
  <si>
    <t>…再度負債を抱える(旅工房 -25万)、給料日</t>
    <rPh sb="1" eb="3">
      <t>サイド</t>
    </rPh>
    <rPh sb="3" eb="5">
      <t>フサイ</t>
    </rPh>
    <rPh sb="6" eb="7">
      <t>カカ</t>
    </rPh>
    <rPh sb="10" eb="11">
      <t>タビ</t>
    </rPh>
    <rPh sb="11" eb="13">
      <t>コウボウ</t>
    </rPh>
    <rPh sb="17" eb="18">
      <t>マン</t>
    </rPh>
    <rPh sb="20" eb="23">
      <t>キュウリョウビ</t>
    </rPh>
    <phoneticPr fontId="8"/>
  </si>
  <si>
    <t>143万</t>
    <rPh sb="3" eb="4">
      <t>マン</t>
    </rPh>
    <phoneticPr fontId="8"/>
  </si>
  <si>
    <t>返済中</t>
    <rPh sb="0" eb="3">
      <t>ヘンサイチュウ</t>
    </rPh>
    <phoneticPr fontId="8"/>
  </si>
  <si>
    <t>投資失敗_なかなか返済出来ず</t>
    <rPh sb="0" eb="2">
      <t>トウシ</t>
    </rPh>
    <rPh sb="2" eb="4">
      <t>シッパイ</t>
    </rPh>
    <rPh sb="9" eb="11">
      <t>ヘンサイ</t>
    </rPh>
    <rPh sb="11" eb="13">
      <t>デキ</t>
    </rPh>
    <phoneticPr fontId="8"/>
  </si>
  <si>
    <t>8万</t>
    <rPh sb="1" eb="2">
      <t>マン</t>
    </rPh>
    <phoneticPr fontId="8"/>
  </si>
  <si>
    <t>144万</t>
    <rPh sb="3" eb="4">
      <t>マン</t>
    </rPh>
    <phoneticPr fontId="8"/>
  </si>
  <si>
    <t>返済中。現金引出</t>
    <rPh sb="0" eb="3">
      <t>ヘンサイチュウ</t>
    </rPh>
    <rPh sb="4" eb="6">
      <t>ゲンキン</t>
    </rPh>
    <rPh sb="6" eb="7">
      <t>ヒ</t>
    </rPh>
    <rPh sb="7" eb="8">
      <t>ダ</t>
    </rPh>
    <phoneticPr fontId="8"/>
  </si>
  <si>
    <t>146万</t>
    <rPh sb="3" eb="4">
      <t>マン</t>
    </rPh>
    <phoneticPr fontId="8"/>
  </si>
  <si>
    <t>返済中。</t>
    <rPh sb="0" eb="3">
      <t>ヘンサイチュウ</t>
    </rPh>
    <phoneticPr fontId="8"/>
  </si>
  <si>
    <t>3万</t>
    <rPh sb="1" eb="2">
      <t>マン</t>
    </rPh>
    <phoneticPr fontId="8"/>
  </si>
  <si>
    <t>35万</t>
    <rPh sb="2" eb="3">
      <t>マン</t>
    </rPh>
    <phoneticPr fontId="8"/>
  </si>
  <si>
    <t>153万</t>
    <rPh sb="3" eb="4">
      <t>マン</t>
    </rPh>
    <phoneticPr fontId="8"/>
  </si>
  <si>
    <t>返済中。交通費プラス</t>
    <rPh sb="0" eb="3">
      <t>ヘンサイチュウ</t>
    </rPh>
    <rPh sb="4" eb="7">
      <t>コウツウヒ</t>
    </rPh>
    <phoneticPr fontId="8"/>
  </si>
  <si>
    <t>利益</t>
    <rPh sb="0" eb="2">
      <t>リエキ</t>
    </rPh>
    <phoneticPr fontId="8"/>
  </si>
  <si>
    <t>損失</t>
    <phoneticPr fontId="8"/>
  </si>
  <si>
    <t>勝敗カウント</t>
    <rPh sb="0" eb="2">
      <t>ショウハイ</t>
    </rPh>
    <phoneticPr fontId="8"/>
  </si>
  <si>
    <t>損益</t>
    <rPh sb="0" eb="1">
      <t>ソン</t>
    </rPh>
    <rPh sb="1" eb="2">
      <t>エキ</t>
    </rPh>
    <phoneticPr fontId="8"/>
  </si>
  <si>
    <t>当月総損益</t>
    <rPh sb="0" eb="2">
      <t>トウゲツ</t>
    </rPh>
    <rPh sb="2" eb="3">
      <t>ソウ</t>
    </rPh>
    <rPh sb="3" eb="5">
      <t>ソンエキ</t>
    </rPh>
    <phoneticPr fontId="8"/>
  </si>
  <si>
    <t>総損益</t>
    <rPh sb="0" eb="1">
      <t>ソウ</t>
    </rPh>
    <rPh sb="1" eb="3">
      <t>ソンエキ</t>
    </rPh>
    <phoneticPr fontId="8"/>
  </si>
  <si>
    <t>譲渡益税</t>
  </si>
  <si>
    <t>1取引当りの平均金額</t>
    <rPh sb="1" eb="3">
      <t>トリヒキ</t>
    </rPh>
    <rPh sb="3" eb="4">
      <t>ア</t>
    </rPh>
    <rPh sb="6" eb="8">
      <t>ヘイキン</t>
    </rPh>
    <rPh sb="8" eb="10">
      <t>キンガク</t>
    </rPh>
    <phoneticPr fontId="8"/>
  </si>
  <si>
    <t>セカンダリ投資参加条件</t>
    <rPh sb="5" eb="7">
      <t>トウシ</t>
    </rPh>
    <rPh sb="7" eb="9">
      <t>サンカ</t>
    </rPh>
    <rPh sb="9" eb="11">
      <t>ジョウケン</t>
    </rPh>
    <phoneticPr fontId="8"/>
  </si>
  <si>
    <t xml:space="preserve"> &lt;参加時間&gt;</t>
    <rPh sb="2" eb="4">
      <t>サンカ</t>
    </rPh>
    <rPh sb="4" eb="6">
      <t>ジカン</t>
    </rPh>
    <phoneticPr fontId="8"/>
  </si>
  <si>
    <t>9:00-9:15</t>
    <phoneticPr fontId="8"/>
  </si>
  <si>
    <t>　　　自分に言い聞かせること…</t>
    <rPh sb="3" eb="5">
      <t>ジブン</t>
    </rPh>
    <rPh sb="6" eb="7">
      <t>イ</t>
    </rPh>
    <rPh sb="8" eb="9">
      <t>キ</t>
    </rPh>
    <phoneticPr fontId="8"/>
  </si>
  <si>
    <t>　寄付直後に参加しない</t>
    <rPh sb="1" eb="3">
      <t>ヨリツ</t>
    </rPh>
    <rPh sb="3" eb="5">
      <t>チョクゴ</t>
    </rPh>
    <rPh sb="6" eb="8">
      <t>サンカ</t>
    </rPh>
    <phoneticPr fontId="8"/>
  </si>
  <si>
    <t>買うことが勇気なら、買わないこともまた勇気。</t>
    <rPh sb="0" eb="1">
      <t>カ</t>
    </rPh>
    <rPh sb="5" eb="7">
      <t>ユウキ</t>
    </rPh>
    <rPh sb="10" eb="11">
      <t>カ</t>
    </rPh>
    <rPh sb="19" eb="21">
      <t>ユウキ</t>
    </rPh>
    <phoneticPr fontId="8"/>
  </si>
  <si>
    <t>　　⇒　値動きが読めず、博打に近い為。また15分程で相場が見えやすくなる　売却はOK</t>
    <rPh sb="4" eb="6">
      <t>ネウゴ</t>
    </rPh>
    <rPh sb="8" eb="9">
      <t>ヨ</t>
    </rPh>
    <rPh sb="12" eb="14">
      <t>バクチ</t>
    </rPh>
    <rPh sb="15" eb="16">
      <t>チカ</t>
    </rPh>
    <rPh sb="17" eb="18">
      <t>タメ</t>
    </rPh>
    <rPh sb="23" eb="24">
      <t>フン</t>
    </rPh>
    <rPh sb="24" eb="25">
      <t>ホド</t>
    </rPh>
    <rPh sb="26" eb="28">
      <t>ソウバ</t>
    </rPh>
    <rPh sb="29" eb="30">
      <t>ミ</t>
    </rPh>
    <rPh sb="37" eb="39">
      <t>バイキャク</t>
    </rPh>
    <phoneticPr fontId="8"/>
  </si>
  <si>
    <t>失敗例</t>
    <rPh sb="0" eb="2">
      <t>シッパイ</t>
    </rPh>
    <rPh sb="2" eb="3">
      <t>レイ</t>
    </rPh>
    <phoneticPr fontId="8"/>
  </si>
  <si>
    <t>ファイズ</t>
    <phoneticPr fontId="8"/>
  </si>
  <si>
    <t>7万負け</t>
    <rPh sb="1" eb="2">
      <t>マン</t>
    </rPh>
    <rPh sb="2" eb="3">
      <t>マ</t>
    </rPh>
    <phoneticPr fontId="8"/>
  </si>
  <si>
    <t>株は逃げない。チャンスはまた来る。準備不足なら、買うより明日に備えよ。</t>
    <rPh sb="0" eb="1">
      <t>カブ</t>
    </rPh>
    <rPh sb="2" eb="3">
      <t>ニ</t>
    </rPh>
    <rPh sb="14" eb="15">
      <t>ク</t>
    </rPh>
    <rPh sb="17" eb="19">
      <t>ジュンビ</t>
    </rPh>
    <rPh sb="19" eb="21">
      <t>フソク</t>
    </rPh>
    <rPh sb="24" eb="25">
      <t>カ</t>
    </rPh>
    <rPh sb="28" eb="30">
      <t>アス</t>
    </rPh>
    <rPh sb="31" eb="32">
      <t>ソナ</t>
    </rPh>
    <phoneticPr fontId="8"/>
  </si>
  <si>
    <t>ルールに背くことを禁ずる。</t>
    <rPh sb="4" eb="5">
      <t>ソム</t>
    </rPh>
    <rPh sb="9" eb="10">
      <t>キン</t>
    </rPh>
    <phoneticPr fontId="8"/>
  </si>
  <si>
    <t>14:45-15:00</t>
    <phoneticPr fontId="8"/>
  </si>
  <si>
    <t>ぽっと出の欲に負けるな。上昇株に誘われるな。大事なのは底値と反発。</t>
    <rPh sb="3" eb="4">
      <t>デ</t>
    </rPh>
    <rPh sb="5" eb="6">
      <t>ヨク</t>
    </rPh>
    <rPh sb="7" eb="8">
      <t>マ</t>
    </rPh>
    <rPh sb="12" eb="14">
      <t>ジョウショウ</t>
    </rPh>
    <rPh sb="14" eb="15">
      <t>カブ</t>
    </rPh>
    <rPh sb="16" eb="17">
      <t>サソ</t>
    </rPh>
    <rPh sb="22" eb="24">
      <t>ダイジ</t>
    </rPh>
    <rPh sb="27" eb="29">
      <t>ソコネ</t>
    </rPh>
    <rPh sb="30" eb="32">
      <t>ハンパツ</t>
    </rPh>
    <phoneticPr fontId="8"/>
  </si>
  <si>
    <t>　大引け前に参加しない</t>
    <rPh sb="1" eb="3">
      <t>オオヒキ</t>
    </rPh>
    <rPh sb="4" eb="5">
      <t>マエ</t>
    </rPh>
    <rPh sb="6" eb="8">
      <t>サンカ</t>
    </rPh>
    <phoneticPr fontId="8"/>
  </si>
  <si>
    <t>これは二人の,未来の家族のお金。君だけのモノではない。</t>
    <rPh sb="3" eb="5">
      <t>フタリ</t>
    </rPh>
    <rPh sb="7" eb="9">
      <t>ミライ</t>
    </rPh>
    <rPh sb="10" eb="12">
      <t>カゾク</t>
    </rPh>
    <rPh sb="14" eb="15">
      <t>カネ</t>
    </rPh>
    <rPh sb="16" eb="17">
      <t>キミ</t>
    </rPh>
    <phoneticPr fontId="8"/>
  </si>
  <si>
    <t>　　⇒　利益確定を狙った大幅売りが発生しやすい為。</t>
    <rPh sb="4" eb="6">
      <t>リエキ</t>
    </rPh>
    <rPh sb="6" eb="8">
      <t>カクテイ</t>
    </rPh>
    <rPh sb="9" eb="10">
      <t>ネラ</t>
    </rPh>
    <rPh sb="12" eb="14">
      <t>オオハバ</t>
    </rPh>
    <rPh sb="14" eb="15">
      <t>ウ</t>
    </rPh>
    <rPh sb="17" eb="19">
      <t>ハッセイ</t>
    </rPh>
    <rPh sb="23" eb="24">
      <t>タメ</t>
    </rPh>
    <phoneticPr fontId="8"/>
  </si>
  <si>
    <t>売却はOK</t>
    <rPh sb="0" eb="2">
      <t>バイキャク</t>
    </rPh>
    <phoneticPr fontId="8"/>
  </si>
  <si>
    <t>JESHD</t>
    <phoneticPr fontId="8"/>
  </si>
  <si>
    <t>0.5万負け</t>
    <rPh sb="3" eb="4">
      <t>マン</t>
    </rPh>
    <rPh sb="4" eb="5">
      <t>マ</t>
    </rPh>
    <phoneticPr fontId="8"/>
  </si>
  <si>
    <t>⇒ よって参加時間帯は 9:15-11:30 及び 12:30-14:45とする。</t>
    <rPh sb="5" eb="7">
      <t>サンカ</t>
    </rPh>
    <rPh sb="7" eb="9">
      <t>ジカン</t>
    </rPh>
    <rPh sb="9" eb="10">
      <t>タイ</t>
    </rPh>
    <rPh sb="23" eb="24">
      <t>オヨ</t>
    </rPh>
    <phoneticPr fontId="8"/>
  </si>
  <si>
    <t>&lt;条件&gt;</t>
    <rPh sb="1" eb="3">
      <t>ジョウケン</t>
    </rPh>
    <phoneticPr fontId="8"/>
  </si>
  <si>
    <t>①</t>
    <phoneticPr fontId="8"/>
  </si>
  <si>
    <t>前日出来高 100万超(ある程度の人気銘柄,但し株価との関係もあるので注意)であること。</t>
    <rPh sb="0" eb="2">
      <t>ゼンジツ</t>
    </rPh>
    <rPh sb="2" eb="5">
      <t>デキダカ</t>
    </rPh>
    <rPh sb="9" eb="10">
      <t>マン</t>
    </rPh>
    <rPh sb="10" eb="11">
      <t>コ</t>
    </rPh>
    <rPh sb="14" eb="16">
      <t>テイド</t>
    </rPh>
    <rPh sb="17" eb="19">
      <t>ニンキ</t>
    </rPh>
    <rPh sb="19" eb="21">
      <t>メイガラ</t>
    </rPh>
    <rPh sb="22" eb="23">
      <t>タダ</t>
    </rPh>
    <rPh sb="24" eb="26">
      <t>カブカ</t>
    </rPh>
    <rPh sb="28" eb="30">
      <t>カンケイ</t>
    </rPh>
    <rPh sb="35" eb="37">
      <t>チュウイ</t>
    </rPh>
    <phoneticPr fontId="8"/>
  </si>
  <si>
    <t>※参加条件計算を参考</t>
    <rPh sb="8" eb="10">
      <t>サンコウ</t>
    </rPh>
    <phoneticPr fontId="8"/>
  </si>
  <si>
    <t>⑦買付失敗の場合は、止血を優先。早く認めて、タイミングを決して逃さないように。</t>
    <rPh sb="1" eb="3">
      <t>カイツケ</t>
    </rPh>
    <rPh sb="3" eb="5">
      <t>シッパイ</t>
    </rPh>
    <rPh sb="6" eb="8">
      <t>バアイ</t>
    </rPh>
    <rPh sb="10" eb="12">
      <t>シケツ</t>
    </rPh>
    <rPh sb="13" eb="15">
      <t>ユウセン</t>
    </rPh>
    <rPh sb="16" eb="17">
      <t>ハヤ</t>
    </rPh>
    <rPh sb="18" eb="19">
      <t>ミト</t>
    </rPh>
    <rPh sb="28" eb="29">
      <t>ケッ</t>
    </rPh>
    <rPh sb="31" eb="32">
      <t>ノガ</t>
    </rPh>
    <phoneticPr fontId="8"/>
  </si>
  <si>
    <t>ソレイジア・ファーマー</t>
    <phoneticPr fontId="8"/>
  </si>
  <si>
    <t>5.1万負け</t>
    <rPh sb="3" eb="4">
      <t>マン</t>
    </rPh>
    <rPh sb="4" eb="5">
      <t>マ</t>
    </rPh>
    <phoneticPr fontId="8"/>
  </si>
  <si>
    <t>②</t>
    <phoneticPr fontId="8"/>
  </si>
  <si>
    <t>底値,反発を狙うこと</t>
    <rPh sb="0" eb="2">
      <t>ソコネ</t>
    </rPh>
    <rPh sb="3" eb="5">
      <t>ハンパツ</t>
    </rPh>
    <rPh sb="6" eb="7">
      <t>ネラ</t>
    </rPh>
    <phoneticPr fontId="8"/>
  </si>
  <si>
    <t>　⇒　-1万未満ならOK!!</t>
    <rPh sb="5" eb="6">
      <t>マン</t>
    </rPh>
    <rPh sb="6" eb="8">
      <t>ミマン</t>
    </rPh>
    <phoneticPr fontId="8"/>
  </si>
  <si>
    <r>
      <t>　⇒ チャート分析をしっかり。</t>
    </r>
    <r>
      <rPr>
        <b/>
        <sz val="11"/>
        <color theme="1"/>
        <rFont val="Meiryo UI"/>
        <family val="3"/>
        <charset val="128"/>
      </rPr>
      <t>買付,売却ともに結構手が早い場合が多い。</t>
    </r>
    <rPh sb="7" eb="9">
      <t>ブンセキ</t>
    </rPh>
    <rPh sb="15" eb="17">
      <t>カイツケ</t>
    </rPh>
    <rPh sb="18" eb="20">
      <t>バイキャク</t>
    </rPh>
    <rPh sb="23" eb="25">
      <t>ケッコウ</t>
    </rPh>
    <rPh sb="25" eb="26">
      <t>テ</t>
    </rPh>
    <rPh sb="27" eb="28">
      <t>ハヤ</t>
    </rPh>
    <rPh sb="29" eb="31">
      <t>バアイ</t>
    </rPh>
    <rPh sb="32" eb="33">
      <t>オオ</t>
    </rPh>
    <phoneticPr fontId="8"/>
  </si>
  <si>
    <t>⑧仮条件の最上限価格よりも公募価格が下がった場合は、IPO株は購入しない</t>
    <rPh sb="1" eb="2">
      <t>カリ</t>
    </rPh>
    <rPh sb="2" eb="4">
      <t>ジョウケン</t>
    </rPh>
    <rPh sb="5" eb="6">
      <t>サイ</t>
    </rPh>
    <rPh sb="6" eb="8">
      <t>ジョウゲン</t>
    </rPh>
    <rPh sb="8" eb="10">
      <t>カカク</t>
    </rPh>
    <rPh sb="13" eb="15">
      <t>コウボ</t>
    </rPh>
    <rPh sb="15" eb="17">
      <t>カカク</t>
    </rPh>
    <rPh sb="18" eb="19">
      <t>サ</t>
    </rPh>
    <rPh sb="22" eb="24">
      <t>バアイ</t>
    </rPh>
    <rPh sb="29" eb="30">
      <t>カブ</t>
    </rPh>
    <rPh sb="31" eb="33">
      <t>コウニュウ</t>
    </rPh>
    <phoneticPr fontId="8"/>
  </si>
  <si>
    <t>スシローグローバルHD</t>
    <phoneticPr fontId="8"/>
  </si>
  <si>
    <t>1.8万負け</t>
    <rPh sb="3" eb="4">
      <t>マン</t>
    </rPh>
    <rPh sb="4" eb="5">
      <t>マ</t>
    </rPh>
    <phoneticPr fontId="8"/>
  </si>
  <si>
    <t>③</t>
    <phoneticPr fontId="8"/>
  </si>
  <si>
    <t>初値直後に参加しないこと。(15分は待つこと)</t>
    <rPh sb="0" eb="2">
      <t>ハツネ</t>
    </rPh>
    <rPh sb="2" eb="4">
      <t>チョクゴ</t>
    </rPh>
    <rPh sb="5" eb="7">
      <t>サンカ</t>
    </rPh>
    <rPh sb="16" eb="17">
      <t>フン</t>
    </rPh>
    <rPh sb="18" eb="19">
      <t>マ</t>
    </rPh>
    <phoneticPr fontId="8"/>
  </si>
  <si>
    <t>ピーバン</t>
    <phoneticPr fontId="8"/>
  </si>
  <si>
    <t>4.7万負け</t>
    <rPh sb="3" eb="4">
      <t>マン</t>
    </rPh>
    <rPh sb="4" eb="5">
      <t>マ</t>
    </rPh>
    <phoneticPr fontId="8"/>
  </si>
  <si>
    <t>　⇒ SMBCはペナルティがある為、応募前に要確認。意味のない応募もしない</t>
    <rPh sb="16" eb="17">
      <t>タメ</t>
    </rPh>
    <rPh sb="18" eb="20">
      <t>オウボ</t>
    </rPh>
    <rPh sb="20" eb="21">
      <t>マエ</t>
    </rPh>
    <rPh sb="22" eb="23">
      <t>ヨウ</t>
    </rPh>
    <rPh sb="23" eb="25">
      <t>カクニン</t>
    </rPh>
    <rPh sb="26" eb="28">
      <t>イミ</t>
    </rPh>
    <rPh sb="31" eb="33">
      <t>オウボ</t>
    </rPh>
    <phoneticPr fontId="8"/>
  </si>
  <si>
    <t>④</t>
    <phoneticPr fontId="8"/>
  </si>
  <si>
    <t>東証二部市場には投資しないこと(不人気で伸び代も余りない)</t>
    <rPh sb="0" eb="2">
      <t>トウショウ</t>
    </rPh>
    <rPh sb="2" eb="4">
      <t>ニブ</t>
    </rPh>
    <rPh sb="4" eb="6">
      <t>シジョウ</t>
    </rPh>
    <rPh sb="8" eb="10">
      <t>トウシ</t>
    </rPh>
    <rPh sb="16" eb="19">
      <t>フニンキ</t>
    </rPh>
    <rPh sb="20" eb="21">
      <t>ノ</t>
    </rPh>
    <rPh sb="22" eb="23">
      <t>シロ</t>
    </rPh>
    <rPh sb="24" eb="25">
      <t>アマ</t>
    </rPh>
    <phoneticPr fontId="8"/>
  </si>
  <si>
    <t>フルテック</t>
    <phoneticPr fontId="8"/>
  </si>
  <si>
    <t>⑧日経平均株価を注視せよ</t>
    <rPh sb="1" eb="3">
      <t>ニッケイ</t>
    </rPh>
    <rPh sb="3" eb="5">
      <t>ヘイキン</t>
    </rPh>
    <rPh sb="5" eb="7">
      <t>カブカ</t>
    </rPh>
    <rPh sb="8" eb="10">
      <t>チュウシ</t>
    </rPh>
    <phoneticPr fontId="8"/>
  </si>
  <si>
    <t>力の源HD</t>
    <rPh sb="0" eb="1">
      <t>チカラ</t>
    </rPh>
    <rPh sb="2" eb="3">
      <t>ミナモト</t>
    </rPh>
    <phoneticPr fontId="8"/>
  </si>
  <si>
    <t>25万負け</t>
    <rPh sb="2" eb="3">
      <t>マン</t>
    </rPh>
    <rPh sb="3" eb="4">
      <t>マ</t>
    </rPh>
    <phoneticPr fontId="8"/>
  </si>
  <si>
    <t>⑤</t>
    <phoneticPr fontId="8"/>
  </si>
  <si>
    <t>公募割れIPOでも初値で売却すること(さらに下落する)</t>
    <rPh sb="0" eb="3">
      <t>コウボワ</t>
    </rPh>
    <rPh sb="9" eb="11">
      <t>ハツネ</t>
    </rPh>
    <rPh sb="12" eb="14">
      <t>バイキャク</t>
    </rPh>
    <rPh sb="22" eb="24">
      <t>ゲラク</t>
    </rPh>
    <phoneticPr fontId="8"/>
  </si>
  <si>
    <t>マクロミル</t>
    <phoneticPr fontId="8"/>
  </si>
  <si>
    <t>2.5万負け</t>
    <rPh sb="3" eb="4">
      <t>マン</t>
    </rPh>
    <rPh sb="4" eb="5">
      <t>マ</t>
    </rPh>
    <phoneticPr fontId="8"/>
  </si>
  <si>
    <t>　⇒マザーズ・ジャスダックといえど、影響はでる。買付・売却の判断にすること</t>
    <rPh sb="18" eb="20">
      <t>エイキョウ</t>
    </rPh>
    <rPh sb="24" eb="26">
      <t>カイツケ</t>
    </rPh>
    <rPh sb="27" eb="29">
      <t>バイキャク</t>
    </rPh>
    <rPh sb="30" eb="32">
      <t>ハンダン</t>
    </rPh>
    <phoneticPr fontId="8"/>
  </si>
  <si>
    <t>No.1</t>
    <phoneticPr fontId="8"/>
  </si>
  <si>
    <t>6.9万負け</t>
    <rPh sb="3" eb="4">
      <t>マン</t>
    </rPh>
    <rPh sb="4" eb="5">
      <t>マ</t>
    </rPh>
    <phoneticPr fontId="8"/>
  </si>
  <si>
    <t>⑥</t>
    <phoneticPr fontId="8"/>
  </si>
  <si>
    <t>荒れた後(ストップ安・ストップ高)の銘柄には投資しないこと</t>
    <rPh sb="0" eb="1">
      <t>ア</t>
    </rPh>
    <rPh sb="3" eb="4">
      <t>アト</t>
    </rPh>
    <rPh sb="9" eb="10">
      <t>ヤス</t>
    </rPh>
    <rPh sb="15" eb="16">
      <t>ダカ</t>
    </rPh>
    <rPh sb="18" eb="20">
      <t>メイガラ</t>
    </rPh>
    <rPh sb="22" eb="24">
      <t>トウシ</t>
    </rPh>
    <phoneticPr fontId="8"/>
  </si>
  <si>
    <t>IIF</t>
    <phoneticPr fontId="8"/>
  </si>
  <si>
    <t>1.2万負け</t>
    <rPh sb="3" eb="4">
      <t>マン</t>
    </rPh>
    <rPh sb="4" eb="5">
      <t>マ</t>
    </rPh>
    <phoneticPr fontId="8"/>
  </si>
  <si>
    <t>参考失敗例</t>
    <rPh sb="0" eb="2">
      <t>サンコウ</t>
    </rPh>
    <rPh sb="2" eb="4">
      <t>シッパイ</t>
    </rPh>
    <rPh sb="4" eb="5">
      <t>レイ</t>
    </rPh>
    <phoneticPr fontId="8"/>
  </si>
  <si>
    <t>パターン①：終値に騙されるな</t>
    <rPh sb="6" eb="8">
      <t>オワリネ</t>
    </rPh>
    <rPh sb="9" eb="10">
      <t>ダマ</t>
    </rPh>
    <phoneticPr fontId="8"/>
  </si>
  <si>
    <t>前日に大きな下落があり、大幅続伸の気配有と判断。</t>
    <rPh sb="0" eb="2">
      <t>ゼンジツ</t>
    </rPh>
    <rPh sb="3" eb="4">
      <t>オオ</t>
    </rPh>
    <rPh sb="6" eb="8">
      <t>ゲラク</t>
    </rPh>
    <rPh sb="12" eb="14">
      <t>オオハバ</t>
    </rPh>
    <rPh sb="14" eb="16">
      <t>ゾクシン</t>
    </rPh>
    <rPh sb="17" eb="19">
      <t>ケハイ</t>
    </rPh>
    <rPh sb="19" eb="20">
      <t>アリ</t>
    </rPh>
    <rPh sb="21" eb="23">
      <t>ハンダン</t>
    </rPh>
    <phoneticPr fontId="8"/>
  </si>
  <si>
    <t>寄付直後に値上がりを確認し、200株投資。直後、急落、前日と同様の状態を呈した。</t>
    <rPh sb="0" eb="2">
      <t>キフ</t>
    </rPh>
    <rPh sb="2" eb="4">
      <t>チョクゴ</t>
    </rPh>
    <rPh sb="5" eb="7">
      <t>ネア</t>
    </rPh>
    <rPh sb="10" eb="12">
      <t>カクニン</t>
    </rPh>
    <rPh sb="17" eb="18">
      <t>カブ</t>
    </rPh>
    <rPh sb="18" eb="20">
      <t>トウシ</t>
    </rPh>
    <rPh sb="21" eb="23">
      <t>チョクゴ</t>
    </rPh>
    <rPh sb="24" eb="26">
      <t>キュウラク</t>
    </rPh>
    <rPh sb="27" eb="29">
      <t>ゼンジツ</t>
    </rPh>
    <rPh sb="30" eb="32">
      <t>ドウヨウ</t>
    </rPh>
    <rPh sb="33" eb="35">
      <t>ジョウタイ</t>
    </rPh>
    <rPh sb="36" eb="37">
      <t>テイ</t>
    </rPh>
    <phoneticPr fontId="8"/>
  </si>
  <si>
    <t>☆みえること☆</t>
    <phoneticPr fontId="8"/>
  </si>
  <si>
    <t>　前日の急落で、売らずに待ち姿勢の人が増えたこと</t>
    <rPh sb="1" eb="3">
      <t>ゼンジツ</t>
    </rPh>
    <rPh sb="4" eb="6">
      <t>キュウラク</t>
    </rPh>
    <rPh sb="8" eb="9">
      <t>ウ</t>
    </rPh>
    <rPh sb="12" eb="13">
      <t>マ</t>
    </rPh>
    <rPh sb="14" eb="16">
      <t>シセイ</t>
    </rPh>
    <rPh sb="17" eb="18">
      <t>ヒト</t>
    </rPh>
    <rPh sb="19" eb="20">
      <t>フ</t>
    </rPh>
    <phoneticPr fontId="8"/>
  </si>
  <si>
    <t>　矢印期間の押し引きで値幅があまり動かず、銘柄として人気が薄れたこと</t>
    <rPh sb="1" eb="3">
      <t>ヤジルシ</t>
    </rPh>
    <rPh sb="3" eb="5">
      <t>キカン</t>
    </rPh>
    <rPh sb="6" eb="7">
      <t>オ</t>
    </rPh>
    <rPh sb="8" eb="9">
      <t>ヒ</t>
    </rPh>
    <rPh sb="11" eb="13">
      <t>ネハバ</t>
    </rPh>
    <rPh sb="17" eb="18">
      <t>ウゴ</t>
    </rPh>
    <rPh sb="21" eb="23">
      <t>メイガラ</t>
    </rPh>
    <rPh sb="26" eb="28">
      <t>ニンキ</t>
    </rPh>
    <rPh sb="29" eb="30">
      <t>ウス</t>
    </rPh>
    <phoneticPr fontId="8"/>
  </si>
  <si>
    <t>　寄付直後の一時的な上昇に前日の待ち姿勢組が殺到したこと</t>
    <rPh sb="1" eb="2">
      <t>ヨ</t>
    </rPh>
    <rPh sb="2" eb="3">
      <t>ツ</t>
    </rPh>
    <rPh sb="3" eb="5">
      <t>チョクゴ</t>
    </rPh>
    <rPh sb="6" eb="9">
      <t>イチジテキ</t>
    </rPh>
    <rPh sb="10" eb="12">
      <t>ジョウショウ</t>
    </rPh>
    <rPh sb="13" eb="15">
      <t>ゼンジツ</t>
    </rPh>
    <rPh sb="16" eb="17">
      <t>マ</t>
    </rPh>
    <rPh sb="18" eb="20">
      <t>シセイ</t>
    </rPh>
    <rPh sb="20" eb="21">
      <t>グミ</t>
    </rPh>
    <rPh sb="22" eb="24">
      <t>サットウ</t>
    </rPh>
    <phoneticPr fontId="8"/>
  </si>
  <si>
    <t>⇒　押し引きが長引いている銘柄は例え、急落があっても反発の可能性が低く、売りが殺到する危険性も孕んでいるの要注意💀</t>
    <rPh sb="2" eb="3">
      <t>オ</t>
    </rPh>
    <rPh sb="4" eb="5">
      <t>ヒ</t>
    </rPh>
    <rPh sb="7" eb="9">
      <t>ナガビ</t>
    </rPh>
    <rPh sb="13" eb="15">
      <t>メイガラ</t>
    </rPh>
    <rPh sb="16" eb="17">
      <t>タト</t>
    </rPh>
    <rPh sb="19" eb="21">
      <t>キュウラク</t>
    </rPh>
    <rPh sb="26" eb="28">
      <t>ハンパツ</t>
    </rPh>
    <rPh sb="29" eb="32">
      <t>カノウセイ</t>
    </rPh>
    <rPh sb="33" eb="34">
      <t>ヒク</t>
    </rPh>
    <rPh sb="36" eb="37">
      <t>ウ</t>
    </rPh>
    <rPh sb="39" eb="41">
      <t>サットウ</t>
    </rPh>
    <rPh sb="43" eb="46">
      <t>キケンセイ</t>
    </rPh>
    <rPh sb="47" eb="48">
      <t>ハラ</t>
    </rPh>
    <rPh sb="53" eb="56">
      <t>ヨウチュウイ</t>
    </rPh>
    <phoneticPr fontId="8"/>
  </si>
  <si>
    <t>パターン②：翌日のポジション取りに巻き込まれるな</t>
    <rPh sb="6" eb="8">
      <t>ヨクジツ</t>
    </rPh>
    <rPh sb="14" eb="15">
      <t>ト</t>
    </rPh>
    <rPh sb="17" eb="18">
      <t>マ</t>
    </rPh>
    <rPh sb="19" eb="20">
      <t>コ</t>
    </rPh>
    <phoneticPr fontId="8"/>
  </si>
  <si>
    <t>前日のストップ高を受けて、今日も好調に続伸。(寄付直後は要注意)</t>
    <rPh sb="0" eb="2">
      <t>ゼンジツ</t>
    </rPh>
    <rPh sb="7" eb="8">
      <t>ダカ</t>
    </rPh>
    <rPh sb="9" eb="10">
      <t>ウ</t>
    </rPh>
    <rPh sb="13" eb="15">
      <t>キョウ</t>
    </rPh>
    <rPh sb="16" eb="18">
      <t>コウチョウ</t>
    </rPh>
    <rPh sb="19" eb="21">
      <t>ゾクシン</t>
    </rPh>
    <rPh sb="23" eb="24">
      <t>ヨ</t>
    </rPh>
    <rPh sb="24" eb="25">
      <t>ツ</t>
    </rPh>
    <rPh sb="25" eb="27">
      <t>チョクゴ</t>
    </rPh>
    <rPh sb="28" eb="31">
      <t>ヨウチュウイ</t>
    </rPh>
    <phoneticPr fontId="8"/>
  </si>
  <si>
    <t>大引け前まで 1280円/1株 まで延びるも,大きく大暴落 1139円/1株で引けた。 1220円/1株で100株投資し、翌日持ち越しとなった。</t>
    <rPh sb="0" eb="2">
      <t>オオヒキ</t>
    </rPh>
    <rPh sb="3" eb="4">
      <t>マエ</t>
    </rPh>
    <rPh sb="11" eb="12">
      <t>エン</t>
    </rPh>
    <rPh sb="14" eb="15">
      <t>カブ</t>
    </rPh>
    <rPh sb="18" eb="19">
      <t>ノ</t>
    </rPh>
    <rPh sb="23" eb="24">
      <t>オオ</t>
    </rPh>
    <rPh sb="26" eb="29">
      <t>ダイボウラク</t>
    </rPh>
    <rPh sb="34" eb="35">
      <t>エン</t>
    </rPh>
    <rPh sb="37" eb="38">
      <t>カブ</t>
    </rPh>
    <rPh sb="39" eb="40">
      <t>ヒ</t>
    </rPh>
    <rPh sb="48" eb="49">
      <t>エン</t>
    </rPh>
    <rPh sb="51" eb="52">
      <t>カブ</t>
    </rPh>
    <rPh sb="56" eb="57">
      <t>カブ</t>
    </rPh>
    <rPh sb="57" eb="59">
      <t>トウシ</t>
    </rPh>
    <rPh sb="61" eb="63">
      <t>ヨクジツ</t>
    </rPh>
    <rPh sb="63" eb="64">
      <t>モ</t>
    </rPh>
    <rPh sb="65" eb="66">
      <t>コ</t>
    </rPh>
    <phoneticPr fontId="8"/>
  </si>
  <si>
    <t>　前日のストップ高を受けて、人気銘柄になっており、多くに人が参加していた。「今日も…」という期待有</t>
    <rPh sb="1" eb="3">
      <t>ゼンジツ</t>
    </rPh>
    <rPh sb="8" eb="9">
      <t>ダカ</t>
    </rPh>
    <rPh sb="10" eb="11">
      <t>ウ</t>
    </rPh>
    <rPh sb="14" eb="16">
      <t>ニンキ</t>
    </rPh>
    <rPh sb="16" eb="18">
      <t>メイガラ</t>
    </rPh>
    <rPh sb="25" eb="26">
      <t>オオ</t>
    </rPh>
    <rPh sb="28" eb="29">
      <t>ヒト</t>
    </rPh>
    <rPh sb="30" eb="32">
      <t>サンカ</t>
    </rPh>
    <rPh sb="38" eb="40">
      <t>キョウ</t>
    </rPh>
    <rPh sb="46" eb="48">
      <t>キタイ</t>
    </rPh>
    <rPh sb="48" eb="49">
      <t>アリ</t>
    </rPh>
    <phoneticPr fontId="8"/>
  </si>
  <si>
    <t>　一方で利益確定を狙う or 翌日のポジション取りを狙った策略家?? の存在有。　急激な大幅売りを打ち出し、下落したことを皮切りに、大暴落が発生。</t>
    <rPh sb="1" eb="3">
      <t>イッポウ</t>
    </rPh>
    <rPh sb="4" eb="6">
      <t>リエキ</t>
    </rPh>
    <rPh sb="6" eb="8">
      <t>カクテイ</t>
    </rPh>
    <rPh sb="9" eb="10">
      <t>ネラ</t>
    </rPh>
    <rPh sb="15" eb="17">
      <t>ヨクジツ</t>
    </rPh>
    <rPh sb="23" eb="24">
      <t>ト</t>
    </rPh>
    <rPh sb="26" eb="27">
      <t>ネラ</t>
    </rPh>
    <rPh sb="29" eb="32">
      <t>サクリャクカ</t>
    </rPh>
    <rPh sb="36" eb="38">
      <t>ソンザイ</t>
    </rPh>
    <rPh sb="38" eb="39">
      <t>アリ</t>
    </rPh>
    <rPh sb="41" eb="43">
      <t>キュウゲキ</t>
    </rPh>
    <rPh sb="44" eb="46">
      <t>オオハバ</t>
    </rPh>
    <rPh sb="46" eb="47">
      <t>ウ</t>
    </rPh>
    <rPh sb="49" eb="50">
      <t>ウ</t>
    </rPh>
    <rPh sb="51" eb="52">
      <t>ダ</t>
    </rPh>
    <rPh sb="54" eb="56">
      <t>ゲラク</t>
    </rPh>
    <rPh sb="61" eb="63">
      <t>カワキ</t>
    </rPh>
    <rPh sb="66" eb="69">
      <t>ダイボウラク</t>
    </rPh>
    <rPh sb="70" eb="72">
      <t>ハッセイ</t>
    </rPh>
    <phoneticPr fontId="8"/>
  </si>
  <si>
    <t xml:space="preserve"> 14:45以降の大引け前は、上昇値こそ目を見張るものがあるが、上記のような危険性を孕んでいる為、触るべからず。少しずつが大切。</t>
    <rPh sb="6" eb="8">
      <t>イコウ</t>
    </rPh>
    <rPh sb="9" eb="11">
      <t>オオヒキ</t>
    </rPh>
    <rPh sb="12" eb="13">
      <t>マエ</t>
    </rPh>
    <rPh sb="15" eb="17">
      <t>ジョウショウ</t>
    </rPh>
    <rPh sb="17" eb="18">
      <t>アタイ</t>
    </rPh>
    <rPh sb="20" eb="21">
      <t>メ</t>
    </rPh>
    <rPh sb="22" eb="24">
      <t>ミハ</t>
    </rPh>
    <rPh sb="32" eb="34">
      <t>ジョウキ</t>
    </rPh>
    <rPh sb="38" eb="41">
      <t>キケンセイ</t>
    </rPh>
    <rPh sb="42" eb="43">
      <t>ハラ</t>
    </rPh>
    <rPh sb="47" eb="48">
      <t>タメ</t>
    </rPh>
    <rPh sb="49" eb="50">
      <t>サワ</t>
    </rPh>
    <rPh sb="56" eb="57">
      <t>スコ</t>
    </rPh>
    <rPh sb="61" eb="63">
      <t>タイセツ</t>
    </rPh>
    <phoneticPr fontId="8"/>
  </si>
  <si>
    <t>パターン③：潔く公募割れを受け入れるべし</t>
    <rPh sb="6" eb="7">
      <t>イサギヨ</t>
    </rPh>
    <rPh sb="8" eb="11">
      <t>コウボワ</t>
    </rPh>
    <rPh sb="13" eb="14">
      <t>ウ</t>
    </rPh>
    <rPh sb="15" eb="16">
      <t>イ</t>
    </rPh>
    <phoneticPr fontId="8"/>
  </si>
  <si>
    <t>初のIPO当選株ということで評価が悪いと分かっっているにも関わらず、購入。</t>
    <rPh sb="0" eb="1">
      <t>ハツ</t>
    </rPh>
    <rPh sb="5" eb="7">
      <t>トウセン</t>
    </rPh>
    <rPh sb="7" eb="8">
      <t>カブ</t>
    </rPh>
    <rPh sb="14" eb="16">
      <t>ヒョウカ</t>
    </rPh>
    <rPh sb="17" eb="18">
      <t>ワル</t>
    </rPh>
    <rPh sb="20" eb="21">
      <t>ワ</t>
    </rPh>
    <rPh sb="29" eb="30">
      <t>カカ</t>
    </rPh>
    <rPh sb="34" eb="36">
      <t>コウニュウ</t>
    </rPh>
    <phoneticPr fontId="8"/>
  </si>
  <si>
    <t>しかも当日、公募割れと分かるや、初値売りをやめて、続伸を期待するも、終値には1680円となる。(公募1950円,初値1867円)</t>
    <rPh sb="3" eb="5">
      <t>トウジツ</t>
    </rPh>
    <rPh sb="6" eb="9">
      <t>コウボワ</t>
    </rPh>
    <rPh sb="11" eb="12">
      <t>ワ</t>
    </rPh>
    <rPh sb="16" eb="18">
      <t>ハツネ</t>
    </rPh>
    <rPh sb="18" eb="19">
      <t>ウ</t>
    </rPh>
    <rPh sb="25" eb="27">
      <t>ゾクシン</t>
    </rPh>
    <rPh sb="28" eb="30">
      <t>キタイ</t>
    </rPh>
    <rPh sb="34" eb="36">
      <t>オワリネ</t>
    </rPh>
    <rPh sb="42" eb="43">
      <t>エン</t>
    </rPh>
    <rPh sb="48" eb="50">
      <t>コウボ</t>
    </rPh>
    <rPh sb="54" eb="55">
      <t>エン</t>
    </rPh>
    <rPh sb="56" eb="58">
      <t>ハツネ</t>
    </rPh>
    <rPh sb="62" eb="63">
      <t>エン</t>
    </rPh>
    <phoneticPr fontId="8"/>
  </si>
  <si>
    <t xml:space="preserve"> そもそも評価D、しかも公募割れ可能性大の当選株を購入する時点で問題であるが、それ以上に公募割れを嫌い</t>
    <rPh sb="5" eb="7">
      <t>ヒョウカ</t>
    </rPh>
    <rPh sb="12" eb="15">
      <t>コウボワ</t>
    </rPh>
    <rPh sb="16" eb="19">
      <t>カノウセイ</t>
    </rPh>
    <rPh sb="19" eb="20">
      <t>ダイ</t>
    </rPh>
    <rPh sb="21" eb="23">
      <t>トウセン</t>
    </rPh>
    <rPh sb="23" eb="24">
      <t>カブ</t>
    </rPh>
    <rPh sb="25" eb="27">
      <t>コウニュウ</t>
    </rPh>
    <rPh sb="29" eb="31">
      <t>ジテン</t>
    </rPh>
    <rPh sb="32" eb="34">
      <t>モンダイ</t>
    </rPh>
    <rPh sb="41" eb="43">
      <t>イジョウ</t>
    </rPh>
    <rPh sb="44" eb="47">
      <t>コウボワ</t>
    </rPh>
    <rPh sb="49" eb="50">
      <t>キラ</t>
    </rPh>
    <phoneticPr fontId="8"/>
  </si>
  <si>
    <t xml:space="preserve"> 負け戦に挑んだのが大きな間違い。IPOは一部例外を除き、初値売りに徹すること。</t>
    <rPh sb="1" eb="2">
      <t>マ</t>
    </rPh>
    <rPh sb="3" eb="4">
      <t>イクサ</t>
    </rPh>
    <rPh sb="5" eb="6">
      <t>イド</t>
    </rPh>
    <rPh sb="10" eb="11">
      <t>オオ</t>
    </rPh>
    <rPh sb="13" eb="15">
      <t>マチガ</t>
    </rPh>
    <rPh sb="21" eb="23">
      <t>イチブ</t>
    </rPh>
    <rPh sb="23" eb="25">
      <t>レイガイ</t>
    </rPh>
    <rPh sb="26" eb="27">
      <t>ノゾ</t>
    </rPh>
    <rPh sb="29" eb="31">
      <t>ハツネ</t>
    </rPh>
    <rPh sb="31" eb="32">
      <t>ウ</t>
    </rPh>
    <rPh sb="34" eb="35">
      <t>テッ</t>
    </rPh>
    <phoneticPr fontId="8"/>
  </si>
  <si>
    <t>パターン④：東証二部には手を出すな</t>
    <rPh sb="6" eb="8">
      <t>トウショウ</t>
    </rPh>
    <rPh sb="8" eb="10">
      <t>ニブ</t>
    </rPh>
    <rPh sb="12" eb="13">
      <t>テ</t>
    </rPh>
    <rPh sb="14" eb="15">
      <t>ダ</t>
    </rPh>
    <phoneticPr fontId="8"/>
  </si>
  <si>
    <t>初値1230円から大きく下落し、想定内と判断、まだ泳がせているうちに二度の下落が発生し、そこが底値と判断し1006円で300株投資。</t>
    <rPh sb="0" eb="2">
      <t>ハツネ</t>
    </rPh>
    <rPh sb="6" eb="7">
      <t>エン</t>
    </rPh>
    <rPh sb="9" eb="10">
      <t>オオ</t>
    </rPh>
    <rPh sb="12" eb="14">
      <t>ゲラク</t>
    </rPh>
    <rPh sb="16" eb="18">
      <t>ソウテイ</t>
    </rPh>
    <rPh sb="18" eb="19">
      <t>ナイ</t>
    </rPh>
    <rPh sb="20" eb="22">
      <t>ハンダン</t>
    </rPh>
    <rPh sb="25" eb="26">
      <t>オヨ</t>
    </rPh>
    <rPh sb="34" eb="36">
      <t>ニド</t>
    </rPh>
    <rPh sb="37" eb="39">
      <t>ゲラク</t>
    </rPh>
    <rPh sb="40" eb="42">
      <t>ハッセイ</t>
    </rPh>
    <rPh sb="47" eb="49">
      <t>ソコネ</t>
    </rPh>
    <rPh sb="50" eb="52">
      <t>ハンダン</t>
    </rPh>
    <rPh sb="57" eb="58">
      <t>エン</t>
    </rPh>
    <rPh sb="62" eb="63">
      <t>カブ</t>
    </rPh>
    <rPh sb="63" eb="65">
      <t>トウシ</t>
    </rPh>
    <phoneticPr fontId="8"/>
  </si>
  <si>
    <t>最終的なまだ下落し、985円で引けた。</t>
    <rPh sb="0" eb="3">
      <t>サイシュウテキ</t>
    </rPh>
    <rPh sb="6" eb="8">
      <t>ゲラク</t>
    </rPh>
    <rPh sb="13" eb="14">
      <t>エン</t>
    </rPh>
    <rPh sb="15" eb="16">
      <t>ヒ</t>
    </rPh>
    <phoneticPr fontId="8"/>
  </si>
  <si>
    <t xml:space="preserve"> マザーズやジャスダックに比べて、東証一部、特に二部は値動きが抑えめで、且つ二部は不人気である。</t>
    <rPh sb="13" eb="14">
      <t>クラ</t>
    </rPh>
    <rPh sb="17" eb="19">
      <t>トウショウ</t>
    </rPh>
    <rPh sb="19" eb="21">
      <t>イチブ</t>
    </rPh>
    <rPh sb="22" eb="23">
      <t>トク</t>
    </rPh>
    <rPh sb="24" eb="26">
      <t>ニブ</t>
    </rPh>
    <rPh sb="27" eb="29">
      <t>ネウゴ</t>
    </rPh>
    <rPh sb="31" eb="32">
      <t>オサ</t>
    </rPh>
    <rPh sb="36" eb="37">
      <t>カ</t>
    </rPh>
    <rPh sb="38" eb="40">
      <t>ニブ</t>
    </rPh>
    <rPh sb="41" eb="44">
      <t>フニンキ</t>
    </rPh>
    <phoneticPr fontId="8"/>
  </si>
  <si>
    <t xml:space="preserve"> 底値判断を例え、的中してもリターンは弱いだろう。手をださないことが賢明。</t>
    <rPh sb="1" eb="2">
      <t>ソコ</t>
    </rPh>
    <rPh sb="2" eb="3">
      <t>アタイ</t>
    </rPh>
    <rPh sb="3" eb="5">
      <t>ハンダン</t>
    </rPh>
    <rPh sb="6" eb="7">
      <t>タト</t>
    </rPh>
    <rPh sb="9" eb="11">
      <t>テキチュウ</t>
    </rPh>
    <rPh sb="19" eb="20">
      <t>ヨワ</t>
    </rPh>
    <rPh sb="25" eb="26">
      <t>テ</t>
    </rPh>
    <rPh sb="34" eb="36">
      <t>ケンメイ</t>
    </rPh>
    <phoneticPr fontId="8"/>
  </si>
  <si>
    <t>パターン⑤：既に大きな上昇・下落を繰り返してきた銘柄は出来高不足に陥りやすい</t>
    <rPh sb="6" eb="7">
      <t>スデ</t>
    </rPh>
    <rPh sb="8" eb="9">
      <t>オオ</t>
    </rPh>
    <rPh sb="11" eb="13">
      <t>ジョウショウ</t>
    </rPh>
    <rPh sb="14" eb="16">
      <t>ゲラク</t>
    </rPh>
    <rPh sb="17" eb="18">
      <t>ク</t>
    </rPh>
    <rPh sb="19" eb="20">
      <t>カエ</t>
    </rPh>
    <rPh sb="24" eb="26">
      <t>メイガラ</t>
    </rPh>
    <rPh sb="27" eb="30">
      <t>デキダカ</t>
    </rPh>
    <rPh sb="30" eb="32">
      <t>フソク</t>
    </rPh>
    <rPh sb="33" eb="34">
      <t>オチイ</t>
    </rPh>
    <phoneticPr fontId="8"/>
  </si>
  <si>
    <t>2日間持越した末に</t>
    <rPh sb="1" eb="3">
      <t>カカン</t>
    </rPh>
    <rPh sb="3" eb="4">
      <t>モ</t>
    </rPh>
    <rPh sb="4" eb="5">
      <t>コ</t>
    </rPh>
    <rPh sb="7" eb="8">
      <t>スエ</t>
    </rPh>
    <phoneticPr fontId="8"/>
  </si>
  <si>
    <t>前日、前々日とストップ安・ストップ高を経験してきた一見人気の銘柄だったが、自分が資金を投下した時点で市場の興味が減少していた。</t>
    <rPh sb="0" eb="2">
      <t>ゼンジツ</t>
    </rPh>
    <rPh sb="3" eb="6">
      <t>ゼンゼンジツ</t>
    </rPh>
    <rPh sb="11" eb="12">
      <t>ヤス</t>
    </rPh>
    <rPh sb="17" eb="18">
      <t>ダカ</t>
    </rPh>
    <rPh sb="19" eb="21">
      <t>ケイケン</t>
    </rPh>
    <rPh sb="25" eb="27">
      <t>イッケン</t>
    </rPh>
    <rPh sb="27" eb="29">
      <t>ニンキ</t>
    </rPh>
    <rPh sb="30" eb="32">
      <t>メイガラ</t>
    </rPh>
    <rPh sb="37" eb="39">
      <t>ジブン</t>
    </rPh>
    <rPh sb="40" eb="42">
      <t>シキン</t>
    </rPh>
    <rPh sb="43" eb="45">
      <t>トウカ</t>
    </rPh>
    <rPh sb="47" eb="49">
      <t>ジテン</t>
    </rPh>
    <rPh sb="50" eb="52">
      <t>シジョウ</t>
    </rPh>
    <rPh sb="53" eb="55">
      <t>キョウミ</t>
    </rPh>
    <rPh sb="56" eb="58">
      <t>ゲンショウ</t>
    </rPh>
    <phoneticPr fontId="8"/>
  </si>
  <si>
    <t>1.1万負け</t>
    <rPh sb="3" eb="4">
      <t>マン</t>
    </rPh>
    <rPh sb="4" eb="5">
      <t>マ</t>
    </rPh>
    <phoneticPr fontId="8"/>
  </si>
  <si>
    <t>下落続きのなか、急浮上した段階でなんとか大敗することなく売却することができた。</t>
    <rPh sb="0" eb="2">
      <t>ゲラク</t>
    </rPh>
    <rPh sb="2" eb="3">
      <t>ツヅ</t>
    </rPh>
    <rPh sb="8" eb="11">
      <t>キュウフジョウ</t>
    </rPh>
    <rPh sb="13" eb="15">
      <t>ダンカイ</t>
    </rPh>
    <rPh sb="20" eb="22">
      <t>タイハイ</t>
    </rPh>
    <rPh sb="28" eb="30">
      <t>バイキャク</t>
    </rPh>
    <phoneticPr fontId="8"/>
  </si>
  <si>
    <t>　50万を超える投資をした場合、売却できずに持越すこともある。その場合、早く結果が出やすいのは人気銘柄である。</t>
    <rPh sb="3" eb="4">
      <t>マン</t>
    </rPh>
    <rPh sb="5" eb="6">
      <t>コ</t>
    </rPh>
    <rPh sb="8" eb="10">
      <t>トウシ</t>
    </rPh>
    <rPh sb="13" eb="15">
      <t>バアイ</t>
    </rPh>
    <rPh sb="16" eb="18">
      <t>バイキャク</t>
    </rPh>
    <rPh sb="22" eb="24">
      <t>モチコ</t>
    </rPh>
    <rPh sb="33" eb="35">
      <t>バアイ</t>
    </rPh>
    <rPh sb="36" eb="37">
      <t>ハヤ</t>
    </rPh>
    <rPh sb="38" eb="40">
      <t>ケッカ</t>
    </rPh>
    <rPh sb="41" eb="42">
      <t>デ</t>
    </rPh>
    <rPh sb="47" eb="49">
      <t>ニンキ</t>
    </rPh>
    <rPh sb="49" eb="51">
      <t>メイガラ</t>
    </rPh>
    <phoneticPr fontId="8"/>
  </si>
  <si>
    <t>　市場の興味が逸れた時に投下することは非常に労力と資金を無駄に拘束してしまうので注意。</t>
    <rPh sb="1" eb="3">
      <t>シジョウ</t>
    </rPh>
    <rPh sb="4" eb="6">
      <t>キョウミ</t>
    </rPh>
    <rPh sb="7" eb="8">
      <t>ソ</t>
    </rPh>
    <rPh sb="10" eb="11">
      <t>トキ</t>
    </rPh>
    <rPh sb="12" eb="14">
      <t>トウカ</t>
    </rPh>
    <rPh sb="19" eb="21">
      <t>ヒジョウ</t>
    </rPh>
    <rPh sb="22" eb="24">
      <t>ロウリョク</t>
    </rPh>
    <rPh sb="25" eb="27">
      <t>シキン</t>
    </rPh>
    <rPh sb="28" eb="30">
      <t>ムダ</t>
    </rPh>
    <rPh sb="31" eb="33">
      <t>コウソク</t>
    </rPh>
    <rPh sb="40" eb="42">
      <t>チュウイ</t>
    </rPh>
    <phoneticPr fontId="8"/>
  </si>
  <si>
    <t>パターン⑥：買付失敗はある。その場合、利益よりも損失を最小限にすることを考えよ。</t>
    <rPh sb="6" eb="8">
      <t>カイツケ</t>
    </rPh>
    <rPh sb="8" eb="10">
      <t>シッパイ</t>
    </rPh>
    <rPh sb="16" eb="18">
      <t>バアイ</t>
    </rPh>
    <rPh sb="19" eb="21">
      <t>リエキ</t>
    </rPh>
    <rPh sb="24" eb="26">
      <t>ソンシツ</t>
    </rPh>
    <rPh sb="27" eb="30">
      <t>サイショウゲン</t>
    </rPh>
    <rPh sb="36" eb="37">
      <t>カンガ</t>
    </rPh>
    <phoneticPr fontId="8"/>
  </si>
  <si>
    <t>　256円で2000株購入。猪突猛進的な購入に、失敗したなぁと実感。</t>
    <rPh sb="4" eb="5">
      <t>エン</t>
    </rPh>
    <rPh sb="10" eb="11">
      <t>カブ</t>
    </rPh>
    <rPh sb="11" eb="13">
      <t>コウニュウ</t>
    </rPh>
    <rPh sb="14" eb="16">
      <t>チョトツ</t>
    </rPh>
    <rPh sb="16" eb="18">
      <t>モウシン</t>
    </rPh>
    <rPh sb="18" eb="19">
      <t>テキ</t>
    </rPh>
    <rPh sb="20" eb="22">
      <t>コウニュウ</t>
    </rPh>
    <rPh sb="24" eb="26">
      <t>シッパイ</t>
    </rPh>
    <rPh sb="31" eb="33">
      <t>ジッカン</t>
    </rPh>
    <phoneticPr fontId="8"/>
  </si>
  <si>
    <t>　その場合、利益確保よりも損失を最小限にするタイミングを見計らう必要がある。</t>
    <rPh sb="3" eb="5">
      <t>バアイ</t>
    </rPh>
    <rPh sb="6" eb="8">
      <t>リエキ</t>
    </rPh>
    <rPh sb="8" eb="10">
      <t>カクホ</t>
    </rPh>
    <rPh sb="13" eb="15">
      <t>ソンシツ</t>
    </rPh>
    <rPh sb="16" eb="19">
      <t>サイショウゲン</t>
    </rPh>
    <rPh sb="28" eb="30">
      <t>ミハカ</t>
    </rPh>
    <rPh sb="32" eb="34">
      <t>ヒツヨウ</t>
    </rPh>
    <phoneticPr fontId="8"/>
  </si>
  <si>
    <t>　上記では、購入日翌日の早期のタイミングで250～256円を推移した時間がある。前日終わりの急落に反発した格好で</t>
    <rPh sb="1" eb="3">
      <t>ジョウキ</t>
    </rPh>
    <rPh sb="6" eb="8">
      <t>コウニュウ</t>
    </rPh>
    <rPh sb="8" eb="9">
      <t>ビ</t>
    </rPh>
    <rPh sb="9" eb="11">
      <t>ヨクジツ</t>
    </rPh>
    <rPh sb="12" eb="14">
      <t>ソウキ</t>
    </rPh>
    <rPh sb="28" eb="29">
      <t>エン</t>
    </rPh>
    <rPh sb="30" eb="32">
      <t>スイイ</t>
    </rPh>
    <rPh sb="34" eb="36">
      <t>ジカン</t>
    </rPh>
    <rPh sb="40" eb="42">
      <t>ゼンジツ</t>
    </rPh>
    <rPh sb="42" eb="43">
      <t>オ</t>
    </rPh>
    <rPh sb="46" eb="48">
      <t>キュウラク</t>
    </rPh>
    <rPh sb="49" eb="51">
      <t>ハンパツ</t>
    </rPh>
    <rPh sb="53" eb="55">
      <t>カッコウ</t>
    </rPh>
    <phoneticPr fontId="8"/>
  </si>
  <si>
    <t>　このタイミングを見過ごした(利益確保できないからとスルーした)ことに問題がある。</t>
    <rPh sb="9" eb="11">
      <t>ミス</t>
    </rPh>
    <rPh sb="15" eb="17">
      <t>リエキ</t>
    </rPh>
    <rPh sb="17" eb="19">
      <t>カクホ</t>
    </rPh>
    <rPh sb="35" eb="37">
      <t>モンダイ</t>
    </rPh>
    <phoneticPr fontId="8"/>
  </si>
  <si>
    <t>　最終的に下落が続き、231円で売却。大きな損失を被った。</t>
    <rPh sb="1" eb="4">
      <t>サイシュウテキ</t>
    </rPh>
    <rPh sb="5" eb="7">
      <t>ゲラク</t>
    </rPh>
    <rPh sb="8" eb="9">
      <t>ツヅ</t>
    </rPh>
    <rPh sb="14" eb="15">
      <t>エン</t>
    </rPh>
    <rPh sb="16" eb="18">
      <t>バイキャク</t>
    </rPh>
    <rPh sb="19" eb="20">
      <t>オオ</t>
    </rPh>
    <rPh sb="22" eb="24">
      <t>ソンシツ</t>
    </rPh>
    <rPh sb="25" eb="26">
      <t>コウム</t>
    </rPh>
    <phoneticPr fontId="8"/>
  </si>
  <si>
    <t>パターン⑦：日本経済の影響を考慮せよ</t>
    <rPh sb="6" eb="8">
      <t>ニホン</t>
    </rPh>
    <rPh sb="8" eb="10">
      <t>ケイザイ</t>
    </rPh>
    <rPh sb="11" eb="13">
      <t>エイキョウ</t>
    </rPh>
    <rPh sb="14" eb="16">
      <t>コウリョ</t>
    </rPh>
    <phoneticPr fontId="8"/>
  </si>
  <si>
    <t>　3/31に力の源HDを2680円で500株、4/3にNo.1を3490円で100株買付。</t>
    <rPh sb="6" eb="7">
      <t>チカラ</t>
    </rPh>
    <rPh sb="8" eb="9">
      <t>ミナモト</t>
    </rPh>
    <rPh sb="16" eb="17">
      <t>エン</t>
    </rPh>
    <rPh sb="21" eb="22">
      <t>カブ</t>
    </rPh>
    <rPh sb="36" eb="37">
      <t>エン</t>
    </rPh>
    <rPh sb="41" eb="42">
      <t>カブ</t>
    </rPh>
    <rPh sb="42" eb="44">
      <t>カイツケ</t>
    </rPh>
    <phoneticPr fontId="8"/>
  </si>
  <si>
    <t>　その後、日経平均は心理線である19000円を割って下落が進み、昨年来の安値へ。</t>
    <rPh sb="3" eb="4">
      <t>ゴ</t>
    </rPh>
    <rPh sb="5" eb="7">
      <t>ニッケイ</t>
    </rPh>
    <rPh sb="7" eb="9">
      <t>ヘイキン</t>
    </rPh>
    <rPh sb="10" eb="12">
      <t>シンリ</t>
    </rPh>
    <rPh sb="12" eb="13">
      <t>セン</t>
    </rPh>
    <rPh sb="21" eb="22">
      <t>エン</t>
    </rPh>
    <rPh sb="23" eb="24">
      <t>ワ</t>
    </rPh>
    <rPh sb="26" eb="28">
      <t>ゲラク</t>
    </rPh>
    <rPh sb="29" eb="30">
      <t>スス</t>
    </rPh>
    <rPh sb="32" eb="35">
      <t>サクネンライ</t>
    </rPh>
    <rPh sb="36" eb="37">
      <t>ヤス</t>
    </rPh>
    <rPh sb="37" eb="38">
      <t>アタイ</t>
    </rPh>
    <phoneticPr fontId="8"/>
  </si>
  <si>
    <t>　上記銘柄も、その余波を受けて、下落、4日待つ法則に則った結果、5日後の4/7には</t>
    <rPh sb="1" eb="3">
      <t>ジョウキ</t>
    </rPh>
    <rPh sb="3" eb="5">
      <t>メイガラ</t>
    </rPh>
    <rPh sb="9" eb="11">
      <t>ヨハ</t>
    </rPh>
    <rPh sb="12" eb="13">
      <t>ウ</t>
    </rPh>
    <rPh sb="16" eb="18">
      <t>ゲラク</t>
    </rPh>
    <rPh sb="20" eb="21">
      <t>ニチ</t>
    </rPh>
    <rPh sb="21" eb="22">
      <t>マ</t>
    </rPh>
    <rPh sb="23" eb="25">
      <t>ホウソク</t>
    </rPh>
    <rPh sb="26" eb="27">
      <t>ノット</t>
    </rPh>
    <rPh sb="29" eb="31">
      <t>ケッカ</t>
    </rPh>
    <rPh sb="33" eb="35">
      <t>カゴ</t>
    </rPh>
    <phoneticPr fontId="8"/>
  </si>
  <si>
    <t>　力の源HDを2200円、4/3にNo.1は2815円で売却することになった。</t>
    <rPh sb="1" eb="2">
      <t>チカラ</t>
    </rPh>
    <rPh sb="3" eb="4">
      <t>ミナモト</t>
    </rPh>
    <rPh sb="11" eb="12">
      <t>エン</t>
    </rPh>
    <rPh sb="26" eb="27">
      <t>エン</t>
    </rPh>
    <rPh sb="28" eb="30">
      <t>バイキャク</t>
    </rPh>
    <phoneticPr fontId="8"/>
  </si>
  <si>
    <t>　　⇒　この結果、総損益は-15万に転落。トレーディング行為へ恐怖を覚えることに。。。</t>
    <rPh sb="6" eb="8">
      <t>ケッカ</t>
    </rPh>
    <rPh sb="9" eb="10">
      <t>ソウ</t>
    </rPh>
    <rPh sb="10" eb="12">
      <t>ソンエキ</t>
    </rPh>
    <rPh sb="16" eb="17">
      <t>マン</t>
    </rPh>
    <rPh sb="18" eb="20">
      <t>テンラク</t>
    </rPh>
    <rPh sb="28" eb="30">
      <t>コウイ</t>
    </rPh>
    <rPh sb="31" eb="33">
      <t>キョウフ</t>
    </rPh>
    <rPh sb="34" eb="35">
      <t>オボ</t>
    </rPh>
    <phoneticPr fontId="8"/>
  </si>
  <si>
    <t>☆みえること☆</t>
    <phoneticPr fontId="8"/>
  </si>
  <si>
    <t>　日本経済状況について、マザーズ、ジャスダックは東証1部・2部程、影響を受けないと考えていたが、</t>
    <rPh sb="1" eb="3">
      <t>ニホン</t>
    </rPh>
    <rPh sb="3" eb="5">
      <t>ケイザイ</t>
    </rPh>
    <rPh sb="5" eb="7">
      <t>ジョウキョウ</t>
    </rPh>
    <rPh sb="24" eb="26">
      <t>トウショウ</t>
    </rPh>
    <rPh sb="27" eb="28">
      <t>ブ</t>
    </rPh>
    <rPh sb="30" eb="31">
      <t>ブ</t>
    </rPh>
    <rPh sb="31" eb="32">
      <t>ホド</t>
    </rPh>
    <rPh sb="33" eb="35">
      <t>エイキョウ</t>
    </rPh>
    <rPh sb="36" eb="37">
      <t>ウ</t>
    </rPh>
    <rPh sb="41" eb="42">
      <t>カンガ</t>
    </rPh>
    <phoneticPr fontId="8"/>
  </si>
  <si>
    <t>　状況によっては大きく影響を受けることになる。</t>
    <rPh sb="1" eb="3">
      <t>ジョウキョウ</t>
    </rPh>
    <rPh sb="8" eb="9">
      <t>オオ</t>
    </rPh>
    <rPh sb="11" eb="13">
      <t>エイキョウ</t>
    </rPh>
    <rPh sb="14" eb="15">
      <t>ウ</t>
    </rPh>
    <phoneticPr fontId="8"/>
  </si>
  <si>
    <t>　心理線から下落中は注視していく必要がある。</t>
    <rPh sb="1" eb="3">
      <t>シンリ</t>
    </rPh>
    <rPh sb="3" eb="4">
      <t>セン</t>
    </rPh>
    <rPh sb="6" eb="9">
      <t>ゲラクチュウ</t>
    </rPh>
    <rPh sb="10" eb="12">
      <t>チュウシ</t>
    </rPh>
    <rPh sb="16" eb="18">
      <t>ヒツヨウ</t>
    </rPh>
    <phoneticPr fontId="8"/>
  </si>
  <si>
    <t>★追記★</t>
    <rPh sb="1" eb="3">
      <t>ツイキ</t>
    </rPh>
    <phoneticPr fontId="8"/>
  </si>
  <si>
    <t>　⇒影響順序 (※影響とは投資家資金の流入度合) は上下落共に東証一部、二部から始まる</t>
    <rPh sb="2" eb="4">
      <t>エイキョウ</t>
    </rPh>
    <rPh sb="4" eb="6">
      <t>ジュンジョ</t>
    </rPh>
    <rPh sb="9" eb="11">
      <t>エイキョウ</t>
    </rPh>
    <rPh sb="13" eb="16">
      <t>トウシカ</t>
    </rPh>
    <rPh sb="16" eb="18">
      <t>シキン</t>
    </rPh>
    <rPh sb="19" eb="21">
      <t>リュウニュウ</t>
    </rPh>
    <rPh sb="21" eb="23">
      <t>ドアイ</t>
    </rPh>
    <rPh sb="26" eb="27">
      <t>ジョウ</t>
    </rPh>
    <rPh sb="27" eb="29">
      <t>ゲラク</t>
    </rPh>
    <rPh sb="29" eb="30">
      <t>トモ</t>
    </rPh>
    <rPh sb="31" eb="33">
      <t>トウショウ</t>
    </rPh>
    <rPh sb="33" eb="35">
      <t>イチブ</t>
    </rPh>
    <rPh sb="36" eb="38">
      <t>ニブ</t>
    </rPh>
    <rPh sb="40" eb="41">
      <t>ハジ</t>
    </rPh>
    <phoneticPr fontId="8"/>
  </si>
  <si>
    <t>　　例：東証一部、二部で買い傾向(その間、マザーズ、ジャスダック共に売り先行)、その後、マザーズ、ジャスダックに資金流入</t>
    <rPh sb="2" eb="3">
      <t>レイ</t>
    </rPh>
    <rPh sb="4" eb="6">
      <t>トウショウ</t>
    </rPh>
    <rPh sb="6" eb="8">
      <t>イチブ</t>
    </rPh>
    <rPh sb="9" eb="11">
      <t>ニブ</t>
    </rPh>
    <rPh sb="12" eb="13">
      <t>カ</t>
    </rPh>
    <rPh sb="14" eb="16">
      <t>ケイコウ</t>
    </rPh>
    <rPh sb="19" eb="20">
      <t>カン</t>
    </rPh>
    <rPh sb="32" eb="33">
      <t>トモ</t>
    </rPh>
    <rPh sb="34" eb="35">
      <t>ウ</t>
    </rPh>
    <rPh sb="36" eb="38">
      <t>センコウ</t>
    </rPh>
    <rPh sb="42" eb="43">
      <t>ゴ</t>
    </rPh>
    <rPh sb="56" eb="58">
      <t>シキン</t>
    </rPh>
    <rPh sb="58" eb="60">
      <t>リュウニュウ</t>
    </rPh>
    <phoneticPr fontId="8"/>
  </si>
  <si>
    <t>※上場日の場合は初期値の比較</t>
    <rPh sb="1" eb="3">
      <t>ジョウジョウ</t>
    </rPh>
    <rPh sb="3" eb="4">
      <t>ビ</t>
    </rPh>
    <rPh sb="5" eb="7">
      <t>バアイ</t>
    </rPh>
    <rPh sb="8" eb="11">
      <t>ショキチ</t>
    </rPh>
    <rPh sb="12" eb="14">
      <t>ヒカク</t>
    </rPh>
    <phoneticPr fontId="8"/>
  </si>
  <si>
    <t>三日目比</t>
    <rPh sb="0" eb="3">
      <t>ミッカメ</t>
    </rPh>
    <rPh sb="3" eb="4">
      <t>ヒ</t>
    </rPh>
    <phoneticPr fontId="8"/>
  </si>
  <si>
    <t>計算値</t>
    <rPh sb="0" eb="2">
      <t>ケイサン</t>
    </rPh>
    <rPh sb="2" eb="3">
      <t>アタイ</t>
    </rPh>
    <phoneticPr fontId="8"/>
  </si>
  <si>
    <t>確定ライン</t>
    <rPh sb="0" eb="2">
      <t>カクテイ</t>
    </rPh>
    <phoneticPr fontId="8"/>
  </si>
  <si>
    <t>損切ライン</t>
    <rPh sb="0" eb="2">
      <t>ソンギリ</t>
    </rPh>
    <phoneticPr fontId="8"/>
  </si>
  <si>
    <t>参加ライン</t>
    <rPh sb="0" eb="2">
      <t>サンカ</t>
    </rPh>
    <phoneticPr fontId="8"/>
  </si>
  <si>
    <t>TOKYO IPO</t>
    <phoneticPr fontId="8"/>
  </si>
  <si>
    <t>http://www.tokyoipo.com/ipo/schedule.php</t>
    <phoneticPr fontId="8"/>
  </si>
  <si>
    <t>IPO ゲッター</t>
    <phoneticPr fontId="8"/>
  </si>
  <si>
    <t>http://ipoget.com/</t>
    <phoneticPr fontId="8"/>
  </si>
  <si>
    <t>IPO スケジュール</t>
    <phoneticPr fontId="8"/>
  </si>
  <si>
    <t>http://diamond.jp/category/z-ipo-schedule</t>
    <phoneticPr fontId="8"/>
  </si>
  <si>
    <t>寄前気配情報</t>
  </si>
  <si>
    <t>特別気配</t>
  </si>
  <si>
    <t>注文自体は8時から表示されるが、9時直前に板情報を元に</t>
    <rPh sb="0" eb="2">
      <t>チュウモン</t>
    </rPh>
    <rPh sb="2" eb="4">
      <t>ジタイ</t>
    </rPh>
    <rPh sb="6" eb="7">
      <t>ジ</t>
    </rPh>
    <rPh sb="9" eb="11">
      <t>ヒョウジ</t>
    </rPh>
    <rPh sb="17" eb="18">
      <t>ジ</t>
    </rPh>
    <rPh sb="18" eb="20">
      <t>チョクゼン</t>
    </rPh>
    <rPh sb="21" eb="22">
      <t>イタ</t>
    </rPh>
    <rPh sb="22" eb="24">
      <t>ジョウホウ</t>
    </rPh>
    <rPh sb="25" eb="26">
      <t>モト</t>
    </rPh>
    <phoneticPr fontId="8"/>
  </si>
  <si>
    <t>買いたい（売りたい）人がどちらか一方に偏っている状態を特別気配</t>
  </si>
  <si>
    <t>指値を変更する人も多く、本当にぎりぎりまでは</t>
    <rPh sb="0" eb="1">
      <t>サ</t>
    </rPh>
    <rPh sb="1" eb="2">
      <t>ネ</t>
    </rPh>
    <rPh sb="3" eb="5">
      <t>ヘンコウ</t>
    </rPh>
    <rPh sb="7" eb="8">
      <t>ヒト</t>
    </rPh>
    <rPh sb="9" eb="10">
      <t>オオ</t>
    </rPh>
    <rPh sb="12" eb="14">
      <t>ホントウ</t>
    </rPh>
    <phoneticPr fontId="8"/>
  </si>
  <si>
    <t>特が「買い」についていれば・・・「買い優勢」 ⇒ すなわち株価が騰がる。</t>
  </si>
  <si>
    <t>参考にならないケースが多い。</t>
    <rPh sb="0" eb="2">
      <t>サンコウ</t>
    </rPh>
    <rPh sb="11" eb="12">
      <t>オオ</t>
    </rPh>
    <phoneticPr fontId="8"/>
  </si>
  <si>
    <t>特が「売り」についていれば・・・「売り優勢」 ⇒ すなわち株価が下がる。</t>
  </si>
  <si>
    <t>取引中</t>
    <rPh sb="0" eb="3">
      <t>トリヒキチュウ</t>
    </rPh>
    <phoneticPr fontId="8"/>
  </si>
  <si>
    <t>ボラティリティ</t>
  </si>
  <si>
    <t>価格の変動性（変動率）</t>
  </si>
  <si>
    <t>ベンチャーキャピタル</t>
  </si>
  <si>
    <t xml:space="preserve">ハイリターンを狙ったアグレッシブな投資を行う投資会社（投資ファンド）のこと。 </t>
    <phoneticPr fontId="8"/>
  </si>
  <si>
    <t>主に高い成長率を有する未上場企業に対して投資を行い、資金を投下するのと同時に経営コンサルティングを行い、投資先企業の価値向上を図る。</t>
  </si>
  <si>
    <t>ロックアップ規制</t>
    <phoneticPr fontId="8"/>
  </si>
  <si>
    <t>企業が株式を新規公開する際に、創業社長・会社役員・大株主・ベンチャーキャピタルなどの公開前の企業の株主が、公開後の一定期間（一般的には180日）、</t>
    <phoneticPr fontId="8"/>
  </si>
  <si>
    <t>株式市場（マーケット）で持株を売却することができないよう、公開前に契約を交わす制度　※解除制限有(株価が1.5倍まで高騰する等)</t>
    <rPh sb="43" eb="45">
      <t>カイジョ</t>
    </rPh>
    <rPh sb="45" eb="47">
      <t>セイゲン</t>
    </rPh>
    <rPh sb="47" eb="48">
      <t>アリ</t>
    </rPh>
    <rPh sb="49" eb="51">
      <t>カブカ</t>
    </rPh>
    <rPh sb="55" eb="56">
      <t>バイ</t>
    </rPh>
    <rPh sb="58" eb="60">
      <t>コウトウ</t>
    </rPh>
    <rPh sb="62" eb="63">
      <t>ナド</t>
    </rPh>
    <phoneticPr fontId="8"/>
  </si>
  <si>
    <t>引け</t>
    <rPh sb="0" eb="1">
      <t>ヒ</t>
    </rPh>
    <phoneticPr fontId="8"/>
  </si>
  <si>
    <t>前場、後場の最後の売買のこと。特に後場の最終売買は「大引け」という。</t>
    <rPh sb="15" eb="16">
      <t>トク</t>
    </rPh>
    <phoneticPr fontId="8"/>
  </si>
  <si>
    <t>ザラ場</t>
  </si>
  <si>
    <t>寄付から引けまでの間の取引時間のこと</t>
  </si>
  <si>
    <t>寄付や引けでは、売り注文と買い注文を整理してまとめて売買を成立させる板寄せ方式を採用していますが、</t>
    <phoneticPr fontId="8"/>
  </si>
  <si>
    <t>ザラ場では値段優先で、条件が同じであれば発注が早いものから売買を成立させるオークション方式を採用してる。</t>
    <phoneticPr fontId="8"/>
  </si>
  <si>
    <t>ザラ場引け</t>
  </si>
  <si>
    <t>前場引けや後場引けに取引がなく、ザラ場でついた株価のまま取引が終了すること</t>
  </si>
  <si>
    <t>指成</t>
  </si>
  <si>
    <t>引けまでは指値注文として扱われ、その間に約定が一部でも成立しなかった場合は、自動的に引けで成行注文となる注文方法</t>
    <phoneticPr fontId="8"/>
  </si>
  <si>
    <t>前場あるいは後場の引けの取引が市場で成立せず、「ザラバ引け」となった場合は、約定は成立しない。</t>
    <phoneticPr fontId="8"/>
  </si>
  <si>
    <t>寄指</t>
  </si>
  <si>
    <t>寄付（市場が開いてから最初に行われる売買）でのみ、指値注文をする注文方法。約定しなかった場合は、直ちに注文は失効します。</t>
    <phoneticPr fontId="8"/>
  </si>
  <si>
    <t>ザラバ中の指値の場合は指値どおりの価格でしか約定しませんが、寄付の場合は「板寄せ方式」が行われ、指した値段よりも安く買える可能性がある。</t>
    <phoneticPr fontId="8"/>
  </si>
  <si>
    <t>通常の指値注文だと寄りで約定しなくても注文は継続しますが、寄指だと寄付で約定しないと注文は失効するため、指値未満で買える確率が高くなる</t>
    <phoneticPr fontId="8"/>
  </si>
  <si>
    <t>寄成</t>
  </si>
  <si>
    <t>寄付でのみ成行注文をすることです。約定しなかった場合は、直ちに注文は失効します。売買する前日の夜に出した注文など、寄付前に出された注文を寄付で成行注文する。</t>
    <phoneticPr fontId="8"/>
  </si>
  <si>
    <t>引指</t>
  </si>
  <si>
    <t>前引け、または大引けにのみ指値注文をする注文方法</t>
  </si>
  <si>
    <t>引けも板寄せ方式が行われるため、寄指と同じようなメリットがある</t>
  </si>
  <si>
    <t>引成</t>
    <phoneticPr fontId="8"/>
  </si>
  <si>
    <t>前引け、または大引けで成行注文をする注文方法。寄付よりも、引けの方が株価が下がりそうな場合などに使用</t>
    <phoneticPr fontId="8"/>
  </si>
  <si>
    <t>不成</t>
  </si>
  <si>
    <t>前場・後場の各立会時間終了時までは、指値注文として注文されていますが、ザラ場で、全数または一部の売買が成立しなかった場合に、前引けまたは大引けの時点において、</t>
    <phoneticPr fontId="8"/>
  </si>
  <si>
    <t>残数量を自動的に引け成行注文に変更して、執行することを条件とする注文のこと</t>
  </si>
  <si>
    <t>取引</t>
  </si>
  <si>
    <t>約定数量</t>
  </si>
  <si>
    <t>約定単価</t>
  </si>
  <si>
    <t>手数料/諸経費等</t>
  </si>
  <si>
    <t>税額</t>
  </si>
  <si>
    <t>受渡金額/決済損益</t>
  </si>
  <si>
    <t>売却/決済金額</t>
  </si>
  <si>
    <t>当日</t>
    <rPh sb="0" eb="2">
      <t>トウジツ</t>
    </rPh>
    <phoneticPr fontId="8"/>
  </si>
  <si>
    <t>買付余力</t>
    <rPh sb="0" eb="2">
      <t>カイツケ</t>
    </rPh>
    <rPh sb="2" eb="4">
      <t>ヨリョク</t>
    </rPh>
    <phoneticPr fontId="8"/>
  </si>
  <si>
    <t>買</t>
    <rPh sb="0" eb="1">
      <t>カ</t>
    </rPh>
    <phoneticPr fontId="8"/>
  </si>
  <si>
    <t>売</t>
    <rPh sb="0" eb="1">
      <t>ウ</t>
    </rPh>
    <phoneticPr fontId="8"/>
  </si>
  <si>
    <t>譲渡益</t>
    <rPh sb="0" eb="3">
      <t>ジョウトエキ</t>
    </rPh>
    <phoneticPr fontId="8"/>
  </si>
  <si>
    <t>買付余力??</t>
    <rPh sb="0" eb="2">
      <t>カイツケ</t>
    </rPh>
    <rPh sb="2" eb="4">
      <t>ヨリョク</t>
    </rPh>
    <phoneticPr fontId="8"/>
  </si>
  <si>
    <t>10日間平均</t>
    <rPh sb="2" eb="4">
      <t>カカン</t>
    </rPh>
    <rPh sb="4" eb="6">
      <t>ヘイキン</t>
    </rPh>
    <phoneticPr fontId="2"/>
  </si>
  <si>
    <t>10日間最安値</t>
    <rPh sb="2" eb="4">
      <t>カカン</t>
    </rPh>
    <rPh sb="4" eb="7">
      <t>サイヤスネ</t>
    </rPh>
    <phoneticPr fontId="2"/>
  </si>
  <si>
    <t>10日間最安値</t>
  </si>
  <si>
    <t>サイバーステップ</t>
    <phoneticPr fontId="2"/>
  </si>
  <si>
    <t>5日間平均</t>
    <rPh sb="1" eb="3">
      <t>カカン</t>
    </rPh>
    <rPh sb="3" eb="5">
      <t>ヘイキン</t>
    </rPh>
    <phoneticPr fontId="2"/>
  </si>
  <si>
    <t>ステータス</t>
    <phoneticPr fontId="2"/>
  </si>
  <si>
    <t>5日間平均値</t>
    <rPh sb="1" eb="3">
      <t>カカン</t>
    </rPh>
    <rPh sb="3" eb="6">
      <t>ヘイキンチ</t>
    </rPh>
    <phoneticPr fontId="2"/>
  </si>
  <si>
    <t>10日間平均値</t>
    <rPh sb="2" eb="4">
      <t>カカン</t>
    </rPh>
    <rPh sb="4" eb="7">
      <t>ヘイキンチ</t>
    </rPh>
    <phoneticPr fontId="2"/>
  </si>
  <si>
    <t>変化なし。。。それは果たして良いことなのか。</t>
    <rPh sb="0" eb="2">
      <t>ヘンカ</t>
    </rPh>
    <rPh sb="10" eb="11">
      <t>ハ</t>
    </rPh>
    <rPh sb="14" eb="15">
      <t>ヨ</t>
    </rPh>
    <phoneticPr fontId="8"/>
  </si>
  <si>
    <t>Fringe81</t>
  </si>
  <si>
    <t>2017年度</t>
    <rPh sb="4" eb="5">
      <t>ネン</t>
    </rPh>
    <rPh sb="5" eb="6">
      <t>ド</t>
    </rPh>
    <phoneticPr fontId="8"/>
  </si>
  <si>
    <t>ツナグ・ソリューションズ</t>
  </si>
  <si>
    <t>ＳＹＳホールディングス</t>
  </si>
  <si>
    <t>http://diamond.jp/category/z-ipo-schedule</t>
    <phoneticPr fontId="8"/>
  </si>
  <si>
    <t>http://ipoget.com/</t>
    <phoneticPr fontId="8"/>
  </si>
  <si>
    <t>アズジェント</t>
    <phoneticPr fontId="2"/>
  </si>
  <si>
    <t>GameWith</t>
  </si>
  <si>
    <t>-</t>
    <phoneticPr fontId="2"/>
  </si>
  <si>
    <t>リミックスポイント</t>
    <phoneticPr fontId="2"/>
  </si>
  <si>
    <t>150万</t>
    <rPh sb="3" eb="4">
      <t>マン</t>
    </rPh>
    <phoneticPr fontId="8"/>
  </si>
  <si>
    <r>
      <t>5月末。</t>
    </r>
    <r>
      <rPr>
        <sz val="11"/>
        <color rgb="FFFF0000"/>
        <rFont val="Meiryo UI"/>
        <family val="3"/>
        <charset val="128"/>
      </rPr>
      <t>負債存在中(ソレイジア SBI 8.8万, マネックス 5.85万　合計14.5万分)</t>
    </r>
    <rPh sb="1" eb="2">
      <t>ガツ</t>
    </rPh>
    <rPh sb="2" eb="3">
      <t>マツ</t>
    </rPh>
    <rPh sb="4" eb="6">
      <t>フサイ</t>
    </rPh>
    <rPh sb="6" eb="8">
      <t>ソンザイ</t>
    </rPh>
    <rPh sb="8" eb="9">
      <t>チュウ</t>
    </rPh>
    <rPh sb="23" eb="24">
      <t>マン</t>
    </rPh>
    <rPh sb="36" eb="37">
      <t>マン</t>
    </rPh>
    <rPh sb="38" eb="40">
      <t>ゴウケイ</t>
    </rPh>
    <rPh sb="44" eb="45">
      <t>マン</t>
    </rPh>
    <rPh sb="45" eb="46">
      <t>ブン</t>
    </rPh>
    <phoneticPr fontId="8"/>
  </si>
  <si>
    <t>●</t>
    <phoneticPr fontId="2"/>
  </si>
  <si>
    <t>岡三オンライン証券</t>
    <rPh sb="0" eb="2">
      <t>オカサン</t>
    </rPh>
    <rPh sb="7" eb="9">
      <t>ショウケン</t>
    </rPh>
    <phoneticPr fontId="8"/>
  </si>
  <si>
    <t>154万</t>
    <rPh sb="3" eb="4">
      <t>マン</t>
    </rPh>
    <phoneticPr fontId="8"/>
  </si>
  <si>
    <t>岡三OL</t>
    <rPh sb="0" eb="2">
      <t>オカサン</t>
    </rPh>
    <phoneticPr fontId="8"/>
  </si>
  <si>
    <t>※大和・SBI・岡三OLは資金拘束なし(申込時&amp;抽選時に買付余力必要)</t>
    <rPh sb="1" eb="3">
      <t>ダイワ</t>
    </rPh>
    <rPh sb="8" eb="10">
      <t>オカサン</t>
    </rPh>
    <rPh sb="13" eb="15">
      <t>シキン</t>
    </rPh>
    <rPh sb="15" eb="17">
      <t>コウソク</t>
    </rPh>
    <rPh sb="20" eb="21">
      <t>モウ</t>
    </rPh>
    <rPh sb="21" eb="22">
      <t>コ</t>
    </rPh>
    <rPh sb="22" eb="23">
      <t>ジ</t>
    </rPh>
    <rPh sb="24" eb="26">
      <t>チュウセン</t>
    </rPh>
    <rPh sb="26" eb="27">
      <t>ジ</t>
    </rPh>
    <rPh sb="28" eb="29">
      <t>カ</t>
    </rPh>
    <rPh sb="29" eb="30">
      <t>ツ</t>
    </rPh>
    <rPh sb="30" eb="32">
      <t>ヨリョク</t>
    </rPh>
    <rPh sb="32" eb="34">
      <t>ヒツヨウ</t>
    </rPh>
    <phoneticPr fontId="8"/>
  </si>
  <si>
    <t>19万</t>
    <rPh sb="2" eb="3">
      <t>マン</t>
    </rPh>
    <phoneticPr fontId="8"/>
  </si>
  <si>
    <r>
      <t>岡三OL参画。ソレイジア確定微益。</t>
    </r>
    <r>
      <rPr>
        <sz val="11"/>
        <color rgb="FFFF0000"/>
        <rFont val="Meiryo UI"/>
        <family val="3"/>
        <charset val="128"/>
      </rPr>
      <t>(SBI,マネックスともにソレイジアの負債含む)</t>
    </r>
    <rPh sb="0" eb="2">
      <t>オカサン</t>
    </rPh>
    <rPh sb="4" eb="6">
      <t>サンカク</t>
    </rPh>
    <rPh sb="12" eb="14">
      <t>カクテイ</t>
    </rPh>
    <rPh sb="14" eb="15">
      <t>ビ</t>
    </rPh>
    <rPh sb="15" eb="16">
      <t>エキ</t>
    </rPh>
    <rPh sb="36" eb="38">
      <t>フサイ</t>
    </rPh>
    <rPh sb="38" eb="39">
      <t>フク</t>
    </rPh>
    <phoneticPr fontId="2"/>
  </si>
  <si>
    <t>エムアップ</t>
    <phoneticPr fontId="2"/>
  </si>
  <si>
    <t>-</t>
    <phoneticPr fontId="8"/>
  </si>
  <si>
    <t>ソウルドアウト</t>
  </si>
  <si>
    <t>-</t>
    <phoneticPr fontId="2"/>
  </si>
  <si>
    <t>ユニフォームネクスト</t>
  </si>
  <si>
    <t>17万</t>
    <rPh sb="2" eb="3">
      <t>マン</t>
    </rPh>
    <phoneticPr fontId="8"/>
  </si>
  <si>
    <t>ジェイ・エス・ビー</t>
  </si>
  <si>
    <t>クロスフォー</t>
  </si>
  <si>
    <t>-</t>
    <phoneticPr fontId="2"/>
  </si>
  <si>
    <t>SBI</t>
    <phoneticPr fontId="2"/>
  </si>
  <si>
    <t>SBI</t>
    <phoneticPr fontId="2"/>
  </si>
  <si>
    <t>インフォテリア</t>
    <phoneticPr fontId="2"/>
  </si>
  <si>
    <t>GNIグループ</t>
    <phoneticPr fontId="2"/>
  </si>
  <si>
    <t>30万</t>
    <rPh sb="2" eb="3">
      <t>マン</t>
    </rPh>
    <phoneticPr fontId="8"/>
  </si>
  <si>
    <t>1万</t>
    <rPh sb="1" eb="2">
      <t>マン</t>
    </rPh>
    <phoneticPr fontId="8"/>
  </si>
  <si>
    <t>189万</t>
    <rPh sb="3" eb="4">
      <t>マン</t>
    </rPh>
    <phoneticPr fontId="8"/>
  </si>
  <si>
    <t>※給与、賞与の支給有</t>
    <rPh sb="1" eb="3">
      <t>キュウヨ</t>
    </rPh>
    <rPh sb="4" eb="6">
      <t>ショウヨ</t>
    </rPh>
    <rPh sb="7" eb="9">
      <t>シキュウ</t>
    </rPh>
    <rPh sb="9" eb="10">
      <t>アリ</t>
    </rPh>
    <phoneticPr fontId="2"/>
  </si>
  <si>
    <t>51万</t>
    <rPh sb="2" eb="3">
      <t>マン</t>
    </rPh>
    <phoneticPr fontId="8"/>
  </si>
  <si>
    <t>※上記はソレイジア・ファーマの不振(マネックス負債10万,SBI負債10万)を計上していない</t>
    <rPh sb="1" eb="3">
      <t>ジョウキ</t>
    </rPh>
    <rPh sb="15" eb="17">
      <t>フシン</t>
    </rPh>
    <rPh sb="23" eb="25">
      <t>フサイ</t>
    </rPh>
    <rPh sb="27" eb="28">
      <t>マン</t>
    </rPh>
    <rPh sb="32" eb="34">
      <t>フサイ</t>
    </rPh>
    <rPh sb="36" eb="37">
      <t>マン</t>
    </rPh>
    <rPh sb="39" eb="41">
      <t>ケイジョウ</t>
    </rPh>
    <phoneticPr fontId="2"/>
  </si>
  <si>
    <t>-</t>
    <phoneticPr fontId="8"/>
  </si>
  <si>
    <t>アンジェス</t>
    <phoneticPr fontId="2"/>
  </si>
  <si>
    <t>シェアリングテクノロジー</t>
  </si>
  <si>
    <t>抽選前</t>
    <rPh sb="0" eb="2">
      <t>チュウセン</t>
    </rPh>
    <rPh sb="2" eb="3">
      <t>マエ</t>
    </rPh>
    <phoneticPr fontId="2"/>
  </si>
  <si>
    <t>トランザス</t>
  </si>
  <si>
    <t>いちよし証券</t>
    <rPh sb="4" eb="6">
      <t>ショウケン</t>
    </rPh>
    <phoneticPr fontId="2"/>
  </si>
  <si>
    <t>トレイダーズHD</t>
    <phoneticPr fontId="2"/>
  </si>
  <si>
    <t>SBI証券</t>
    <rPh sb="3" eb="5">
      <t>ショウケン</t>
    </rPh>
    <phoneticPr fontId="2"/>
  </si>
  <si>
    <t>SMBC日興証券</t>
    <rPh sb="4" eb="6">
      <t>ニッコウ</t>
    </rPh>
    <rPh sb="6" eb="8">
      <t>ショウケン</t>
    </rPh>
    <phoneticPr fontId="2"/>
  </si>
  <si>
    <t>大和証券</t>
    <rPh sb="0" eb="2">
      <t>ダイワ</t>
    </rPh>
    <rPh sb="2" eb="4">
      <t>ショウケン</t>
    </rPh>
    <phoneticPr fontId="2"/>
  </si>
  <si>
    <t>マネックス証券</t>
    <rPh sb="5" eb="7">
      <t>ショウケン</t>
    </rPh>
    <phoneticPr fontId="2"/>
  </si>
  <si>
    <t>岡三オンライン証券</t>
    <rPh sb="0" eb="2">
      <t>オカサン</t>
    </rPh>
    <rPh sb="7" eb="9">
      <t>ショウケン</t>
    </rPh>
    <phoneticPr fontId="2"/>
  </si>
  <si>
    <t>総損益</t>
    <rPh sb="0" eb="1">
      <t>ソウ</t>
    </rPh>
    <rPh sb="1" eb="3">
      <t>ソンエキ</t>
    </rPh>
    <phoneticPr fontId="2"/>
  </si>
  <si>
    <t>譲渡益税</t>
    <rPh sb="0" eb="4">
      <t>ジョウトエキゼイ</t>
    </rPh>
    <phoneticPr fontId="2"/>
  </si>
  <si>
    <t>総計</t>
    <rPh sb="0" eb="2">
      <t>ソウケイ</t>
    </rPh>
    <phoneticPr fontId="2"/>
  </si>
  <si>
    <t>実損益</t>
    <rPh sb="0" eb="1">
      <t>ジツ</t>
    </rPh>
    <rPh sb="1" eb="2">
      <t>ソン</t>
    </rPh>
    <rPh sb="2" eb="3">
      <t>エキ</t>
    </rPh>
    <phoneticPr fontId="2"/>
  </si>
  <si>
    <t>証券口座別サマリ</t>
    <rPh sb="0" eb="2">
      <t>ショウケン</t>
    </rPh>
    <rPh sb="2" eb="4">
      <t>コウザ</t>
    </rPh>
    <rPh sb="4" eb="5">
      <t>ベツ</t>
    </rPh>
    <phoneticPr fontId="2"/>
  </si>
  <si>
    <t>年月別サマリ</t>
    <rPh sb="0" eb="2">
      <t>ネンゲツ</t>
    </rPh>
    <rPh sb="2" eb="3">
      <t>ベツ</t>
    </rPh>
    <phoneticPr fontId="2"/>
  </si>
  <si>
    <t>元本</t>
    <rPh sb="0" eb="2">
      <t>ガンポン</t>
    </rPh>
    <phoneticPr fontId="2"/>
  </si>
  <si>
    <t>残高</t>
    <rPh sb="0" eb="2">
      <t>ザンダカ</t>
    </rPh>
    <phoneticPr fontId="2"/>
  </si>
  <si>
    <t>紹介PG,3000get</t>
    <rPh sb="0" eb="2">
      <t>ショウカイ</t>
    </rPh>
    <phoneticPr fontId="2"/>
  </si>
  <si>
    <t>備考</t>
    <rPh sb="0" eb="2">
      <t>ビコウ</t>
    </rPh>
    <phoneticPr fontId="2"/>
  </si>
  <si>
    <t>誤差調整</t>
    <rPh sb="0" eb="2">
      <t>ゴサ</t>
    </rPh>
    <rPh sb="2" eb="4">
      <t>チョウセイ</t>
    </rPh>
    <phoneticPr fontId="2"/>
  </si>
  <si>
    <t>力の源HDから配当有り(1800円相当??)</t>
    <rPh sb="0" eb="1">
      <t>チカラ</t>
    </rPh>
    <rPh sb="2" eb="3">
      <t>ミナモト</t>
    </rPh>
    <rPh sb="7" eb="9">
      <t>ハイトウ</t>
    </rPh>
    <rPh sb="9" eb="10">
      <t>ア</t>
    </rPh>
    <rPh sb="16" eb="17">
      <t>エン</t>
    </rPh>
    <rPh sb="17" eb="19">
      <t>ソウトウ</t>
    </rPh>
    <phoneticPr fontId="2"/>
  </si>
  <si>
    <t>(株)ズーム</t>
    <phoneticPr fontId="3"/>
  </si>
  <si>
    <t>東証JQS</t>
    <phoneticPr fontId="2"/>
  </si>
  <si>
    <t>フルテック(株)</t>
    <phoneticPr fontId="3"/>
  </si>
  <si>
    <t>(株)リミックスポイント</t>
    <phoneticPr fontId="2"/>
  </si>
  <si>
    <t>資金拘束</t>
    <rPh sb="0" eb="2">
      <t>シキン</t>
    </rPh>
    <rPh sb="2" eb="4">
      <t>コウソク</t>
    </rPh>
    <phoneticPr fontId="2"/>
  </si>
  <si>
    <t>※拘束分含まず</t>
    <rPh sb="1" eb="3">
      <t>コウソク</t>
    </rPh>
    <rPh sb="3" eb="4">
      <t>ブン</t>
    </rPh>
    <rPh sb="4" eb="5">
      <t>フク</t>
    </rPh>
    <phoneticPr fontId="2"/>
  </si>
  <si>
    <t>※下記引用</t>
    <rPh sb="1" eb="3">
      <t>カキ</t>
    </rPh>
    <rPh sb="3" eb="5">
      <t>インヨウ</t>
    </rPh>
    <phoneticPr fontId="2"/>
  </si>
  <si>
    <t>※手動メンテ</t>
    <rPh sb="1" eb="3">
      <t>シュドウ</t>
    </rPh>
    <phoneticPr fontId="2"/>
  </si>
  <si>
    <t>なし</t>
    <phoneticPr fontId="3"/>
  </si>
  <si>
    <t>(株)ファイズ</t>
    <phoneticPr fontId="3"/>
  </si>
  <si>
    <t>(株)うるる</t>
    <phoneticPr fontId="3"/>
  </si>
  <si>
    <t>(株)ビーグリー</t>
    <phoneticPr fontId="3"/>
  </si>
  <si>
    <t>(株)日宣</t>
    <phoneticPr fontId="3"/>
  </si>
  <si>
    <t>東証JQS</t>
    <phoneticPr fontId="3"/>
  </si>
  <si>
    <t>なし</t>
    <phoneticPr fontId="3"/>
  </si>
  <si>
    <t>(株)レノバ</t>
    <phoneticPr fontId="3"/>
  </si>
  <si>
    <t>マザーズ</t>
    <phoneticPr fontId="3"/>
  </si>
  <si>
    <t>なし</t>
    <phoneticPr fontId="3"/>
  </si>
  <si>
    <t>ユナイテッド＆コレクティブ(株)</t>
    <phoneticPr fontId="3"/>
  </si>
  <si>
    <t>(株)ロコンド</t>
    <phoneticPr fontId="3"/>
  </si>
  <si>
    <t>(株)ピーバンドットコム</t>
    <phoneticPr fontId="3"/>
  </si>
  <si>
    <t>(株)ほぼ日</t>
    <phoneticPr fontId="3"/>
  </si>
  <si>
    <t>ジャパンエレベーターサービスホールディングス(株)</t>
    <phoneticPr fontId="3"/>
  </si>
  <si>
    <t>(株)力の源ホールディングス</t>
    <phoneticPr fontId="3"/>
  </si>
  <si>
    <t>(株)インターネットインフィニティー</t>
    <phoneticPr fontId="3"/>
  </si>
  <si>
    <t>マザーズ</t>
    <phoneticPr fontId="3"/>
  </si>
  <si>
    <t>東証2部</t>
    <phoneticPr fontId="3"/>
  </si>
  <si>
    <t>(株)マクロミル</t>
    <phoneticPr fontId="3"/>
  </si>
  <si>
    <t>東証1部</t>
    <phoneticPr fontId="3"/>
  </si>
  <si>
    <t>(株)グリーンズ</t>
    <phoneticPr fontId="3"/>
  </si>
  <si>
    <t>(株)オロ</t>
    <phoneticPr fontId="3"/>
  </si>
  <si>
    <t>[1:2]（17/07/27）</t>
    <phoneticPr fontId="3"/>
  </si>
  <si>
    <t>ソレイジア・ファーマ(株)</t>
    <phoneticPr fontId="3"/>
  </si>
  <si>
    <t>(株)ティーケーピー</t>
    <phoneticPr fontId="3"/>
  </si>
  <si>
    <t>[1:7]（17/08/29）</t>
    <phoneticPr fontId="3"/>
  </si>
  <si>
    <t>(株)Ｎｏ．１</t>
    <phoneticPr fontId="3"/>
  </si>
  <si>
    <t>(株)オークネット</t>
    <phoneticPr fontId="3"/>
  </si>
  <si>
    <t>(株)スシローグローバルホールディングス</t>
    <phoneticPr fontId="3"/>
  </si>
  <si>
    <t>(株)ユーザーローカル</t>
    <phoneticPr fontId="3"/>
  </si>
  <si>
    <t>(株)ネットマーケティング</t>
    <phoneticPr fontId="3"/>
  </si>
  <si>
    <t>テモナ(株)</t>
    <phoneticPr fontId="3"/>
  </si>
  <si>
    <t>ウェーブロックホールディングス(株)</t>
    <phoneticPr fontId="3"/>
  </si>
  <si>
    <t>[1:1.1]（91/03/26）</t>
    <phoneticPr fontId="3"/>
  </si>
  <si>
    <t>(株)ＬＩＸＩＬビバ</t>
    <phoneticPr fontId="3"/>
  </si>
  <si>
    <t>(株)旅工房</t>
    <phoneticPr fontId="3"/>
  </si>
  <si>
    <t>アセンテック(株)</t>
    <phoneticPr fontId="3"/>
  </si>
  <si>
    <t>(株)アエリア</t>
    <phoneticPr fontId="2"/>
  </si>
  <si>
    <t>[1:2]（17/06/28）</t>
    <phoneticPr fontId="2"/>
  </si>
  <si>
    <t>(株)アカツキ</t>
    <phoneticPr fontId="2"/>
  </si>
  <si>
    <t>マザーズ</t>
    <phoneticPr fontId="2"/>
  </si>
  <si>
    <t>なし</t>
    <phoneticPr fontId="2"/>
  </si>
  <si>
    <t>(株)メイコー</t>
    <phoneticPr fontId="2"/>
  </si>
  <si>
    <t>[1:2]（04/03/26）</t>
    <phoneticPr fontId="2"/>
  </si>
  <si>
    <t>クルーズ(株)</t>
    <phoneticPr fontId="2"/>
  </si>
  <si>
    <t>[1:100]（13/09/26）</t>
    <phoneticPr fontId="2"/>
  </si>
  <si>
    <t>サイバーステップ(株)</t>
    <phoneticPr fontId="2"/>
  </si>
  <si>
    <t>[1:0.979]（15/05/20）</t>
    <phoneticPr fontId="2"/>
  </si>
  <si>
    <t>(株)アズジェント</t>
    <phoneticPr fontId="2"/>
  </si>
  <si>
    <t>[1:100]（14/03/27）</t>
    <phoneticPr fontId="2"/>
  </si>
  <si>
    <t>[1:5]（15/07/29）</t>
    <phoneticPr fontId="2"/>
  </si>
  <si>
    <t>(株)エムアップ</t>
    <phoneticPr fontId="2"/>
  </si>
  <si>
    <t>東証1部</t>
    <phoneticPr fontId="2"/>
  </si>
  <si>
    <t>[1:2]（12/12/26）</t>
    <phoneticPr fontId="2"/>
  </si>
  <si>
    <t>(株)ビーブレイクシステムズ</t>
    <phoneticPr fontId="2"/>
  </si>
  <si>
    <t>なし</t>
    <phoneticPr fontId="2"/>
  </si>
  <si>
    <t>ディーエムソリューションズ(株)</t>
    <phoneticPr fontId="2"/>
  </si>
  <si>
    <t>なし</t>
    <phoneticPr fontId="2"/>
  </si>
  <si>
    <t>エコモット(株)</t>
    <phoneticPr fontId="2"/>
  </si>
  <si>
    <t>札幌ア</t>
    <phoneticPr fontId="2"/>
  </si>
  <si>
    <t>Ｆｒｉｎｇｅ８１(株)</t>
    <phoneticPr fontId="2"/>
  </si>
  <si>
    <t>インフォテリア(株)</t>
    <phoneticPr fontId="2"/>
  </si>
  <si>
    <t>[1:0.895]（14/05/20）</t>
    <phoneticPr fontId="2"/>
  </si>
  <si>
    <t>(株)ジーエヌアイグループ</t>
    <phoneticPr fontId="2"/>
  </si>
  <si>
    <t>なし</t>
    <phoneticPr fontId="2"/>
  </si>
  <si>
    <t>(株)ツナグ・ソリューションズ</t>
    <phoneticPr fontId="2"/>
  </si>
  <si>
    <t>(株)ＳＹＳホールディングス</t>
    <phoneticPr fontId="2"/>
  </si>
  <si>
    <t>(株)ＧａｍｅＷｉｔｈ</t>
    <phoneticPr fontId="2"/>
  </si>
  <si>
    <t>マザーズ</t>
    <phoneticPr fontId="2"/>
  </si>
  <si>
    <t>アンジェス(株)</t>
    <phoneticPr fontId="2"/>
  </si>
  <si>
    <t>[1:0.964]（14/10/20）</t>
    <phoneticPr fontId="2"/>
  </si>
  <si>
    <t>トレイダーズホールディングス(株)</t>
    <phoneticPr fontId="2"/>
  </si>
  <si>
    <t>ソウルドアウト(株)</t>
    <phoneticPr fontId="2"/>
  </si>
  <si>
    <t>なし</t>
    <phoneticPr fontId="2"/>
  </si>
</sst>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176" formatCode="\+#,##0;[Red]\-#,##0;0"/>
    <numFmt numFmtId="177" formatCode="\+0.00;[Red]\-0.00;0.00"/>
    <numFmt numFmtId="178" formatCode="m/d"/>
    <numFmt numFmtId="179" formatCode="#,##0_);[Red]\(#,##0\)"/>
    <numFmt numFmtId="180" formatCode="0.000_ "/>
    <numFmt numFmtId="181" formatCode="0_ ;[Red]\-0\ "/>
    <numFmt numFmtId="182" formatCode="#,##0.0;[Red]\-#,##0.0"/>
    <numFmt numFmtId="183" formatCode="yyyy&quot;年&quot;m&quot;月&quot;;@"/>
  </numFmts>
  <fonts count="24" x14ac:knownFonts="1">
    <font>
      <sz val="11"/>
      <color theme="1"/>
      <name val="Meiryo UI"/>
      <family val="2"/>
      <charset val="128"/>
    </font>
    <font>
      <sz val="11"/>
      <name val="ＭＳ Ｐゴシック"/>
      <family val="3"/>
      <charset val="128"/>
    </font>
    <font>
      <sz val="6"/>
      <name val="Meiryo UI"/>
      <family val="2"/>
      <charset val="128"/>
    </font>
    <font>
      <sz val="6"/>
      <name val="ＭＳ Ｐゴシック"/>
      <family val="3"/>
      <charset val="128"/>
    </font>
    <font>
      <u/>
      <sz val="11"/>
      <color indexed="12"/>
      <name val="ＭＳ Ｐゴシック"/>
      <family val="3"/>
      <charset val="128"/>
    </font>
    <font>
      <sz val="11"/>
      <color theme="1"/>
      <name val="ＭＳ Ｐゴシック"/>
      <family val="2"/>
      <charset val="128"/>
      <scheme val="minor"/>
    </font>
    <font>
      <b/>
      <i/>
      <sz val="11"/>
      <color theme="0"/>
      <name val="メイリオ"/>
      <family val="3"/>
      <charset val="128"/>
    </font>
    <font>
      <sz val="11"/>
      <color theme="1"/>
      <name val="Meiryo UI"/>
      <family val="3"/>
      <charset val="128"/>
    </font>
    <font>
      <sz val="6"/>
      <name val="ＭＳ Ｐゴシック"/>
      <family val="2"/>
      <charset val="128"/>
      <scheme val="minor"/>
    </font>
    <font>
      <b/>
      <sz val="11"/>
      <color theme="1"/>
      <name val="Meiryo UI"/>
      <family val="3"/>
      <charset val="128"/>
    </font>
    <font>
      <u/>
      <sz val="11"/>
      <color theme="10"/>
      <name val="ＭＳ Ｐゴシック"/>
      <family val="3"/>
      <charset val="128"/>
    </font>
    <font>
      <sz val="11"/>
      <color rgb="FFFF0000"/>
      <name val="Meiryo UI"/>
      <family val="3"/>
      <charset val="128"/>
    </font>
    <font>
      <b/>
      <sz val="11"/>
      <color rgb="FFFF0000"/>
      <name val="Meiryo UI"/>
      <family val="3"/>
      <charset val="128"/>
    </font>
    <font>
      <sz val="11"/>
      <color rgb="FFC00000"/>
      <name val="Meiryo UI"/>
      <family val="3"/>
      <charset val="128"/>
    </font>
    <font>
      <sz val="11"/>
      <color theme="0"/>
      <name val="Meiryo UI"/>
      <family val="3"/>
      <charset val="128"/>
    </font>
    <font>
      <b/>
      <sz val="11"/>
      <color theme="0"/>
      <name val="Meiryo UI"/>
      <family val="3"/>
      <charset val="128"/>
    </font>
    <font>
      <b/>
      <sz val="14"/>
      <color theme="0"/>
      <name val="Meiryo UI"/>
      <family val="3"/>
      <charset val="128"/>
    </font>
    <font>
      <sz val="14"/>
      <color theme="0"/>
      <name val="Meiryo UI"/>
      <family val="3"/>
      <charset val="128"/>
    </font>
    <font>
      <b/>
      <sz val="11"/>
      <color rgb="FFFFC000"/>
      <name val="Meiryo UI"/>
      <family val="3"/>
      <charset val="128"/>
    </font>
    <font>
      <b/>
      <sz val="11"/>
      <name val="Meiryo UI"/>
      <family val="3"/>
      <charset val="128"/>
    </font>
    <font>
      <b/>
      <sz val="12"/>
      <color theme="1"/>
      <name val="Meiryo UI"/>
      <family val="3"/>
      <charset val="128"/>
    </font>
    <font>
      <sz val="11"/>
      <color rgb="FFFF0000"/>
      <name val="ＭＳ Ｐゴシック"/>
      <family val="2"/>
      <charset val="128"/>
      <scheme val="minor"/>
    </font>
    <font>
      <sz val="11"/>
      <color theme="1"/>
      <name val="Meiryo UI"/>
      <family val="2"/>
      <charset val="128"/>
    </font>
    <font>
      <b/>
      <strike/>
      <sz val="11"/>
      <color rgb="FFFF0000"/>
      <name val="Meiryo UI"/>
      <family val="3"/>
      <charset val="128"/>
    </font>
  </fonts>
  <fills count="20">
    <fill>
      <patternFill patternType="none"/>
    </fill>
    <fill>
      <patternFill patternType="gray125"/>
    </fill>
    <fill>
      <patternFill patternType="solid">
        <fgColor theme="3" tint="-0.249977111117893"/>
        <bgColor indexed="64"/>
      </patternFill>
    </fill>
    <fill>
      <patternFill patternType="solid">
        <fgColor rgb="FFFFFF00"/>
        <bgColor indexed="64"/>
      </patternFill>
    </fill>
    <fill>
      <patternFill patternType="solid">
        <fgColor theme="6" tint="0.59999389629810485"/>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theme="0" tint="-0.14999847407452621"/>
        <bgColor indexed="64"/>
      </patternFill>
    </fill>
    <fill>
      <patternFill patternType="solid">
        <fgColor theme="9" tint="0.59999389629810485"/>
        <bgColor indexed="64"/>
      </patternFill>
    </fill>
    <fill>
      <patternFill patternType="solid">
        <fgColor theme="8" tint="0.59999389629810485"/>
        <bgColor indexed="64"/>
      </patternFill>
    </fill>
    <fill>
      <patternFill patternType="solid">
        <fgColor rgb="FFC00000"/>
        <bgColor indexed="64"/>
      </patternFill>
    </fill>
    <fill>
      <patternFill patternType="solid">
        <fgColor rgb="FF002060"/>
        <bgColor indexed="64"/>
      </patternFill>
    </fill>
    <fill>
      <patternFill patternType="solid">
        <fgColor theme="0"/>
        <bgColor indexed="64"/>
      </patternFill>
    </fill>
    <fill>
      <patternFill patternType="solid">
        <fgColor theme="8" tint="0.79998168889431442"/>
        <bgColor indexed="64"/>
      </patternFill>
    </fill>
    <fill>
      <patternFill patternType="solid">
        <fgColor rgb="FF16365C"/>
        <bgColor indexed="64"/>
      </patternFill>
    </fill>
    <fill>
      <patternFill patternType="solid">
        <fgColor theme="7" tint="0.79998168889431442"/>
        <bgColor indexed="64"/>
      </patternFill>
    </fill>
    <fill>
      <patternFill patternType="solid">
        <fgColor rgb="FFFF0000"/>
        <bgColor indexed="64"/>
      </patternFill>
    </fill>
    <fill>
      <patternFill patternType="solid">
        <fgColor theme="5" tint="0.79998168889431442"/>
        <bgColor indexed="64"/>
      </patternFill>
    </fill>
    <fill>
      <patternFill patternType="solid">
        <fgColor rgb="FF92D050"/>
        <bgColor indexed="64"/>
      </patternFill>
    </fill>
  </fills>
  <borders count="61">
    <border>
      <left/>
      <right/>
      <top/>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auto="1"/>
      </left>
      <right style="thin">
        <color auto="1"/>
      </right>
      <top style="thin">
        <color auto="1"/>
      </top>
      <bottom style="double">
        <color indexed="64"/>
      </bottom>
      <diagonal/>
    </border>
    <border>
      <left style="thin">
        <color auto="1"/>
      </left>
      <right style="thin">
        <color auto="1"/>
      </right>
      <top/>
      <bottom style="double">
        <color indexed="64"/>
      </bottom>
      <diagonal/>
    </border>
    <border>
      <left style="thin">
        <color indexed="64"/>
      </left>
      <right style="thin">
        <color indexed="64"/>
      </right>
      <top style="double">
        <color indexed="64"/>
      </top>
      <bottom style="hair">
        <color indexed="64"/>
      </bottom>
      <diagonal/>
    </border>
    <border>
      <left style="thin">
        <color auto="1"/>
      </left>
      <right/>
      <top/>
      <bottom style="hair">
        <color auto="1"/>
      </bottom>
      <diagonal/>
    </border>
    <border>
      <left style="thin">
        <color indexed="64"/>
      </left>
      <right style="thin">
        <color indexed="64"/>
      </right>
      <top/>
      <bottom style="hair">
        <color auto="1"/>
      </bottom>
      <diagonal/>
    </border>
    <border>
      <left style="thin">
        <color auto="1"/>
      </left>
      <right style="thin">
        <color auto="1"/>
      </right>
      <top style="hair">
        <color auto="1"/>
      </top>
      <bottom style="hair">
        <color auto="1"/>
      </bottom>
      <diagonal/>
    </border>
    <border>
      <left style="thin">
        <color auto="1"/>
      </left>
      <right/>
      <top style="hair">
        <color auto="1"/>
      </top>
      <bottom style="hair">
        <color auto="1"/>
      </bottom>
      <diagonal/>
    </border>
    <border>
      <left style="thin">
        <color auto="1"/>
      </left>
      <right style="thin">
        <color auto="1"/>
      </right>
      <top style="hair">
        <color auto="1"/>
      </top>
      <bottom style="thin">
        <color auto="1"/>
      </bottom>
      <diagonal/>
    </border>
    <border>
      <left style="thin">
        <color indexed="64"/>
      </left>
      <right style="thin">
        <color indexed="64"/>
      </right>
      <top style="hair">
        <color indexed="64"/>
      </top>
      <bottom/>
      <diagonal/>
    </border>
    <border>
      <left/>
      <right/>
      <top/>
      <bottom style="thin">
        <color auto="1"/>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hair">
        <color auto="1"/>
      </bottom>
      <diagonal/>
    </border>
    <border>
      <left/>
      <right/>
      <top style="hair">
        <color auto="1"/>
      </top>
      <bottom/>
      <diagonal/>
    </border>
    <border>
      <left/>
      <right/>
      <top style="hair">
        <color auto="1"/>
      </top>
      <bottom style="hair">
        <color auto="1"/>
      </bottom>
      <diagonal/>
    </border>
    <border diagonalUp="1">
      <left style="thin">
        <color auto="1"/>
      </left>
      <right style="medium">
        <color indexed="64"/>
      </right>
      <top style="thin">
        <color auto="1"/>
      </top>
      <bottom style="medium">
        <color indexed="64"/>
      </bottom>
      <diagonal style="thin">
        <color auto="1"/>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style="medium">
        <color indexed="64"/>
      </left>
      <right style="medium">
        <color indexed="64"/>
      </right>
      <top style="medium">
        <color indexed="64"/>
      </top>
      <bottom style="hair">
        <color auto="1"/>
      </bottom>
      <diagonal/>
    </border>
    <border>
      <left/>
      <right style="thin">
        <color indexed="64"/>
      </right>
      <top/>
      <bottom style="hair">
        <color auto="1"/>
      </bottom>
      <diagonal/>
    </border>
    <border>
      <left style="medium">
        <color indexed="64"/>
      </left>
      <right style="medium">
        <color indexed="64"/>
      </right>
      <top style="hair">
        <color auto="1"/>
      </top>
      <bottom style="hair">
        <color auto="1"/>
      </bottom>
      <diagonal/>
    </border>
    <border>
      <left/>
      <right style="thin">
        <color auto="1"/>
      </right>
      <top style="hair">
        <color auto="1"/>
      </top>
      <bottom style="hair">
        <color auto="1"/>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hair">
        <color auto="1"/>
      </top>
      <bottom style="medium">
        <color indexed="64"/>
      </bottom>
      <diagonal/>
    </border>
    <border>
      <left/>
      <right style="thin">
        <color auto="1"/>
      </right>
      <top style="hair">
        <color auto="1"/>
      </top>
      <bottom style="thin">
        <color auto="1"/>
      </bottom>
      <diagonal/>
    </border>
    <border>
      <left style="medium">
        <color indexed="64"/>
      </left>
      <right style="medium">
        <color indexed="64"/>
      </right>
      <top/>
      <bottom style="medium">
        <color indexed="64"/>
      </bottom>
      <diagonal/>
    </border>
    <border>
      <left style="medium">
        <color indexed="64"/>
      </left>
      <right style="thin">
        <color auto="1"/>
      </right>
      <top style="medium">
        <color indexed="64"/>
      </top>
      <bottom style="hair">
        <color auto="1"/>
      </bottom>
      <diagonal/>
    </border>
    <border>
      <left style="thin">
        <color auto="1"/>
      </left>
      <right style="medium">
        <color indexed="64"/>
      </right>
      <top style="medium">
        <color indexed="64"/>
      </top>
      <bottom style="hair">
        <color auto="1"/>
      </bottom>
      <diagonal/>
    </border>
    <border>
      <left style="medium">
        <color indexed="64"/>
      </left>
      <right style="thin">
        <color auto="1"/>
      </right>
      <top style="hair">
        <color auto="1"/>
      </top>
      <bottom/>
      <diagonal/>
    </border>
    <border>
      <left style="thin">
        <color auto="1"/>
      </left>
      <right style="medium">
        <color indexed="64"/>
      </right>
      <top style="hair">
        <color auto="1"/>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double">
        <color indexed="64"/>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style="thin">
        <color auto="1"/>
      </left>
      <right style="thin">
        <color auto="1"/>
      </right>
      <top style="thin">
        <color auto="1"/>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double">
        <color indexed="64"/>
      </top>
      <bottom style="hair">
        <color indexed="64"/>
      </bottom>
      <diagonal/>
    </border>
    <border>
      <left style="thin">
        <color auto="1"/>
      </left>
      <right/>
      <top style="thin">
        <color auto="1"/>
      </top>
      <bottom style="double">
        <color indexed="64"/>
      </bottom>
      <diagonal/>
    </border>
    <border>
      <left/>
      <right style="thin">
        <color auto="1"/>
      </right>
      <top style="thin">
        <color auto="1"/>
      </top>
      <bottom style="double">
        <color indexed="64"/>
      </bottom>
      <diagonal/>
    </border>
  </borders>
  <cellStyleXfs count="9">
    <xf numFmtId="0" fontId="0" fillId="0" borderId="0">
      <alignment vertical="center"/>
    </xf>
    <xf numFmtId="0" fontId="1" fillId="0" borderId="0"/>
    <xf numFmtId="0" fontId="4" fillId="0" borderId="0" applyNumberFormat="0" applyFill="0" applyBorder="0" applyAlignment="0" applyProtection="0">
      <alignment vertical="top"/>
      <protection locked="0"/>
    </xf>
    <xf numFmtId="0" fontId="5" fillId="0" borderId="0">
      <alignment vertical="center"/>
    </xf>
    <xf numFmtId="38" fontId="5" fillId="0" borderId="0" applyFont="0" applyFill="0" applyBorder="0" applyAlignment="0" applyProtection="0">
      <alignment vertical="center"/>
    </xf>
    <xf numFmtId="0" fontId="10" fillId="0" borderId="0" applyNumberFormat="0" applyFill="0" applyBorder="0" applyAlignment="0" applyProtection="0">
      <alignment vertical="top"/>
      <protection locked="0"/>
    </xf>
    <xf numFmtId="9" fontId="5" fillId="0" borderId="0" applyFont="0" applyFill="0" applyBorder="0" applyAlignment="0" applyProtection="0">
      <alignment vertical="center"/>
    </xf>
    <xf numFmtId="38" fontId="22" fillId="0" borderId="0" applyFont="0" applyFill="0" applyBorder="0" applyAlignment="0" applyProtection="0">
      <alignment vertical="center"/>
    </xf>
    <xf numFmtId="9" fontId="22" fillId="0" borderId="0" applyFont="0" applyFill="0" applyBorder="0" applyAlignment="0" applyProtection="0">
      <alignment vertical="center"/>
    </xf>
  </cellStyleXfs>
  <cellXfs count="409">
    <xf numFmtId="0" fontId="0" fillId="0" borderId="0" xfId="0">
      <alignment vertical="center"/>
    </xf>
    <xf numFmtId="0" fontId="1" fillId="0" borderId="0" xfId="1"/>
    <xf numFmtId="0" fontId="1" fillId="0" borderId="0" xfId="1" applyNumberFormat="1"/>
    <xf numFmtId="0" fontId="4" fillId="0" borderId="0" xfId="2" applyAlignment="1" applyProtection="1"/>
    <xf numFmtId="0" fontId="1" fillId="0" borderId="0" xfId="1" applyAlignment="1">
      <alignment wrapText="1"/>
    </xf>
    <xf numFmtId="3" fontId="1" fillId="0" borderId="0" xfId="1" applyNumberFormat="1"/>
    <xf numFmtId="3" fontId="1" fillId="0" borderId="0" xfId="1" applyNumberFormat="1" applyAlignment="1">
      <alignment wrapText="1"/>
    </xf>
    <xf numFmtId="176" fontId="1" fillId="0" borderId="0" xfId="1" applyNumberFormat="1"/>
    <xf numFmtId="177" fontId="1" fillId="0" borderId="0" xfId="1" applyNumberFormat="1"/>
    <xf numFmtId="178" fontId="1" fillId="0" borderId="0" xfId="1" applyNumberFormat="1" applyAlignment="1">
      <alignment wrapText="1"/>
    </xf>
    <xf numFmtId="20" fontId="1" fillId="0" borderId="0" xfId="1" applyNumberFormat="1"/>
    <xf numFmtId="178" fontId="1" fillId="0" borderId="0" xfId="1" applyNumberFormat="1"/>
    <xf numFmtId="0" fontId="7" fillId="0" borderId="0" xfId="3" applyFont="1" applyAlignment="1">
      <alignment horizontal="center" vertical="center"/>
    </xf>
    <xf numFmtId="0" fontId="7" fillId="0" borderId="0" xfId="3" applyFont="1" applyAlignment="1">
      <alignment horizontal="right" vertical="center"/>
    </xf>
    <xf numFmtId="0" fontId="7" fillId="0" borderId="0" xfId="3" applyFont="1" applyAlignment="1">
      <alignment horizontal="left" vertical="center"/>
    </xf>
    <xf numFmtId="38" fontId="7" fillId="0" borderId="0" xfId="4" applyFont="1" applyAlignment="1">
      <alignment horizontal="center" vertical="center"/>
    </xf>
    <xf numFmtId="0" fontId="9" fillId="3" borderId="1" xfId="3" applyFont="1" applyFill="1" applyBorder="1" applyAlignment="1">
      <alignment horizontal="center" vertical="center"/>
    </xf>
    <xf numFmtId="38" fontId="9" fillId="3" borderId="2" xfId="4" applyFont="1" applyFill="1" applyBorder="1" applyAlignment="1">
      <alignment horizontal="center" vertical="center"/>
    </xf>
    <xf numFmtId="38" fontId="9" fillId="3" borderId="3" xfId="4" applyFont="1" applyFill="1" applyBorder="1" applyAlignment="1">
      <alignment horizontal="center" vertical="center"/>
    </xf>
    <xf numFmtId="38" fontId="9" fillId="3" borderId="4" xfId="4" applyFont="1" applyFill="1" applyBorder="1" applyAlignment="1">
      <alignment horizontal="center" vertical="center"/>
    </xf>
    <xf numFmtId="14" fontId="7" fillId="0" borderId="0" xfId="3" applyNumberFormat="1" applyFont="1" applyAlignment="1">
      <alignment horizontal="left" vertical="center"/>
    </xf>
    <xf numFmtId="14" fontId="7" fillId="0" borderId="0" xfId="3" applyNumberFormat="1" applyFont="1" applyAlignment="1">
      <alignment horizontal="center" vertical="center"/>
    </xf>
    <xf numFmtId="179" fontId="7" fillId="0" borderId="0" xfId="3" applyNumberFormat="1" applyFont="1" applyAlignment="1">
      <alignment horizontal="center" vertical="center"/>
    </xf>
    <xf numFmtId="0" fontId="9" fillId="0" borderId="0" xfId="3" applyFont="1" applyFill="1" applyAlignment="1">
      <alignment horizontal="center" vertical="center"/>
    </xf>
    <xf numFmtId="38" fontId="9" fillId="0" borderId="0" xfId="3" applyNumberFormat="1" applyFont="1" applyFill="1" applyAlignment="1">
      <alignment horizontal="center" vertical="center"/>
    </xf>
    <xf numFmtId="3" fontId="7" fillId="0" borderId="0" xfId="3" applyNumberFormat="1" applyFont="1" applyAlignment="1">
      <alignment horizontal="center" vertical="center"/>
    </xf>
    <xf numFmtId="0" fontId="9" fillId="4" borderId="5" xfId="3" applyFont="1" applyFill="1" applyBorder="1" applyAlignment="1">
      <alignment horizontal="center" vertical="center"/>
    </xf>
    <xf numFmtId="38" fontId="9" fillId="4" borderId="5" xfId="4" applyFont="1" applyFill="1" applyBorder="1" applyAlignment="1">
      <alignment horizontal="center" vertical="center"/>
    </xf>
    <xf numFmtId="0" fontId="10" fillId="5" borderId="6" xfId="5" applyFill="1" applyBorder="1" applyAlignment="1" applyProtection="1">
      <alignment horizontal="center" vertical="center"/>
    </xf>
    <xf numFmtId="0" fontId="10" fillId="5" borderId="5" xfId="5" applyFill="1" applyBorder="1" applyAlignment="1" applyProtection="1">
      <alignment horizontal="center" vertical="center"/>
    </xf>
    <xf numFmtId="179" fontId="9" fillId="4" borderId="5" xfId="3" applyNumberFormat="1" applyFont="1" applyFill="1" applyBorder="1" applyAlignment="1">
      <alignment horizontal="center" vertical="center"/>
    </xf>
    <xf numFmtId="0" fontId="7" fillId="3" borderId="5" xfId="3" applyFont="1" applyFill="1" applyBorder="1" applyAlignment="1">
      <alignment horizontal="center" vertical="center"/>
    </xf>
    <xf numFmtId="0" fontId="7" fillId="0" borderId="8" xfId="3" applyFont="1" applyBorder="1" applyAlignment="1">
      <alignment horizontal="center" vertical="center"/>
    </xf>
    <xf numFmtId="0" fontId="7" fillId="0" borderId="7" xfId="3" applyFont="1" applyBorder="1" applyAlignment="1">
      <alignment horizontal="center" vertical="center"/>
    </xf>
    <xf numFmtId="0" fontId="7" fillId="0" borderId="9" xfId="3" applyFont="1" applyBorder="1" applyAlignment="1">
      <alignment horizontal="center" vertical="center"/>
    </xf>
    <xf numFmtId="0" fontId="7" fillId="0" borderId="11" xfId="3" applyFont="1" applyBorder="1" applyAlignment="1">
      <alignment horizontal="center" vertical="center"/>
    </xf>
    <xf numFmtId="0" fontId="7" fillId="0" borderId="10" xfId="3" applyFont="1" applyBorder="1" applyAlignment="1">
      <alignment horizontal="center" vertical="center"/>
    </xf>
    <xf numFmtId="0" fontId="7" fillId="0" borderId="12" xfId="3" applyFont="1" applyBorder="1" applyAlignment="1">
      <alignment horizontal="center" vertical="center"/>
    </xf>
    <xf numFmtId="0" fontId="10" fillId="0" borderId="0" xfId="5" applyAlignment="1" applyProtection="1">
      <alignment horizontal="left" vertical="center"/>
    </xf>
    <xf numFmtId="0" fontId="7" fillId="7" borderId="10" xfId="3" applyFont="1" applyFill="1" applyBorder="1" applyAlignment="1">
      <alignment horizontal="center" vertical="center"/>
    </xf>
    <xf numFmtId="14" fontId="7" fillId="7" borderId="10" xfId="3" applyNumberFormat="1" applyFont="1" applyFill="1" applyBorder="1" applyAlignment="1">
      <alignment horizontal="center" vertical="center"/>
    </xf>
    <xf numFmtId="38" fontId="12" fillId="7" borderId="10" xfId="4" applyFont="1" applyFill="1" applyBorder="1" applyAlignment="1">
      <alignment horizontal="center" vertical="center"/>
    </xf>
    <xf numFmtId="0" fontId="11" fillId="7" borderId="10" xfId="3" applyFont="1" applyFill="1" applyBorder="1" applyAlignment="1">
      <alignment horizontal="center" vertical="center"/>
    </xf>
    <xf numFmtId="179" fontId="7" fillId="7" borderId="10" xfId="3" applyNumberFormat="1" applyFont="1" applyFill="1" applyBorder="1" applyAlignment="1">
      <alignment horizontal="center" vertical="center"/>
    </xf>
    <xf numFmtId="38" fontId="7" fillId="7" borderId="10" xfId="4" applyFont="1" applyFill="1" applyBorder="1" applyAlignment="1">
      <alignment horizontal="center" vertical="center"/>
    </xf>
    <xf numFmtId="0" fontId="7" fillId="7" borderId="13" xfId="3" applyFont="1" applyFill="1" applyBorder="1" applyAlignment="1">
      <alignment horizontal="center" vertical="center"/>
    </xf>
    <xf numFmtId="14" fontId="7" fillId="7" borderId="13" xfId="3" applyNumberFormat="1" applyFont="1" applyFill="1" applyBorder="1" applyAlignment="1">
      <alignment horizontal="center" vertical="center"/>
    </xf>
    <xf numFmtId="38" fontId="12" fillId="7" borderId="13" xfId="4" applyFont="1" applyFill="1" applyBorder="1" applyAlignment="1">
      <alignment horizontal="center" vertical="center"/>
    </xf>
    <xf numFmtId="179" fontId="7" fillId="7" borderId="13" xfId="3" applyNumberFormat="1" applyFont="1" applyFill="1" applyBorder="1" applyAlignment="1">
      <alignment horizontal="center" vertical="center"/>
    </xf>
    <xf numFmtId="0" fontId="7" fillId="0" borderId="13" xfId="3" applyFont="1" applyBorder="1" applyAlignment="1">
      <alignment horizontal="center" vertical="center"/>
    </xf>
    <xf numFmtId="14" fontId="7" fillId="0" borderId="13" xfId="3" applyNumberFormat="1" applyFont="1" applyBorder="1" applyAlignment="1">
      <alignment horizontal="center" vertical="center"/>
    </xf>
    <xf numFmtId="38" fontId="7" fillId="0" borderId="13" xfId="4" applyFont="1" applyBorder="1" applyAlignment="1">
      <alignment horizontal="center" vertical="center"/>
    </xf>
    <xf numFmtId="0" fontId="7" fillId="8" borderId="10" xfId="3" applyFont="1" applyFill="1" applyBorder="1" applyAlignment="1">
      <alignment horizontal="center" vertical="center"/>
    </xf>
    <xf numFmtId="179" fontId="7" fillId="0" borderId="13" xfId="3" applyNumberFormat="1" applyFont="1" applyBorder="1" applyAlignment="1">
      <alignment horizontal="center" vertical="center"/>
    </xf>
    <xf numFmtId="14" fontId="7" fillId="0" borderId="10" xfId="3" applyNumberFormat="1" applyFont="1" applyBorder="1" applyAlignment="1">
      <alignment horizontal="center" vertical="center"/>
    </xf>
    <xf numFmtId="38" fontId="7" fillId="0" borderId="10" xfId="4" applyFont="1" applyBorder="1" applyAlignment="1">
      <alignment horizontal="center" vertical="center"/>
    </xf>
    <xf numFmtId="179" fontId="7" fillId="0" borderId="10" xfId="3" applyNumberFormat="1" applyFont="1" applyBorder="1" applyAlignment="1">
      <alignment horizontal="center" vertical="center"/>
    </xf>
    <xf numFmtId="38" fontId="13" fillId="0" borderId="0" xfId="4" applyFont="1" applyAlignment="1">
      <alignment horizontal="center" vertical="center"/>
    </xf>
    <xf numFmtId="181" fontId="7" fillId="0" borderId="0" xfId="3" applyNumberFormat="1" applyFont="1" applyAlignment="1">
      <alignment horizontal="center" vertical="center"/>
    </xf>
    <xf numFmtId="38" fontId="12" fillId="0" borderId="0" xfId="4" applyFont="1" applyAlignment="1">
      <alignment horizontal="left" vertical="center"/>
    </xf>
    <xf numFmtId="0" fontId="7" fillId="0" borderId="0" xfId="3" applyFont="1">
      <alignment vertical="center"/>
    </xf>
    <xf numFmtId="0" fontId="9" fillId="7" borderId="0" xfId="3" applyFont="1" applyFill="1" applyAlignment="1">
      <alignment horizontal="center" vertical="center"/>
    </xf>
    <xf numFmtId="0" fontId="9" fillId="0" borderId="16" xfId="3" applyFont="1" applyFill="1" applyBorder="1" applyAlignment="1">
      <alignment horizontal="center" vertical="center"/>
    </xf>
    <xf numFmtId="181" fontId="7" fillId="10" borderId="7" xfId="3" applyNumberFormat="1" applyFont="1" applyFill="1" applyBorder="1" applyAlignment="1">
      <alignment horizontal="center" vertical="center"/>
    </xf>
    <xf numFmtId="0" fontId="14" fillId="11" borderId="7" xfId="3" applyFont="1" applyFill="1" applyBorder="1" applyAlignment="1">
      <alignment horizontal="center" vertical="center"/>
    </xf>
    <xf numFmtId="38" fontId="14" fillId="11" borderId="7" xfId="3" applyNumberFormat="1" applyFont="1" applyFill="1" applyBorder="1" applyAlignment="1">
      <alignment horizontal="center" vertical="center"/>
    </xf>
    <xf numFmtId="3" fontId="14" fillId="11" borderId="7" xfId="4" applyNumberFormat="1" applyFont="1" applyFill="1" applyBorder="1" applyAlignment="1">
      <alignment horizontal="center" vertical="center"/>
    </xf>
    <xf numFmtId="14" fontId="9" fillId="0" borderId="0" xfId="3" applyNumberFormat="1" applyFont="1" applyFill="1" applyAlignment="1">
      <alignment horizontal="center" vertical="center"/>
    </xf>
    <xf numFmtId="181" fontId="7" fillId="10" borderId="10" xfId="3" applyNumberFormat="1" applyFont="1" applyFill="1" applyBorder="1" applyAlignment="1">
      <alignment horizontal="center" vertical="center"/>
    </xf>
    <xf numFmtId="0" fontId="14" fillId="11" borderId="10" xfId="3" applyFont="1" applyFill="1" applyBorder="1" applyAlignment="1">
      <alignment horizontal="center" vertical="center"/>
    </xf>
    <xf numFmtId="38" fontId="14" fillId="11" borderId="10" xfId="3" applyNumberFormat="1" applyFont="1" applyFill="1" applyBorder="1" applyAlignment="1">
      <alignment horizontal="center" vertical="center"/>
    </xf>
    <xf numFmtId="3" fontId="14" fillId="11" borderId="10" xfId="4" applyNumberFormat="1" applyFont="1" applyFill="1" applyBorder="1" applyAlignment="1">
      <alignment horizontal="center" vertical="center"/>
    </xf>
    <xf numFmtId="181" fontId="7" fillId="3" borderId="10" xfId="3" applyNumberFormat="1" applyFont="1" applyFill="1" applyBorder="1" applyAlignment="1">
      <alignment horizontal="center" vertical="center"/>
    </xf>
    <xf numFmtId="0" fontId="14" fillId="12" borderId="10" xfId="3" applyFont="1" applyFill="1" applyBorder="1" applyAlignment="1">
      <alignment horizontal="center" vertical="center"/>
    </xf>
    <xf numFmtId="38" fontId="14" fillId="12" borderId="10" xfId="3" applyNumberFormat="1" applyFont="1" applyFill="1" applyBorder="1" applyAlignment="1">
      <alignment horizontal="center" vertical="center"/>
    </xf>
    <xf numFmtId="3" fontId="14" fillId="12" borderId="10" xfId="4" applyNumberFormat="1" applyFont="1" applyFill="1" applyBorder="1" applyAlignment="1">
      <alignment horizontal="center" vertical="center"/>
    </xf>
    <xf numFmtId="0" fontId="14" fillId="12" borderId="13" xfId="3" applyFont="1" applyFill="1" applyBorder="1" applyAlignment="1">
      <alignment horizontal="center" vertical="center"/>
    </xf>
    <xf numFmtId="38" fontId="14" fillId="12" borderId="13" xfId="3" applyNumberFormat="1" applyFont="1" applyFill="1" applyBorder="1" applyAlignment="1">
      <alignment horizontal="center" vertical="center"/>
    </xf>
    <xf numFmtId="3" fontId="14" fillId="12" borderId="13" xfId="4" applyNumberFormat="1" applyFont="1" applyFill="1" applyBorder="1" applyAlignment="1">
      <alignment horizontal="center" vertical="center"/>
    </xf>
    <xf numFmtId="14" fontId="9" fillId="0" borderId="17" xfId="3" applyNumberFormat="1" applyFont="1" applyFill="1" applyBorder="1" applyAlignment="1">
      <alignment horizontal="center" vertical="center"/>
    </xf>
    <xf numFmtId="38" fontId="7" fillId="0" borderId="17" xfId="4" applyFont="1" applyBorder="1" applyAlignment="1">
      <alignment horizontal="center" vertical="center"/>
    </xf>
    <xf numFmtId="14" fontId="9" fillId="0" borderId="18" xfId="3" applyNumberFormat="1" applyFont="1" applyFill="1" applyBorder="1" applyAlignment="1">
      <alignment horizontal="center" vertical="center"/>
    </xf>
    <xf numFmtId="38" fontId="7" fillId="0" borderId="18" xfId="4" applyFont="1" applyBorder="1" applyAlignment="1">
      <alignment horizontal="center" vertical="center"/>
    </xf>
    <xf numFmtId="180" fontId="7" fillId="0" borderId="9" xfId="3" applyNumberFormat="1" applyFont="1" applyFill="1" applyBorder="1" applyAlignment="1">
      <alignment horizontal="center" vertical="center"/>
    </xf>
    <xf numFmtId="0" fontId="7" fillId="0" borderId="9" xfId="3" applyFont="1" applyFill="1" applyBorder="1" applyAlignment="1">
      <alignment horizontal="center" vertical="center"/>
    </xf>
    <xf numFmtId="179" fontId="7" fillId="0" borderId="9" xfId="3" applyNumberFormat="1" applyFont="1" applyFill="1" applyBorder="1" applyAlignment="1">
      <alignment horizontal="center" vertical="center"/>
    </xf>
    <xf numFmtId="38" fontId="7" fillId="0" borderId="9" xfId="4" applyFont="1" applyFill="1" applyBorder="1" applyAlignment="1">
      <alignment horizontal="center" vertical="center"/>
    </xf>
    <xf numFmtId="14" fontId="7" fillId="0" borderId="9" xfId="3" applyNumberFormat="1" applyFont="1" applyFill="1" applyBorder="1" applyAlignment="1">
      <alignment horizontal="center" vertical="center"/>
    </xf>
    <xf numFmtId="38" fontId="7" fillId="0" borderId="9" xfId="3" applyNumberFormat="1" applyFont="1" applyFill="1" applyBorder="1" applyAlignment="1">
      <alignment horizontal="center" vertical="center"/>
    </xf>
    <xf numFmtId="181" fontId="7" fillId="0" borderId="9" xfId="3" applyNumberFormat="1" applyFont="1" applyFill="1" applyBorder="1" applyAlignment="1">
      <alignment horizontal="center" vertical="center"/>
    </xf>
    <xf numFmtId="3" fontId="7" fillId="0" borderId="9" xfId="4" applyNumberFormat="1" applyFont="1" applyBorder="1" applyAlignment="1">
      <alignment horizontal="center" vertical="center"/>
    </xf>
    <xf numFmtId="0" fontId="7" fillId="0" borderId="10" xfId="3" applyFont="1" applyFill="1" applyBorder="1" applyAlignment="1">
      <alignment horizontal="center" vertical="center"/>
    </xf>
    <xf numFmtId="179" fontId="7" fillId="0" borderId="10" xfId="3" applyNumberFormat="1" applyFont="1" applyFill="1" applyBorder="1" applyAlignment="1">
      <alignment horizontal="center" vertical="center"/>
    </xf>
    <xf numFmtId="38" fontId="7" fillId="0" borderId="10" xfId="4" applyFont="1" applyFill="1" applyBorder="1" applyAlignment="1">
      <alignment horizontal="center" vertical="center"/>
    </xf>
    <xf numFmtId="14" fontId="7" fillId="0" borderId="10" xfId="3" applyNumberFormat="1" applyFont="1" applyFill="1" applyBorder="1" applyAlignment="1">
      <alignment horizontal="center" vertical="center"/>
    </xf>
    <xf numFmtId="38" fontId="7" fillId="0" borderId="10" xfId="3" applyNumberFormat="1" applyFont="1" applyFill="1" applyBorder="1" applyAlignment="1">
      <alignment horizontal="center" vertical="center"/>
    </xf>
    <xf numFmtId="181" fontId="7" fillId="0" borderId="10" xfId="3" applyNumberFormat="1" applyFont="1" applyFill="1" applyBorder="1" applyAlignment="1">
      <alignment horizontal="center" vertical="center"/>
    </xf>
    <xf numFmtId="38" fontId="7" fillId="0" borderId="10" xfId="3" applyNumberFormat="1" applyFont="1" applyBorder="1" applyAlignment="1">
      <alignment horizontal="center" vertical="center"/>
    </xf>
    <xf numFmtId="3" fontId="7" fillId="0" borderId="10" xfId="4" applyNumberFormat="1" applyFont="1" applyBorder="1" applyAlignment="1">
      <alignment horizontal="center" vertical="center"/>
    </xf>
    <xf numFmtId="0" fontId="7" fillId="13" borderId="10" xfId="3" applyFont="1" applyFill="1" applyBorder="1" applyAlignment="1">
      <alignment horizontal="center" vertical="center"/>
    </xf>
    <xf numFmtId="179" fontId="7" fillId="13" borderId="10" xfId="3" applyNumberFormat="1" applyFont="1" applyFill="1" applyBorder="1" applyAlignment="1">
      <alignment horizontal="center" vertical="center"/>
    </xf>
    <xf numFmtId="38" fontId="7" fillId="13" borderId="10" xfId="4" applyFont="1" applyFill="1" applyBorder="1" applyAlignment="1">
      <alignment horizontal="center" vertical="center"/>
    </xf>
    <xf numFmtId="14" fontId="7" fillId="13" borderId="10" xfId="3" applyNumberFormat="1" applyFont="1" applyFill="1" applyBorder="1" applyAlignment="1">
      <alignment horizontal="center" vertical="center"/>
    </xf>
    <xf numFmtId="181" fontId="7" fillId="13" borderId="10" xfId="3" applyNumberFormat="1" applyFont="1" applyFill="1" applyBorder="1" applyAlignment="1">
      <alignment horizontal="center" vertical="center"/>
    </xf>
    <xf numFmtId="38" fontId="14" fillId="11" borderId="10" xfId="4" applyFont="1" applyFill="1" applyBorder="1" applyAlignment="1">
      <alignment horizontal="center" vertical="center"/>
    </xf>
    <xf numFmtId="0" fontId="11" fillId="0" borderId="0" xfId="3" applyFont="1">
      <alignment vertical="center"/>
    </xf>
    <xf numFmtId="38" fontId="7" fillId="13" borderId="10" xfId="3" applyNumberFormat="1" applyFont="1" applyFill="1" applyBorder="1" applyAlignment="1">
      <alignment horizontal="center" vertical="center"/>
    </xf>
    <xf numFmtId="38" fontId="14" fillId="12" borderId="10" xfId="4" applyFont="1" applyFill="1" applyBorder="1" applyAlignment="1">
      <alignment horizontal="center" vertical="center"/>
    </xf>
    <xf numFmtId="182" fontId="14" fillId="12" borderId="10" xfId="4" applyNumberFormat="1" applyFont="1" applyFill="1" applyBorder="1" applyAlignment="1">
      <alignment horizontal="center" vertical="center"/>
    </xf>
    <xf numFmtId="3" fontId="7" fillId="0" borderId="0" xfId="3" applyNumberFormat="1" applyFont="1">
      <alignment vertical="center"/>
    </xf>
    <xf numFmtId="40" fontId="14" fillId="12" borderId="10" xfId="4" applyNumberFormat="1" applyFont="1" applyFill="1" applyBorder="1" applyAlignment="1">
      <alignment horizontal="center" vertical="center"/>
    </xf>
    <xf numFmtId="38" fontId="13" fillId="0" borderId="10" xfId="4" applyFont="1" applyFill="1" applyBorder="1" applyAlignment="1">
      <alignment horizontal="center" vertical="center"/>
    </xf>
    <xf numFmtId="181" fontId="7" fillId="7" borderId="10" xfId="3" applyNumberFormat="1" applyFont="1" applyFill="1" applyBorder="1" applyAlignment="1">
      <alignment horizontal="center" vertical="center"/>
    </xf>
    <xf numFmtId="0" fontId="14" fillId="0" borderId="10" xfId="3" applyFont="1" applyFill="1" applyBorder="1" applyAlignment="1">
      <alignment horizontal="center" vertical="center"/>
    </xf>
    <xf numFmtId="0" fontId="7" fillId="14" borderId="10" xfId="3" applyFont="1" applyFill="1" applyBorder="1" applyAlignment="1">
      <alignment horizontal="center" vertical="center"/>
    </xf>
    <xf numFmtId="179" fontId="7" fillId="14" borderId="10" xfId="3" applyNumberFormat="1" applyFont="1" applyFill="1" applyBorder="1" applyAlignment="1">
      <alignment horizontal="center" vertical="center"/>
    </xf>
    <xf numFmtId="38" fontId="7" fillId="14" borderId="10" xfId="4" applyFont="1" applyFill="1" applyBorder="1" applyAlignment="1">
      <alignment horizontal="center" vertical="center"/>
    </xf>
    <xf numFmtId="14" fontId="7" fillId="14" borderId="10" xfId="3" applyNumberFormat="1" applyFont="1" applyFill="1" applyBorder="1" applyAlignment="1">
      <alignment horizontal="center" vertical="center"/>
    </xf>
    <xf numFmtId="38" fontId="7" fillId="14" borderId="10" xfId="3" applyNumberFormat="1" applyFont="1" applyFill="1" applyBorder="1" applyAlignment="1">
      <alignment horizontal="center" vertical="center"/>
    </xf>
    <xf numFmtId="181" fontId="7" fillId="14" borderId="10" xfId="3" applyNumberFormat="1" applyFont="1" applyFill="1" applyBorder="1" applyAlignment="1">
      <alignment horizontal="center" vertical="center"/>
    </xf>
    <xf numFmtId="0" fontId="14" fillId="14" borderId="10" xfId="3" applyFont="1" applyFill="1" applyBorder="1" applyAlignment="1">
      <alignment horizontal="center" vertical="center"/>
    </xf>
    <xf numFmtId="0" fontId="7" fillId="0" borderId="0" xfId="3" applyFont="1" applyFill="1" applyAlignment="1">
      <alignment horizontal="center" vertical="center"/>
    </xf>
    <xf numFmtId="38" fontId="7" fillId="0" borderId="0" xfId="3" applyNumberFormat="1" applyFont="1" applyAlignment="1">
      <alignment horizontal="center" vertical="center"/>
    </xf>
    <xf numFmtId="3" fontId="7" fillId="0" borderId="0" xfId="4" applyNumberFormat="1" applyFont="1" applyAlignment="1">
      <alignment horizontal="center" vertical="center"/>
    </xf>
    <xf numFmtId="38" fontId="7" fillId="0" borderId="0" xfId="4" applyFont="1" applyFill="1">
      <alignment vertical="center"/>
    </xf>
    <xf numFmtId="10" fontId="7" fillId="0" borderId="0" xfId="6" applyNumberFormat="1" applyFont="1" applyAlignment="1">
      <alignment horizontal="center" vertical="center"/>
    </xf>
    <xf numFmtId="10" fontId="7" fillId="0" borderId="0" xfId="3" applyNumberFormat="1" applyFont="1" applyAlignment="1">
      <alignment horizontal="center" vertical="center"/>
    </xf>
    <xf numFmtId="38" fontId="7" fillId="0" borderId="11" xfId="4" applyFont="1" applyFill="1" applyBorder="1" applyAlignment="1">
      <alignment horizontal="center" vertical="center"/>
    </xf>
    <xf numFmtId="38" fontId="7" fillId="0" borderId="19" xfId="4" applyFont="1" applyBorder="1" applyAlignment="1">
      <alignment horizontal="center" vertical="center"/>
    </xf>
    <xf numFmtId="38" fontId="7" fillId="0" borderId="19" xfId="4" applyFont="1" applyFill="1" applyBorder="1" applyAlignment="1">
      <alignment horizontal="center" vertical="center"/>
    </xf>
    <xf numFmtId="38" fontId="7" fillId="0" borderId="0" xfId="4" applyFont="1" applyFill="1" applyBorder="1" applyAlignment="1">
      <alignment horizontal="center" vertical="center"/>
    </xf>
    <xf numFmtId="0" fontId="14" fillId="0" borderId="0" xfId="3" applyFont="1" applyFill="1" applyAlignment="1">
      <alignment horizontal="center" vertical="center"/>
    </xf>
    <xf numFmtId="0" fontId="7" fillId="3" borderId="0" xfId="3" applyFont="1" applyFill="1" applyAlignment="1">
      <alignment horizontal="center" vertical="center"/>
    </xf>
    <xf numFmtId="0" fontId="7" fillId="0" borderId="7" xfId="3" applyFont="1" applyFill="1" applyBorder="1" applyAlignment="1">
      <alignment horizontal="center" vertical="center"/>
    </xf>
    <xf numFmtId="38" fontId="7" fillId="0" borderId="17" xfId="4" applyFont="1" applyBorder="1">
      <alignment vertical="center"/>
    </xf>
    <xf numFmtId="38" fontId="7" fillId="0" borderId="19" xfId="4" applyFont="1" applyBorder="1">
      <alignment vertical="center"/>
    </xf>
    <xf numFmtId="0" fontId="7" fillId="0" borderId="17" xfId="3" applyFont="1" applyBorder="1">
      <alignment vertical="center"/>
    </xf>
    <xf numFmtId="0" fontId="7" fillId="0" borderId="19" xfId="3" applyFont="1" applyBorder="1">
      <alignment vertical="center"/>
    </xf>
    <xf numFmtId="38" fontId="7" fillId="0" borderId="19" xfId="4" applyFont="1" applyFill="1" applyBorder="1">
      <alignment vertical="center"/>
    </xf>
    <xf numFmtId="38" fontId="7" fillId="3" borderId="19" xfId="4" applyFont="1" applyFill="1" applyBorder="1">
      <alignment vertical="center"/>
    </xf>
    <xf numFmtId="0" fontId="7" fillId="0" borderId="19" xfId="3" applyFont="1" applyFill="1" applyBorder="1">
      <alignment vertical="center"/>
    </xf>
    <xf numFmtId="0" fontId="7" fillId="3" borderId="19" xfId="3" applyFont="1" applyFill="1" applyBorder="1">
      <alignment vertical="center"/>
    </xf>
    <xf numFmtId="38" fontId="7" fillId="3" borderId="0" xfId="4" applyFont="1" applyFill="1">
      <alignment vertical="center"/>
    </xf>
    <xf numFmtId="38" fontId="7" fillId="0" borderId="0" xfId="4" applyFont="1">
      <alignment vertical="center"/>
    </xf>
    <xf numFmtId="0" fontId="7" fillId="0" borderId="0" xfId="3" applyFont="1" applyBorder="1" applyAlignment="1">
      <alignment horizontal="center" vertical="center"/>
    </xf>
    <xf numFmtId="0" fontId="7" fillId="0" borderId="20" xfId="3" applyFont="1" applyBorder="1">
      <alignment vertical="center"/>
    </xf>
    <xf numFmtId="0" fontId="15" fillId="12" borderId="21" xfId="3" applyFont="1" applyFill="1" applyBorder="1" applyAlignment="1">
      <alignment horizontal="center" vertical="center"/>
    </xf>
    <xf numFmtId="0" fontId="15" fillId="12" borderId="22" xfId="3" applyFont="1" applyFill="1" applyBorder="1" applyAlignment="1">
      <alignment horizontal="center" vertical="center"/>
    </xf>
    <xf numFmtId="0" fontId="15" fillId="12" borderId="23" xfId="3" applyFont="1" applyFill="1" applyBorder="1" applyAlignment="1">
      <alignment horizontal="center" vertical="center"/>
    </xf>
    <xf numFmtId="0" fontId="15" fillId="12" borderId="24" xfId="3" applyFont="1" applyFill="1" applyBorder="1" applyAlignment="1">
      <alignment horizontal="center" vertical="center"/>
    </xf>
    <xf numFmtId="0" fontId="15" fillId="12" borderId="0" xfId="3" applyFont="1" applyFill="1" applyBorder="1" applyAlignment="1">
      <alignment horizontal="center" vertical="center"/>
    </xf>
    <xf numFmtId="0" fontId="7" fillId="0" borderId="25" xfId="3" applyFont="1" applyBorder="1">
      <alignment vertical="center"/>
    </xf>
    <xf numFmtId="0" fontId="7" fillId="0" borderId="26" xfId="3" applyFont="1" applyBorder="1" applyAlignment="1">
      <alignment horizontal="center" vertical="center"/>
    </xf>
    <xf numFmtId="0" fontId="7" fillId="0" borderId="27" xfId="3" applyFont="1" applyBorder="1">
      <alignment vertical="center"/>
    </xf>
    <xf numFmtId="0" fontId="7" fillId="0" borderId="28" xfId="3" applyFont="1" applyBorder="1" applyAlignment="1">
      <alignment horizontal="center" vertical="center"/>
    </xf>
    <xf numFmtId="0" fontId="7" fillId="0" borderId="29" xfId="3" applyFont="1" applyBorder="1" applyAlignment="1">
      <alignment horizontal="center" vertical="center"/>
    </xf>
    <xf numFmtId="0" fontId="7" fillId="0" borderId="30" xfId="3" applyFont="1" applyBorder="1">
      <alignment vertical="center"/>
    </xf>
    <xf numFmtId="0" fontId="7" fillId="0" borderId="31" xfId="3" applyFont="1" applyBorder="1" applyAlignment="1">
      <alignment horizontal="center" vertical="center"/>
    </xf>
    <xf numFmtId="14" fontId="7" fillId="0" borderId="32" xfId="3" applyNumberFormat="1" applyFont="1" applyBorder="1">
      <alignment vertical="center"/>
    </xf>
    <xf numFmtId="0" fontId="7" fillId="0" borderId="0" xfId="3" applyFont="1" applyBorder="1">
      <alignment vertical="center"/>
    </xf>
    <xf numFmtId="14" fontId="7" fillId="0" borderId="0" xfId="3" applyNumberFormat="1" applyFont="1" applyBorder="1">
      <alignment vertical="center"/>
    </xf>
    <xf numFmtId="0" fontId="7" fillId="3" borderId="12" xfId="3" applyFont="1" applyFill="1" applyBorder="1" applyAlignment="1">
      <alignment horizontal="center" vertical="center"/>
    </xf>
    <xf numFmtId="0" fontId="7" fillId="3" borderId="26" xfId="3" applyFont="1" applyFill="1" applyBorder="1" applyAlignment="1">
      <alignment horizontal="center" vertical="center"/>
    </xf>
    <xf numFmtId="0" fontId="7" fillId="0" borderId="12" xfId="3" applyFont="1" applyFill="1" applyBorder="1" applyAlignment="1">
      <alignment horizontal="center" vertical="center"/>
    </xf>
    <xf numFmtId="0" fontId="7" fillId="3" borderId="0" xfId="3" applyFont="1" applyFill="1" applyBorder="1" applyAlignment="1">
      <alignment horizontal="center" vertical="center"/>
    </xf>
    <xf numFmtId="0" fontId="7" fillId="8" borderId="12" xfId="3" applyFont="1" applyFill="1" applyBorder="1" applyAlignment="1">
      <alignment horizontal="center" vertical="center"/>
    </xf>
    <xf numFmtId="0" fontId="7" fillId="3" borderId="10" xfId="3" applyFont="1" applyFill="1" applyBorder="1" applyAlignment="1">
      <alignment horizontal="center" vertical="center"/>
    </xf>
    <xf numFmtId="0" fontId="7" fillId="0" borderId="26" xfId="3" applyFont="1" applyFill="1" applyBorder="1" applyAlignment="1">
      <alignment horizontal="center" vertical="center"/>
    </xf>
    <xf numFmtId="0" fontId="7" fillId="0" borderId="28" xfId="3" applyFont="1" applyFill="1" applyBorder="1" applyAlignment="1">
      <alignment horizontal="center" vertical="center"/>
    </xf>
    <xf numFmtId="0" fontId="9" fillId="0" borderId="0" xfId="3" applyFont="1" applyAlignment="1">
      <alignment horizontal="right" vertical="center"/>
    </xf>
    <xf numFmtId="0" fontId="9" fillId="0" borderId="0" xfId="3" applyFont="1">
      <alignment vertical="center"/>
    </xf>
    <xf numFmtId="0" fontId="14" fillId="12" borderId="1" xfId="3" applyFont="1" applyFill="1" applyBorder="1" applyAlignment="1">
      <alignment horizontal="center" vertical="center"/>
    </xf>
    <xf numFmtId="0" fontId="14" fillId="11" borderId="4" xfId="3" applyFont="1" applyFill="1" applyBorder="1" applyAlignment="1">
      <alignment horizontal="center" vertical="center"/>
    </xf>
    <xf numFmtId="0" fontId="7" fillId="0" borderId="33" xfId="3" applyFont="1" applyBorder="1" applyAlignment="1">
      <alignment horizontal="center" vertical="center"/>
    </xf>
    <xf numFmtId="0" fontId="7" fillId="0" borderId="34" xfId="3" applyFont="1" applyBorder="1" applyAlignment="1">
      <alignment horizontal="center" vertical="center"/>
    </xf>
    <xf numFmtId="38" fontId="7" fillId="0" borderId="35" xfId="4" applyFont="1" applyBorder="1" applyAlignment="1">
      <alignment horizontal="center" vertical="center"/>
    </xf>
    <xf numFmtId="38" fontId="7" fillId="0" borderId="36" xfId="4" applyFont="1" applyBorder="1" applyAlignment="1">
      <alignment horizontal="center" vertical="center"/>
    </xf>
    <xf numFmtId="38" fontId="9" fillId="0" borderId="0" xfId="3" applyNumberFormat="1" applyFont="1">
      <alignment vertical="center"/>
    </xf>
    <xf numFmtId="38" fontId="7" fillId="0" borderId="0" xfId="3" applyNumberFormat="1" applyFont="1">
      <alignment vertical="center"/>
    </xf>
    <xf numFmtId="38" fontId="16" fillId="2" borderId="0" xfId="4" applyFont="1" applyFill="1">
      <alignment vertical="center"/>
    </xf>
    <xf numFmtId="38" fontId="17" fillId="2" borderId="0" xfId="4" applyFont="1" applyFill="1">
      <alignment vertical="center"/>
    </xf>
    <xf numFmtId="38" fontId="7" fillId="0" borderId="37" xfId="4" applyFont="1" applyBorder="1">
      <alignment vertical="center"/>
    </xf>
    <xf numFmtId="38" fontId="7" fillId="0" borderId="38" xfId="4" applyFont="1" applyBorder="1">
      <alignment vertical="center"/>
    </xf>
    <xf numFmtId="38" fontId="7" fillId="0" borderId="39" xfId="4" applyFont="1" applyBorder="1">
      <alignment vertical="center"/>
    </xf>
    <xf numFmtId="38" fontId="18" fillId="0" borderId="0" xfId="4" applyFont="1">
      <alignment vertical="center"/>
    </xf>
    <xf numFmtId="38" fontId="19" fillId="0" borderId="37" xfId="4" applyFont="1" applyBorder="1">
      <alignment vertical="center"/>
    </xf>
    <xf numFmtId="38" fontId="18" fillId="0" borderId="38" xfId="4" applyFont="1" applyBorder="1">
      <alignment vertical="center"/>
    </xf>
    <xf numFmtId="38" fontId="19" fillId="0" borderId="38" xfId="4" applyFont="1" applyBorder="1">
      <alignment vertical="center"/>
    </xf>
    <xf numFmtId="38" fontId="9" fillId="0" borderId="40" xfId="4" applyFont="1" applyBorder="1">
      <alignment vertical="center"/>
    </xf>
    <xf numFmtId="38" fontId="7" fillId="0" borderId="0" xfId="4" applyFont="1" applyBorder="1">
      <alignment vertical="center"/>
    </xf>
    <xf numFmtId="38" fontId="7" fillId="0" borderId="41" xfId="4" applyFont="1" applyBorder="1">
      <alignment vertical="center"/>
    </xf>
    <xf numFmtId="38" fontId="18" fillId="0" borderId="40" xfId="4" applyFont="1" applyBorder="1">
      <alignment vertical="center"/>
    </xf>
    <xf numFmtId="38" fontId="12" fillId="0" borderId="0" xfId="4" applyFont="1" applyBorder="1">
      <alignment vertical="center"/>
    </xf>
    <xf numFmtId="38" fontId="18" fillId="0" borderId="0" xfId="4" applyFont="1" applyBorder="1">
      <alignment vertical="center"/>
    </xf>
    <xf numFmtId="38" fontId="7" fillId="0" borderId="42" xfId="4" applyFont="1" applyBorder="1">
      <alignment vertical="center"/>
    </xf>
    <xf numFmtId="38" fontId="7" fillId="0" borderId="43" xfId="4" applyFont="1" applyBorder="1">
      <alignment vertical="center"/>
    </xf>
    <xf numFmtId="38" fontId="7" fillId="0" borderId="44" xfId="4" applyFont="1" applyBorder="1">
      <alignment vertical="center"/>
    </xf>
    <xf numFmtId="38" fontId="7" fillId="0" borderId="0" xfId="4" quotePrefix="1" applyFont="1">
      <alignment vertical="center"/>
    </xf>
    <xf numFmtId="38" fontId="7" fillId="0" borderId="40" xfId="4" applyFont="1" applyBorder="1">
      <alignment vertical="center"/>
    </xf>
    <xf numFmtId="38" fontId="12" fillId="0" borderId="43" xfId="4" applyFont="1" applyBorder="1">
      <alignment vertical="center"/>
    </xf>
    <xf numFmtId="38" fontId="12" fillId="0" borderId="0" xfId="4" applyFont="1">
      <alignment vertical="center"/>
    </xf>
    <xf numFmtId="38" fontId="7" fillId="0" borderId="0" xfId="4" applyFont="1" applyAlignment="1">
      <alignment horizontal="right" vertical="center"/>
    </xf>
    <xf numFmtId="38" fontId="7" fillId="0" borderId="0" xfId="4" quotePrefix="1" applyFont="1" applyBorder="1">
      <alignment vertical="center"/>
    </xf>
    <xf numFmtId="38" fontId="14" fillId="2" borderId="0" xfId="4" applyFont="1" applyFill="1">
      <alignment vertical="center"/>
    </xf>
    <xf numFmtId="38" fontId="15" fillId="2" borderId="0" xfId="4" applyFont="1" applyFill="1">
      <alignment vertical="center"/>
    </xf>
    <xf numFmtId="38" fontId="7" fillId="2" borderId="0" xfId="4" applyFont="1" applyFill="1">
      <alignment vertical="center"/>
    </xf>
    <xf numFmtId="38" fontId="20" fillId="0" borderId="0" xfId="4" applyFont="1">
      <alignment vertical="center"/>
    </xf>
    <xf numFmtId="38" fontId="12" fillId="0" borderId="0" xfId="4" quotePrefix="1" applyFont="1">
      <alignment vertical="center"/>
    </xf>
    <xf numFmtId="38" fontId="7" fillId="15" borderId="0" xfId="4" applyFont="1" applyFill="1">
      <alignment vertical="center"/>
    </xf>
    <xf numFmtId="0" fontId="7" fillId="0" borderId="0" xfId="3" applyFont="1" applyFill="1" applyAlignment="1">
      <alignment horizontal="left" vertical="center"/>
    </xf>
    <xf numFmtId="14" fontId="7" fillId="16" borderId="49" xfId="3" applyNumberFormat="1" applyFont="1" applyFill="1" applyBorder="1">
      <alignment vertical="center"/>
    </xf>
    <xf numFmtId="14" fontId="7" fillId="16" borderId="50" xfId="3" applyNumberFormat="1" applyFont="1" applyFill="1" applyBorder="1">
      <alignment vertical="center"/>
    </xf>
    <xf numFmtId="14" fontId="7" fillId="0" borderId="51" xfId="3" applyNumberFormat="1" applyFont="1" applyBorder="1" applyAlignment="1">
      <alignment horizontal="center" vertical="center"/>
    </xf>
    <xf numFmtId="14" fontId="7" fillId="0" borderId="52" xfId="3" applyNumberFormat="1" applyFont="1" applyFill="1" applyBorder="1" applyAlignment="1">
      <alignment horizontal="center" vertical="center"/>
    </xf>
    <xf numFmtId="14" fontId="7" fillId="0" borderId="51" xfId="3" applyNumberFormat="1" applyFont="1" applyFill="1" applyBorder="1" applyAlignment="1">
      <alignment horizontal="center" vertical="center"/>
    </xf>
    <xf numFmtId="38" fontId="7" fillId="13" borderId="7" xfId="4" applyFont="1" applyFill="1" applyBorder="1" applyAlignment="1">
      <alignment horizontal="center" vertical="center"/>
    </xf>
    <xf numFmtId="179" fontId="7" fillId="13" borderId="7" xfId="3" applyNumberFormat="1" applyFont="1" applyFill="1" applyBorder="1" applyAlignment="1">
      <alignment horizontal="center" vertical="center"/>
    </xf>
    <xf numFmtId="180" fontId="7" fillId="13" borderId="7" xfId="3" applyNumberFormat="1" applyFont="1" applyFill="1" applyBorder="1" applyAlignment="1">
      <alignment horizontal="center" vertical="center"/>
    </xf>
    <xf numFmtId="0" fontId="7" fillId="0" borderId="9" xfId="3" applyFont="1" applyBorder="1">
      <alignment vertical="center"/>
    </xf>
    <xf numFmtId="38" fontId="7" fillId="0" borderId="9" xfId="4" applyFont="1" applyBorder="1">
      <alignment vertical="center"/>
    </xf>
    <xf numFmtId="38" fontId="7" fillId="16" borderId="16" xfId="4" applyFont="1" applyFill="1" applyBorder="1">
      <alignment vertical="center"/>
    </xf>
    <xf numFmtId="38" fontId="7" fillId="16" borderId="53" xfId="4" applyFont="1" applyFill="1" applyBorder="1">
      <alignment vertical="center"/>
    </xf>
    <xf numFmtId="10" fontId="7" fillId="0" borderId="54" xfId="6" applyNumberFormat="1" applyFont="1" applyBorder="1" applyAlignment="1">
      <alignment horizontal="center" vertical="center"/>
    </xf>
    <xf numFmtId="10" fontId="7" fillId="0" borderId="0" xfId="6" applyNumberFormat="1" applyFont="1" applyFill="1" applyBorder="1" applyAlignment="1">
      <alignment horizontal="center" vertical="center"/>
    </xf>
    <xf numFmtId="10" fontId="7" fillId="0" borderId="0" xfId="6" applyNumberFormat="1" applyFont="1" applyBorder="1">
      <alignment vertical="center"/>
    </xf>
    <xf numFmtId="10" fontId="7" fillId="0" borderId="54" xfId="6" applyNumberFormat="1" applyFont="1" applyBorder="1">
      <alignment vertical="center"/>
    </xf>
    <xf numFmtId="180" fontId="7" fillId="13" borderId="10" xfId="3" applyNumberFormat="1" applyFont="1" applyFill="1" applyBorder="1" applyAlignment="1">
      <alignment horizontal="center" vertical="center"/>
    </xf>
    <xf numFmtId="0" fontId="7" fillId="0" borderId="10" xfId="3" applyFont="1" applyBorder="1">
      <alignment vertical="center"/>
    </xf>
    <xf numFmtId="38" fontId="7" fillId="0" borderId="10" xfId="4" applyFont="1" applyBorder="1">
      <alignment vertical="center"/>
    </xf>
    <xf numFmtId="38" fontId="7" fillId="16" borderId="55" xfId="4" applyFont="1" applyFill="1" applyBorder="1">
      <alignment vertical="center"/>
    </xf>
    <xf numFmtId="38" fontId="7" fillId="16" borderId="56" xfId="4" applyFont="1" applyFill="1" applyBorder="1">
      <alignment vertical="center"/>
    </xf>
    <xf numFmtId="10" fontId="7" fillId="7" borderId="57" xfId="6" applyNumberFormat="1" applyFont="1" applyFill="1" applyBorder="1" applyAlignment="1">
      <alignment horizontal="center" vertical="center"/>
    </xf>
    <xf numFmtId="10" fontId="7" fillId="7" borderId="14" xfId="6" applyNumberFormat="1" applyFont="1" applyFill="1" applyBorder="1" applyAlignment="1">
      <alignment horizontal="center" vertical="center"/>
    </xf>
    <xf numFmtId="10" fontId="14" fillId="17" borderId="57" xfId="6" applyNumberFormat="1" applyFont="1" applyFill="1" applyBorder="1" applyAlignment="1">
      <alignment horizontal="center" vertical="center"/>
    </xf>
    <xf numFmtId="10" fontId="14" fillId="17" borderId="0" xfId="4" applyNumberFormat="1" applyFont="1" applyFill="1" applyAlignment="1">
      <alignment horizontal="center" vertical="center"/>
    </xf>
    <xf numFmtId="38" fontId="7" fillId="0" borderId="0" xfId="4" applyFont="1" applyFill="1" applyAlignment="1">
      <alignment horizontal="center" vertical="center"/>
    </xf>
    <xf numFmtId="10" fontId="11" fillId="0" borderId="14" xfId="6" applyNumberFormat="1" applyFont="1" applyBorder="1">
      <alignment vertical="center"/>
    </xf>
    <xf numFmtId="10" fontId="7" fillId="0" borderId="14" xfId="6" applyNumberFormat="1" applyFont="1" applyBorder="1">
      <alignment vertical="center"/>
    </xf>
    <xf numFmtId="0" fontId="7" fillId="0" borderId="57" xfId="3" applyFont="1" applyBorder="1">
      <alignment vertical="center"/>
    </xf>
    <xf numFmtId="9" fontId="9" fillId="4" borderId="5" xfId="6" applyFont="1" applyFill="1" applyBorder="1" applyAlignment="1">
      <alignment horizontal="center" vertical="center"/>
    </xf>
    <xf numFmtId="9" fontId="15" fillId="17" borderId="5" xfId="6" applyFont="1" applyFill="1" applyBorder="1" applyAlignment="1">
      <alignment horizontal="center" vertical="center"/>
    </xf>
    <xf numFmtId="9" fontId="15" fillId="17" borderId="5" xfId="3" applyNumberFormat="1" applyFont="1" applyFill="1" applyBorder="1" applyAlignment="1">
      <alignment horizontal="center" vertical="center"/>
    </xf>
    <xf numFmtId="9" fontId="9" fillId="4" borderId="5" xfId="3" applyNumberFormat="1" applyFont="1" applyFill="1" applyBorder="1" applyAlignment="1">
      <alignment horizontal="center" vertical="center"/>
    </xf>
    <xf numFmtId="0" fontId="15" fillId="17" borderId="15" xfId="3" applyFont="1" applyFill="1" applyBorder="1" applyAlignment="1">
      <alignment horizontal="right" vertical="center"/>
    </xf>
    <xf numFmtId="38" fontId="9" fillId="0" borderId="15" xfId="4" applyFont="1" applyBorder="1" applyAlignment="1">
      <alignment horizontal="right" vertical="center"/>
    </xf>
    <xf numFmtId="38" fontId="7" fillId="0" borderId="55" xfId="4" applyFont="1" applyBorder="1" applyAlignment="1">
      <alignment horizontal="center" vertical="center"/>
    </xf>
    <xf numFmtId="0" fontId="11" fillId="0" borderId="0" xfId="3" applyFont="1" applyAlignment="1">
      <alignment horizontal="center" vertical="center"/>
    </xf>
    <xf numFmtId="0" fontId="5" fillId="0" borderId="0" xfId="3">
      <alignment vertical="center"/>
    </xf>
    <xf numFmtId="0" fontId="7" fillId="0" borderId="15" xfId="3" applyFont="1" applyBorder="1">
      <alignment vertical="center"/>
    </xf>
    <xf numFmtId="0" fontId="7" fillId="14" borderId="51" xfId="3" applyFont="1" applyFill="1" applyBorder="1">
      <alignment vertical="center"/>
    </xf>
    <xf numFmtId="0" fontId="7" fillId="14" borderId="57" xfId="3" applyFont="1" applyFill="1" applyBorder="1">
      <alignment vertical="center"/>
    </xf>
    <xf numFmtId="0" fontId="7" fillId="0" borderId="51" xfId="3" applyFont="1" applyBorder="1">
      <alignment vertical="center"/>
    </xf>
    <xf numFmtId="0" fontId="7" fillId="14" borderId="15" xfId="3" applyFont="1" applyFill="1" applyBorder="1">
      <alignment vertical="center"/>
    </xf>
    <xf numFmtId="0" fontId="7" fillId="0" borderId="49" xfId="3" applyFont="1" applyBorder="1">
      <alignment vertical="center"/>
    </xf>
    <xf numFmtId="0" fontId="7" fillId="0" borderId="16" xfId="3" applyFont="1" applyBorder="1">
      <alignment vertical="center"/>
    </xf>
    <xf numFmtId="0" fontId="7" fillId="0" borderId="55" xfId="3" applyFont="1" applyBorder="1">
      <alignment vertical="center"/>
    </xf>
    <xf numFmtId="0" fontId="7" fillId="14" borderId="49" xfId="3" applyFont="1" applyFill="1" applyBorder="1">
      <alignment vertical="center"/>
    </xf>
    <xf numFmtId="0" fontId="7" fillId="14" borderId="16" xfId="3" applyFont="1" applyFill="1" applyBorder="1">
      <alignment vertical="center"/>
    </xf>
    <xf numFmtId="0" fontId="7" fillId="14" borderId="55" xfId="3" applyFont="1" applyFill="1" applyBorder="1">
      <alignment vertical="center"/>
    </xf>
    <xf numFmtId="0" fontId="5" fillId="6" borderId="0" xfId="3" applyFill="1">
      <alignment vertical="center"/>
    </xf>
    <xf numFmtId="0" fontId="5" fillId="7" borderId="0" xfId="3" applyFill="1">
      <alignment vertical="center"/>
    </xf>
    <xf numFmtId="0" fontId="21" fillId="0" borderId="0" xfId="3" applyFont="1">
      <alignment vertical="center"/>
    </xf>
    <xf numFmtId="0" fontId="5" fillId="0" borderId="0" xfId="3" applyAlignment="1">
      <alignment horizontal="right" vertical="center"/>
    </xf>
    <xf numFmtId="3" fontId="5" fillId="0" borderId="0" xfId="3" applyNumberFormat="1">
      <alignment vertical="center"/>
    </xf>
    <xf numFmtId="0" fontId="7" fillId="18" borderId="7" xfId="3" applyFont="1" applyFill="1" applyBorder="1" applyAlignment="1">
      <alignment horizontal="center" vertical="center"/>
    </xf>
    <xf numFmtId="14" fontId="7" fillId="18" borderId="7" xfId="3" applyNumberFormat="1" applyFont="1" applyFill="1" applyBorder="1" applyAlignment="1">
      <alignment horizontal="center" vertical="center"/>
    </xf>
    <xf numFmtId="38" fontId="7" fillId="18" borderId="7" xfId="4" applyFont="1" applyFill="1" applyBorder="1" applyAlignment="1">
      <alignment horizontal="center" vertical="center"/>
    </xf>
    <xf numFmtId="180" fontId="7" fillId="18" borderId="7" xfId="3" applyNumberFormat="1" applyFont="1" applyFill="1" applyBorder="1" applyAlignment="1">
      <alignment horizontal="center" vertical="center"/>
    </xf>
    <xf numFmtId="0" fontId="11" fillId="18" borderId="7" xfId="3" applyFont="1" applyFill="1" applyBorder="1" applyAlignment="1">
      <alignment horizontal="center" vertical="center"/>
    </xf>
    <xf numFmtId="179" fontId="7" fillId="18" borderId="7" xfId="3" applyNumberFormat="1" applyFont="1" applyFill="1" applyBorder="1" applyAlignment="1">
      <alignment horizontal="center" vertical="center"/>
    </xf>
    <xf numFmtId="0" fontId="7" fillId="18" borderId="10" xfId="3" applyFont="1" applyFill="1" applyBorder="1" applyAlignment="1">
      <alignment horizontal="center" vertical="center"/>
    </xf>
    <xf numFmtId="14" fontId="7" fillId="18" borderId="10" xfId="3" applyNumberFormat="1" applyFont="1" applyFill="1" applyBorder="1" applyAlignment="1">
      <alignment horizontal="center" vertical="center"/>
    </xf>
    <xf numFmtId="38" fontId="7" fillId="18" borderId="10" xfId="4" applyFont="1" applyFill="1" applyBorder="1" applyAlignment="1">
      <alignment horizontal="center" vertical="center"/>
    </xf>
    <xf numFmtId="0" fontId="11" fillId="18" borderId="10" xfId="3" applyFont="1" applyFill="1" applyBorder="1" applyAlignment="1">
      <alignment horizontal="center" vertical="center"/>
    </xf>
    <xf numFmtId="179" fontId="7" fillId="18" borderId="10" xfId="3" applyNumberFormat="1" applyFont="1" applyFill="1" applyBorder="1" applyAlignment="1">
      <alignment horizontal="center" vertical="center"/>
    </xf>
    <xf numFmtId="0" fontId="7" fillId="18" borderId="13" xfId="3" applyFont="1" applyFill="1" applyBorder="1" applyAlignment="1">
      <alignment horizontal="center" vertical="center"/>
    </xf>
    <xf numFmtId="14" fontId="7" fillId="18" borderId="13" xfId="3" applyNumberFormat="1" applyFont="1" applyFill="1" applyBorder="1" applyAlignment="1">
      <alignment horizontal="center" vertical="center"/>
    </xf>
    <xf numFmtId="38" fontId="7" fillId="18" borderId="13" xfId="4" applyFont="1" applyFill="1" applyBorder="1" applyAlignment="1">
      <alignment horizontal="center" vertical="center"/>
    </xf>
    <xf numFmtId="179" fontId="7" fillId="18" borderId="13" xfId="3" applyNumberFormat="1" applyFont="1" applyFill="1" applyBorder="1" applyAlignment="1">
      <alignment horizontal="center" vertical="center"/>
    </xf>
    <xf numFmtId="0" fontId="11" fillId="18" borderId="13" xfId="3" applyFont="1" applyFill="1" applyBorder="1" applyAlignment="1">
      <alignment horizontal="center" vertical="center"/>
    </xf>
    <xf numFmtId="38" fontId="12" fillId="18" borderId="10" xfId="4" applyFont="1" applyFill="1" applyBorder="1" applyAlignment="1">
      <alignment horizontal="center" vertical="center"/>
    </xf>
    <xf numFmtId="0" fontId="9" fillId="18" borderId="7" xfId="3" applyFont="1" applyFill="1" applyBorder="1" applyAlignment="1">
      <alignment horizontal="center" vertical="center"/>
    </xf>
    <xf numFmtId="179" fontId="9" fillId="18" borderId="7" xfId="3" applyNumberFormat="1" applyFont="1" applyFill="1" applyBorder="1" applyAlignment="1">
      <alignment horizontal="center" vertical="center"/>
    </xf>
    <xf numFmtId="38" fontId="9" fillId="18" borderId="7" xfId="4" applyFont="1" applyFill="1" applyBorder="1" applyAlignment="1">
      <alignment horizontal="center" vertical="center"/>
    </xf>
    <xf numFmtId="14" fontId="9" fillId="18" borderId="7" xfId="3" applyNumberFormat="1" applyFont="1" applyFill="1" applyBorder="1" applyAlignment="1">
      <alignment horizontal="center" vertical="center"/>
    </xf>
    <xf numFmtId="38" fontId="9" fillId="18" borderId="7" xfId="3" applyNumberFormat="1" applyFont="1" applyFill="1" applyBorder="1" applyAlignment="1">
      <alignment horizontal="center" vertical="center"/>
    </xf>
    <xf numFmtId="181" fontId="9" fillId="18" borderId="7" xfId="3" applyNumberFormat="1" applyFont="1" applyFill="1" applyBorder="1" applyAlignment="1">
      <alignment horizontal="center" vertical="center"/>
    </xf>
    <xf numFmtId="0" fontId="9" fillId="18" borderId="10" xfId="3" applyFont="1" applyFill="1" applyBorder="1" applyAlignment="1">
      <alignment horizontal="center" vertical="center"/>
    </xf>
    <xf numFmtId="179" fontId="9" fillId="18" borderId="10" xfId="3" applyNumberFormat="1" applyFont="1" applyFill="1" applyBorder="1" applyAlignment="1">
      <alignment horizontal="center" vertical="center"/>
    </xf>
    <xf numFmtId="38" fontId="9" fillId="18" borderId="10" xfId="4" applyFont="1" applyFill="1" applyBorder="1" applyAlignment="1">
      <alignment horizontal="center" vertical="center"/>
    </xf>
    <xf numFmtId="14" fontId="9" fillId="18" borderId="10" xfId="3" applyNumberFormat="1" applyFont="1" applyFill="1" applyBorder="1" applyAlignment="1">
      <alignment horizontal="center" vertical="center"/>
    </xf>
    <xf numFmtId="38" fontId="9" fillId="18" borderId="10" xfId="3" applyNumberFormat="1" applyFont="1" applyFill="1" applyBorder="1" applyAlignment="1">
      <alignment horizontal="center" vertical="center"/>
    </xf>
    <xf numFmtId="181" fontId="9" fillId="18" borderId="10" xfId="3" applyNumberFormat="1" applyFont="1" applyFill="1" applyBorder="1" applyAlignment="1">
      <alignment horizontal="center" vertical="center"/>
    </xf>
    <xf numFmtId="0" fontId="9" fillId="18" borderId="13" xfId="3" applyFont="1" applyFill="1" applyBorder="1" applyAlignment="1">
      <alignment horizontal="center" vertical="center"/>
    </xf>
    <xf numFmtId="179" fontId="9" fillId="18" borderId="13" xfId="3" applyNumberFormat="1" applyFont="1" applyFill="1" applyBorder="1" applyAlignment="1">
      <alignment horizontal="center" vertical="center"/>
    </xf>
    <xf numFmtId="38" fontId="9" fillId="18" borderId="13" xfId="4" applyFont="1" applyFill="1" applyBorder="1" applyAlignment="1">
      <alignment horizontal="center" vertical="center"/>
    </xf>
    <xf numFmtId="14" fontId="9" fillId="18" borderId="13" xfId="3" applyNumberFormat="1" applyFont="1" applyFill="1" applyBorder="1" applyAlignment="1">
      <alignment horizontal="center" vertical="center"/>
    </xf>
    <xf numFmtId="38" fontId="9" fillId="18" borderId="13" xfId="3" applyNumberFormat="1" applyFont="1" applyFill="1" applyBorder="1" applyAlignment="1">
      <alignment horizontal="center" vertical="center"/>
    </xf>
    <xf numFmtId="181" fontId="9" fillId="18" borderId="13" xfId="3" applyNumberFormat="1" applyFont="1" applyFill="1" applyBorder="1" applyAlignment="1">
      <alignment horizontal="center" vertical="center"/>
    </xf>
    <xf numFmtId="0" fontId="7" fillId="4" borderId="7" xfId="3" applyFont="1" applyFill="1" applyBorder="1" applyAlignment="1">
      <alignment horizontal="center" vertical="center"/>
    </xf>
    <xf numFmtId="38" fontId="7" fillId="4" borderId="8" xfId="4" applyFont="1" applyFill="1" applyBorder="1" applyAlignment="1">
      <alignment horizontal="center" vertical="center"/>
    </xf>
    <xf numFmtId="38" fontId="7" fillId="4" borderId="17" xfId="4" applyFont="1" applyFill="1" applyBorder="1" applyAlignment="1">
      <alignment horizontal="center" vertical="center"/>
    </xf>
    <xf numFmtId="0" fontId="7" fillId="4" borderId="10" xfId="3" applyFont="1" applyFill="1" applyBorder="1" applyAlignment="1">
      <alignment horizontal="center" vertical="center"/>
    </xf>
    <xf numFmtId="38" fontId="7" fillId="4" borderId="11" xfId="4" applyFont="1" applyFill="1" applyBorder="1" applyAlignment="1">
      <alignment horizontal="center" vertical="center"/>
    </xf>
    <xf numFmtId="38" fontId="7" fillId="4" borderId="19" xfId="4" applyFont="1" applyFill="1" applyBorder="1" applyAlignment="1">
      <alignment horizontal="center" vertical="center"/>
    </xf>
    <xf numFmtId="0" fontId="7" fillId="10" borderId="10" xfId="3" applyFont="1" applyFill="1" applyBorder="1" applyAlignment="1">
      <alignment horizontal="center" vertical="center"/>
    </xf>
    <xf numFmtId="38" fontId="7" fillId="10" borderId="11" xfId="4" applyFont="1" applyFill="1" applyBorder="1" applyAlignment="1">
      <alignment horizontal="center" vertical="center"/>
    </xf>
    <xf numFmtId="38" fontId="7" fillId="10" borderId="19" xfId="4" applyFont="1" applyFill="1" applyBorder="1" applyAlignment="1">
      <alignment horizontal="center" vertical="center"/>
    </xf>
    <xf numFmtId="179" fontId="7" fillId="10" borderId="10" xfId="3" applyNumberFormat="1" applyFont="1" applyFill="1" applyBorder="1" applyAlignment="1">
      <alignment horizontal="center" vertical="center"/>
    </xf>
    <xf numFmtId="38" fontId="7" fillId="10" borderId="10" xfId="4" applyFont="1" applyFill="1" applyBorder="1" applyAlignment="1">
      <alignment horizontal="center" vertical="center"/>
    </xf>
    <xf numFmtId="14" fontId="7" fillId="10" borderId="10" xfId="3" applyNumberFormat="1" applyFont="1" applyFill="1" applyBorder="1" applyAlignment="1">
      <alignment horizontal="center" vertical="center"/>
    </xf>
    <xf numFmtId="179" fontId="7" fillId="10" borderId="9" xfId="3" applyNumberFormat="1" applyFont="1" applyFill="1" applyBorder="1" applyAlignment="1">
      <alignment horizontal="center" vertical="center"/>
    </xf>
    <xf numFmtId="38" fontId="7" fillId="10" borderId="10" xfId="3" applyNumberFormat="1" applyFont="1" applyFill="1" applyBorder="1" applyAlignment="1">
      <alignment horizontal="center" vertical="center"/>
    </xf>
    <xf numFmtId="38" fontId="13" fillId="10" borderId="10" xfId="4" applyFont="1" applyFill="1" applyBorder="1" applyAlignment="1">
      <alignment horizontal="center" vertical="center"/>
    </xf>
    <xf numFmtId="38" fontId="11" fillId="10" borderId="10" xfId="4" applyFont="1" applyFill="1" applyBorder="1" applyAlignment="1">
      <alignment horizontal="center" vertical="center"/>
    </xf>
    <xf numFmtId="0" fontId="9" fillId="9" borderId="5" xfId="3" applyFont="1" applyFill="1" applyBorder="1" applyAlignment="1">
      <alignment horizontal="center" vertical="center"/>
    </xf>
    <xf numFmtId="179" fontId="9" fillId="9" borderId="5" xfId="3" applyNumberFormat="1" applyFont="1" applyFill="1" applyBorder="1" applyAlignment="1">
      <alignment horizontal="center" vertical="center"/>
    </xf>
    <xf numFmtId="38" fontId="9" fillId="9" borderId="5" xfId="4" applyFont="1" applyFill="1" applyBorder="1" applyAlignment="1">
      <alignment horizontal="center" vertical="center"/>
    </xf>
    <xf numFmtId="14" fontId="9" fillId="9" borderId="5" xfId="3" applyNumberFormat="1" applyFont="1" applyFill="1" applyBorder="1" applyAlignment="1">
      <alignment horizontal="center" vertical="center"/>
    </xf>
    <xf numFmtId="38" fontId="9" fillId="9" borderId="5" xfId="3" applyNumberFormat="1" applyFont="1" applyFill="1" applyBorder="1" applyAlignment="1">
      <alignment horizontal="center" vertical="center"/>
    </xf>
    <xf numFmtId="181" fontId="9" fillId="9" borderId="5" xfId="3" applyNumberFormat="1" applyFont="1" applyFill="1" applyBorder="1" applyAlignment="1">
      <alignment horizontal="center" vertical="center"/>
    </xf>
    <xf numFmtId="3" fontId="9" fillId="9" borderId="5" xfId="4" applyNumberFormat="1" applyFont="1" applyFill="1" applyBorder="1" applyAlignment="1">
      <alignment horizontal="center" vertical="center"/>
    </xf>
    <xf numFmtId="0" fontId="9" fillId="9" borderId="6" xfId="3" applyFont="1" applyFill="1" applyBorder="1" applyAlignment="1">
      <alignment horizontal="center" vertical="center"/>
    </xf>
    <xf numFmtId="38" fontId="9" fillId="9" borderId="0" xfId="4" applyFont="1" applyFill="1" applyAlignment="1">
      <alignment horizontal="center" vertical="center"/>
    </xf>
    <xf numFmtId="10" fontId="9" fillId="9" borderId="0" xfId="6" applyNumberFormat="1" applyFont="1" applyFill="1" applyAlignment="1">
      <alignment horizontal="center" vertical="center"/>
    </xf>
    <xf numFmtId="10" fontId="9" fillId="9" borderId="0" xfId="3" applyNumberFormat="1" applyFont="1" applyFill="1" applyAlignment="1">
      <alignment horizontal="center" vertical="center"/>
    </xf>
    <xf numFmtId="14" fontId="9" fillId="9" borderId="0" xfId="3" applyNumberFormat="1" applyFont="1" applyFill="1">
      <alignment vertical="center"/>
    </xf>
    <xf numFmtId="14" fontId="9" fillId="9" borderId="17" xfId="3" applyNumberFormat="1" applyFont="1" applyFill="1" applyBorder="1">
      <alignment vertical="center"/>
    </xf>
    <xf numFmtId="0" fontId="9" fillId="9" borderId="0" xfId="3" applyFont="1" applyFill="1">
      <alignment vertical="center"/>
    </xf>
    <xf numFmtId="38" fontId="7" fillId="0" borderId="0" xfId="4" applyFont="1" applyBorder="1" applyAlignment="1">
      <alignment horizontal="center" vertical="center"/>
    </xf>
    <xf numFmtId="179" fontId="9" fillId="0" borderId="10" xfId="3" applyNumberFormat="1" applyFont="1" applyFill="1" applyBorder="1" applyAlignment="1">
      <alignment horizontal="center" vertical="center"/>
    </xf>
    <xf numFmtId="3" fontId="7" fillId="16" borderId="0" xfId="3" applyNumberFormat="1" applyFont="1" applyFill="1" applyAlignment="1">
      <alignment horizontal="center" vertical="center"/>
    </xf>
    <xf numFmtId="14" fontId="9" fillId="0" borderId="0" xfId="3" applyNumberFormat="1" applyFont="1" applyFill="1" applyBorder="1" applyAlignment="1">
      <alignment horizontal="center" vertical="center"/>
    </xf>
    <xf numFmtId="3" fontId="7" fillId="18" borderId="0" xfId="3" applyNumberFormat="1" applyFont="1" applyFill="1" applyAlignment="1">
      <alignment horizontal="center" vertical="center"/>
    </xf>
    <xf numFmtId="10" fontId="7" fillId="0" borderId="0" xfId="8" applyNumberFormat="1" applyFont="1" applyAlignment="1">
      <alignment horizontal="center" vertical="center"/>
    </xf>
    <xf numFmtId="181" fontId="7" fillId="10" borderId="13" xfId="3" applyNumberFormat="1" applyFont="1" applyFill="1" applyBorder="1" applyAlignment="1">
      <alignment horizontal="center" vertical="center"/>
    </xf>
    <xf numFmtId="0" fontId="14" fillId="11" borderId="13" xfId="3" applyFont="1" applyFill="1" applyBorder="1" applyAlignment="1">
      <alignment horizontal="center" vertical="center"/>
    </xf>
    <xf numFmtId="3" fontId="9" fillId="16" borderId="7" xfId="3" applyNumberFormat="1" applyFont="1" applyFill="1" applyBorder="1" applyAlignment="1">
      <alignment horizontal="center" vertical="center"/>
    </xf>
    <xf numFmtId="3" fontId="9" fillId="16" borderId="58" xfId="3" applyNumberFormat="1" applyFont="1" applyFill="1" applyBorder="1" applyAlignment="1">
      <alignment horizontal="center" vertical="center"/>
    </xf>
    <xf numFmtId="3" fontId="9" fillId="16" borderId="10" xfId="3" applyNumberFormat="1" applyFont="1" applyFill="1" applyBorder="1" applyAlignment="1">
      <alignment horizontal="center" vertical="center"/>
    </xf>
    <xf numFmtId="3" fontId="9" fillId="16" borderId="11" xfId="3" applyNumberFormat="1" applyFont="1" applyFill="1" applyBorder="1" applyAlignment="1">
      <alignment horizontal="center" vertical="center"/>
    </xf>
    <xf numFmtId="179" fontId="9" fillId="0" borderId="28" xfId="3" applyNumberFormat="1" applyFont="1" applyFill="1" applyBorder="1" applyAlignment="1">
      <alignment horizontal="center" vertical="center"/>
    </xf>
    <xf numFmtId="3" fontId="9" fillId="0" borderId="10" xfId="3" applyNumberFormat="1" applyFont="1" applyFill="1" applyBorder="1" applyAlignment="1">
      <alignment horizontal="center" vertical="center"/>
    </xf>
    <xf numFmtId="3" fontId="9" fillId="0" borderId="11" xfId="3" applyNumberFormat="1" applyFont="1" applyFill="1" applyBorder="1" applyAlignment="1">
      <alignment horizontal="center" vertical="center"/>
    </xf>
    <xf numFmtId="0" fontId="9" fillId="0" borderId="28" xfId="3" applyFont="1" applyBorder="1" applyAlignment="1">
      <alignment horizontal="center" vertical="center"/>
    </xf>
    <xf numFmtId="0" fontId="9" fillId="0" borderId="10" xfId="3" applyFont="1" applyBorder="1" applyAlignment="1">
      <alignment horizontal="center" vertical="center"/>
    </xf>
    <xf numFmtId="0" fontId="9" fillId="0" borderId="11" xfId="3" applyFont="1" applyBorder="1" applyAlignment="1">
      <alignment horizontal="center" vertical="center"/>
    </xf>
    <xf numFmtId="0" fontId="9" fillId="14" borderId="28" xfId="3" applyFont="1" applyFill="1" applyBorder="1" applyAlignment="1">
      <alignment horizontal="center" vertical="center"/>
    </xf>
    <xf numFmtId="0" fontId="9" fillId="14" borderId="10" xfId="3" applyFont="1" applyFill="1" applyBorder="1" applyAlignment="1">
      <alignment horizontal="center" vertical="center"/>
    </xf>
    <xf numFmtId="0" fontId="9" fillId="14" borderId="11" xfId="3" applyFont="1" applyFill="1" applyBorder="1" applyAlignment="1">
      <alignment horizontal="center" vertical="center"/>
    </xf>
    <xf numFmtId="0" fontId="7" fillId="0" borderId="31" xfId="3" applyFont="1" applyFill="1" applyBorder="1" applyAlignment="1">
      <alignment horizontal="center" vertical="center"/>
    </xf>
    <xf numFmtId="0" fontId="9" fillId="3" borderId="0" xfId="3" applyFont="1" applyFill="1" applyAlignment="1">
      <alignment horizontal="center" vertical="center"/>
    </xf>
    <xf numFmtId="0" fontId="4" fillId="0" borderId="0" xfId="2" applyAlignment="1" applyProtection="1">
      <alignment horizontal="left" vertical="center"/>
    </xf>
    <xf numFmtId="0" fontId="9" fillId="9" borderId="0" xfId="3" applyFont="1" applyFill="1" applyAlignment="1">
      <alignment horizontal="center" vertical="center"/>
    </xf>
    <xf numFmtId="38" fontId="7" fillId="8" borderId="11" xfId="4" applyFont="1" applyFill="1" applyBorder="1" applyAlignment="1">
      <alignment horizontal="center" vertical="center"/>
    </xf>
    <xf numFmtId="38" fontId="7" fillId="8" borderId="18" xfId="4" applyFont="1" applyFill="1" applyBorder="1" applyAlignment="1">
      <alignment horizontal="center" vertical="center"/>
    </xf>
    <xf numFmtId="38" fontId="7" fillId="8" borderId="19" xfId="4" applyFont="1" applyFill="1" applyBorder="1" applyAlignment="1">
      <alignment horizontal="center" vertical="center"/>
    </xf>
    <xf numFmtId="0" fontId="4" fillId="5" borderId="6" xfId="2" applyFill="1" applyBorder="1" applyAlignment="1" applyProtection="1">
      <alignment horizontal="center" vertical="center"/>
    </xf>
    <xf numFmtId="38" fontId="14" fillId="11" borderId="13" xfId="3" applyNumberFormat="1" applyFont="1" applyFill="1" applyBorder="1" applyAlignment="1">
      <alignment horizontal="center" vertical="center"/>
    </xf>
    <xf numFmtId="3" fontId="14" fillId="11" borderId="13" xfId="4" applyNumberFormat="1" applyFont="1" applyFill="1" applyBorder="1" applyAlignment="1">
      <alignment horizontal="center" vertical="center"/>
    </xf>
    <xf numFmtId="38" fontId="11" fillId="0" borderId="10" xfId="4" applyFont="1" applyFill="1" applyBorder="1" applyAlignment="1">
      <alignment horizontal="center" vertical="center"/>
    </xf>
    <xf numFmtId="0" fontId="9" fillId="0" borderId="54" xfId="3" applyFont="1" applyBorder="1">
      <alignment vertical="center"/>
    </xf>
    <xf numFmtId="0" fontId="9" fillId="0" borderId="16" xfId="3" applyFont="1" applyBorder="1">
      <alignment vertical="center"/>
    </xf>
    <xf numFmtId="0" fontId="9" fillId="0" borderId="53" xfId="3" applyFont="1" applyBorder="1">
      <alignment vertical="center"/>
    </xf>
    <xf numFmtId="179" fontId="9" fillId="16" borderId="10" xfId="3" applyNumberFormat="1" applyFont="1" applyFill="1" applyBorder="1" applyAlignment="1">
      <alignment horizontal="center" vertical="center"/>
    </xf>
    <xf numFmtId="0" fontId="9" fillId="9" borderId="59" xfId="3" applyFont="1" applyFill="1" applyBorder="1" applyAlignment="1">
      <alignment horizontal="center" vertical="center"/>
    </xf>
    <xf numFmtId="180" fontId="7" fillId="0" borderId="8" xfId="3" applyNumberFormat="1" applyFont="1" applyFill="1" applyBorder="1" applyAlignment="1">
      <alignment horizontal="center" vertical="center"/>
    </xf>
    <xf numFmtId="0" fontId="7" fillId="0" borderId="11" xfId="3" applyFont="1" applyFill="1" applyBorder="1" applyAlignment="1">
      <alignment horizontal="center" vertical="center"/>
    </xf>
    <xf numFmtId="0" fontId="9" fillId="9" borderId="60" xfId="3" applyFont="1" applyFill="1" applyBorder="1" applyAlignment="1">
      <alignment horizontal="center" vertical="center"/>
    </xf>
    <xf numFmtId="3" fontId="9" fillId="0" borderId="26" xfId="3" applyNumberFormat="1" applyFont="1" applyFill="1" applyBorder="1" applyAlignment="1">
      <alignment horizontal="center" vertical="center"/>
    </xf>
    <xf numFmtId="38" fontId="23" fillId="0" borderId="0" xfId="4" applyFont="1" applyAlignment="1">
      <alignment horizontal="left" vertical="center"/>
    </xf>
    <xf numFmtId="38" fontId="7" fillId="0" borderId="19" xfId="7" applyFont="1" applyBorder="1">
      <alignment vertical="center"/>
    </xf>
    <xf numFmtId="0" fontId="7" fillId="0" borderId="19" xfId="3" applyFont="1" applyFill="1" applyBorder="1" applyAlignment="1">
      <alignment horizontal="center" vertical="center"/>
    </xf>
    <xf numFmtId="181" fontId="7" fillId="17" borderId="10" xfId="3" applyNumberFormat="1" applyFont="1" applyFill="1" applyBorder="1" applyAlignment="1">
      <alignment horizontal="center" vertical="center"/>
    </xf>
    <xf numFmtId="38" fontId="7" fillId="8" borderId="0" xfId="4" applyFont="1" applyFill="1" applyBorder="1" applyAlignment="1">
      <alignment horizontal="center" vertical="center"/>
    </xf>
    <xf numFmtId="38" fontId="7" fillId="8" borderId="0" xfId="4" applyFont="1" applyFill="1" applyAlignment="1">
      <alignment horizontal="center" vertical="center"/>
    </xf>
    <xf numFmtId="0" fontId="11" fillId="0" borderId="10" xfId="3" applyFont="1" applyBorder="1" applyAlignment="1">
      <alignment horizontal="center" vertical="center"/>
    </xf>
    <xf numFmtId="0" fontId="9" fillId="0" borderId="0" xfId="3" applyFont="1" applyAlignment="1">
      <alignment horizontal="left" vertical="center"/>
    </xf>
    <xf numFmtId="0" fontId="9" fillId="17" borderId="0" xfId="3" applyFont="1" applyFill="1" applyAlignment="1">
      <alignment horizontal="right" vertical="center"/>
    </xf>
    <xf numFmtId="0" fontId="9" fillId="7" borderId="0" xfId="3" applyFont="1" applyFill="1" applyAlignment="1">
      <alignment horizontal="right" vertical="center"/>
    </xf>
    <xf numFmtId="0" fontId="9" fillId="3" borderId="0" xfId="3" applyFont="1" applyFill="1" applyAlignment="1">
      <alignment horizontal="right" vertical="center"/>
    </xf>
    <xf numFmtId="0" fontId="9" fillId="19" borderId="0" xfId="3" applyFont="1" applyFill="1" applyAlignment="1">
      <alignment horizontal="right" vertical="center"/>
    </xf>
    <xf numFmtId="38" fontId="7" fillId="0" borderId="10" xfId="3" applyNumberFormat="1" applyFont="1" applyBorder="1">
      <alignment vertical="center"/>
    </xf>
    <xf numFmtId="3" fontId="7" fillId="0" borderId="10" xfId="3" applyNumberFormat="1" applyFont="1" applyBorder="1">
      <alignment vertical="center"/>
    </xf>
    <xf numFmtId="38" fontId="7" fillId="0" borderId="12" xfId="3" applyNumberFormat="1" applyFont="1" applyBorder="1">
      <alignment vertical="center"/>
    </xf>
    <xf numFmtId="0" fontId="7" fillId="0" borderId="12" xfId="3" applyFont="1" applyBorder="1">
      <alignment vertical="center"/>
    </xf>
    <xf numFmtId="3" fontId="7" fillId="0" borderId="12" xfId="3" applyNumberFormat="1" applyFont="1" applyBorder="1">
      <alignment vertical="center"/>
    </xf>
    <xf numFmtId="38" fontId="7" fillId="0" borderId="9" xfId="3" applyNumberFormat="1" applyFont="1" applyBorder="1">
      <alignment vertical="center"/>
    </xf>
    <xf numFmtId="3" fontId="7" fillId="0" borderId="9" xfId="3" applyNumberFormat="1" applyFont="1" applyBorder="1">
      <alignment vertical="center"/>
    </xf>
    <xf numFmtId="0" fontId="9" fillId="10" borderId="0" xfId="3" applyFont="1" applyFill="1" applyAlignment="1">
      <alignment horizontal="right" vertical="center"/>
    </xf>
    <xf numFmtId="0" fontId="6" fillId="2" borderId="0" xfId="3" applyFont="1" applyFill="1" applyAlignment="1">
      <alignment horizontal="center" vertical="center"/>
    </xf>
    <xf numFmtId="0" fontId="6" fillId="2" borderId="14" xfId="3" applyFont="1" applyFill="1" applyBorder="1" applyAlignment="1">
      <alignment horizontal="center" vertical="center"/>
    </xf>
    <xf numFmtId="179" fontId="9" fillId="3" borderId="14" xfId="3" applyNumberFormat="1" applyFont="1" applyFill="1" applyBorder="1" applyAlignment="1">
      <alignment horizontal="center" vertical="center"/>
    </xf>
    <xf numFmtId="10" fontId="9" fillId="7" borderId="0" xfId="6" applyNumberFormat="1" applyFont="1" applyFill="1" applyAlignment="1">
      <alignment horizontal="center" vertical="center"/>
    </xf>
    <xf numFmtId="0" fontId="9" fillId="7" borderId="0" xfId="3" applyFont="1" applyFill="1" applyAlignment="1">
      <alignment horizontal="center" vertical="center"/>
    </xf>
    <xf numFmtId="38" fontId="9" fillId="0" borderId="21" xfId="3" applyNumberFormat="1" applyFont="1" applyBorder="1" applyAlignment="1">
      <alignment horizontal="center" vertical="center"/>
    </xf>
    <xf numFmtId="0" fontId="9" fillId="0" borderId="24" xfId="3" applyFont="1" applyBorder="1" applyAlignment="1">
      <alignment horizontal="center" vertical="center"/>
    </xf>
    <xf numFmtId="183" fontId="9" fillId="3" borderId="1" xfId="3" applyNumberFormat="1" applyFont="1" applyFill="1" applyBorder="1" applyAlignment="1">
      <alignment horizontal="center" vertical="center"/>
    </xf>
    <xf numFmtId="183" fontId="9" fillId="3" borderId="4" xfId="3" applyNumberFormat="1" applyFont="1" applyFill="1" applyBorder="1" applyAlignment="1">
      <alignment horizontal="center" vertical="center"/>
    </xf>
    <xf numFmtId="38" fontId="9" fillId="6" borderId="45" xfId="4" applyFont="1" applyFill="1" applyBorder="1" applyAlignment="1">
      <alignment horizontal="center" vertical="center"/>
    </xf>
    <xf numFmtId="38" fontId="9" fillId="6" borderId="46" xfId="4" applyFont="1" applyFill="1" applyBorder="1" applyAlignment="1">
      <alignment horizontal="center" vertical="center"/>
    </xf>
    <xf numFmtId="38" fontId="9" fillId="6" borderId="47" xfId="4" applyFont="1" applyFill="1" applyBorder="1" applyAlignment="1">
      <alignment horizontal="center" vertical="center"/>
    </xf>
    <xf numFmtId="38" fontId="9" fillId="6" borderId="48" xfId="4" applyFont="1" applyFill="1" applyBorder="1" applyAlignment="1">
      <alignment horizontal="center" vertical="center"/>
    </xf>
    <xf numFmtId="0" fontId="7" fillId="14" borderId="49" xfId="3" applyFont="1" applyFill="1" applyBorder="1" applyAlignment="1">
      <alignment horizontal="left" vertical="center"/>
    </xf>
    <xf numFmtId="0" fontId="7" fillId="14" borderId="55" xfId="3" applyFont="1" applyFill="1" applyBorder="1" applyAlignment="1">
      <alignment horizontal="left" vertical="center"/>
    </xf>
    <xf numFmtId="0" fontId="7" fillId="0" borderId="49" xfId="3" applyFont="1" applyBorder="1" applyAlignment="1">
      <alignment horizontal="left" vertical="center"/>
    </xf>
    <xf numFmtId="0" fontId="7" fillId="0" borderId="55" xfId="3" applyFont="1" applyBorder="1" applyAlignment="1">
      <alignment horizontal="left" vertical="center"/>
    </xf>
    <xf numFmtId="0" fontId="7" fillId="0" borderId="15" xfId="3" applyFont="1" applyBorder="1" applyAlignment="1">
      <alignment horizontal="left" vertical="center"/>
    </xf>
    <xf numFmtId="0" fontId="7" fillId="14" borderId="16" xfId="3" applyFont="1" applyFill="1" applyBorder="1" applyAlignment="1">
      <alignment horizontal="left" vertical="center"/>
    </xf>
  </cellXfs>
  <cellStyles count="9">
    <cellStyle name="パーセント" xfId="8" builtinId="5"/>
    <cellStyle name="パーセント 2" xfId="6"/>
    <cellStyle name="ハイパーリンク" xfId="2" builtinId="8"/>
    <cellStyle name="ハイパーリンク 2" xfId="5"/>
    <cellStyle name="桁区切り" xfId="7" builtinId="6"/>
    <cellStyle name="桁区切り 2" xfId="4"/>
    <cellStyle name="標準" xfId="0" builtinId="0"/>
    <cellStyle name="標準 2" xfId="1"/>
    <cellStyle name="標準 3" xfId="3"/>
  </cellStyles>
  <dxfs count="127">
    <dxf>
      <font>
        <b/>
        <i val="0"/>
      </font>
      <fill>
        <patternFill>
          <bgColor theme="4" tint="0.79998168889431442"/>
        </patternFill>
      </fill>
    </dxf>
    <dxf>
      <font>
        <condense val="0"/>
        <extend val="0"/>
        <color rgb="FF9C0006"/>
      </font>
    </dxf>
    <dxf>
      <font>
        <b/>
        <i val="0"/>
      </font>
      <fill>
        <patternFill>
          <bgColor theme="4" tint="0.79998168889431442"/>
        </patternFill>
      </fill>
    </dxf>
    <dxf>
      <fill>
        <patternFill>
          <bgColor theme="5" tint="0.79998168889431442"/>
        </patternFill>
      </fill>
    </dxf>
    <dxf>
      <font>
        <b/>
        <i val="0"/>
      </font>
      <border>
        <left style="thin">
          <color auto="1"/>
        </left>
        <right style="thin">
          <color auto="1"/>
        </right>
        <top/>
        <bottom/>
        <vertical/>
        <horizontal/>
      </border>
    </dxf>
    <dxf>
      <fill>
        <patternFill>
          <bgColor theme="0" tint="-0.24994659260841701"/>
        </patternFill>
      </fill>
    </dxf>
    <dxf>
      <font>
        <color theme="0"/>
      </font>
      <fill>
        <patternFill>
          <fgColor theme="0"/>
          <bgColor theme="1"/>
        </patternFill>
      </fill>
    </dxf>
    <dxf>
      <fill>
        <patternFill>
          <bgColor theme="5" tint="0.79998168889431442"/>
        </patternFill>
      </fill>
    </dxf>
    <dxf>
      <font>
        <b/>
        <i val="0"/>
      </font>
      <border>
        <left style="thin">
          <color auto="1"/>
        </left>
        <right style="thin">
          <color auto="1"/>
        </right>
        <top/>
        <bottom/>
        <vertical/>
        <horizontal/>
      </border>
    </dxf>
    <dxf>
      <font>
        <b/>
        <i val="0"/>
        <color rgb="FFFF0000"/>
      </font>
    </dxf>
    <dxf>
      <font>
        <b/>
        <i val="0"/>
        <color theme="0"/>
      </font>
      <fill>
        <patternFill>
          <bgColor rgb="FFFF0000"/>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theme="5" tint="0.79998168889431442"/>
        </patternFill>
      </fill>
    </dxf>
    <dxf>
      <fill>
        <patternFill>
          <bgColor theme="5" tint="0.79998168889431442"/>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ill>
        <patternFill>
          <bgColor rgb="FFFFC7CE"/>
        </patternFill>
      </fill>
    </dxf>
    <dxf>
      <font>
        <color rgb="FF9C0006"/>
      </font>
      <fill>
        <patternFill>
          <bgColor rgb="FFFFC7CE"/>
        </patternFill>
      </fill>
    </dxf>
    <dxf>
      <font>
        <b/>
        <i val="0"/>
      </font>
      <border>
        <left style="thin">
          <color auto="1"/>
        </left>
        <right style="thin">
          <color auto="1"/>
        </right>
        <top/>
        <bottom/>
        <vertical/>
        <horizontal/>
      </border>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bgColor theme="5" tint="0.79998168889431442"/>
        </patternFill>
      </fill>
    </dxf>
    <dxf>
      <font>
        <b/>
        <i val="0"/>
      </font>
      <border>
        <left style="thin">
          <color auto="1"/>
        </left>
        <right style="thin">
          <color auto="1"/>
        </right>
        <top/>
        <bottom/>
        <vertical/>
        <horizontal/>
      </border>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lor rgb="FF006100"/>
      </font>
      <fill>
        <patternFill>
          <bgColor rgb="FFC6EFCE"/>
        </patternFill>
      </fill>
    </dxf>
    <dxf>
      <font>
        <b/>
        <i val="0"/>
        <color rgb="FFFF0000"/>
      </font>
    </dxf>
    <dxf>
      <font>
        <b/>
        <i val="0"/>
        <color theme="0"/>
      </font>
      <fill>
        <patternFill>
          <bgColor rgb="FFFF0000"/>
        </patternFill>
      </fill>
    </dxf>
    <dxf>
      <font>
        <color rgb="FF9C0006"/>
      </font>
      <fill>
        <patternFill>
          <bgColor rgb="FFFFC7CE"/>
        </patternFill>
      </fill>
    </dxf>
    <dxf>
      <font>
        <color rgb="FF006100"/>
      </font>
      <fill>
        <patternFill>
          <bgColor rgb="FFC6EFCE"/>
        </patternFill>
      </fill>
    </dxf>
    <dxf>
      <font>
        <color theme="0"/>
      </font>
      <fill>
        <patternFill patternType="solid">
          <bgColor rgb="FF00B050"/>
        </patternFill>
      </fill>
    </dxf>
    <dxf>
      <font>
        <color rgb="FFFF0000"/>
      </font>
      <fill>
        <patternFill>
          <bgColor theme="6" tint="0.59996337778862885"/>
        </patternFill>
      </fill>
    </dxf>
    <dxf>
      <fill>
        <patternFill>
          <bgColor theme="0" tint="-0.24994659260841701"/>
        </patternFill>
      </fill>
    </dxf>
    <dxf>
      <font>
        <color theme="0"/>
      </font>
      <fill>
        <patternFill>
          <fgColor theme="0"/>
          <bgColor theme="1"/>
        </patternFill>
      </fill>
    </dxf>
    <dxf>
      <font>
        <color theme="0"/>
      </font>
      <fill>
        <patternFill>
          <bgColor rgb="FF002060"/>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ill>
        <patternFill>
          <bgColor theme="0" tint="-0.14996795556505021"/>
        </patternFill>
      </fill>
    </dxf>
    <dxf>
      <font>
        <b/>
        <i val="0"/>
      </font>
      <fill>
        <patternFill>
          <bgColor theme="4" tint="0.79998168889431442"/>
        </patternFill>
      </fill>
    </dxf>
    <dxf>
      <font>
        <condense val="0"/>
        <extend val="0"/>
        <color rgb="FF9C6500"/>
      </font>
      <fill>
        <patternFill>
          <bgColor rgb="FFFFEB9C"/>
        </patternFill>
      </fill>
    </dxf>
    <dxf>
      <font>
        <condense val="0"/>
        <extend val="0"/>
        <color rgb="FF006100"/>
      </font>
      <fill>
        <patternFill>
          <bgColor rgb="FFC6EF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3" Type="http://schemas.openxmlformats.org/officeDocument/2006/relationships/image" Target="../media/image4.png"/><Relationship Id="rId7" Type="http://schemas.openxmlformats.org/officeDocument/2006/relationships/image" Target="../media/image8.png"/><Relationship Id="rId2" Type="http://schemas.openxmlformats.org/officeDocument/2006/relationships/image" Target="../media/image3.png"/><Relationship Id="rId1" Type="http://schemas.openxmlformats.org/officeDocument/2006/relationships/image" Target="../media/image2.png"/><Relationship Id="rId6" Type="http://schemas.openxmlformats.org/officeDocument/2006/relationships/image" Target="../media/image7.png"/><Relationship Id="rId5" Type="http://schemas.openxmlformats.org/officeDocument/2006/relationships/image" Target="../media/image6.png"/><Relationship Id="rId4" Type="http://schemas.openxmlformats.org/officeDocument/2006/relationships/image" Target="../media/image5.png"/><Relationship Id="rId9" Type="http://schemas.openxmlformats.org/officeDocument/2006/relationships/image" Target="../media/image10.png"/></Relationships>
</file>

<file path=xl/drawings/_rels/drawing4.xml.rels><?xml version="1.0" encoding="UTF-8" standalone="yes"?>
<Relationships xmlns="http://schemas.openxmlformats.org/package/2006/relationships"><Relationship Id="rId8" Type="http://schemas.openxmlformats.org/officeDocument/2006/relationships/image" Target="../media/image18.png"/><Relationship Id="rId3" Type="http://schemas.openxmlformats.org/officeDocument/2006/relationships/image" Target="../media/image13.png"/><Relationship Id="rId7" Type="http://schemas.openxmlformats.org/officeDocument/2006/relationships/image" Target="../media/image17.png"/><Relationship Id="rId2" Type="http://schemas.openxmlformats.org/officeDocument/2006/relationships/image" Target="../media/image12.png"/><Relationship Id="rId1" Type="http://schemas.openxmlformats.org/officeDocument/2006/relationships/image" Target="../media/image11.png"/><Relationship Id="rId6" Type="http://schemas.openxmlformats.org/officeDocument/2006/relationships/image" Target="../media/image16.png"/><Relationship Id="rId5" Type="http://schemas.openxmlformats.org/officeDocument/2006/relationships/image" Target="../media/image15.png"/><Relationship Id="rId4" Type="http://schemas.openxmlformats.org/officeDocument/2006/relationships/image" Target="../media/image14.png"/><Relationship Id="rId9" Type="http://schemas.openxmlformats.org/officeDocument/2006/relationships/image" Target="../media/image19.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1200150</xdr:colOff>
          <xdr:row>0</xdr:row>
          <xdr:rowOff>19050</xdr:rowOff>
        </xdr:from>
        <xdr:to>
          <xdr:col>1</xdr:col>
          <xdr:colOff>1914525</xdr:colOff>
          <xdr:row>1</xdr:row>
          <xdr:rowOff>9525</xdr:rowOff>
        </xdr:to>
        <xdr:sp macro="" textlink="">
          <xdr:nvSpPr>
            <xdr:cNvPr id="1025" name="cmdKabukaGet" hidden="1">
              <a:extLst>
                <a:ext uri="{63B3BB69-23CF-44E3-9099-C40C66FF867C}">
                  <a14:compatExt spid="_x0000_s1025"/>
                </a:ext>
                <a:ext uri="{FF2B5EF4-FFF2-40B4-BE49-F238E27FC236}">
                  <a16:creationId xmlns="" xmlns:a16="http://schemas.microsoft.com/office/drawing/2014/main" id="{00000000-0008-0000-0500-000001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132521</xdr:colOff>
      <xdr:row>23</xdr:row>
      <xdr:rowOff>49470</xdr:rowOff>
    </xdr:from>
    <xdr:to>
      <xdr:col>16</xdr:col>
      <xdr:colOff>72294</xdr:colOff>
      <xdr:row>45</xdr:row>
      <xdr:rowOff>36388</xdr:rowOff>
    </xdr:to>
    <xdr:pic>
      <xdr:nvPicPr>
        <xdr:cNvPr id="2" name="図 1">
          <a:extLst>
            <a:ext uri="{FF2B5EF4-FFF2-40B4-BE49-F238E27FC236}">
              <a16:creationId xmlns="" xmlns:a16="http://schemas.microsoft.com/office/drawing/2014/main" id="{00000000-0008-0000-0700-000002000000}"/>
            </a:ext>
          </a:extLst>
        </xdr:cNvPr>
        <xdr:cNvPicPr>
          <a:picLocks noChangeAspect="1"/>
        </xdr:cNvPicPr>
      </xdr:nvPicPr>
      <xdr:blipFill>
        <a:blip xmlns:r="http://schemas.openxmlformats.org/officeDocument/2006/relationships" r:embed="rId1" cstate="print"/>
        <a:stretch>
          <a:fillRect/>
        </a:stretch>
      </xdr:blipFill>
      <xdr:spPr>
        <a:xfrm>
          <a:off x="1123121" y="4802445"/>
          <a:ext cx="9807673" cy="4387468"/>
        </a:xfrm>
        <a:prstGeom prst="rect">
          <a:avLst/>
        </a:prstGeom>
      </xdr:spPr>
    </xdr:pic>
    <xdr:clientData/>
  </xdr:twoCellAnchor>
  <xdr:twoCellAnchor>
    <xdr:from>
      <xdr:col>3</xdr:col>
      <xdr:colOff>358588</xdr:colOff>
      <xdr:row>24</xdr:row>
      <xdr:rowOff>116540</xdr:rowOff>
    </xdr:from>
    <xdr:to>
      <xdr:col>4</xdr:col>
      <xdr:colOff>62427</xdr:colOff>
      <xdr:row>26</xdr:row>
      <xdr:rowOff>62753</xdr:rowOff>
    </xdr:to>
    <xdr:sp macro="" textlink="">
      <xdr:nvSpPr>
        <xdr:cNvPr id="3" name="楕円 2">
          <a:extLst>
            <a:ext uri="{FF2B5EF4-FFF2-40B4-BE49-F238E27FC236}">
              <a16:creationId xmlns="" xmlns:a16="http://schemas.microsoft.com/office/drawing/2014/main" id="{00000000-0008-0000-0700-000003000000}"/>
            </a:ext>
          </a:extLst>
        </xdr:cNvPr>
        <xdr:cNvSpPr/>
      </xdr:nvSpPr>
      <xdr:spPr>
        <a:xfrm>
          <a:off x="2054038" y="5069540"/>
          <a:ext cx="408689" cy="346263"/>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286871</xdr:colOff>
      <xdr:row>33</xdr:row>
      <xdr:rowOff>107575</xdr:rowOff>
    </xdr:from>
    <xdr:to>
      <xdr:col>4</xdr:col>
      <xdr:colOff>627204</xdr:colOff>
      <xdr:row>35</xdr:row>
      <xdr:rowOff>53787</xdr:rowOff>
    </xdr:to>
    <xdr:sp macro="" textlink="">
      <xdr:nvSpPr>
        <xdr:cNvPr id="4" name="楕円 3">
          <a:extLst>
            <a:ext uri="{FF2B5EF4-FFF2-40B4-BE49-F238E27FC236}">
              <a16:creationId xmlns="" xmlns:a16="http://schemas.microsoft.com/office/drawing/2014/main" id="{00000000-0008-0000-0700-000004000000}"/>
            </a:ext>
          </a:extLst>
        </xdr:cNvPr>
        <xdr:cNvSpPr/>
      </xdr:nvSpPr>
      <xdr:spPr>
        <a:xfrm>
          <a:off x="2687171" y="6860800"/>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394448</xdr:colOff>
      <xdr:row>32</xdr:row>
      <xdr:rowOff>26893</xdr:rowOff>
    </xdr:from>
    <xdr:to>
      <xdr:col>9</xdr:col>
      <xdr:colOff>98287</xdr:colOff>
      <xdr:row>33</xdr:row>
      <xdr:rowOff>161364</xdr:rowOff>
    </xdr:to>
    <xdr:sp macro="" textlink="">
      <xdr:nvSpPr>
        <xdr:cNvPr id="5" name="楕円 4">
          <a:extLst>
            <a:ext uri="{FF2B5EF4-FFF2-40B4-BE49-F238E27FC236}">
              <a16:creationId xmlns="" xmlns:a16="http://schemas.microsoft.com/office/drawing/2014/main" id="{00000000-0008-0000-0700-000005000000}"/>
            </a:ext>
          </a:extLst>
        </xdr:cNvPr>
        <xdr:cNvSpPr/>
      </xdr:nvSpPr>
      <xdr:spPr>
        <a:xfrm>
          <a:off x="5614148" y="6580093"/>
          <a:ext cx="408689" cy="334496"/>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53789</xdr:colOff>
      <xdr:row>40</xdr:row>
      <xdr:rowOff>89645</xdr:rowOff>
    </xdr:from>
    <xdr:to>
      <xdr:col>9</xdr:col>
      <xdr:colOff>394122</xdr:colOff>
      <xdr:row>42</xdr:row>
      <xdr:rowOff>35858</xdr:rowOff>
    </xdr:to>
    <xdr:sp macro="" textlink="">
      <xdr:nvSpPr>
        <xdr:cNvPr id="6" name="楕円 5">
          <a:extLst>
            <a:ext uri="{FF2B5EF4-FFF2-40B4-BE49-F238E27FC236}">
              <a16:creationId xmlns="" xmlns:a16="http://schemas.microsoft.com/office/drawing/2014/main" id="{00000000-0008-0000-0700-000006000000}"/>
            </a:ext>
          </a:extLst>
        </xdr:cNvPr>
        <xdr:cNvSpPr/>
      </xdr:nvSpPr>
      <xdr:spPr>
        <a:xfrm>
          <a:off x="5978339" y="8243045"/>
          <a:ext cx="340333" cy="346263"/>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solidFill>
              <a:srgbClr val="FF0000"/>
            </a:solidFill>
          </a:endParaRPr>
        </a:p>
      </xdr:txBody>
    </xdr:sp>
    <xdr:clientData/>
  </xdr:twoCellAnchor>
  <xdr:twoCellAnchor>
    <xdr:from>
      <xdr:col>5</xdr:col>
      <xdr:colOff>80682</xdr:colOff>
      <xdr:row>30</xdr:row>
      <xdr:rowOff>17929</xdr:rowOff>
    </xdr:from>
    <xdr:to>
      <xdr:col>8</xdr:col>
      <xdr:colOff>394447</xdr:colOff>
      <xdr:row>30</xdr:row>
      <xdr:rowOff>17929</xdr:rowOff>
    </xdr:to>
    <xdr:cxnSp macro="">
      <xdr:nvCxnSpPr>
        <xdr:cNvPr id="7" name="直線矢印コネクタ 6">
          <a:extLst>
            <a:ext uri="{FF2B5EF4-FFF2-40B4-BE49-F238E27FC236}">
              <a16:creationId xmlns="" xmlns:a16="http://schemas.microsoft.com/office/drawing/2014/main" id="{00000000-0008-0000-0700-000007000000}"/>
            </a:ext>
          </a:extLst>
        </xdr:cNvPr>
        <xdr:cNvCxnSpPr/>
      </xdr:nvCxnSpPr>
      <xdr:spPr>
        <a:xfrm>
          <a:off x="3185832" y="6171079"/>
          <a:ext cx="2428315" cy="0"/>
        </a:xfrm>
        <a:prstGeom prst="straightConnector1">
          <a:avLst/>
        </a:prstGeom>
        <a:ln w="57150">
          <a:solidFill>
            <a:schemeClr val="bg1"/>
          </a:solidFill>
          <a:headEnd type="triangle"/>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98610</xdr:colOff>
      <xdr:row>55</xdr:row>
      <xdr:rowOff>25777</xdr:rowOff>
    </xdr:from>
    <xdr:to>
      <xdr:col>16</xdr:col>
      <xdr:colOff>10407</xdr:colOff>
      <xdr:row>77</xdr:row>
      <xdr:rowOff>152400</xdr:rowOff>
    </xdr:to>
    <xdr:pic>
      <xdr:nvPicPr>
        <xdr:cNvPr id="8" name="図 7">
          <a:extLst>
            <a:ext uri="{FF2B5EF4-FFF2-40B4-BE49-F238E27FC236}">
              <a16:creationId xmlns="" xmlns:a16="http://schemas.microsoft.com/office/drawing/2014/main" id="{00000000-0008-0000-0700-000008000000}"/>
            </a:ext>
          </a:extLst>
        </xdr:cNvPr>
        <xdr:cNvPicPr>
          <a:picLocks noChangeAspect="1"/>
        </xdr:cNvPicPr>
      </xdr:nvPicPr>
      <xdr:blipFill>
        <a:blip xmlns:r="http://schemas.openxmlformats.org/officeDocument/2006/relationships" r:embed="rId2" cstate="print"/>
        <a:stretch>
          <a:fillRect/>
        </a:stretch>
      </xdr:blipFill>
      <xdr:spPr>
        <a:xfrm>
          <a:off x="1089210" y="11189077"/>
          <a:ext cx="9779697" cy="4527173"/>
        </a:xfrm>
        <a:prstGeom prst="rect">
          <a:avLst/>
        </a:prstGeom>
      </xdr:spPr>
    </xdr:pic>
    <xdr:clientData/>
  </xdr:twoCellAnchor>
  <xdr:twoCellAnchor>
    <xdr:from>
      <xdr:col>14</xdr:col>
      <xdr:colOff>502023</xdr:colOff>
      <xdr:row>62</xdr:row>
      <xdr:rowOff>107576</xdr:rowOff>
    </xdr:from>
    <xdr:to>
      <xdr:col>15</xdr:col>
      <xdr:colOff>205862</xdr:colOff>
      <xdr:row>64</xdr:row>
      <xdr:rowOff>53788</xdr:rowOff>
    </xdr:to>
    <xdr:sp macro="" textlink="">
      <xdr:nvSpPr>
        <xdr:cNvPr id="9" name="楕円 9">
          <a:extLst>
            <a:ext uri="{FF2B5EF4-FFF2-40B4-BE49-F238E27FC236}">
              <a16:creationId xmlns="" xmlns:a16="http://schemas.microsoft.com/office/drawing/2014/main" id="{00000000-0008-0000-0700-000009000000}"/>
            </a:ext>
          </a:extLst>
        </xdr:cNvPr>
        <xdr:cNvSpPr/>
      </xdr:nvSpPr>
      <xdr:spPr>
        <a:xfrm>
          <a:off x="9950823" y="12671051"/>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188259</xdr:colOff>
      <xdr:row>56</xdr:row>
      <xdr:rowOff>98611</xdr:rowOff>
    </xdr:from>
    <xdr:to>
      <xdr:col>14</xdr:col>
      <xdr:colOff>528592</xdr:colOff>
      <xdr:row>58</xdr:row>
      <xdr:rowOff>44823</xdr:rowOff>
    </xdr:to>
    <xdr:sp macro="" textlink="">
      <xdr:nvSpPr>
        <xdr:cNvPr id="10" name="楕円 10">
          <a:extLst>
            <a:ext uri="{FF2B5EF4-FFF2-40B4-BE49-F238E27FC236}">
              <a16:creationId xmlns="" xmlns:a16="http://schemas.microsoft.com/office/drawing/2014/main" id="{00000000-0008-0000-0700-00000A000000}"/>
            </a:ext>
          </a:extLst>
        </xdr:cNvPr>
        <xdr:cNvSpPr/>
      </xdr:nvSpPr>
      <xdr:spPr>
        <a:xfrm>
          <a:off x="9637059" y="11461936"/>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502023</xdr:colOff>
      <xdr:row>64</xdr:row>
      <xdr:rowOff>134471</xdr:rowOff>
    </xdr:from>
    <xdr:to>
      <xdr:col>7</xdr:col>
      <xdr:colOff>205862</xdr:colOff>
      <xdr:row>66</xdr:row>
      <xdr:rowOff>80682</xdr:rowOff>
    </xdr:to>
    <xdr:sp macro="" textlink="">
      <xdr:nvSpPr>
        <xdr:cNvPr id="11" name="楕円 12">
          <a:extLst>
            <a:ext uri="{FF2B5EF4-FFF2-40B4-BE49-F238E27FC236}">
              <a16:creationId xmlns="" xmlns:a16="http://schemas.microsoft.com/office/drawing/2014/main" id="{00000000-0008-0000-0700-00000B000000}"/>
            </a:ext>
          </a:extLst>
        </xdr:cNvPr>
        <xdr:cNvSpPr/>
      </xdr:nvSpPr>
      <xdr:spPr>
        <a:xfrm>
          <a:off x="4312023" y="13097996"/>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179294</xdr:colOff>
      <xdr:row>62</xdr:row>
      <xdr:rowOff>26894</xdr:rowOff>
    </xdr:from>
    <xdr:to>
      <xdr:col>11</xdr:col>
      <xdr:colOff>519627</xdr:colOff>
      <xdr:row>63</xdr:row>
      <xdr:rowOff>161365</xdr:rowOff>
    </xdr:to>
    <xdr:sp macro="" textlink="">
      <xdr:nvSpPr>
        <xdr:cNvPr id="12" name="楕円 13">
          <a:extLst>
            <a:ext uri="{FF2B5EF4-FFF2-40B4-BE49-F238E27FC236}">
              <a16:creationId xmlns="" xmlns:a16="http://schemas.microsoft.com/office/drawing/2014/main" id="{00000000-0008-0000-0700-00000C000000}"/>
            </a:ext>
          </a:extLst>
        </xdr:cNvPr>
        <xdr:cNvSpPr/>
      </xdr:nvSpPr>
      <xdr:spPr>
        <a:xfrm>
          <a:off x="7513544" y="12590369"/>
          <a:ext cx="340333" cy="33449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48099</xdr:colOff>
      <xdr:row>86</xdr:row>
      <xdr:rowOff>83821</xdr:rowOff>
    </xdr:from>
    <xdr:to>
      <xdr:col>15</xdr:col>
      <xdr:colOff>601980</xdr:colOff>
      <xdr:row>110</xdr:row>
      <xdr:rowOff>112482</xdr:rowOff>
    </xdr:to>
    <xdr:pic>
      <xdr:nvPicPr>
        <xdr:cNvPr id="13" name="図 12">
          <a:extLst>
            <a:ext uri="{FF2B5EF4-FFF2-40B4-BE49-F238E27FC236}">
              <a16:creationId xmlns="" xmlns:a16="http://schemas.microsoft.com/office/drawing/2014/main" id="{00000000-0008-0000-0700-00000D000000}"/>
            </a:ext>
          </a:extLst>
        </xdr:cNvPr>
        <xdr:cNvPicPr>
          <a:picLocks noChangeAspect="1"/>
        </xdr:cNvPicPr>
      </xdr:nvPicPr>
      <xdr:blipFill>
        <a:blip xmlns:r="http://schemas.openxmlformats.org/officeDocument/2006/relationships" r:embed="rId3" cstate="print"/>
        <a:stretch>
          <a:fillRect/>
        </a:stretch>
      </xdr:blipFill>
      <xdr:spPr>
        <a:xfrm>
          <a:off x="1038699" y="17466946"/>
          <a:ext cx="9716931" cy="4829261"/>
        </a:xfrm>
        <a:prstGeom prst="rect">
          <a:avLst/>
        </a:prstGeom>
      </xdr:spPr>
    </xdr:pic>
    <xdr:clientData/>
  </xdr:twoCellAnchor>
  <xdr:twoCellAnchor>
    <xdr:from>
      <xdr:col>14</xdr:col>
      <xdr:colOff>474819</xdr:colOff>
      <xdr:row>104</xdr:row>
      <xdr:rowOff>114301</xdr:rowOff>
    </xdr:from>
    <xdr:to>
      <xdr:col>15</xdr:col>
      <xdr:colOff>178658</xdr:colOff>
      <xdr:row>106</xdr:row>
      <xdr:rowOff>60513</xdr:rowOff>
    </xdr:to>
    <xdr:sp macro="" textlink="">
      <xdr:nvSpPr>
        <xdr:cNvPr id="14" name="楕円 14">
          <a:extLst>
            <a:ext uri="{FF2B5EF4-FFF2-40B4-BE49-F238E27FC236}">
              <a16:creationId xmlns="" xmlns:a16="http://schemas.microsoft.com/office/drawing/2014/main" id="{00000000-0008-0000-0700-00000E000000}"/>
            </a:ext>
          </a:extLst>
        </xdr:cNvPr>
        <xdr:cNvSpPr/>
      </xdr:nvSpPr>
      <xdr:spPr>
        <a:xfrm>
          <a:off x="9923619" y="21097876"/>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78579</xdr:colOff>
      <xdr:row>89</xdr:row>
      <xdr:rowOff>160021</xdr:rowOff>
    </xdr:from>
    <xdr:to>
      <xdr:col>2</xdr:col>
      <xdr:colOff>414878</xdr:colOff>
      <xdr:row>91</xdr:row>
      <xdr:rowOff>106233</xdr:rowOff>
    </xdr:to>
    <xdr:sp macro="" textlink="">
      <xdr:nvSpPr>
        <xdr:cNvPr id="15" name="楕円 15">
          <a:extLst>
            <a:ext uri="{FF2B5EF4-FFF2-40B4-BE49-F238E27FC236}">
              <a16:creationId xmlns="" xmlns:a16="http://schemas.microsoft.com/office/drawing/2014/main" id="{00000000-0008-0000-0700-00000F000000}"/>
            </a:ext>
          </a:extLst>
        </xdr:cNvPr>
        <xdr:cNvSpPr/>
      </xdr:nvSpPr>
      <xdr:spPr>
        <a:xfrm>
          <a:off x="1069179" y="18143221"/>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15240</xdr:colOff>
      <xdr:row>117</xdr:row>
      <xdr:rowOff>15240</xdr:rowOff>
    </xdr:from>
    <xdr:to>
      <xdr:col>15</xdr:col>
      <xdr:colOff>563880</xdr:colOff>
      <xdr:row>141</xdr:row>
      <xdr:rowOff>36021</xdr:rowOff>
    </xdr:to>
    <xdr:pic>
      <xdr:nvPicPr>
        <xdr:cNvPr id="16" name="図 15">
          <a:extLst>
            <a:ext uri="{FF2B5EF4-FFF2-40B4-BE49-F238E27FC236}">
              <a16:creationId xmlns="" xmlns:a16="http://schemas.microsoft.com/office/drawing/2014/main" id="{00000000-0008-0000-0700-000010000000}"/>
            </a:ext>
          </a:extLst>
        </xdr:cNvPr>
        <xdr:cNvPicPr>
          <a:picLocks noChangeAspect="1"/>
        </xdr:cNvPicPr>
      </xdr:nvPicPr>
      <xdr:blipFill>
        <a:blip xmlns:r="http://schemas.openxmlformats.org/officeDocument/2006/relationships" r:embed="rId4" cstate="print"/>
        <a:stretch>
          <a:fillRect/>
        </a:stretch>
      </xdr:blipFill>
      <xdr:spPr>
        <a:xfrm>
          <a:off x="1005840" y="23608665"/>
          <a:ext cx="9711690" cy="4821381"/>
        </a:xfrm>
        <a:prstGeom prst="rect">
          <a:avLst/>
        </a:prstGeom>
      </xdr:spPr>
    </xdr:pic>
    <xdr:clientData/>
  </xdr:twoCellAnchor>
  <xdr:twoCellAnchor>
    <xdr:from>
      <xdr:col>14</xdr:col>
      <xdr:colOff>129540</xdr:colOff>
      <xdr:row>135</xdr:row>
      <xdr:rowOff>53340</xdr:rowOff>
    </xdr:from>
    <xdr:to>
      <xdr:col>14</xdr:col>
      <xdr:colOff>465839</xdr:colOff>
      <xdr:row>136</xdr:row>
      <xdr:rowOff>190052</xdr:rowOff>
    </xdr:to>
    <xdr:sp macro="" textlink="">
      <xdr:nvSpPr>
        <xdr:cNvPr id="17" name="楕円 16">
          <a:extLst>
            <a:ext uri="{FF2B5EF4-FFF2-40B4-BE49-F238E27FC236}">
              <a16:creationId xmlns="" xmlns:a16="http://schemas.microsoft.com/office/drawing/2014/main" id="{00000000-0008-0000-0700-000011000000}"/>
            </a:ext>
          </a:extLst>
        </xdr:cNvPr>
        <xdr:cNvSpPr/>
      </xdr:nvSpPr>
      <xdr:spPr>
        <a:xfrm>
          <a:off x="9578340" y="2724721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281940</xdr:colOff>
      <xdr:row>125</xdr:row>
      <xdr:rowOff>114300</xdr:rowOff>
    </xdr:from>
    <xdr:to>
      <xdr:col>3</xdr:col>
      <xdr:colOff>618239</xdr:colOff>
      <xdr:row>127</xdr:row>
      <xdr:rowOff>60512</xdr:rowOff>
    </xdr:to>
    <xdr:sp macro="" textlink="">
      <xdr:nvSpPr>
        <xdr:cNvPr id="18" name="楕円 17">
          <a:extLst>
            <a:ext uri="{FF2B5EF4-FFF2-40B4-BE49-F238E27FC236}">
              <a16:creationId xmlns="" xmlns:a16="http://schemas.microsoft.com/office/drawing/2014/main" id="{00000000-0008-0000-0700-000012000000}"/>
            </a:ext>
          </a:extLst>
        </xdr:cNvPr>
        <xdr:cNvSpPr/>
      </xdr:nvSpPr>
      <xdr:spPr>
        <a:xfrm>
          <a:off x="1977390" y="25307925"/>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4</xdr:col>
      <xdr:colOff>541020</xdr:colOff>
      <xdr:row>131</xdr:row>
      <xdr:rowOff>83820</xdr:rowOff>
    </xdr:from>
    <xdr:to>
      <xdr:col>5</xdr:col>
      <xdr:colOff>244859</xdr:colOff>
      <xdr:row>133</xdr:row>
      <xdr:rowOff>30032</xdr:rowOff>
    </xdr:to>
    <xdr:sp macro="" textlink="">
      <xdr:nvSpPr>
        <xdr:cNvPr id="19" name="楕円 18">
          <a:extLst>
            <a:ext uri="{FF2B5EF4-FFF2-40B4-BE49-F238E27FC236}">
              <a16:creationId xmlns="" xmlns:a16="http://schemas.microsoft.com/office/drawing/2014/main" id="{00000000-0008-0000-0700-000013000000}"/>
            </a:ext>
          </a:extLst>
        </xdr:cNvPr>
        <xdr:cNvSpPr/>
      </xdr:nvSpPr>
      <xdr:spPr>
        <a:xfrm>
          <a:off x="2941320" y="2647759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259080</xdr:colOff>
      <xdr:row>133</xdr:row>
      <xdr:rowOff>30480</xdr:rowOff>
    </xdr:from>
    <xdr:to>
      <xdr:col>11</xdr:col>
      <xdr:colOff>595379</xdr:colOff>
      <xdr:row>134</xdr:row>
      <xdr:rowOff>167192</xdr:rowOff>
    </xdr:to>
    <xdr:sp macro="" textlink="">
      <xdr:nvSpPr>
        <xdr:cNvPr id="20" name="楕円 19">
          <a:extLst>
            <a:ext uri="{FF2B5EF4-FFF2-40B4-BE49-F238E27FC236}">
              <a16:creationId xmlns="" xmlns:a16="http://schemas.microsoft.com/office/drawing/2014/main" id="{00000000-0008-0000-0700-000014000000}"/>
            </a:ext>
          </a:extLst>
        </xdr:cNvPr>
        <xdr:cNvSpPr/>
      </xdr:nvSpPr>
      <xdr:spPr>
        <a:xfrm>
          <a:off x="7593330" y="26824305"/>
          <a:ext cx="33629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3</xdr:col>
      <xdr:colOff>568989</xdr:colOff>
      <xdr:row>127</xdr:row>
      <xdr:rowOff>12593</xdr:rowOff>
    </xdr:from>
    <xdr:to>
      <xdr:col>4</xdr:col>
      <xdr:colOff>590270</xdr:colOff>
      <xdr:row>131</xdr:row>
      <xdr:rowOff>131739</xdr:rowOff>
    </xdr:to>
    <xdr:cxnSp macro="">
      <xdr:nvCxnSpPr>
        <xdr:cNvPr id="21" name="直線矢印コネクタ 20">
          <a:extLst>
            <a:ext uri="{FF2B5EF4-FFF2-40B4-BE49-F238E27FC236}">
              <a16:creationId xmlns="" xmlns:a16="http://schemas.microsoft.com/office/drawing/2014/main" id="{00000000-0008-0000-0700-000015000000}"/>
            </a:ext>
          </a:extLst>
        </xdr:cNvPr>
        <xdr:cNvCxnSpPr>
          <a:stCxn id="18" idx="5"/>
          <a:endCxn id="19" idx="1"/>
        </xdr:cNvCxnSpPr>
      </xdr:nvCxnSpPr>
      <xdr:spPr>
        <a:xfrm>
          <a:off x="2264439" y="25606268"/>
          <a:ext cx="726131" cy="9192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205740</xdr:colOff>
      <xdr:row>132</xdr:row>
      <xdr:rowOff>175260</xdr:rowOff>
    </xdr:from>
    <xdr:to>
      <xdr:col>11</xdr:col>
      <xdr:colOff>259080</xdr:colOff>
      <xdr:row>134</xdr:row>
      <xdr:rowOff>3586</xdr:rowOff>
    </xdr:to>
    <xdr:cxnSp macro="">
      <xdr:nvCxnSpPr>
        <xdr:cNvPr id="22" name="直線矢印コネクタ 21">
          <a:extLst>
            <a:ext uri="{FF2B5EF4-FFF2-40B4-BE49-F238E27FC236}">
              <a16:creationId xmlns="" xmlns:a16="http://schemas.microsoft.com/office/drawing/2014/main" id="{00000000-0008-0000-0700-000016000000}"/>
            </a:ext>
          </a:extLst>
        </xdr:cNvPr>
        <xdr:cNvCxnSpPr>
          <a:endCxn id="20" idx="2"/>
        </xdr:cNvCxnSpPr>
      </xdr:nvCxnSpPr>
      <xdr:spPr>
        <a:xfrm>
          <a:off x="3310890" y="26769060"/>
          <a:ext cx="4282440" cy="22837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579120</xdr:colOff>
      <xdr:row>134</xdr:row>
      <xdr:rowOff>68580</xdr:rowOff>
    </xdr:from>
    <xdr:to>
      <xdr:col>14</xdr:col>
      <xdr:colOff>129540</xdr:colOff>
      <xdr:row>136</xdr:row>
      <xdr:rowOff>26446</xdr:rowOff>
    </xdr:to>
    <xdr:cxnSp macro="">
      <xdr:nvCxnSpPr>
        <xdr:cNvPr id="23" name="直線矢印コネクタ 22">
          <a:extLst>
            <a:ext uri="{FF2B5EF4-FFF2-40B4-BE49-F238E27FC236}">
              <a16:creationId xmlns="" xmlns:a16="http://schemas.microsoft.com/office/drawing/2014/main" id="{00000000-0008-0000-0700-000017000000}"/>
            </a:ext>
          </a:extLst>
        </xdr:cNvPr>
        <xdr:cNvCxnSpPr>
          <a:endCxn id="17" idx="2"/>
        </xdr:cNvCxnSpPr>
      </xdr:nvCxnSpPr>
      <xdr:spPr>
        <a:xfrm>
          <a:off x="7913370" y="27062430"/>
          <a:ext cx="1664970" cy="35791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449580</xdr:colOff>
      <xdr:row>136</xdr:row>
      <xdr:rowOff>91440</xdr:rowOff>
    </xdr:from>
    <xdr:to>
      <xdr:col>15</xdr:col>
      <xdr:colOff>144780</xdr:colOff>
      <xdr:row>137</xdr:row>
      <xdr:rowOff>175260</xdr:rowOff>
    </xdr:to>
    <xdr:cxnSp macro="">
      <xdr:nvCxnSpPr>
        <xdr:cNvPr id="24" name="直線矢印コネクタ 23">
          <a:extLst>
            <a:ext uri="{FF2B5EF4-FFF2-40B4-BE49-F238E27FC236}">
              <a16:creationId xmlns="" xmlns:a16="http://schemas.microsoft.com/office/drawing/2014/main" id="{00000000-0008-0000-0700-000018000000}"/>
            </a:ext>
          </a:extLst>
        </xdr:cNvPr>
        <xdr:cNvCxnSpPr/>
      </xdr:nvCxnSpPr>
      <xdr:spPr>
        <a:xfrm>
          <a:off x="9898380" y="27485340"/>
          <a:ext cx="400050" cy="28384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3</xdr:col>
      <xdr:colOff>131919</xdr:colOff>
      <xdr:row>97</xdr:row>
      <xdr:rowOff>1</xdr:rowOff>
    </xdr:from>
    <xdr:to>
      <xdr:col>3</xdr:col>
      <xdr:colOff>468218</xdr:colOff>
      <xdr:row>98</xdr:row>
      <xdr:rowOff>136712</xdr:rowOff>
    </xdr:to>
    <xdr:sp macro="" textlink="">
      <xdr:nvSpPr>
        <xdr:cNvPr id="25" name="楕円 29">
          <a:extLst>
            <a:ext uri="{FF2B5EF4-FFF2-40B4-BE49-F238E27FC236}">
              <a16:creationId xmlns="" xmlns:a16="http://schemas.microsoft.com/office/drawing/2014/main" id="{00000000-0008-0000-0700-000019000000}"/>
            </a:ext>
          </a:extLst>
        </xdr:cNvPr>
        <xdr:cNvSpPr/>
      </xdr:nvSpPr>
      <xdr:spPr>
        <a:xfrm>
          <a:off x="1827369" y="19583401"/>
          <a:ext cx="336299" cy="336736"/>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228600</xdr:colOff>
      <xdr:row>130</xdr:row>
      <xdr:rowOff>175260</xdr:rowOff>
    </xdr:from>
    <xdr:to>
      <xdr:col>8</xdr:col>
      <xdr:colOff>564899</xdr:colOff>
      <xdr:row>132</xdr:row>
      <xdr:rowOff>121471</xdr:rowOff>
    </xdr:to>
    <xdr:sp macro="" textlink="">
      <xdr:nvSpPr>
        <xdr:cNvPr id="26" name="楕円 30">
          <a:extLst>
            <a:ext uri="{FF2B5EF4-FFF2-40B4-BE49-F238E27FC236}">
              <a16:creationId xmlns="" xmlns:a16="http://schemas.microsoft.com/office/drawing/2014/main" id="{00000000-0008-0000-0700-00001A000000}"/>
            </a:ext>
          </a:extLst>
        </xdr:cNvPr>
        <xdr:cNvSpPr/>
      </xdr:nvSpPr>
      <xdr:spPr>
        <a:xfrm>
          <a:off x="5448300" y="2636901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2</xdr:col>
      <xdr:colOff>1</xdr:colOff>
      <xdr:row>149</xdr:row>
      <xdr:rowOff>0</xdr:rowOff>
    </xdr:from>
    <xdr:to>
      <xdr:col>15</xdr:col>
      <xdr:colOff>548641</xdr:colOff>
      <xdr:row>173</xdr:row>
      <xdr:rowOff>34561</xdr:rowOff>
    </xdr:to>
    <xdr:pic>
      <xdr:nvPicPr>
        <xdr:cNvPr id="27" name="図 26">
          <a:extLst>
            <a:ext uri="{FF2B5EF4-FFF2-40B4-BE49-F238E27FC236}">
              <a16:creationId xmlns="" xmlns:a16="http://schemas.microsoft.com/office/drawing/2014/main" id="{00000000-0008-0000-0700-00001B000000}"/>
            </a:ext>
          </a:extLst>
        </xdr:cNvPr>
        <xdr:cNvPicPr>
          <a:picLocks noChangeAspect="1"/>
        </xdr:cNvPicPr>
      </xdr:nvPicPr>
      <xdr:blipFill>
        <a:blip xmlns:r="http://schemas.openxmlformats.org/officeDocument/2006/relationships" r:embed="rId5" cstate="print"/>
        <a:stretch>
          <a:fillRect/>
        </a:stretch>
      </xdr:blipFill>
      <xdr:spPr>
        <a:xfrm>
          <a:off x="990601" y="30003750"/>
          <a:ext cx="9711690" cy="4835161"/>
        </a:xfrm>
        <a:prstGeom prst="rect">
          <a:avLst/>
        </a:prstGeom>
      </xdr:spPr>
    </xdr:pic>
    <xdr:clientData/>
  </xdr:twoCellAnchor>
  <xdr:twoCellAnchor>
    <xdr:from>
      <xdr:col>5</xdr:col>
      <xdr:colOff>342900</xdr:colOff>
      <xdr:row>156</xdr:row>
      <xdr:rowOff>83820</xdr:rowOff>
    </xdr:from>
    <xdr:to>
      <xdr:col>6</xdr:col>
      <xdr:colOff>46739</xdr:colOff>
      <xdr:row>158</xdr:row>
      <xdr:rowOff>30032</xdr:rowOff>
    </xdr:to>
    <xdr:sp macro="" textlink="">
      <xdr:nvSpPr>
        <xdr:cNvPr id="28" name="楕円 28">
          <a:extLst>
            <a:ext uri="{FF2B5EF4-FFF2-40B4-BE49-F238E27FC236}">
              <a16:creationId xmlns="" xmlns:a16="http://schemas.microsoft.com/office/drawing/2014/main" id="{00000000-0008-0000-0700-00001C000000}"/>
            </a:ext>
          </a:extLst>
        </xdr:cNvPr>
        <xdr:cNvSpPr/>
      </xdr:nvSpPr>
      <xdr:spPr>
        <a:xfrm>
          <a:off x="3448050" y="3148774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12</xdr:col>
      <xdr:colOff>426721</xdr:colOff>
      <xdr:row>158</xdr:row>
      <xdr:rowOff>53340</xdr:rowOff>
    </xdr:from>
    <xdr:to>
      <xdr:col>13</xdr:col>
      <xdr:colOff>130560</xdr:colOff>
      <xdr:row>159</xdr:row>
      <xdr:rowOff>190052</xdr:rowOff>
    </xdr:to>
    <xdr:sp macro="" textlink="">
      <xdr:nvSpPr>
        <xdr:cNvPr id="29" name="楕円 31">
          <a:extLst>
            <a:ext uri="{FF2B5EF4-FFF2-40B4-BE49-F238E27FC236}">
              <a16:creationId xmlns="" xmlns:a16="http://schemas.microsoft.com/office/drawing/2014/main" id="{00000000-0008-0000-0700-00001D000000}"/>
            </a:ext>
          </a:extLst>
        </xdr:cNvPr>
        <xdr:cNvSpPr/>
      </xdr:nvSpPr>
      <xdr:spPr>
        <a:xfrm>
          <a:off x="8465821" y="31857315"/>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6</xdr:col>
      <xdr:colOff>91440</xdr:colOff>
      <xdr:row>157</xdr:row>
      <xdr:rowOff>152400</xdr:rowOff>
    </xdr:from>
    <xdr:to>
      <xdr:col>8</xdr:col>
      <xdr:colOff>350520</xdr:colOff>
      <xdr:row>163</xdr:row>
      <xdr:rowOff>182880</xdr:rowOff>
    </xdr:to>
    <xdr:cxnSp macro="">
      <xdr:nvCxnSpPr>
        <xdr:cNvPr id="30" name="直線矢印コネクタ 29">
          <a:extLst>
            <a:ext uri="{FF2B5EF4-FFF2-40B4-BE49-F238E27FC236}">
              <a16:creationId xmlns="" xmlns:a16="http://schemas.microsoft.com/office/drawing/2014/main" id="{00000000-0008-0000-0700-00001E000000}"/>
            </a:ext>
          </a:extLst>
        </xdr:cNvPr>
        <xdr:cNvCxnSpPr/>
      </xdr:nvCxnSpPr>
      <xdr:spPr>
        <a:xfrm>
          <a:off x="3901440" y="3175635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365761</xdr:colOff>
      <xdr:row>164</xdr:row>
      <xdr:rowOff>45720</xdr:rowOff>
    </xdr:from>
    <xdr:to>
      <xdr:col>11</xdr:col>
      <xdr:colOff>388620</xdr:colOff>
      <xdr:row>164</xdr:row>
      <xdr:rowOff>72166</xdr:rowOff>
    </xdr:to>
    <xdr:cxnSp macro="">
      <xdr:nvCxnSpPr>
        <xdr:cNvPr id="31" name="直線矢印コネクタ 30">
          <a:extLst>
            <a:ext uri="{FF2B5EF4-FFF2-40B4-BE49-F238E27FC236}">
              <a16:creationId xmlns="" xmlns:a16="http://schemas.microsoft.com/office/drawing/2014/main" id="{00000000-0008-0000-0700-00001F000000}"/>
            </a:ext>
          </a:extLst>
        </xdr:cNvPr>
        <xdr:cNvCxnSpPr>
          <a:endCxn id="34" idx="2"/>
        </xdr:cNvCxnSpPr>
      </xdr:nvCxnSpPr>
      <xdr:spPr>
        <a:xfrm>
          <a:off x="5585461" y="33049845"/>
          <a:ext cx="2137409" cy="2644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7620</xdr:colOff>
      <xdr:row>159</xdr:row>
      <xdr:rowOff>106680</xdr:rowOff>
    </xdr:from>
    <xdr:to>
      <xdr:col>12</xdr:col>
      <xdr:colOff>411480</xdr:colOff>
      <xdr:row>163</xdr:row>
      <xdr:rowOff>144780</xdr:rowOff>
    </xdr:to>
    <xdr:cxnSp macro="">
      <xdr:nvCxnSpPr>
        <xdr:cNvPr id="32" name="直線矢印コネクタ 31">
          <a:extLst>
            <a:ext uri="{FF2B5EF4-FFF2-40B4-BE49-F238E27FC236}">
              <a16:creationId xmlns="" xmlns:a16="http://schemas.microsoft.com/office/drawing/2014/main" id="{00000000-0008-0000-0700-000020000000}"/>
            </a:ext>
          </a:extLst>
        </xdr:cNvPr>
        <xdr:cNvCxnSpPr/>
      </xdr:nvCxnSpPr>
      <xdr:spPr>
        <a:xfrm flipV="1">
          <a:off x="8046720" y="32110680"/>
          <a:ext cx="403860" cy="8382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76200</xdr:colOff>
      <xdr:row>160</xdr:row>
      <xdr:rowOff>0</xdr:rowOff>
    </xdr:from>
    <xdr:to>
      <xdr:col>14</xdr:col>
      <xdr:colOff>556260</xdr:colOff>
      <xdr:row>168</xdr:row>
      <xdr:rowOff>182880</xdr:rowOff>
    </xdr:to>
    <xdr:cxnSp macro="">
      <xdr:nvCxnSpPr>
        <xdr:cNvPr id="33" name="直線矢印コネクタ 32">
          <a:extLst>
            <a:ext uri="{FF2B5EF4-FFF2-40B4-BE49-F238E27FC236}">
              <a16:creationId xmlns="" xmlns:a16="http://schemas.microsoft.com/office/drawing/2014/main" id="{00000000-0008-0000-0700-000021000000}"/>
            </a:ext>
          </a:extLst>
        </xdr:cNvPr>
        <xdr:cNvCxnSpPr/>
      </xdr:nvCxnSpPr>
      <xdr:spPr>
        <a:xfrm>
          <a:off x="8820150" y="32204025"/>
          <a:ext cx="1184910" cy="178308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388620</xdr:colOff>
      <xdr:row>163</xdr:row>
      <xdr:rowOff>99060</xdr:rowOff>
    </xdr:from>
    <xdr:to>
      <xdr:col>12</xdr:col>
      <xdr:colOff>92459</xdr:colOff>
      <xdr:row>165</xdr:row>
      <xdr:rowOff>45271</xdr:rowOff>
    </xdr:to>
    <xdr:sp macro="" textlink="">
      <xdr:nvSpPr>
        <xdr:cNvPr id="34" name="楕円 38">
          <a:extLst>
            <a:ext uri="{FF2B5EF4-FFF2-40B4-BE49-F238E27FC236}">
              <a16:creationId xmlns="" xmlns:a16="http://schemas.microsoft.com/office/drawing/2014/main" id="{00000000-0008-0000-0700-000022000000}"/>
            </a:ext>
          </a:extLst>
        </xdr:cNvPr>
        <xdr:cNvSpPr/>
      </xdr:nvSpPr>
      <xdr:spPr>
        <a:xfrm>
          <a:off x="7722870" y="32903160"/>
          <a:ext cx="40868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7</xdr:col>
      <xdr:colOff>189604</xdr:colOff>
      <xdr:row>149</xdr:row>
      <xdr:rowOff>68580</xdr:rowOff>
    </xdr:from>
    <xdr:to>
      <xdr:col>7</xdr:col>
      <xdr:colOff>190500</xdr:colOff>
      <xdr:row>171</xdr:row>
      <xdr:rowOff>160020</xdr:rowOff>
    </xdr:to>
    <xdr:cxnSp macro="">
      <xdr:nvCxnSpPr>
        <xdr:cNvPr id="35" name="直線コネクタ 34">
          <a:extLst>
            <a:ext uri="{FF2B5EF4-FFF2-40B4-BE49-F238E27FC236}">
              <a16:creationId xmlns="" xmlns:a16="http://schemas.microsoft.com/office/drawing/2014/main" id="{00000000-0008-0000-0700-000023000000}"/>
            </a:ext>
          </a:extLst>
        </xdr:cNvPr>
        <xdr:cNvCxnSpPr/>
      </xdr:nvCxnSpPr>
      <xdr:spPr>
        <a:xfrm>
          <a:off x="4704454" y="3007233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403860</xdr:colOff>
      <xdr:row>149</xdr:row>
      <xdr:rowOff>53340</xdr:rowOff>
    </xdr:from>
    <xdr:to>
      <xdr:col>10</xdr:col>
      <xdr:colOff>404756</xdr:colOff>
      <xdr:row>171</xdr:row>
      <xdr:rowOff>144780</xdr:rowOff>
    </xdr:to>
    <xdr:cxnSp macro="">
      <xdr:nvCxnSpPr>
        <xdr:cNvPr id="36" name="直線コネクタ 35">
          <a:extLst>
            <a:ext uri="{FF2B5EF4-FFF2-40B4-BE49-F238E27FC236}">
              <a16:creationId xmlns="" xmlns:a16="http://schemas.microsoft.com/office/drawing/2014/main" id="{00000000-0008-0000-0700-000024000000}"/>
            </a:ext>
          </a:extLst>
        </xdr:cNvPr>
        <xdr:cNvCxnSpPr/>
      </xdr:nvCxnSpPr>
      <xdr:spPr>
        <a:xfrm>
          <a:off x="7033260" y="30057090"/>
          <a:ext cx="896" cy="4491990"/>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41759</xdr:colOff>
      <xdr:row>180</xdr:row>
      <xdr:rowOff>53340</xdr:rowOff>
    </xdr:from>
    <xdr:to>
      <xdr:col>15</xdr:col>
      <xdr:colOff>615057</xdr:colOff>
      <xdr:row>204</xdr:row>
      <xdr:rowOff>52383</xdr:rowOff>
    </xdr:to>
    <xdr:pic>
      <xdr:nvPicPr>
        <xdr:cNvPr id="37" name="図 36">
          <a:extLst>
            <a:ext uri="{FF2B5EF4-FFF2-40B4-BE49-F238E27FC236}">
              <a16:creationId xmlns="" xmlns:a16="http://schemas.microsoft.com/office/drawing/2014/main" id="{00000000-0008-0000-0700-000025000000}"/>
            </a:ext>
          </a:extLst>
        </xdr:cNvPr>
        <xdr:cNvPicPr>
          <a:picLocks noChangeAspect="1"/>
        </xdr:cNvPicPr>
      </xdr:nvPicPr>
      <xdr:blipFill>
        <a:blip xmlns:r="http://schemas.openxmlformats.org/officeDocument/2006/relationships" r:embed="rId6" cstate="print"/>
        <a:stretch>
          <a:fillRect/>
        </a:stretch>
      </xdr:blipFill>
      <xdr:spPr>
        <a:xfrm>
          <a:off x="1032359" y="36267390"/>
          <a:ext cx="9736348" cy="4799643"/>
        </a:xfrm>
        <a:prstGeom prst="rect">
          <a:avLst/>
        </a:prstGeom>
      </xdr:spPr>
    </xdr:pic>
    <xdr:clientData/>
  </xdr:twoCellAnchor>
  <xdr:twoCellAnchor>
    <xdr:from>
      <xdr:col>4</xdr:col>
      <xdr:colOff>502920</xdr:colOff>
      <xdr:row>188</xdr:row>
      <xdr:rowOff>53340</xdr:rowOff>
    </xdr:from>
    <xdr:to>
      <xdr:col>5</xdr:col>
      <xdr:colOff>206759</xdr:colOff>
      <xdr:row>189</xdr:row>
      <xdr:rowOff>190052</xdr:rowOff>
    </xdr:to>
    <xdr:sp macro="" textlink="">
      <xdr:nvSpPr>
        <xdr:cNvPr id="38" name="楕円 47">
          <a:extLst>
            <a:ext uri="{FF2B5EF4-FFF2-40B4-BE49-F238E27FC236}">
              <a16:creationId xmlns="" xmlns:a16="http://schemas.microsoft.com/office/drawing/2014/main" id="{00000000-0008-0000-0700-000026000000}"/>
            </a:ext>
          </a:extLst>
        </xdr:cNvPr>
        <xdr:cNvSpPr/>
      </xdr:nvSpPr>
      <xdr:spPr>
        <a:xfrm>
          <a:off x="2903220" y="37867590"/>
          <a:ext cx="408689" cy="336737"/>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144780</xdr:colOff>
      <xdr:row>194</xdr:row>
      <xdr:rowOff>160020</xdr:rowOff>
    </xdr:from>
    <xdr:to>
      <xdr:col>5</xdr:col>
      <xdr:colOff>481079</xdr:colOff>
      <xdr:row>196</xdr:row>
      <xdr:rowOff>106231</xdr:rowOff>
    </xdr:to>
    <xdr:sp macro="" textlink="">
      <xdr:nvSpPr>
        <xdr:cNvPr id="39" name="楕円 49">
          <a:extLst>
            <a:ext uri="{FF2B5EF4-FFF2-40B4-BE49-F238E27FC236}">
              <a16:creationId xmlns="" xmlns:a16="http://schemas.microsoft.com/office/drawing/2014/main" id="{00000000-0008-0000-0700-000027000000}"/>
            </a:ext>
          </a:extLst>
        </xdr:cNvPr>
        <xdr:cNvSpPr/>
      </xdr:nvSpPr>
      <xdr:spPr>
        <a:xfrm>
          <a:off x="3249930" y="39174420"/>
          <a:ext cx="336299" cy="346261"/>
        </a:xfrm>
        <a:prstGeom prst="ellipse">
          <a:avLst/>
        </a:prstGeom>
        <a:noFill/>
        <a:ln>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236220</xdr:colOff>
      <xdr:row>182</xdr:row>
      <xdr:rowOff>137160</xdr:rowOff>
    </xdr:from>
    <xdr:to>
      <xdr:col>4</xdr:col>
      <xdr:colOff>495300</xdr:colOff>
      <xdr:row>188</xdr:row>
      <xdr:rowOff>167640</xdr:rowOff>
    </xdr:to>
    <xdr:cxnSp macro="">
      <xdr:nvCxnSpPr>
        <xdr:cNvPr id="40" name="直線矢印コネクタ 39">
          <a:extLst>
            <a:ext uri="{FF2B5EF4-FFF2-40B4-BE49-F238E27FC236}">
              <a16:creationId xmlns="" xmlns:a16="http://schemas.microsoft.com/office/drawing/2014/main" id="{00000000-0008-0000-0700-000028000000}"/>
            </a:ext>
          </a:extLst>
        </xdr:cNvPr>
        <xdr:cNvCxnSpPr/>
      </xdr:nvCxnSpPr>
      <xdr:spPr>
        <a:xfrm>
          <a:off x="1226820" y="36751260"/>
          <a:ext cx="1668780" cy="123063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0</xdr:colOff>
      <xdr:row>196</xdr:row>
      <xdr:rowOff>144780</xdr:rowOff>
    </xdr:from>
    <xdr:to>
      <xdr:col>14</xdr:col>
      <xdr:colOff>336299</xdr:colOff>
      <xdr:row>198</xdr:row>
      <xdr:rowOff>90992</xdr:rowOff>
    </xdr:to>
    <xdr:sp macro="" textlink="">
      <xdr:nvSpPr>
        <xdr:cNvPr id="41" name="楕円 52">
          <a:extLst>
            <a:ext uri="{FF2B5EF4-FFF2-40B4-BE49-F238E27FC236}">
              <a16:creationId xmlns="" xmlns:a16="http://schemas.microsoft.com/office/drawing/2014/main" id="{00000000-0008-0000-0700-000029000000}"/>
            </a:ext>
          </a:extLst>
        </xdr:cNvPr>
        <xdr:cNvSpPr/>
      </xdr:nvSpPr>
      <xdr:spPr>
        <a:xfrm>
          <a:off x="9448800" y="3955923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7620</xdr:colOff>
      <xdr:row>197</xdr:row>
      <xdr:rowOff>99060</xdr:rowOff>
    </xdr:from>
    <xdr:to>
      <xdr:col>13</xdr:col>
      <xdr:colOff>609600</xdr:colOff>
      <xdr:row>197</xdr:row>
      <xdr:rowOff>106680</xdr:rowOff>
    </xdr:to>
    <xdr:cxnSp macro="">
      <xdr:nvCxnSpPr>
        <xdr:cNvPr id="42" name="直線矢印コネクタ 41">
          <a:extLst>
            <a:ext uri="{FF2B5EF4-FFF2-40B4-BE49-F238E27FC236}">
              <a16:creationId xmlns="" xmlns:a16="http://schemas.microsoft.com/office/drawing/2014/main" id="{00000000-0008-0000-0700-00002A000000}"/>
            </a:ext>
          </a:extLst>
        </xdr:cNvPr>
        <xdr:cNvCxnSpPr/>
      </xdr:nvCxnSpPr>
      <xdr:spPr>
        <a:xfrm flipV="1">
          <a:off x="5227320" y="39713535"/>
          <a:ext cx="41262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220980</xdr:colOff>
      <xdr:row>188</xdr:row>
      <xdr:rowOff>83820</xdr:rowOff>
    </xdr:from>
    <xdr:to>
      <xdr:col>6</xdr:col>
      <xdr:colOff>557279</xdr:colOff>
      <xdr:row>190</xdr:row>
      <xdr:rowOff>30032</xdr:rowOff>
    </xdr:to>
    <xdr:sp macro="" textlink="">
      <xdr:nvSpPr>
        <xdr:cNvPr id="43" name="楕円 57">
          <a:extLst>
            <a:ext uri="{FF2B5EF4-FFF2-40B4-BE49-F238E27FC236}">
              <a16:creationId xmlns="" xmlns:a16="http://schemas.microsoft.com/office/drawing/2014/main" id="{00000000-0008-0000-0700-00002B000000}"/>
            </a:ext>
          </a:extLst>
        </xdr:cNvPr>
        <xdr:cNvSpPr/>
      </xdr:nvSpPr>
      <xdr:spPr>
        <a:xfrm>
          <a:off x="4030980" y="37898070"/>
          <a:ext cx="33629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5</xdr:col>
      <xdr:colOff>178919</xdr:colOff>
      <xdr:row>189</xdr:row>
      <xdr:rowOff>137160</xdr:rowOff>
    </xdr:from>
    <xdr:to>
      <xdr:col>5</xdr:col>
      <xdr:colOff>312420</xdr:colOff>
      <xdr:row>194</xdr:row>
      <xdr:rowOff>114300</xdr:rowOff>
    </xdr:to>
    <xdr:cxnSp macro="">
      <xdr:nvCxnSpPr>
        <xdr:cNvPr id="44" name="直線矢印コネクタ 43">
          <a:extLst>
            <a:ext uri="{FF2B5EF4-FFF2-40B4-BE49-F238E27FC236}">
              <a16:creationId xmlns="" xmlns:a16="http://schemas.microsoft.com/office/drawing/2014/main" id="{00000000-0008-0000-0700-00002C000000}"/>
            </a:ext>
          </a:extLst>
        </xdr:cNvPr>
        <xdr:cNvCxnSpPr/>
      </xdr:nvCxnSpPr>
      <xdr:spPr>
        <a:xfrm>
          <a:off x="3284069" y="38151435"/>
          <a:ext cx="133501" cy="9772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422759</xdr:colOff>
      <xdr:row>190</xdr:row>
      <xdr:rowOff>38100</xdr:rowOff>
    </xdr:from>
    <xdr:to>
      <xdr:col>6</xdr:col>
      <xdr:colOff>297180</xdr:colOff>
      <xdr:row>194</xdr:row>
      <xdr:rowOff>114300</xdr:rowOff>
    </xdr:to>
    <xdr:cxnSp macro="">
      <xdr:nvCxnSpPr>
        <xdr:cNvPr id="45" name="直線矢印コネクタ 44">
          <a:extLst>
            <a:ext uri="{FF2B5EF4-FFF2-40B4-BE49-F238E27FC236}">
              <a16:creationId xmlns="" xmlns:a16="http://schemas.microsoft.com/office/drawing/2014/main" id="{00000000-0008-0000-0700-00002D000000}"/>
            </a:ext>
          </a:extLst>
        </xdr:cNvPr>
        <xdr:cNvCxnSpPr/>
      </xdr:nvCxnSpPr>
      <xdr:spPr>
        <a:xfrm flipV="1">
          <a:off x="3527909" y="38252400"/>
          <a:ext cx="579271" cy="87630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525780</xdr:colOff>
      <xdr:row>190</xdr:row>
      <xdr:rowOff>60960</xdr:rowOff>
    </xdr:from>
    <xdr:to>
      <xdr:col>7</xdr:col>
      <xdr:colOff>617220</xdr:colOff>
      <xdr:row>197</xdr:row>
      <xdr:rowOff>106680</xdr:rowOff>
    </xdr:to>
    <xdr:cxnSp macro="">
      <xdr:nvCxnSpPr>
        <xdr:cNvPr id="46" name="直線矢印コネクタ 45">
          <a:extLst>
            <a:ext uri="{FF2B5EF4-FFF2-40B4-BE49-F238E27FC236}">
              <a16:creationId xmlns="" xmlns:a16="http://schemas.microsoft.com/office/drawing/2014/main" id="{00000000-0008-0000-0700-00002E000000}"/>
            </a:ext>
          </a:extLst>
        </xdr:cNvPr>
        <xdr:cNvCxnSpPr/>
      </xdr:nvCxnSpPr>
      <xdr:spPr>
        <a:xfrm>
          <a:off x="4335780" y="38275260"/>
          <a:ext cx="796290" cy="144589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60960</xdr:colOff>
      <xdr:row>211</xdr:row>
      <xdr:rowOff>182880</xdr:rowOff>
    </xdr:from>
    <xdr:to>
      <xdr:col>15</xdr:col>
      <xdr:colOff>562984</xdr:colOff>
      <xdr:row>236</xdr:row>
      <xdr:rowOff>80247</xdr:rowOff>
    </xdr:to>
    <xdr:pic>
      <xdr:nvPicPr>
        <xdr:cNvPr id="47" name="図 46">
          <a:extLst>
            <a:ext uri="{FF2B5EF4-FFF2-40B4-BE49-F238E27FC236}">
              <a16:creationId xmlns="" xmlns:a16="http://schemas.microsoft.com/office/drawing/2014/main" id="{00000000-0008-0000-0700-00002F000000}"/>
            </a:ext>
          </a:extLst>
        </xdr:cNvPr>
        <xdr:cNvPicPr>
          <a:picLocks noChangeAspect="1"/>
        </xdr:cNvPicPr>
      </xdr:nvPicPr>
      <xdr:blipFill>
        <a:blip xmlns:r="http://schemas.openxmlformats.org/officeDocument/2006/relationships" r:embed="rId7" cstate="print"/>
        <a:stretch>
          <a:fillRect/>
        </a:stretch>
      </xdr:blipFill>
      <xdr:spPr>
        <a:xfrm>
          <a:off x="1051560" y="42607230"/>
          <a:ext cx="9665074" cy="4897992"/>
        </a:xfrm>
        <a:prstGeom prst="rect">
          <a:avLst/>
        </a:prstGeom>
      </xdr:spPr>
    </xdr:pic>
    <xdr:clientData/>
  </xdr:twoCellAnchor>
  <xdr:twoCellAnchor editAs="oneCell">
    <xdr:from>
      <xdr:col>15</xdr:col>
      <xdr:colOff>510990</xdr:colOff>
      <xdr:row>212</xdr:row>
      <xdr:rowOff>8966</xdr:rowOff>
    </xdr:from>
    <xdr:to>
      <xdr:col>29</xdr:col>
      <xdr:colOff>379676</xdr:colOff>
      <xdr:row>236</xdr:row>
      <xdr:rowOff>62753</xdr:rowOff>
    </xdr:to>
    <xdr:pic>
      <xdr:nvPicPr>
        <xdr:cNvPr id="48" name="図 47">
          <a:extLst>
            <a:ext uri="{FF2B5EF4-FFF2-40B4-BE49-F238E27FC236}">
              <a16:creationId xmlns="" xmlns:a16="http://schemas.microsoft.com/office/drawing/2014/main" id="{00000000-0008-0000-0700-000030000000}"/>
            </a:ext>
          </a:extLst>
        </xdr:cNvPr>
        <xdr:cNvPicPr>
          <a:picLocks noChangeAspect="1"/>
        </xdr:cNvPicPr>
      </xdr:nvPicPr>
      <xdr:blipFill>
        <a:blip xmlns:r="http://schemas.openxmlformats.org/officeDocument/2006/relationships" r:embed="rId8" cstate="print"/>
        <a:stretch>
          <a:fillRect/>
        </a:stretch>
      </xdr:blipFill>
      <xdr:spPr>
        <a:xfrm>
          <a:off x="10664640" y="42633341"/>
          <a:ext cx="9736586" cy="4854387"/>
        </a:xfrm>
        <a:prstGeom prst="rect">
          <a:avLst/>
        </a:prstGeom>
      </xdr:spPr>
    </xdr:pic>
    <xdr:clientData/>
  </xdr:twoCellAnchor>
  <xdr:twoCellAnchor>
    <xdr:from>
      <xdr:col>4</xdr:col>
      <xdr:colOff>617220</xdr:colOff>
      <xdr:row>216</xdr:row>
      <xdr:rowOff>144780</xdr:rowOff>
    </xdr:from>
    <xdr:to>
      <xdr:col>5</xdr:col>
      <xdr:colOff>167640</xdr:colOff>
      <xdr:row>220</xdr:row>
      <xdr:rowOff>91440</xdr:rowOff>
    </xdr:to>
    <xdr:cxnSp macro="">
      <xdr:nvCxnSpPr>
        <xdr:cNvPr id="49" name="直線矢印コネクタ 48">
          <a:extLst>
            <a:ext uri="{FF2B5EF4-FFF2-40B4-BE49-F238E27FC236}">
              <a16:creationId xmlns="" xmlns:a16="http://schemas.microsoft.com/office/drawing/2014/main" id="{00000000-0008-0000-0700-000031000000}"/>
            </a:ext>
          </a:extLst>
        </xdr:cNvPr>
        <xdr:cNvCxnSpPr/>
      </xdr:nvCxnSpPr>
      <xdr:spPr>
        <a:xfrm>
          <a:off x="3017520" y="43569255"/>
          <a:ext cx="255270" cy="74676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556260</xdr:colOff>
      <xdr:row>222</xdr:row>
      <xdr:rowOff>68580</xdr:rowOff>
    </xdr:from>
    <xdr:to>
      <xdr:col>9</xdr:col>
      <xdr:colOff>260099</xdr:colOff>
      <xdr:row>224</xdr:row>
      <xdr:rowOff>14792</xdr:rowOff>
    </xdr:to>
    <xdr:sp macro="" textlink="">
      <xdr:nvSpPr>
        <xdr:cNvPr id="50" name="楕円 50">
          <a:extLst>
            <a:ext uri="{FF2B5EF4-FFF2-40B4-BE49-F238E27FC236}">
              <a16:creationId xmlns="" xmlns:a16="http://schemas.microsoft.com/office/drawing/2014/main" id="{00000000-0008-0000-0700-000032000000}"/>
            </a:ext>
          </a:extLst>
        </xdr:cNvPr>
        <xdr:cNvSpPr/>
      </xdr:nvSpPr>
      <xdr:spPr>
        <a:xfrm>
          <a:off x="5775960" y="4469320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19</xdr:col>
      <xdr:colOff>419100</xdr:colOff>
      <xdr:row>216</xdr:row>
      <xdr:rowOff>167640</xdr:rowOff>
    </xdr:from>
    <xdr:to>
      <xdr:col>20</xdr:col>
      <xdr:colOff>122939</xdr:colOff>
      <xdr:row>218</xdr:row>
      <xdr:rowOff>113852</xdr:rowOff>
    </xdr:to>
    <xdr:sp macro="" textlink="">
      <xdr:nvSpPr>
        <xdr:cNvPr id="51" name="楕円 53">
          <a:extLst>
            <a:ext uri="{FF2B5EF4-FFF2-40B4-BE49-F238E27FC236}">
              <a16:creationId xmlns="" xmlns:a16="http://schemas.microsoft.com/office/drawing/2014/main" id="{00000000-0008-0000-0700-000033000000}"/>
            </a:ext>
          </a:extLst>
        </xdr:cNvPr>
        <xdr:cNvSpPr/>
      </xdr:nvSpPr>
      <xdr:spPr>
        <a:xfrm>
          <a:off x="13392150" y="43592115"/>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20</xdr:col>
      <xdr:colOff>137160</xdr:colOff>
      <xdr:row>218</xdr:row>
      <xdr:rowOff>60960</xdr:rowOff>
    </xdr:from>
    <xdr:to>
      <xdr:col>22</xdr:col>
      <xdr:colOff>571500</xdr:colOff>
      <xdr:row>229</xdr:row>
      <xdr:rowOff>76200</xdr:rowOff>
    </xdr:to>
    <xdr:cxnSp macro="">
      <xdr:nvCxnSpPr>
        <xdr:cNvPr id="52" name="直線矢印コネクタ 51">
          <a:extLst>
            <a:ext uri="{FF2B5EF4-FFF2-40B4-BE49-F238E27FC236}">
              <a16:creationId xmlns="" xmlns:a16="http://schemas.microsoft.com/office/drawing/2014/main" id="{00000000-0008-0000-0700-000034000000}"/>
            </a:ext>
          </a:extLst>
        </xdr:cNvPr>
        <xdr:cNvCxnSpPr/>
      </xdr:nvCxnSpPr>
      <xdr:spPr>
        <a:xfrm>
          <a:off x="13815060" y="43885485"/>
          <a:ext cx="1844040" cy="221551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23</xdr:col>
      <xdr:colOff>38100</xdr:colOff>
      <xdr:row>229</xdr:row>
      <xdr:rowOff>45720</xdr:rowOff>
    </xdr:from>
    <xdr:to>
      <xdr:col>27</xdr:col>
      <xdr:colOff>99060</xdr:colOff>
      <xdr:row>229</xdr:row>
      <xdr:rowOff>60960</xdr:rowOff>
    </xdr:to>
    <xdr:cxnSp macro="">
      <xdr:nvCxnSpPr>
        <xdr:cNvPr id="53" name="直線矢印コネクタ 52">
          <a:extLst>
            <a:ext uri="{FF2B5EF4-FFF2-40B4-BE49-F238E27FC236}">
              <a16:creationId xmlns="" xmlns:a16="http://schemas.microsoft.com/office/drawing/2014/main" id="{00000000-0008-0000-0700-000035000000}"/>
            </a:ext>
          </a:extLst>
        </xdr:cNvPr>
        <xdr:cNvCxnSpPr/>
      </xdr:nvCxnSpPr>
      <xdr:spPr>
        <a:xfrm flipV="1">
          <a:off x="15830550" y="46070520"/>
          <a:ext cx="2880360" cy="1524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182880</xdr:colOff>
      <xdr:row>229</xdr:row>
      <xdr:rowOff>60960</xdr:rowOff>
    </xdr:from>
    <xdr:to>
      <xdr:col>28</xdr:col>
      <xdr:colOff>91440</xdr:colOff>
      <xdr:row>233</xdr:row>
      <xdr:rowOff>182880</xdr:rowOff>
    </xdr:to>
    <xdr:cxnSp macro="">
      <xdr:nvCxnSpPr>
        <xdr:cNvPr id="54" name="直線矢印コネクタ 53">
          <a:extLst>
            <a:ext uri="{FF2B5EF4-FFF2-40B4-BE49-F238E27FC236}">
              <a16:creationId xmlns="" xmlns:a16="http://schemas.microsoft.com/office/drawing/2014/main" id="{00000000-0008-0000-0700-000036000000}"/>
            </a:ext>
          </a:extLst>
        </xdr:cNvPr>
        <xdr:cNvCxnSpPr/>
      </xdr:nvCxnSpPr>
      <xdr:spPr>
        <a:xfrm>
          <a:off x="18794730" y="46085760"/>
          <a:ext cx="613410" cy="9220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2</xdr:col>
      <xdr:colOff>0</xdr:colOff>
      <xdr:row>237</xdr:row>
      <xdr:rowOff>0</xdr:rowOff>
    </xdr:from>
    <xdr:to>
      <xdr:col>15</xdr:col>
      <xdr:colOff>556958</xdr:colOff>
      <xdr:row>262</xdr:row>
      <xdr:rowOff>58271</xdr:rowOff>
    </xdr:to>
    <xdr:pic>
      <xdr:nvPicPr>
        <xdr:cNvPr id="55" name="図 54">
          <a:extLst>
            <a:ext uri="{FF2B5EF4-FFF2-40B4-BE49-F238E27FC236}">
              <a16:creationId xmlns="" xmlns:a16="http://schemas.microsoft.com/office/drawing/2014/main" id="{00000000-0008-0000-0700-000037000000}"/>
            </a:ext>
          </a:extLst>
        </xdr:cNvPr>
        <xdr:cNvPicPr>
          <a:picLocks noChangeAspect="1"/>
        </xdr:cNvPicPr>
      </xdr:nvPicPr>
      <xdr:blipFill>
        <a:blip xmlns:r="http://schemas.openxmlformats.org/officeDocument/2006/relationships" r:embed="rId9" cstate="print"/>
        <a:stretch>
          <a:fillRect/>
        </a:stretch>
      </xdr:blipFill>
      <xdr:spPr>
        <a:xfrm>
          <a:off x="990600" y="47625000"/>
          <a:ext cx="9720008" cy="5068421"/>
        </a:xfrm>
        <a:prstGeom prst="rect">
          <a:avLst/>
        </a:prstGeom>
      </xdr:spPr>
    </xdr:pic>
    <xdr:clientData/>
  </xdr:twoCellAnchor>
  <xdr:twoCellAnchor>
    <xdr:from>
      <xdr:col>7</xdr:col>
      <xdr:colOff>515815</xdr:colOff>
      <xdr:row>239</xdr:row>
      <xdr:rowOff>41031</xdr:rowOff>
    </xdr:from>
    <xdr:to>
      <xdr:col>8</xdr:col>
      <xdr:colOff>140677</xdr:colOff>
      <xdr:row>242</xdr:row>
      <xdr:rowOff>187570</xdr:rowOff>
    </xdr:to>
    <xdr:cxnSp macro="">
      <xdr:nvCxnSpPr>
        <xdr:cNvPr id="56" name="直線矢印コネクタ 55">
          <a:extLst>
            <a:ext uri="{FF2B5EF4-FFF2-40B4-BE49-F238E27FC236}">
              <a16:creationId xmlns="" xmlns:a16="http://schemas.microsoft.com/office/drawing/2014/main" id="{00000000-0008-0000-0700-000038000000}"/>
            </a:ext>
          </a:extLst>
        </xdr:cNvPr>
        <xdr:cNvCxnSpPr/>
      </xdr:nvCxnSpPr>
      <xdr:spPr>
        <a:xfrm>
          <a:off x="5030665" y="48075606"/>
          <a:ext cx="329712" cy="74661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5</xdr:col>
      <xdr:colOff>160020</xdr:colOff>
      <xdr:row>220</xdr:row>
      <xdr:rowOff>160020</xdr:rowOff>
    </xdr:from>
    <xdr:to>
      <xdr:col>8</xdr:col>
      <xdr:colOff>304800</xdr:colOff>
      <xdr:row>220</xdr:row>
      <xdr:rowOff>167640</xdr:rowOff>
    </xdr:to>
    <xdr:cxnSp macro="">
      <xdr:nvCxnSpPr>
        <xdr:cNvPr id="57" name="直線矢印コネクタ 56">
          <a:extLst>
            <a:ext uri="{FF2B5EF4-FFF2-40B4-BE49-F238E27FC236}">
              <a16:creationId xmlns="" xmlns:a16="http://schemas.microsoft.com/office/drawing/2014/main" id="{00000000-0008-0000-0700-000039000000}"/>
            </a:ext>
          </a:extLst>
        </xdr:cNvPr>
        <xdr:cNvCxnSpPr/>
      </xdr:nvCxnSpPr>
      <xdr:spPr>
        <a:xfrm>
          <a:off x="3265170" y="44384595"/>
          <a:ext cx="2259330" cy="762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381000</xdr:colOff>
      <xdr:row>221</xdr:row>
      <xdr:rowOff>7620</xdr:rowOff>
    </xdr:from>
    <xdr:to>
      <xdr:col>10</xdr:col>
      <xdr:colOff>137160</xdr:colOff>
      <xdr:row>226</xdr:row>
      <xdr:rowOff>144780</xdr:rowOff>
    </xdr:to>
    <xdr:cxnSp macro="">
      <xdr:nvCxnSpPr>
        <xdr:cNvPr id="58" name="直線矢印コネクタ 57">
          <a:extLst>
            <a:ext uri="{FF2B5EF4-FFF2-40B4-BE49-F238E27FC236}">
              <a16:creationId xmlns="" xmlns:a16="http://schemas.microsoft.com/office/drawing/2014/main" id="{00000000-0008-0000-0700-00003A000000}"/>
            </a:ext>
          </a:extLst>
        </xdr:cNvPr>
        <xdr:cNvCxnSpPr/>
      </xdr:nvCxnSpPr>
      <xdr:spPr>
        <a:xfrm>
          <a:off x="5600700" y="44432220"/>
          <a:ext cx="1165860" cy="113728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116205</xdr:colOff>
      <xdr:row>227</xdr:row>
      <xdr:rowOff>4762</xdr:rowOff>
    </xdr:from>
    <xdr:to>
      <xdr:col>12</xdr:col>
      <xdr:colOff>147637</xdr:colOff>
      <xdr:row>227</xdr:row>
      <xdr:rowOff>6668</xdr:rowOff>
    </xdr:to>
    <xdr:cxnSp macro="">
      <xdr:nvCxnSpPr>
        <xdr:cNvPr id="59" name="直線矢印コネクタ 58">
          <a:extLst>
            <a:ext uri="{FF2B5EF4-FFF2-40B4-BE49-F238E27FC236}">
              <a16:creationId xmlns="" xmlns:a16="http://schemas.microsoft.com/office/drawing/2014/main" id="{00000000-0008-0000-0700-00003B000000}"/>
            </a:ext>
          </a:extLst>
        </xdr:cNvPr>
        <xdr:cNvCxnSpPr/>
      </xdr:nvCxnSpPr>
      <xdr:spPr>
        <a:xfrm flipV="1">
          <a:off x="6745605" y="45629512"/>
          <a:ext cx="1441132" cy="190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60960</xdr:colOff>
      <xdr:row>211</xdr:row>
      <xdr:rowOff>182880</xdr:rowOff>
    </xdr:from>
    <xdr:to>
      <xdr:col>4</xdr:col>
      <xdr:colOff>160020</xdr:colOff>
      <xdr:row>212</xdr:row>
      <xdr:rowOff>7620</xdr:rowOff>
    </xdr:to>
    <xdr:cxnSp macro="">
      <xdr:nvCxnSpPr>
        <xdr:cNvPr id="60" name="直線矢印コネクタ 59">
          <a:extLst>
            <a:ext uri="{FF2B5EF4-FFF2-40B4-BE49-F238E27FC236}">
              <a16:creationId xmlns="" xmlns:a16="http://schemas.microsoft.com/office/drawing/2014/main" id="{00000000-0008-0000-0700-00003C000000}"/>
            </a:ext>
          </a:extLst>
        </xdr:cNvPr>
        <xdr:cNvCxnSpPr/>
      </xdr:nvCxnSpPr>
      <xdr:spPr>
        <a:xfrm flipV="1">
          <a:off x="1051560" y="42607230"/>
          <a:ext cx="1508760" cy="24765"/>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210502</xdr:colOff>
      <xdr:row>226</xdr:row>
      <xdr:rowOff>177165</xdr:rowOff>
    </xdr:from>
    <xdr:to>
      <xdr:col>12</xdr:col>
      <xdr:colOff>376237</xdr:colOff>
      <xdr:row>230</xdr:row>
      <xdr:rowOff>104775</xdr:rowOff>
    </xdr:to>
    <xdr:cxnSp macro="">
      <xdr:nvCxnSpPr>
        <xdr:cNvPr id="61" name="直線矢印コネクタ 60">
          <a:extLst>
            <a:ext uri="{FF2B5EF4-FFF2-40B4-BE49-F238E27FC236}">
              <a16:creationId xmlns="" xmlns:a16="http://schemas.microsoft.com/office/drawing/2014/main" id="{00000000-0008-0000-0700-00003D000000}"/>
            </a:ext>
          </a:extLst>
        </xdr:cNvPr>
        <xdr:cNvCxnSpPr/>
      </xdr:nvCxnSpPr>
      <xdr:spPr>
        <a:xfrm>
          <a:off x="8249602" y="45601890"/>
          <a:ext cx="165735" cy="727710"/>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385763</xdr:colOff>
      <xdr:row>230</xdr:row>
      <xdr:rowOff>123824</xdr:rowOff>
    </xdr:from>
    <xdr:to>
      <xdr:col>14</xdr:col>
      <xdr:colOff>33337</xdr:colOff>
      <xdr:row>230</xdr:row>
      <xdr:rowOff>123825</xdr:rowOff>
    </xdr:to>
    <xdr:cxnSp macro="">
      <xdr:nvCxnSpPr>
        <xdr:cNvPr id="62" name="直線矢印コネクタ 61">
          <a:extLst>
            <a:ext uri="{FF2B5EF4-FFF2-40B4-BE49-F238E27FC236}">
              <a16:creationId xmlns="" xmlns:a16="http://schemas.microsoft.com/office/drawing/2014/main" id="{00000000-0008-0000-0700-00003E000000}"/>
            </a:ext>
          </a:extLst>
        </xdr:cNvPr>
        <xdr:cNvCxnSpPr/>
      </xdr:nvCxnSpPr>
      <xdr:spPr>
        <a:xfrm flipV="1">
          <a:off x="8424863" y="46348649"/>
          <a:ext cx="1057274" cy="1"/>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14</xdr:col>
      <xdr:colOff>64476</xdr:colOff>
      <xdr:row>230</xdr:row>
      <xdr:rowOff>140680</xdr:rowOff>
    </xdr:from>
    <xdr:to>
      <xdr:col>14</xdr:col>
      <xdr:colOff>281354</xdr:colOff>
      <xdr:row>234</xdr:row>
      <xdr:rowOff>23446</xdr:rowOff>
    </xdr:to>
    <xdr:cxnSp macro="">
      <xdr:nvCxnSpPr>
        <xdr:cNvPr id="63" name="直線矢印コネクタ 62">
          <a:extLst>
            <a:ext uri="{FF2B5EF4-FFF2-40B4-BE49-F238E27FC236}">
              <a16:creationId xmlns="" xmlns:a16="http://schemas.microsoft.com/office/drawing/2014/main" id="{00000000-0008-0000-0700-00003F000000}"/>
            </a:ext>
          </a:extLst>
        </xdr:cNvPr>
        <xdr:cNvCxnSpPr/>
      </xdr:nvCxnSpPr>
      <xdr:spPr>
        <a:xfrm>
          <a:off x="9513276" y="46365505"/>
          <a:ext cx="216878" cy="682866"/>
        </a:xfrm>
        <a:prstGeom prst="straightConnector1">
          <a:avLst/>
        </a:prstGeom>
        <a:ln w="38100">
          <a:solidFill>
            <a:schemeClr val="bg1"/>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193431</xdr:colOff>
      <xdr:row>242</xdr:row>
      <xdr:rowOff>146539</xdr:rowOff>
    </xdr:from>
    <xdr:to>
      <xdr:col>9</xdr:col>
      <xdr:colOff>451338</xdr:colOff>
      <xdr:row>242</xdr:row>
      <xdr:rowOff>146539</xdr:rowOff>
    </xdr:to>
    <xdr:cxnSp macro="">
      <xdr:nvCxnSpPr>
        <xdr:cNvPr id="64" name="直線矢印コネクタ 63">
          <a:extLst>
            <a:ext uri="{FF2B5EF4-FFF2-40B4-BE49-F238E27FC236}">
              <a16:creationId xmlns="" xmlns:a16="http://schemas.microsoft.com/office/drawing/2014/main" id="{00000000-0008-0000-0700-000040000000}"/>
            </a:ext>
          </a:extLst>
        </xdr:cNvPr>
        <xdr:cNvCxnSpPr/>
      </xdr:nvCxnSpPr>
      <xdr:spPr>
        <a:xfrm>
          <a:off x="5413131" y="48781189"/>
          <a:ext cx="962757" cy="0"/>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457200</xdr:colOff>
      <xdr:row>242</xdr:row>
      <xdr:rowOff>152401</xdr:rowOff>
    </xdr:from>
    <xdr:to>
      <xdr:col>10</xdr:col>
      <xdr:colOff>123092</xdr:colOff>
      <xdr:row>246</xdr:row>
      <xdr:rowOff>158262</xdr:rowOff>
    </xdr:to>
    <xdr:cxnSp macro="">
      <xdr:nvCxnSpPr>
        <xdr:cNvPr id="65" name="直線矢印コネクタ 64">
          <a:extLst>
            <a:ext uri="{FF2B5EF4-FFF2-40B4-BE49-F238E27FC236}">
              <a16:creationId xmlns="" xmlns:a16="http://schemas.microsoft.com/office/drawing/2014/main" id="{00000000-0008-0000-0700-000041000000}"/>
            </a:ext>
          </a:extLst>
        </xdr:cNvPr>
        <xdr:cNvCxnSpPr/>
      </xdr:nvCxnSpPr>
      <xdr:spPr>
        <a:xfrm>
          <a:off x="6381750" y="48787051"/>
          <a:ext cx="370742" cy="805961"/>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158262</xdr:colOff>
      <xdr:row>243</xdr:row>
      <xdr:rowOff>99646</xdr:rowOff>
    </xdr:from>
    <xdr:to>
      <xdr:col>10</xdr:col>
      <xdr:colOff>351692</xdr:colOff>
      <xdr:row>246</xdr:row>
      <xdr:rowOff>128954</xdr:rowOff>
    </xdr:to>
    <xdr:cxnSp macro="">
      <xdr:nvCxnSpPr>
        <xdr:cNvPr id="66" name="直線矢印コネクタ 65">
          <a:extLst>
            <a:ext uri="{FF2B5EF4-FFF2-40B4-BE49-F238E27FC236}">
              <a16:creationId xmlns="" xmlns:a16="http://schemas.microsoft.com/office/drawing/2014/main" id="{00000000-0008-0000-0700-000042000000}"/>
            </a:ext>
          </a:extLst>
        </xdr:cNvPr>
        <xdr:cNvCxnSpPr/>
      </xdr:nvCxnSpPr>
      <xdr:spPr>
        <a:xfrm flipV="1">
          <a:off x="6787662" y="48934321"/>
          <a:ext cx="193430" cy="629383"/>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11</xdr:col>
      <xdr:colOff>252046</xdr:colOff>
      <xdr:row>244</xdr:row>
      <xdr:rowOff>105508</xdr:rowOff>
    </xdr:from>
    <xdr:to>
      <xdr:col>12</xdr:col>
      <xdr:colOff>240323</xdr:colOff>
      <xdr:row>250</xdr:row>
      <xdr:rowOff>64476</xdr:rowOff>
    </xdr:to>
    <xdr:cxnSp macro="">
      <xdr:nvCxnSpPr>
        <xdr:cNvPr id="67" name="直線矢印コネクタ 66">
          <a:extLst>
            <a:ext uri="{FF2B5EF4-FFF2-40B4-BE49-F238E27FC236}">
              <a16:creationId xmlns="" xmlns:a16="http://schemas.microsoft.com/office/drawing/2014/main" id="{00000000-0008-0000-0700-000043000000}"/>
            </a:ext>
          </a:extLst>
        </xdr:cNvPr>
        <xdr:cNvCxnSpPr/>
      </xdr:nvCxnSpPr>
      <xdr:spPr>
        <a:xfrm>
          <a:off x="7586296" y="49140208"/>
          <a:ext cx="693127" cy="1159118"/>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257908</xdr:colOff>
      <xdr:row>245</xdr:row>
      <xdr:rowOff>169984</xdr:rowOff>
    </xdr:from>
    <xdr:to>
      <xdr:col>12</xdr:col>
      <xdr:colOff>445477</xdr:colOff>
      <xdr:row>250</xdr:row>
      <xdr:rowOff>17583</xdr:rowOff>
    </xdr:to>
    <xdr:cxnSp macro="">
      <xdr:nvCxnSpPr>
        <xdr:cNvPr id="68" name="直線矢印コネクタ 67">
          <a:extLst>
            <a:ext uri="{FF2B5EF4-FFF2-40B4-BE49-F238E27FC236}">
              <a16:creationId xmlns="" xmlns:a16="http://schemas.microsoft.com/office/drawing/2014/main" id="{00000000-0008-0000-0700-000044000000}"/>
            </a:ext>
          </a:extLst>
        </xdr:cNvPr>
        <xdr:cNvCxnSpPr/>
      </xdr:nvCxnSpPr>
      <xdr:spPr>
        <a:xfrm flipV="1">
          <a:off x="8297008" y="49404709"/>
          <a:ext cx="187569" cy="847724"/>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12</xdr:col>
      <xdr:colOff>474785</xdr:colOff>
      <xdr:row>245</xdr:row>
      <xdr:rowOff>169985</xdr:rowOff>
    </xdr:from>
    <xdr:to>
      <xdr:col>12</xdr:col>
      <xdr:colOff>621323</xdr:colOff>
      <xdr:row>249</xdr:row>
      <xdr:rowOff>158261</xdr:rowOff>
    </xdr:to>
    <xdr:cxnSp macro="">
      <xdr:nvCxnSpPr>
        <xdr:cNvPr id="69" name="直線矢印コネクタ 68">
          <a:extLst>
            <a:ext uri="{FF2B5EF4-FFF2-40B4-BE49-F238E27FC236}">
              <a16:creationId xmlns="" xmlns:a16="http://schemas.microsoft.com/office/drawing/2014/main" id="{00000000-0008-0000-0700-000045000000}"/>
            </a:ext>
          </a:extLst>
        </xdr:cNvPr>
        <xdr:cNvCxnSpPr/>
      </xdr:nvCxnSpPr>
      <xdr:spPr>
        <a:xfrm>
          <a:off x="8513885" y="49404710"/>
          <a:ext cx="146538" cy="788376"/>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363416</xdr:colOff>
      <xdr:row>243</xdr:row>
      <xdr:rowOff>93785</xdr:rowOff>
    </xdr:from>
    <xdr:to>
      <xdr:col>11</xdr:col>
      <xdr:colOff>293077</xdr:colOff>
      <xdr:row>244</xdr:row>
      <xdr:rowOff>140677</xdr:rowOff>
    </xdr:to>
    <xdr:cxnSp macro="">
      <xdr:nvCxnSpPr>
        <xdr:cNvPr id="70" name="直線矢印コネクタ 69">
          <a:extLst>
            <a:ext uri="{FF2B5EF4-FFF2-40B4-BE49-F238E27FC236}">
              <a16:creationId xmlns="" xmlns:a16="http://schemas.microsoft.com/office/drawing/2014/main" id="{00000000-0008-0000-0700-000046000000}"/>
            </a:ext>
          </a:extLst>
        </xdr:cNvPr>
        <xdr:cNvCxnSpPr/>
      </xdr:nvCxnSpPr>
      <xdr:spPr>
        <a:xfrm>
          <a:off x="6992816" y="48928460"/>
          <a:ext cx="634511" cy="246917"/>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23445</xdr:colOff>
      <xdr:row>246</xdr:row>
      <xdr:rowOff>82062</xdr:rowOff>
    </xdr:from>
    <xdr:to>
      <xdr:col>13</xdr:col>
      <xdr:colOff>205153</xdr:colOff>
      <xdr:row>250</xdr:row>
      <xdr:rowOff>17584</xdr:rowOff>
    </xdr:to>
    <xdr:cxnSp macro="">
      <xdr:nvCxnSpPr>
        <xdr:cNvPr id="71" name="直線矢印コネクタ 70">
          <a:extLst>
            <a:ext uri="{FF2B5EF4-FFF2-40B4-BE49-F238E27FC236}">
              <a16:creationId xmlns="" xmlns:a16="http://schemas.microsoft.com/office/drawing/2014/main" id="{00000000-0008-0000-0700-000047000000}"/>
            </a:ext>
          </a:extLst>
        </xdr:cNvPr>
        <xdr:cNvCxnSpPr/>
      </xdr:nvCxnSpPr>
      <xdr:spPr>
        <a:xfrm flipV="1">
          <a:off x="8767395" y="49516812"/>
          <a:ext cx="181708" cy="735622"/>
        </a:xfrm>
        <a:prstGeom prst="straightConnector1">
          <a:avLst/>
        </a:prstGeom>
        <a:ln w="38100">
          <a:solidFill>
            <a:srgbClr val="FF0000"/>
          </a:solidFill>
          <a:tailEnd type="triangle"/>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27</xdr:col>
      <xdr:colOff>528917</xdr:colOff>
      <xdr:row>232</xdr:row>
      <xdr:rowOff>170329</xdr:rowOff>
    </xdr:from>
    <xdr:to>
      <xdr:col>28</xdr:col>
      <xdr:colOff>232756</xdr:colOff>
      <xdr:row>234</xdr:row>
      <xdr:rowOff>116541</xdr:rowOff>
    </xdr:to>
    <xdr:sp macro="" textlink="">
      <xdr:nvSpPr>
        <xdr:cNvPr id="72" name="楕円 105">
          <a:extLst>
            <a:ext uri="{FF2B5EF4-FFF2-40B4-BE49-F238E27FC236}">
              <a16:creationId xmlns="" xmlns:a16="http://schemas.microsoft.com/office/drawing/2014/main" id="{00000000-0008-0000-0700-000048000000}"/>
            </a:ext>
          </a:extLst>
        </xdr:cNvPr>
        <xdr:cNvSpPr/>
      </xdr:nvSpPr>
      <xdr:spPr>
        <a:xfrm>
          <a:off x="19140767" y="46795204"/>
          <a:ext cx="408689"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14</xdr:col>
      <xdr:colOff>53788</xdr:colOff>
      <xdr:row>232</xdr:row>
      <xdr:rowOff>152400</xdr:rowOff>
    </xdr:from>
    <xdr:to>
      <xdr:col>14</xdr:col>
      <xdr:colOff>394121</xdr:colOff>
      <xdr:row>234</xdr:row>
      <xdr:rowOff>98612</xdr:rowOff>
    </xdr:to>
    <xdr:sp macro="" textlink="">
      <xdr:nvSpPr>
        <xdr:cNvPr id="73" name="楕円 106">
          <a:extLst>
            <a:ext uri="{FF2B5EF4-FFF2-40B4-BE49-F238E27FC236}">
              <a16:creationId xmlns="" xmlns:a16="http://schemas.microsoft.com/office/drawing/2014/main" id="{00000000-0008-0000-0700-000049000000}"/>
            </a:ext>
          </a:extLst>
        </xdr:cNvPr>
        <xdr:cNvSpPr/>
      </xdr:nvSpPr>
      <xdr:spPr>
        <a:xfrm>
          <a:off x="9502588" y="46777275"/>
          <a:ext cx="340333" cy="346262"/>
        </a:xfrm>
        <a:prstGeom prst="ellipse">
          <a:avLst/>
        </a:prstGeom>
        <a:noFill/>
        <a:ln>
          <a:solidFill>
            <a:schemeClr val="bg1">
              <a:lumMod val="95000"/>
            </a:schemeClr>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2</xdr:col>
      <xdr:colOff>89647</xdr:colOff>
      <xdr:row>241</xdr:row>
      <xdr:rowOff>152400</xdr:rowOff>
    </xdr:from>
    <xdr:to>
      <xdr:col>14</xdr:col>
      <xdr:colOff>215152</xdr:colOff>
      <xdr:row>241</xdr:row>
      <xdr:rowOff>170329</xdr:rowOff>
    </xdr:to>
    <xdr:cxnSp macro="">
      <xdr:nvCxnSpPr>
        <xdr:cNvPr id="74" name="直線コネクタ 73">
          <a:extLst>
            <a:ext uri="{FF2B5EF4-FFF2-40B4-BE49-F238E27FC236}">
              <a16:creationId xmlns="" xmlns:a16="http://schemas.microsoft.com/office/drawing/2014/main" id="{00000000-0008-0000-0700-00004A000000}"/>
            </a:ext>
          </a:extLst>
        </xdr:cNvPr>
        <xdr:cNvCxnSpPr/>
      </xdr:nvCxnSpPr>
      <xdr:spPr>
        <a:xfrm flipH="1" flipV="1">
          <a:off x="1080247" y="48587025"/>
          <a:ext cx="8583705" cy="17929"/>
        </a:xfrm>
        <a:prstGeom prst="line">
          <a:avLst/>
        </a:prstGeom>
        <a:ln w="38100">
          <a:solidFill>
            <a:srgbClr val="16365C"/>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7</xdr:col>
      <xdr:colOff>277906</xdr:colOff>
      <xdr:row>212</xdr:row>
      <xdr:rowOff>143435</xdr:rowOff>
    </xdr:from>
    <xdr:to>
      <xdr:col>7</xdr:col>
      <xdr:colOff>295835</xdr:colOff>
      <xdr:row>235</xdr:row>
      <xdr:rowOff>8964</xdr:rowOff>
    </xdr:to>
    <xdr:cxnSp macro="">
      <xdr:nvCxnSpPr>
        <xdr:cNvPr id="75" name="直線コネクタ 74">
          <a:extLst>
            <a:ext uri="{FF2B5EF4-FFF2-40B4-BE49-F238E27FC236}">
              <a16:creationId xmlns="" xmlns:a16="http://schemas.microsoft.com/office/drawing/2014/main" id="{00000000-0008-0000-0700-00004B000000}"/>
            </a:ext>
          </a:extLst>
        </xdr:cNvPr>
        <xdr:cNvCxnSpPr/>
      </xdr:nvCxnSpPr>
      <xdr:spPr>
        <a:xfrm flipH="1">
          <a:off x="4792756" y="42767810"/>
          <a:ext cx="17929" cy="4466104"/>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20</xdr:col>
      <xdr:colOff>251011</xdr:colOff>
      <xdr:row>212</xdr:row>
      <xdr:rowOff>62753</xdr:rowOff>
    </xdr:from>
    <xdr:to>
      <xdr:col>20</xdr:col>
      <xdr:colOff>251012</xdr:colOff>
      <xdr:row>235</xdr:row>
      <xdr:rowOff>80681</xdr:rowOff>
    </xdr:to>
    <xdr:cxnSp macro="">
      <xdr:nvCxnSpPr>
        <xdr:cNvPr id="76" name="直線コネクタ 75">
          <a:extLst>
            <a:ext uri="{FF2B5EF4-FFF2-40B4-BE49-F238E27FC236}">
              <a16:creationId xmlns="" xmlns:a16="http://schemas.microsoft.com/office/drawing/2014/main" id="{00000000-0008-0000-0700-00004C000000}"/>
            </a:ext>
          </a:extLst>
        </xdr:cNvPr>
        <xdr:cNvCxnSpPr/>
      </xdr:nvCxnSpPr>
      <xdr:spPr>
        <a:xfrm>
          <a:off x="13928911" y="42687128"/>
          <a:ext cx="1" cy="461850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8</xdr:col>
      <xdr:colOff>188258</xdr:colOff>
      <xdr:row>237</xdr:row>
      <xdr:rowOff>53788</xdr:rowOff>
    </xdr:from>
    <xdr:to>
      <xdr:col>8</xdr:col>
      <xdr:colOff>206189</xdr:colOff>
      <xdr:row>256</xdr:row>
      <xdr:rowOff>8965</xdr:rowOff>
    </xdr:to>
    <xdr:cxnSp macro="">
      <xdr:nvCxnSpPr>
        <xdr:cNvPr id="77" name="直線コネクタ 76">
          <a:extLst>
            <a:ext uri="{FF2B5EF4-FFF2-40B4-BE49-F238E27FC236}">
              <a16:creationId xmlns="" xmlns:a16="http://schemas.microsoft.com/office/drawing/2014/main" id="{00000000-0008-0000-0700-00004D000000}"/>
            </a:ext>
          </a:extLst>
        </xdr:cNvPr>
        <xdr:cNvCxnSpPr/>
      </xdr:nvCxnSpPr>
      <xdr:spPr>
        <a:xfrm>
          <a:off x="5407958" y="47678788"/>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224118</xdr:colOff>
      <xdr:row>237</xdr:row>
      <xdr:rowOff>44824</xdr:rowOff>
    </xdr:from>
    <xdr:to>
      <xdr:col>9</xdr:col>
      <xdr:colOff>242049</xdr:colOff>
      <xdr:row>256</xdr:row>
      <xdr:rowOff>1</xdr:rowOff>
    </xdr:to>
    <xdr:cxnSp macro="">
      <xdr:nvCxnSpPr>
        <xdr:cNvPr id="78" name="直線コネクタ 77">
          <a:extLst>
            <a:ext uri="{FF2B5EF4-FFF2-40B4-BE49-F238E27FC236}">
              <a16:creationId xmlns="" xmlns:a16="http://schemas.microsoft.com/office/drawing/2014/main" id="{00000000-0008-0000-0700-00004E000000}"/>
            </a:ext>
          </a:extLst>
        </xdr:cNvPr>
        <xdr:cNvCxnSpPr/>
      </xdr:nvCxnSpPr>
      <xdr:spPr>
        <a:xfrm>
          <a:off x="6148668" y="47669824"/>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286870</xdr:colOff>
      <xdr:row>237</xdr:row>
      <xdr:rowOff>62753</xdr:rowOff>
    </xdr:from>
    <xdr:to>
      <xdr:col>10</xdr:col>
      <xdr:colOff>304801</xdr:colOff>
      <xdr:row>256</xdr:row>
      <xdr:rowOff>17930</xdr:rowOff>
    </xdr:to>
    <xdr:cxnSp macro="">
      <xdr:nvCxnSpPr>
        <xdr:cNvPr id="79" name="直線コネクタ 78">
          <a:extLst>
            <a:ext uri="{FF2B5EF4-FFF2-40B4-BE49-F238E27FC236}">
              <a16:creationId xmlns="" xmlns:a16="http://schemas.microsoft.com/office/drawing/2014/main" id="{00000000-0008-0000-0700-00004F000000}"/>
            </a:ext>
          </a:extLst>
        </xdr:cNvPr>
        <xdr:cNvCxnSpPr/>
      </xdr:nvCxnSpPr>
      <xdr:spPr>
        <a:xfrm>
          <a:off x="6916270" y="47687753"/>
          <a:ext cx="17931" cy="3765177"/>
        </a:xfrm>
        <a:prstGeom prst="line">
          <a:avLst/>
        </a:prstGeom>
        <a:ln w="38100">
          <a:solidFill>
            <a:srgbClr val="0070C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564776</xdr:colOff>
      <xdr:row>212</xdr:row>
      <xdr:rowOff>26893</xdr:rowOff>
    </xdr:from>
    <xdr:to>
      <xdr:col>10</xdr:col>
      <xdr:colOff>573741</xdr:colOff>
      <xdr:row>235</xdr:row>
      <xdr:rowOff>143435</xdr:rowOff>
    </xdr:to>
    <xdr:cxnSp macro="">
      <xdr:nvCxnSpPr>
        <xdr:cNvPr id="80" name="直線コネクタ 79">
          <a:extLst>
            <a:ext uri="{FF2B5EF4-FFF2-40B4-BE49-F238E27FC236}">
              <a16:creationId xmlns="" xmlns:a16="http://schemas.microsoft.com/office/drawing/2014/main" id="{00000000-0008-0000-0700-000050000000}"/>
            </a:ext>
          </a:extLst>
        </xdr:cNvPr>
        <xdr:cNvCxnSpPr/>
      </xdr:nvCxnSpPr>
      <xdr:spPr>
        <a:xfrm flipH="1">
          <a:off x="7194176" y="42651268"/>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80683</xdr:colOff>
      <xdr:row>211</xdr:row>
      <xdr:rowOff>143436</xdr:rowOff>
    </xdr:from>
    <xdr:to>
      <xdr:col>9</xdr:col>
      <xdr:colOff>89648</xdr:colOff>
      <xdr:row>235</xdr:row>
      <xdr:rowOff>71719</xdr:rowOff>
    </xdr:to>
    <xdr:cxnSp macro="">
      <xdr:nvCxnSpPr>
        <xdr:cNvPr id="81" name="直線コネクタ 80">
          <a:extLst>
            <a:ext uri="{FF2B5EF4-FFF2-40B4-BE49-F238E27FC236}">
              <a16:creationId xmlns="" xmlns:a16="http://schemas.microsoft.com/office/drawing/2014/main" id="{00000000-0008-0000-0700-000051000000}"/>
            </a:ext>
          </a:extLst>
        </xdr:cNvPr>
        <xdr:cNvCxnSpPr/>
      </xdr:nvCxnSpPr>
      <xdr:spPr>
        <a:xfrm flipH="1">
          <a:off x="6005233" y="42567786"/>
          <a:ext cx="8965" cy="4728883"/>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24</xdr:col>
      <xdr:colOff>89647</xdr:colOff>
      <xdr:row>212</xdr:row>
      <xdr:rowOff>26895</xdr:rowOff>
    </xdr:from>
    <xdr:to>
      <xdr:col>24</xdr:col>
      <xdr:colOff>98612</xdr:colOff>
      <xdr:row>235</xdr:row>
      <xdr:rowOff>143437</xdr:rowOff>
    </xdr:to>
    <xdr:cxnSp macro="">
      <xdr:nvCxnSpPr>
        <xdr:cNvPr id="82" name="直線コネクタ 81">
          <a:extLst>
            <a:ext uri="{FF2B5EF4-FFF2-40B4-BE49-F238E27FC236}">
              <a16:creationId xmlns="" xmlns:a16="http://schemas.microsoft.com/office/drawing/2014/main" id="{00000000-0008-0000-0700-000052000000}"/>
            </a:ext>
          </a:extLst>
        </xdr:cNvPr>
        <xdr:cNvCxnSpPr/>
      </xdr:nvCxnSpPr>
      <xdr:spPr>
        <a:xfrm flipH="1">
          <a:off x="16586947" y="42651270"/>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22</xdr:col>
      <xdr:colOff>107576</xdr:colOff>
      <xdr:row>212</xdr:row>
      <xdr:rowOff>53787</xdr:rowOff>
    </xdr:from>
    <xdr:to>
      <xdr:col>22</xdr:col>
      <xdr:colOff>116541</xdr:colOff>
      <xdr:row>235</xdr:row>
      <xdr:rowOff>170329</xdr:rowOff>
    </xdr:to>
    <xdr:cxnSp macro="">
      <xdr:nvCxnSpPr>
        <xdr:cNvPr id="83" name="直線コネクタ 82">
          <a:extLst>
            <a:ext uri="{FF2B5EF4-FFF2-40B4-BE49-F238E27FC236}">
              <a16:creationId xmlns="" xmlns:a16="http://schemas.microsoft.com/office/drawing/2014/main" id="{00000000-0008-0000-0700-000053000000}"/>
            </a:ext>
          </a:extLst>
        </xdr:cNvPr>
        <xdr:cNvCxnSpPr/>
      </xdr:nvCxnSpPr>
      <xdr:spPr>
        <a:xfrm flipH="1">
          <a:off x="15195176" y="42678162"/>
          <a:ext cx="8965" cy="4717117"/>
        </a:xfrm>
        <a:prstGeom prst="line">
          <a:avLst/>
        </a:prstGeom>
        <a:ln w="38100">
          <a:solidFill>
            <a:schemeClr val="bg1"/>
          </a:solidFill>
        </a:ln>
      </xdr:spPr>
      <xdr:style>
        <a:lnRef idx="1">
          <a:schemeClr val="accent1"/>
        </a:lnRef>
        <a:fillRef idx="0">
          <a:schemeClr val="accent1"/>
        </a:fillRef>
        <a:effectRef idx="0">
          <a:schemeClr val="accent1"/>
        </a:effectRef>
        <a:fontRef idx="minor">
          <a:schemeClr val="tx1"/>
        </a:fontRef>
      </xdr:style>
    </xdr:cxn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0</xdr:colOff>
      <xdr:row>12</xdr:row>
      <xdr:rowOff>0</xdr:rowOff>
    </xdr:from>
    <xdr:to>
      <xdr:col>12</xdr:col>
      <xdr:colOff>54428</xdr:colOff>
      <xdr:row>26</xdr:row>
      <xdr:rowOff>0</xdr:rowOff>
    </xdr:to>
    <xdr:sp macro="" textlink="">
      <xdr:nvSpPr>
        <xdr:cNvPr id="2" name="テキスト ボックス 1">
          <a:extLst>
            <a:ext uri="{FF2B5EF4-FFF2-40B4-BE49-F238E27FC236}">
              <a16:creationId xmlns="" xmlns:a16="http://schemas.microsoft.com/office/drawing/2014/main" id="{00000000-0008-0000-0800-000002000000}"/>
            </a:ext>
          </a:extLst>
        </xdr:cNvPr>
        <xdr:cNvSpPr txBox="1"/>
      </xdr:nvSpPr>
      <xdr:spPr>
        <a:xfrm>
          <a:off x="285750" y="2438400"/>
          <a:ext cx="8150678"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上場日当日セカンダリ参加条件</a:t>
          </a:r>
          <a:r>
            <a:rPr kumimoji="1" lang="en-US" altLang="ja-JP" sz="1600">
              <a:solidFill>
                <a:schemeClr val="tx1"/>
              </a:solidFill>
              <a:latin typeface="Meiryo UI" pitchFamily="50" charset="-128"/>
              <a:ea typeface="Meiryo UI" pitchFamily="50" charset="-128"/>
            </a:rPr>
            <a:t>】</a:t>
          </a:r>
        </a:p>
        <a:p>
          <a:r>
            <a:rPr kumimoji="1" lang="en-US" altLang="ja-JP" sz="1600">
              <a:solidFill>
                <a:schemeClr val="tx1"/>
              </a:solidFill>
              <a:latin typeface="Meiryo UI" pitchFamily="50" charset="-128"/>
              <a:ea typeface="Meiryo UI" pitchFamily="50" charset="-128"/>
            </a:rPr>
            <a:t>  &lt;</a:t>
          </a:r>
          <a:r>
            <a:rPr kumimoji="1" lang="ja-JP" altLang="en-US" sz="1600">
              <a:solidFill>
                <a:schemeClr val="tx1"/>
              </a:solidFill>
              <a:latin typeface="Meiryo UI" pitchFamily="50" charset="-128"/>
              <a:ea typeface="Meiryo UI" pitchFamily="50" charset="-128"/>
            </a:rPr>
            <a:t>買付条件</a:t>
          </a:r>
          <a:r>
            <a:rPr kumimoji="1" lang="en-US" altLang="ja-JP" sz="1600">
              <a:solidFill>
                <a:schemeClr val="tx1"/>
              </a:solidFill>
              <a:latin typeface="Meiryo UI" pitchFamily="50" charset="-128"/>
              <a:ea typeface="Meiryo UI" pitchFamily="50" charset="-128"/>
            </a:rPr>
            <a:t>&gt;</a:t>
          </a:r>
        </a:p>
        <a:p>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％以上の場合で</a:t>
          </a:r>
          <a:r>
            <a:rPr kumimoji="1" lang="en-US" altLang="ja-JP" sz="1600" baseline="0">
              <a:solidFill>
                <a:schemeClr val="tx1"/>
              </a:solidFill>
              <a:latin typeface="Meiryo UI" pitchFamily="50" charset="-128"/>
              <a:ea typeface="Meiryo UI" pitchFamily="50" charset="-128"/>
            </a:rPr>
            <a:t>,2000-3000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であること　</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・騰落率が</a:t>
          </a:r>
          <a:r>
            <a:rPr kumimoji="1" lang="en-US" altLang="ja-JP" sz="1600" baseline="0">
              <a:solidFill>
                <a:schemeClr val="tx1"/>
              </a:solidFill>
              <a:latin typeface="Meiryo UI" pitchFamily="50" charset="-128"/>
              <a:ea typeface="Meiryo UI" pitchFamily="50" charset="-128"/>
            </a:rPr>
            <a:t>30</a:t>
          </a:r>
          <a:r>
            <a:rPr kumimoji="1" lang="ja-JP" altLang="en-US" sz="1600" baseline="0">
              <a:solidFill>
                <a:schemeClr val="tx1"/>
              </a:solidFill>
              <a:latin typeface="Meiryo UI" pitchFamily="50" charset="-128"/>
              <a:ea typeface="Meiryo UI" pitchFamily="50" charset="-128"/>
            </a:rPr>
            <a:t>％以上</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％未満の場合で</a:t>
          </a:r>
          <a:r>
            <a:rPr kumimoji="1" lang="en-US" altLang="ja-JP" sz="1600" baseline="0">
              <a:solidFill>
                <a:schemeClr val="tx1"/>
              </a:solidFill>
              <a:latin typeface="Meiryo UI" pitchFamily="50" charset="-128"/>
              <a:ea typeface="Meiryo UI" pitchFamily="50" charset="-128"/>
            </a:rPr>
            <a:t>, 3000</a:t>
          </a:r>
          <a:r>
            <a:rPr kumimoji="1" lang="ja-JP" altLang="en-US" sz="1600" baseline="0">
              <a:solidFill>
                <a:schemeClr val="tx1"/>
              </a:solidFill>
              <a:latin typeface="Meiryo UI" pitchFamily="50" charset="-128"/>
              <a:ea typeface="Meiryo UI" pitchFamily="50" charset="-128"/>
            </a:rPr>
            <a:t>円</a:t>
          </a:r>
          <a:r>
            <a:rPr kumimoji="1" lang="en-US" altLang="ja-JP" sz="1600" baseline="0">
              <a:solidFill>
                <a:schemeClr val="tx1"/>
              </a:solidFill>
              <a:latin typeface="Meiryo UI" pitchFamily="50" charset="-128"/>
              <a:ea typeface="Meiryo UI" pitchFamily="50" charset="-128"/>
            </a:rPr>
            <a:t>/1</a:t>
          </a:r>
          <a:r>
            <a:rPr kumimoji="1" lang="ja-JP" altLang="en-US" sz="1600" baseline="0">
              <a:solidFill>
                <a:schemeClr val="tx1"/>
              </a:solidFill>
              <a:latin typeface="Meiryo UI" pitchFamily="50" charset="-128"/>
              <a:ea typeface="Meiryo UI" pitchFamily="50" charset="-128"/>
            </a:rPr>
            <a:t>株 未満であること</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・気配板を</a:t>
          </a:r>
          <a:r>
            <a:rPr kumimoji="1" lang="en-US" altLang="ja-JP" sz="1600" baseline="0">
              <a:solidFill>
                <a:schemeClr val="tx1"/>
              </a:solidFill>
              <a:latin typeface="Meiryo UI" pitchFamily="50" charset="-128"/>
              <a:ea typeface="Meiryo UI" pitchFamily="50" charset="-128"/>
            </a:rPr>
            <a:t>10:30-11:30,12:30-15:00</a:t>
          </a:r>
          <a:r>
            <a:rPr kumimoji="1" lang="ja-JP" altLang="en-US" sz="1600" baseline="0">
              <a:solidFill>
                <a:schemeClr val="tx1"/>
              </a:solidFill>
              <a:latin typeface="Meiryo UI" pitchFamily="50" charset="-128"/>
              <a:ea typeface="Meiryo UI" pitchFamily="50" charset="-128"/>
            </a:rPr>
            <a:t>まで常時確認できること</a:t>
          </a:r>
          <a:endParaRPr kumimoji="1" lang="en-US" altLang="ja-JP" sz="1600" baseline="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endParaRPr kumimoji="1" lang="en-US" altLang="ja-JP" sz="1600">
            <a:solidFill>
              <a:schemeClr val="tx1"/>
            </a:solidFill>
            <a:latin typeface="Meiryo UI" pitchFamily="50" charset="-128"/>
            <a:ea typeface="Meiryo UI" pitchFamily="50" charset="-128"/>
          </a:endParaRPr>
        </a:p>
        <a:p>
          <a:r>
            <a:rPr kumimoji="1" lang="ja-JP" altLang="en-US" sz="1600" baseline="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&lt;</a:t>
          </a:r>
          <a:r>
            <a:rPr kumimoji="1" lang="ja-JP" altLang="en-US" sz="1600">
              <a:solidFill>
                <a:schemeClr val="tx1"/>
              </a:solidFill>
              <a:latin typeface="Meiryo UI" pitchFamily="50" charset="-128"/>
              <a:ea typeface="Meiryo UI" pitchFamily="50" charset="-128"/>
            </a:rPr>
            <a:t>売却条件</a:t>
          </a:r>
          <a:r>
            <a:rPr kumimoji="1" lang="en-US" altLang="ja-JP" sz="1600">
              <a:solidFill>
                <a:schemeClr val="tx1"/>
              </a:solidFill>
              <a:latin typeface="Meiryo UI" pitchFamily="50" charset="-128"/>
              <a:ea typeface="Meiryo UI" pitchFamily="50" charset="-128"/>
            </a:rPr>
            <a:t>&gt;</a:t>
          </a:r>
        </a:p>
        <a:p>
          <a:r>
            <a:rPr kumimoji="1" lang="ja-JP" altLang="en-US" sz="1600">
              <a:solidFill>
                <a:schemeClr val="tx1"/>
              </a:solidFill>
              <a:latin typeface="Meiryo UI" pitchFamily="50" charset="-128"/>
              <a:ea typeface="Meiryo UI" pitchFamily="50" charset="-128"/>
            </a:rPr>
            <a:t>　・</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以上で利益確定</a:t>
          </a:r>
          <a:r>
            <a:rPr kumimoji="1" lang="en-US" altLang="ja-JP" sz="1600">
              <a:solidFill>
                <a:schemeClr val="tx1"/>
              </a:solidFill>
              <a:latin typeface="Meiryo UI" pitchFamily="50" charset="-128"/>
              <a:ea typeface="Meiryo UI" pitchFamily="50" charset="-128"/>
            </a:rPr>
            <a:t>,-3%</a:t>
          </a:r>
          <a:r>
            <a:rPr kumimoji="1" lang="ja-JP" altLang="en-US" sz="1600">
              <a:solidFill>
                <a:schemeClr val="tx1"/>
              </a:solidFill>
              <a:latin typeface="Meiryo UI" pitchFamily="50" charset="-128"/>
              <a:ea typeface="Meiryo UI" pitchFamily="50" charset="-128"/>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twoCellAnchor>
    <xdr:from>
      <xdr:col>12</xdr:col>
      <xdr:colOff>136078</xdr:colOff>
      <xdr:row>12</xdr:row>
      <xdr:rowOff>0</xdr:rowOff>
    </xdr:from>
    <xdr:to>
      <xdr:col>23</xdr:col>
      <xdr:colOff>653151</xdr:colOff>
      <xdr:row>26</xdr:row>
      <xdr:rowOff>0</xdr:rowOff>
    </xdr:to>
    <xdr:sp macro="" textlink="">
      <xdr:nvSpPr>
        <xdr:cNvPr id="3" name="テキスト ボックス 2">
          <a:extLst>
            <a:ext uri="{FF2B5EF4-FFF2-40B4-BE49-F238E27FC236}">
              <a16:creationId xmlns="" xmlns:a16="http://schemas.microsoft.com/office/drawing/2014/main" id="{00000000-0008-0000-0800-000003000000}"/>
            </a:ext>
          </a:extLst>
        </xdr:cNvPr>
        <xdr:cNvSpPr txBox="1"/>
      </xdr:nvSpPr>
      <xdr:spPr>
        <a:xfrm>
          <a:off x="8518078" y="2438400"/>
          <a:ext cx="8784773" cy="2800350"/>
        </a:xfrm>
        <a:prstGeom prst="rect">
          <a:avLst/>
        </a:prstGeom>
        <a:solidFill>
          <a:srgbClr val="FFC000"/>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kumimoji="1" lang="en-US" altLang="ja-JP" sz="1600">
              <a:solidFill>
                <a:schemeClr val="tx1"/>
              </a:solidFill>
              <a:latin typeface="Meiryo UI" pitchFamily="50" charset="-128"/>
              <a:ea typeface="Meiryo UI" pitchFamily="50" charset="-128"/>
            </a:rPr>
            <a:t>【</a:t>
          </a:r>
          <a:r>
            <a:rPr kumimoji="1" lang="ja-JP" altLang="en-US" sz="1600">
              <a:solidFill>
                <a:schemeClr val="tx1"/>
              </a:solidFill>
              <a:latin typeface="Meiryo UI" pitchFamily="50" charset="-128"/>
              <a:ea typeface="Meiryo UI" pitchFamily="50" charset="-128"/>
            </a:rPr>
            <a:t>上場日翌日以降セカンダリ参加条件</a:t>
          </a:r>
          <a:r>
            <a:rPr kumimoji="1" lang="en-US" altLang="ja-JP" sz="1600">
              <a:solidFill>
                <a:schemeClr val="tx1"/>
              </a:solidFill>
              <a:latin typeface="Meiryo UI" pitchFamily="50" charset="-128"/>
              <a:ea typeface="Meiryo UI" pitchFamily="50" charset="-128"/>
            </a:rPr>
            <a:t>】</a:t>
          </a:r>
        </a:p>
        <a:p>
          <a:pPr marL="0" marR="0" lvl="0" indent="0" defTabSz="914400" eaLnBrk="1" fontAlgn="auto" latinLnBrk="0" hangingPunct="1">
            <a:lnSpc>
              <a:spcPct val="100000"/>
            </a:lnSpc>
            <a:spcBef>
              <a:spcPts val="0"/>
            </a:spcBef>
            <a:spcAft>
              <a:spcPts val="0"/>
            </a:spcAft>
            <a:buClrTx/>
            <a:buSzTx/>
            <a:buFontTx/>
            <a:buNone/>
            <a:tabLst/>
            <a:defRPr/>
          </a:pP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買付条件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上場日の場合は初期値の比較</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a:t>
          </a:r>
          <a:endParaRPr kumimoji="1" lang="en-US" altLang="ja-JP" sz="1600">
            <a:solidFill>
              <a:schemeClr val="tx1"/>
            </a:solidFill>
            <a:latin typeface="Meiryo UI" pitchFamily="50" charset="-128"/>
            <a:ea typeface="Meiryo UI" pitchFamily="50" charset="-128"/>
          </a:endParaRPr>
        </a:p>
        <a:p>
          <a:r>
            <a:rPr kumimoji="1" lang="ja-JP" altLang="en-US" sz="160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・終値が</a:t>
          </a:r>
          <a:r>
            <a:rPr kumimoji="1" lang="ja-JP" altLang="en-US" sz="1600">
              <a:solidFill>
                <a:schemeClr val="tx1"/>
              </a:solidFill>
              <a:latin typeface="Meiryo UI" pitchFamily="50" charset="-128"/>
              <a:ea typeface="Meiryo UI" pitchFamily="50" charset="-128"/>
            </a:rPr>
            <a:t>前日 </a:t>
          </a:r>
          <a:r>
            <a:rPr kumimoji="1" lang="en-US" altLang="ja-JP" sz="1600">
              <a:solidFill>
                <a:schemeClr val="tx1"/>
              </a:solidFill>
              <a:latin typeface="Meiryo UI" pitchFamily="50" charset="-128"/>
              <a:ea typeface="Meiryo UI" pitchFamily="50" charset="-128"/>
            </a:rPr>
            <a:t>or </a:t>
          </a:r>
          <a:r>
            <a:rPr kumimoji="1" lang="ja-JP" altLang="en-US" sz="1600">
              <a:solidFill>
                <a:schemeClr val="tx1"/>
              </a:solidFill>
              <a:latin typeface="Meiryo UI" pitchFamily="50" charset="-128"/>
              <a:ea typeface="Meiryo UI" pitchFamily="50" charset="-128"/>
            </a:rPr>
            <a:t>前々日比にて </a:t>
          </a:r>
          <a:r>
            <a:rPr kumimoji="1" lang="en-US" altLang="ja-JP" sz="1600">
              <a:solidFill>
                <a:schemeClr val="tx1"/>
              </a:solidFill>
              <a:latin typeface="Meiryo UI" pitchFamily="50" charset="-128"/>
              <a:ea typeface="Meiryo UI" pitchFamily="50" charset="-128"/>
            </a:rPr>
            <a:t>-7%</a:t>
          </a:r>
          <a:r>
            <a:rPr kumimoji="1" lang="ja-JP" altLang="en-US" sz="1600">
              <a:solidFill>
                <a:schemeClr val="tx1"/>
              </a:solidFill>
              <a:latin typeface="Meiryo UI" pitchFamily="50" charset="-128"/>
              <a:ea typeface="Meiryo UI" pitchFamily="50" charset="-128"/>
            </a:rPr>
            <a:t>以上下落した場合は、寄成買付でスタート</a:t>
          </a:r>
          <a:endParaRPr kumimoji="1" lang="en-US" altLang="ja-JP" sz="160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en-US" altLang="ja-JP" sz="1600">
              <a:solidFill>
                <a:schemeClr val="tx1"/>
              </a:solidFill>
              <a:latin typeface="Meiryo UI" pitchFamily="50" charset="-128"/>
              <a:ea typeface="Meiryo UI" pitchFamily="50" charset="-128"/>
            </a:rPr>
            <a:t>  </a:t>
          </a:r>
          <a:r>
            <a:rPr kumimoji="1" lang="ja-JP" altLang="en-US" sz="1600">
              <a:solidFill>
                <a:schemeClr val="tx1"/>
              </a:solidFill>
              <a:latin typeface="Meiryo UI" pitchFamily="50" charset="-128"/>
              <a:ea typeface="Meiryo UI" pitchFamily="50" charset="-128"/>
            </a:rPr>
            <a:t>・現在値が</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前日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or </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前々日比にて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-7%</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以上下落した時点で、成行でスタート</a:t>
          </a:r>
          <a:endParaRPr kumimoji="1" lang="en-US" altLang="ja-JP" sz="1600">
            <a:solidFill>
              <a:schemeClr val="tx1"/>
            </a:solidFill>
            <a:latin typeface="Meiryo UI" pitchFamily="50" charset="-128"/>
            <a:ea typeface="Meiryo UI" pitchFamily="50" charset="-128"/>
          </a:endParaRPr>
        </a:p>
        <a:p>
          <a:pPr marL="0" marR="0" lvl="0" indent="0" defTabSz="914400" eaLnBrk="1" fontAlgn="auto" latinLnBrk="0" hangingPunct="1">
            <a:lnSpc>
              <a:spcPct val="100000"/>
            </a:lnSpc>
            <a:spcBef>
              <a:spcPts val="0"/>
            </a:spcBef>
            <a:spcAft>
              <a:spcPts val="0"/>
            </a:spcAft>
            <a:buClrTx/>
            <a:buSzTx/>
            <a:buFontTx/>
            <a:buNone/>
            <a:tabLst/>
            <a:defRPr/>
          </a:pPr>
          <a:endPar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endParaRPr>
        </a:p>
        <a:p>
          <a:pPr marL="0" marR="0" lvl="0" indent="0" defTabSz="914400" eaLnBrk="1" fontAlgn="auto" latinLnBrk="0" hangingPunct="1">
            <a:lnSpc>
              <a:spcPct val="100000"/>
            </a:lnSpc>
            <a:spcBef>
              <a:spcPts val="0"/>
            </a:spcBef>
            <a:spcAft>
              <a:spcPts val="0"/>
            </a:spcAft>
            <a:buClrTx/>
            <a:buSzTx/>
            <a:buFontTx/>
            <a:buNone/>
            <a:tabLst/>
            <a:defRPr/>
          </a:pP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&lt;</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売却条件</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&gt;</a:t>
          </a:r>
          <a:endParaRPr kumimoji="1" lang="en-US" altLang="ja-JP" sz="1600">
            <a:solidFill>
              <a:schemeClr val="tx1"/>
            </a:solidFill>
            <a:latin typeface="Meiryo UI" pitchFamily="50" charset="-128"/>
            <a:ea typeface="Meiryo UI" pitchFamily="50" charset="-128"/>
          </a:endParaRPr>
        </a:p>
        <a:p>
          <a:r>
            <a:rPr kumimoji="1" lang="en-US" altLang="ja-JP" sz="1600" baseline="0">
              <a:solidFill>
                <a:schemeClr val="tx1"/>
              </a:solidFill>
              <a:latin typeface="Meiryo UI" pitchFamily="50" charset="-128"/>
              <a:ea typeface="Meiryo UI" pitchFamily="50" charset="-128"/>
            </a:rPr>
            <a:t> </a:t>
          </a:r>
          <a:r>
            <a:rPr kumimoji="1" lang="ja-JP" altLang="en-US" sz="1600" baseline="0">
              <a:solidFill>
                <a:schemeClr val="tx1"/>
              </a:solidFill>
              <a:latin typeface="Meiryo UI" pitchFamily="50" charset="-128"/>
              <a:ea typeface="Meiryo UI" pitchFamily="50" charset="-128"/>
            </a:rPr>
            <a:t> ・当該銘柄の騰落率が</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未満なら</a:t>
          </a:r>
          <a:r>
            <a:rPr kumimoji="1" lang="en-US" altLang="ja-JP" sz="1600" baseline="0">
              <a:solidFill>
                <a:schemeClr val="tx1"/>
              </a:solidFill>
              <a:latin typeface="Meiryo UI" pitchFamily="50" charset="-128"/>
              <a:ea typeface="Meiryo UI" pitchFamily="50" charset="-128"/>
            </a:rPr>
            <a:t>+3%</a:t>
          </a:r>
          <a:r>
            <a:rPr kumimoji="1" lang="ja-JP" altLang="en-US" sz="1600" baseline="0">
              <a:solidFill>
                <a:schemeClr val="tx1"/>
              </a:solidFill>
              <a:latin typeface="Meiryo UI" pitchFamily="50" charset="-128"/>
              <a:ea typeface="Meiryo UI" pitchFamily="50" charset="-128"/>
            </a:rPr>
            <a:t>以上で利益確定</a:t>
          </a:r>
          <a:r>
            <a:rPr kumimoji="1" lang="en-US" altLang="ja-JP" sz="1600" baseline="0">
              <a:solidFill>
                <a:schemeClr val="tx1"/>
              </a:solidFill>
              <a:latin typeface="Meiryo UI" pitchFamily="50" charset="-128"/>
              <a:ea typeface="Meiryo UI" pitchFamily="50" charset="-128"/>
            </a:rPr>
            <a:t>,100%</a:t>
          </a:r>
          <a:r>
            <a:rPr kumimoji="1" lang="ja-JP" altLang="en-US" sz="1600" baseline="0">
              <a:solidFill>
                <a:schemeClr val="tx1"/>
              </a:solidFill>
              <a:latin typeface="Meiryo UI" pitchFamily="50" charset="-128"/>
              <a:ea typeface="Meiryo UI" pitchFamily="50" charset="-128"/>
            </a:rPr>
            <a:t>以上なら</a:t>
          </a:r>
          <a:r>
            <a:rPr kumimoji="1" lang="en-US" altLang="ja-JP" sz="1600" baseline="0">
              <a:solidFill>
                <a:schemeClr val="tx1"/>
              </a:solidFill>
              <a:latin typeface="Meiryo UI" pitchFamily="50" charset="-128"/>
              <a:ea typeface="Meiryo UI" pitchFamily="50" charset="-128"/>
            </a:rPr>
            <a:t>+10%</a:t>
          </a:r>
          <a:r>
            <a:rPr kumimoji="1" lang="ja-JP" altLang="en-US" sz="1600" baseline="0">
              <a:solidFill>
                <a:schemeClr val="tx1"/>
              </a:solidFill>
              <a:latin typeface="Meiryo UI" pitchFamily="50" charset="-128"/>
              <a:ea typeface="Meiryo UI" pitchFamily="50" charset="-128"/>
            </a:rPr>
            <a:t>で利益確定</a:t>
          </a:r>
          <a:endParaRPr kumimoji="1" lang="en-US" altLang="ja-JP" sz="1600" baseline="0">
            <a:solidFill>
              <a:schemeClr val="tx1"/>
            </a:solidFill>
            <a:latin typeface="Meiryo UI" pitchFamily="50" charset="-128"/>
            <a:ea typeface="Meiryo UI" pitchFamily="50" charset="-128"/>
          </a:endParaRPr>
        </a:p>
        <a:p>
          <a:pPr marL="0" marR="0" indent="0" defTabSz="914400" eaLnBrk="1" fontAlgn="auto" latinLnBrk="0" hangingPunct="1">
            <a:lnSpc>
              <a:spcPct val="100000"/>
            </a:lnSpc>
            <a:spcBef>
              <a:spcPts val="0"/>
            </a:spcBef>
            <a:spcAft>
              <a:spcPts val="0"/>
            </a:spcAft>
            <a:buClrTx/>
            <a:buSzTx/>
            <a:buFontTx/>
            <a:buNone/>
            <a:tabLst/>
            <a:defRPr/>
          </a:pPr>
          <a:r>
            <a:rPr kumimoji="1" lang="ja-JP" altLang="en-US" sz="1600" baseline="0">
              <a:solidFill>
                <a:schemeClr val="tx1"/>
              </a:solidFill>
              <a:latin typeface="Meiryo UI" pitchFamily="50" charset="-128"/>
              <a:ea typeface="Meiryo UI" pitchFamily="50" charset="-128"/>
            </a:rPr>
            <a:t>  ・</a:t>
          </a:r>
          <a:r>
            <a:rPr kumimoji="1" lang="en-US" altLang="ja-JP"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-3%</a:t>
          </a:r>
          <a:r>
            <a:rPr kumimoji="1" lang="ja-JP" altLang="en-US" sz="1600" b="0" i="0" u="none" strike="noStrike" kern="0" cap="none" spc="0" normalizeH="0" baseline="0" noProof="0">
              <a:ln>
                <a:noFill/>
              </a:ln>
              <a:solidFill>
                <a:prstClr val="black"/>
              </a:solidFill>
              <a:effectLst/>
              <a:uLnTx/>
              <a:uFillTx/>
              <a:latin typeface="Meiryo UI" pitchFamily="50" charset="-128"/>
              <a:ea typeface="Meiryo UI" pitchFamily="50" charset="-128"/>
              <a:cs typeface="+mn-cs"/>
            </a:rPr>
            <a:t>以上で損切を実施すること</a:t>
          </a:r>
          <a:endParaRPr kumimoji="1" lang="en-US" altLang="ja-JP" sz="1600">
            <a:solidFill>
              <a:schemeClr val="tx1"/>
            </a:solidFill>
            <a:latin typeface="Meiryo UI" pitchFamily="50" charset="-128"/>
            <a:ea typeface="Meiryo UI" pitchFamily="50" charset="-128"/>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10080</xdr:colOff>
      <xdr:row>5</xdr:row>
      <xdr:rowOff>15732</xdr:rowOff>
    </xdr:from>
    <xdr:to>
      <xdr:col>5</xdr:col>
      <xdr:colOff>79958</xdr:colOff>
      <xdr:row>30</xdr:row>
      <xdr:rowOff>14006</xdr:rowOff>
    </xdr:to>
    <xdr:pic>
      <xdr:nvPicPr>
        <xdr:cNvPr id="2" name="図 1" descr="Screenshot_2017-03-07-08-58-57.png">
          <a:extLst>
            <a:ext uri="{FF2B5EF4-FFF2-40B4-BE49-F238E27FC236}">
              <a16:creationId xmlns="" xmlns:a16="http://schemas.microsoft.com/office/drawing/2014/main" id="{00000000-0008-0000-0A00-000002000000}"/>
            </a:ext>
          </a:extLst>
        </xdr:cNvPr>
        <xdr:cNvPicPr>
          <a:picLocks noChangeAspect="1"/>
        </xdr:cNvPicPr>
      </xdr:nvPicPr>
      <xdr:blipFill>
        <a:blip xmlns:r="http://schemas.openxmlformats.org/officeDocument/2006/relationships" r:embed="rId1" cstate="print"/>
        <a:stretch>
          <a:fillRect/>
        </a:stretch>
      </xdr:blipFill>
      <xdr:spPr>
        <a:xfrm>
          <a:off x="686355" y="1015857"/>
          <a:ext cx="2813078" cy="4998899"/>
        </a:xfrm>
        <a:prstGeom prst="rect">
          <a:avLst/>
        </a:prstGeom>
      </xdr:spPr>
    </xdr:pic>
    <xdr:clientData/>
  </xdr:twoCellAnchor>
  <xdr:twoCellAnchor editAs="oneCell">
    <xdr:from>
      <xdr:col>7</xdr:col>
      <xdr:colOff>16776</xdr:colOff>
      <xdr:row>4</xdr:row>
      <xdr:rowOff>195987</xdr:rowOff>
    </xdr:from>
    <xdr:to>
      <xdr:col>11</xdr:col>
      <xdr:colOff>85003</xdr:colOff>
      <xdr:row>29</xdr:row>
      <xdr:rowOff>194260</xdr:rowOff>
    </xdr:to>
    <xdr:pic>
      <xdr:nvPicPr>
        <xdr:cNvPr id="3" name="図 2" descr="Screenshot_2017-03-07-09-00-26.png">
          <a:extLst>
            <a:ext uri="{FF2B5EF4-FFF2-40B4-BE49-F238E27FC236}">
              <a16:creationId xmlns="" xmlns:a16="http://schemas.microsoft.com/office/drawing/2014/main" id="{00000000-0008-0000-0A00-000003000000}"/>
            </a:ext>
          </a:extLst>
        </xdr:cNvPr>
        <xdr:cNvPicPr>
          <a:picLocks noChangeAspect="1"/>
        </xdr:cNvPicPr>
      </xdr:nvPicPr>
      <xdr:blipFill>
        <a:blip xmlns:r="http://schemas.openxmlformats.org/officeDocument/2006/relationships" r:embed="rId2" cstate="print"/>
        <a:stretch>
          <a:fillRect/>
        </a:stretch>
      </xdr:blipFill>
      <xdr:spPr>
        <a:xfrm>
          <a:off x="4807851" y="996087"/>
          <a:ext cx="2811427" cy="4998898"/>
        </a:xfrm>
        <a:prstGeom prst="rect">
          <a:avLst/>
        </a:prstGeom>
      </xdr:spPr>
    </xdr:pic>
    <xdr:clientData/>
  </xdr:twoCellAnchor>
  <xdr:twoCellAnchor editAs="oneCell">
    <xdr:from>
      <xdr:col>11</xdr:col>
      <xdr:colOff>163974</xdr:colOff>
      <xdr:row>5</xdr:row>
      <xdr:rowOff>4770</xdr:rowOff>
    </xdr:from>
    <xdr:to>
      <xdr:col>15</xdr:col>
      <xdr:colOff>232202</xdr:colOff>
      <xdr:row>30</xdr:row>
      <xdr:rowOff>3044</xdr:rowOff>
    </xdr:to>
    <xdr:pic>
      <xdr:nvPicPr>
        <xdr:cNvPr id="4" name="図 3" descr="Screenshot_2017-03-07-09-10-30.png">
          <a:extLst>
            <a:ext uri="{FF2B5EF4-FFF2-40B4-BE49-F238E27FC236}">
              <a16:creationId xmlns="" xmlns:a16="http://schemas.microsoft.com/office/drawing/2014/main" id="{00000000-0008-0000-0A00-000004000000}"/>
            </a:ext>
          </a:extLst>
        </xdr:cNvPr>
        <xdr:cNvPicPr>
          <a:picLocks noChangeAspect="1"/>
        </xdr:cNvPicPr>
      </xdr:nvPicPr>
      <xdr:blipFill>
        <a:blip xmlns:r="http://schemas.openxmlformats.org/officeDocument/2006/relationships" r:embed="rId3" cstate="print"/>
        <a:stretch>
          <a:fillRect/>
        </a:stretch>
      </xdr:blipFill>
      <xdr:spPr>
        <a:xfrm>
          <a:off x="7698249" y="1004895"/>
          <a:ext cx="2811428" cy="4998899"/>
        </a:xfrm>
        <a:prstGeom prst="rect">
          <a:avLst/>
        </a:prstGeom>
      </xdr:spPr>
    </xdr:pic>
    <xdr:clientData/>
  </xdr:twoCellAnchor>
  <xdr:twoCellAnchor editAs="oneCell">
    <xdr:from>
      <xdr:col>15</xdr:col>
      <xdr:colOff>401415</xdr:colOff>
      <xdr:row>5</xdr:row>
      <xdr:rowOff>9093</xdr:rowOff>
    </xdr:from>
    <xdr:to>
      <xdr:col>19</xdr:col>
      <xdr:colOff>471291</xdr:colOff>
      <xdr:row>30</xdr:row>
      <xdr:rowOff>10729</xdr:rowOff>
    </xdr:to>
    <xdr:pic>
      <xdr:nvPicPr>
        <xdr:cNvPr id="5" name="図 4" descr="Screenshot_2017-03-07-10-06-29.png">
          <a:extLst>
            <a:ext uri="{FF2B5EF4-FFF2-40B4-BE49-F238E27FC236}">
              <a16:creationId xmlns="" xmlns:a16="http://schemas.microsoft.com/office/drawing/2014/main" id="{00000000-0008-0000-0A00-000005000000}"/>
            </a:ext>
          </a:extLst>
        </xdr:cNvPr>
        <xdr:cNvPicPr>
          <a:picLocks noChangeAspect="1"/>
        </xdr:cNvPicPr>
      </xdr:nvPicPr>
      <xdr:blipFill>
        <a:blip xmlns:r="http://schemas.openxmlformats.org/officeDocument/2006/relationships" r:embed="rId4" cstate="print"/>
        <a:stretch>
          <a:fillRect/>
        </a:stretch>
      </xdr:blipFill>
      <xdr:spPr>
        <a:xfrm>
          <a:off x="10678890" y="1009218"/>
          <a:ext cx="2813076" cy="5002261"/>
        </a:xfrm>
        <a:prstGeom prst="rect">
          <a:avLst/>
        </a:prstGeom>
      </xdr:spPr>
    </xdr:pic>
    <xdr:clientData/>
  </xdr:twoCellAnchor>
  <xdr:twoCellAnchor editAs="oneCell">
    <xdr:from>
      <xdr:col>1</xdr:col>
      <xdr:colOff>25096</xdr:colOff>
      <xdr:row>33</xdr:row>
      <xdr:rowOff>25768</xdr:rowOff>
    </xdr:from>
    <xdr:to>
      <xdr:col>5</xdr:col>
      <xdr:colOff>93493</xdr:colOff>
      <xdr:row>58</xdr:row>
      <xdr:rowOff>29053</xdr:rowOff>
    </xdr:to>
    <xdr:pic>
      <xdr:nvPicPr>
        <xdr:cNvPr id="6" name="図 5" descr="Screenshot_2017-03-07-10-41-05.png">
          <a:extLst>
            <a:ext uri="{FF2B5EF4-FFF2-40B4-BE49-F238E27FC236}">
              <a16:creationId xmlns="" xmlns:a16="http://schemas.microsoft.com/office/drawing/2014/main" id="{00000000-0008-0000-0A00-000006000000}"/>
            </a:ext>
          </a:extLst>
        </xdr:cNvPr>
        <xdr:cNvPicPr>
          <a:picLocks noChangeAspect="1"/>
        </xdr:cNvPicPr>
      </xdr:nvPicPr>
      <xdr:blipFill>
        <a:blip xmlns:r="http://schemas.openxmlformats.org/officeDocument/2006/relationships" r:embed="rId5" cstate="print"/>
        <a:stretch>
          <a:fillRect/>
        </a:stretch>
      </xdr:blipFill>
      <xdr:spPr>
        <a:xfrm>
          <a:off x="701371" y="6626593"/>
          <a:ext cx="2811597" cy="5003910"/>
        </a:xfrm>
        <a:prstGeom prst="rect">
          <a:avLst/>
        </a:prstGeom>
      </xdr:spPr>
    </xdr:pic>
    <xdr:clientData/>
  </xdr:twoCellAnchor>
  <xdr:twoCellAnchor>
    <xdr:from>
      <xdr:col>1</xdr:col>
      <xdr:colOff>9526</xdr:colOff>
      <xdr:row>15</xdr:row>
      <xdr:rowOff>104774</xdr:rowOff>
    </xdr:from>
    <xdr:to>
      <xdr:col>5</xdr:col>
      <xdr:colOff>85726</xdr:colOff>
      <xdr:row>16</xdr:row>
      <xdr:rowOff>190500</xdr:rowOff>
    </xdr:to>
    <xdr:sp macro="" textlink="">
      <xdr:nvSpPr>
        <xdr:cNvPr id="7" name="正方形/長方形 6">
          <a:extLst>
            <a:ext uri="{FF2B5EF4-FFF2-40B4-BE49-F238E27FC236}">
              <a16:creationId xmlns="" xmlns:a16="http://schemas.microsoft.com/office/drawing/2014/main" id="{00000000-0008-0000-0A00-000007000000}"/>
            </a:ext>
          </a:extLst>
        </xdr:cNvPr>
        <xdr:cNvSpPr/>
      </xdr:nvSpPr>
      <xdr:spPr>
        <a:xfrm>
          <a:off x="685801" y="3105149"/>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7</xdr:col>
      <xdr:colOff>9525</xdr:colOff>
      <xdr:row>15</xdr:row>
      <xdr:rowOff>95250</xdr:rowOff>
    </xdr:from>
    <xdr:to>
      <xdr:col>11</xdr:col>
      <xdr:colOff>85725</xdr:colOff>
      <xdr:row>16</xdr:row>
      <xdr:rowOff>180976</xdr:rowOff>
    </xdr:to>
    <xdr:sp macro="" textlink="">
      <xdr:nvSpPr>
        <xdr:cNvPr id="8" name="正方形/長方形 7">
          <a:extLst>
            <a:ext uri="{FF2B5EF4-FFF2-40B4-BE49-F238E27FC236}">
              <a16:creationId xmlns="" xmlns:a16="http://schemas.microsoft.com/office/drawing/2014/main" id="{00000000-0008-0000-0A00-000008000000}"/>
            </a:ext>
          </a:extLst>
        </xdr:cNvPr>
        <xdr:cNvSpPr/>
      </xdr:nvSpPr>
      <xdr:spPr>
        <a:xfrm>
          <a:off x="4800600"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11</xdr:col>
      <xdr:colOff>171450</xdr:colOff>
      <xdr:row>15</xdr:row>
      <xdr:rowOff>95250</xdr:rowOff>
    </xdr:from>
    <xdr:to>
      <xdr:col>15</xdr:col>
      <xdr:colOff>247650</xdr:colOff>
      <xdr:row>16</xdr:row>
      <xdr:rowOff>180976</xdr:rowOff>
    </xdr:to>
    <xdr:sp macro="" textlink="">
      <xdr:nvSpPr>
        <xdr:cNvPr id="9" name="正方形/長方形 8">
          <a:extLst>
            <a:ext uri="{FF2B5EF4-FFF2-40B4-BE49-F238E27FC236}">
              <a16:creationId xmlns="" xmlns:a16="http://schemas.microsoft.com/office/drawing/2014/main" id="{00000000-0008-0000-0A00-000009000000}"/>
            </a:ext>
          </a:extLst>
        </xdr:cNvPr>
        <xdr:cNvSpPr/>
      </xdr:nvSpPr>
      <xdr:spPr>
        <a:xfrm>
          <a:off x="7705725" y="3095625"/>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15</xdr:col>
      <xdr:colOff>392206</xdr:colOff>
      <xdr:row>15</xdr:row>
      <xdr:rowOff>89647</xdr:rowOff>
    </xdr:from>
    <xdr:to>
      <xdr:col>19</xdr:col>
      <xdr:colOff>468405</xdr:colOff>
      <xdr:row>16</xdr:row>
      <xdr:rowOff>175373</xdr:rowOff>
    </xdr:to>
    <xdr:sp macro="" textlink="">
      <xdr:nvSpPr>
        <xdr:cNvPr id="10" name="正方形/長方形 9">
          <a:extLst>
            <a:ext uri="{FF2B5EF4-FFF2-40B4-BE49-F238E27FC236}">
              <a16:creationId xmlns="" xmlns:a16="http://schemas.microsoft.com/office/drawing/2014/main" id="{00000000-0008-0000-0A00-00000A000000}"/>
            </a:ext>
          </a:extLst>
        </xdr:cNvPr>
        <xdr:cNvSpPr/>
      </xdr:nvSpPr>
      <xdr:spPr>
        <a:xfrm>
          <a:off x="10669681" y="3090022"/>
          <a:ext cx="2819399"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xdr:from>
      <xdr:col>1</xdr:col>
      <xdr:colOff>11206</xdr:colOff>
      <xdr:row>43</xdr:row>
      <xdr:rowOff>100847</xdr:rowOff>
    </xdr:from>
    <xdr:to>
      <xdr:col>5</xdr:col>
      <xdr:colOff>87406</xdr:colOff>
      <xdr:row>44</xdr:row>
      <xdr:rowOff>186573</xdr:rowOff>
    </xdr:to>
    <xdr:sp macro="" textlink="">
      <xdr:nvSpPr>
        <xdr:cNvPr id="11" name="正方形/長方形 10">
          <a:extLst>
            <a:ext uri="{FF2B5EF4-FFF2-40B4-BE49-F238E27FC236}">
              <a16:creationId xmlns="" xmlns:a16="http://schemas.microsoft.com/office/drawing/2014/main" id="{00000000-0008-0000-0A00-00000B000000}"/>
            </a:ext>
          </a:extLst>
        </xdr:cNvPr>
        <xdr:cNvSpPr/>
      </xdr:nvSpPr>
      <xdr:spPr>
        <a:xfrm>
          <a:off x="687481" y="8701922"/>
          <a:ext cx="2819400" cy="28575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60</xdr:row>
      <xdr:rowOff>0</xdr:rowOff>
    </xdr:from>
    <xdr:to>
      <xdr:col>14</xdr:col>
      <xdr:colOff>609600</xdr:colOff>
      <xdr:row>88</xdr:row>
      <xdr:rowOff>57150</xdr:rowOff>
    </xdr:to>
    <xdr:pic>
      <xdr:nvPicPr>
        <xdr:cNvPr id="12" name="Picture 1">
          <a:extLst>
            <a:ext uri="{FF2B5EF4-FFF2-40B4-BE49-F238E27FC236}">
              <a16:creationId xmlns="" xmlns:a16="http://schemas.microsoft.com/office/drawing/2014/main" id="{00000000-0008-0000-0A00-00000C000000}"/>
            </a:ext>
          </a:extLst>
        </xdr:cNvPr>
        <xdr:cNvPicPr>
          <a:picLocks noChangeAspect="1" noChangeArrowheads="1"/>
        </xdr:cNvPicPr>
      </xdr:nvPicPr>
      <xdr:blipFill>
        <a:blip xmlns:r="http://schemas.openxmlformats.org/officeDocument/2006/relationships" r:embed="rId6" cstate="print"/>
        <a:srcRect/>
        <a:stretch>
          <a:fillRect/>
        </a:stretch>
      </xdr:blipFill>
      <xdr:spPr bwMode="auto">
        <a:xfrm>
          <a:off x="676275" y="12001500"/>
          <a:ext cx="9525000" cy="5657850"/>
        </a:xfrm>
        <a:prstGeom prst="rect">
          <a:avLst/>
        </a:prstGeom>
        <a:noFill/>
        <a:ln w="1">
          <a:noFill/>
          <a:miter lim="800000"/>
          <a:headEnd/>
          <a:tailEnd type="none" w="med" len="med"/>
        </a:ln>
        <a:effectLst/>
      </xdr:spPr>
    </xdr:pic>
    <xdr:clientData/>
  </xdr:twoCellAnchor>
  <xdr:twoCellAnchor>
    <xdr:from>
      <xdr:col>1</xdr:col>
      <xdr:colOff>22411</xdr:colOff>
      <xdr:row>65</xdr:row>
      <xdr:rowOff>134471</xdr:rowOff>
    </xdr:from>
    <xdr:to>
      <xdr:col>14</xdr:col>
      <xdr:colOff>11206</xdr:colOff>
      <xdr:row>65</xdr:row>
      <xdr:rowOff>134471</xdr:rowOff>
    </xdr:to>
    <xdr:cxnSp macro="">
      <xdr:nvCxnSpPr>
        <xdr:cNvPr id="13" name="直線コネクタ 12">
          <a:extLst>
            <a:ext uri="{FF2B5EF4-FFF2-40B4-BE49-F238E27FC236}">
              <a16:creationId xmlns="" xmlns:a16="http://schemas.microsoft.com/office/drawing/2014/main" id="{00000000-0008-0000-0A00-00000D000000}"/>
            </a:ext>
          </a:extLst>
        </xdr:cNvPr>
        <xdr:cNvCxnSpPr/>
      </xdr:nvCxnSpPr>
      <xdr:spPr>
        <a:xfrm flipH="1">
          <a:off x="698686" y="13136096"/>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33618</xdr:colOff>
      <xdr:row>72</xdr:row>
      <xdr:rowOff>78442</xdr:rowOff>
    </xdr:from>
    <xdr:to>
      <xdr:col>14</xdr:col>
      <xdr:colOff>22413</xdr:colOff>
      <xdr:row>72</xdr:row>
      <xdr:rowOff>78442</xdr:rowOff>
    </xdr:to>
    <xdr:cxnSp macro="">
      <xdr:nvCxnSpPr>
        <xdr:cNvPr id="14" name="直線コネクタ 13">
          <a:extLst>
            <a:ext uri="{FF2B5EF4-FFF2-40B4-BE49-F238E27FC236}">
              <a16:creationId xmlns="" xmlns:a16="http://schemas.microsoft.com/office/drawing/2014/main" id="{00000000-0008-0000-0A00-00000E000000}"/>
            </a:ext>
          </a:extLst>
        </xdr:cNvPr>
        <xdr:cNvCxnSpPr/>
      </xdr:nvCxnSpPr>
      <xdr:spPr>
        <a:xfrm flipH="1">
          <a:off x="709893" y="14480242"/>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66</xdr:row>
      <xdr:rowOff>100853</xdr:rowOff>
    </xdr:from>
    <xdr:to>
      <xdr:col>14</xdr:col>
      <xdr:colOff>1</xdr:colOff>
      <xdr:row>66</xdr:row>
      <xdr:rowOff>100853</xdr:rowOff>
    </xdr:to>
    <xdr:cxnSp macro="">
      <xdr:nvCxnSpPr>
        <xdr:cNvPr id="15" name="直線コネクタ 14">
          <a:extLst>
            <a:ext uri="{FF2B5EF4-FFF2-40B4-BE49-F238E27FC236}">
              <a16:creationId xmlns="" xmlns:a16="http://schemas.microsoft.com/office/drawing/2014/main" id="{00000000-0008-0000-0A00-00000F000000}"/>
            </a:ext>
          </a:extLst>
        </xdr:cNvPr>
        <xdr:cNvCxnSpPr/>
      </xdr:nvCxnSpPr>
      <xdr:spPr>
        <a:xfrm flipH="1">
          <a:off x="687481" y="13302503"/>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6</xdr:col>
      <xdr:colOff>280148</xdr:colOff>
      <xdr:row>71</xdr:row>
      <xdr:rowOff>145676</xdr:rowOff>
    </xdr:from>
    <xdr:to>
      <xdr:col>6</xdr:col>
      <xdr:colOff>515471</xdr:colOff>
      <xdr:row>73</xdr:row>
      <xdr:rowOff>29697</xdr:rowOff>
    </xdr:to>
    <xdr:sp macro="" textlink="">
      <xdr:nvSpPr>
        <xdr:cNvPr id="16" name="正方形/長方形 15">
          <a:extLst>
            <a:ext uri="{FF2B5EF4-FFF2-40B4-BE49-F238E27FC236}">
              <a16:creationId xmlns="" xmlns:a16="http://schemas.microsoft.com/office/drawing/2014/main" id="{00000000-0008-0000-0A00-000010000000}"/>
            </a:ext>
          </a:extLst>
        </xdr:cNvPr>
        <xdr:cNvSpPr/>
      </xdr:nvSpPr>
      <xdr:spPr>
        <a:xfrm>
          <a:off x="4385423" y="14347451"/>
          <a:ext cx="235323" cy="284071"/>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endParaRPr kumimoji="1" lang="ja-JP" altLang="en-US" sz="1100"/>
        </a:p>
      </xdr:txBody>
    </xdr:sp>
    <xdr:clientData/>
  </xdr:twoCellAnchor>
  <xdr:twoCellAnchor editAs="oneCell">
    <xdr:from>
      <xdr:col>1</xdr:col>
      <xdr:colOff>0</xdr:colOff>
      <xdr:row>90</xdr:row>
      <xdr:rowOff>0</xdr:rowOff>
    </xdr:from>
    <xdr:to>
      <xdr:col>14</xdr:col>
      <xdr:colOff>542925</xdr:colOff>
      <xdr:row>118</xdr:row>
      <xdr:rowOff>19050</xdr:rowOff>
    </xdr:to>
    <xdr:pic>
      <xdr:nvPicPr>
        <xdr:cNvPr id="17" name="Picture 2">
          <a:extLst>
            <a:ext uri="{FF2B5EF4-FFF2-40B4-BE49-F238E27FC236}">
              <a16:creationId xmlns="" xmlns:a16="http://schemas.microsoft.com/office/drawing/2014/main" id="{00000000-0008-0000-0A00-000011000000}"/>
            </a:ext>
          </a:extLst>
        </xdr:cNvPr>
        <xdr:cNvPicPr>
          <a:picLocks noChangeAspect="1" noChangeArrowheads="1"/>
        </xdr:cNvPicPr>
      </xdr:nvPicPr>
      <xdr:blipFill>
        <a:blip xmlns:r="http://schemas.openxmlformats.org/officeDocument/2006/relationships" r:embed="rId7" cstate="print"/>
        <a:srcRect/>
        <a:stretch>
          <a:fillRect/>
        </a:stretch>
      </xdr:blipFill>
      <xdr:spPr bwMode="auto">
        <a:xfrm>
          <a:off x="676275" y="18002250"/>
          <a:ext cx="9458325" cy="5619750"/>
        </a:xfrm>
        <a:prstGeom prst="rect">
          <a:avLst/>
        </a:prstGeom>
        <a:noFill/>
        <a:ln w="1">
          <a:noFill/>
          <a:miter lim="800000"/>
          <a:headEnd/>
          <a:tailEnd type="none" w="med" len="med"/>
        </a:ln>
        <a:effectLst/>
      </xdr:spPr>
    </xdr:pic>
    <xdr:clientData/>
  </xdr:twoCellAnchor>
  <xdr:twoCellAnchor>
    <xdr:from>
      <xdr:col>1</xdr:col>
      <xdr:colOff>22413</xdr:colOff>
      <xdr:row>110</xdr:row>
      <xdr:rowOff>112059</xdr:rowOff>
    </xdr:from>
    <xdr:to>
      <xdr:col>14</xdr:col>
      <xdr:colOff>11208</xdr:colOff>
      <xdr:row>110</xdr:row>
      <xdr:rowOff>112059</xdr:rowOff>
    </xdr:to>
    <xdr:cxnSp macro="">
      <xdr:nvCxnSpPr>
        <xdr:cNvPr id="18" name="直線コネクタ 17">
          <a:extLst>
            <a:ext uri="{FF2B5EF4-FFF2-40B4-BE49-F238E27FC236}">
              <a16:creationId xmlns="" xmlns:a16="http://schemas.microsoft.com/office/drawing/2014/main" id="{00000000-0008-0000-0A00-000012000000}"/>
            </a:ext>
          </a:extLst>
        </xdr:cNvPr>
        <xdr:cNvCxnSpPr/>
      </xdr:nvCxnSpPr>
      <xdr:spPr>
        <a:xfrm flipH="1">
          <a:off x="698688" y="22114809"/>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11206</xdr:colOff>
      <xdr:row>99</xdr:row>
      <xdr:rowOff>134470</xdr:rowOff>
    </xdr:from>
    <xdr:to>
      <xdr:col>14</xdr:col>
      <xdr:colOff>1</xdr:colOff>
      <xdr:row>99</xdr:row>
      <xdr:rowOff>134470</xdr:rowOff>
    </xdr:to>
    <xdr:cxnSp macro="">
      <xdr:nvCxnSpPr>
        <xdr:cNvPr id="19" name="直線コネクタ 18">
          <a:extLst>
            <a:ext uri="{FF2B5EF4-FFF2-40B4-BE49-F238E27FC236}">
              <a16:creationId xmlns="" xmlns:a16="http://schemas.microsoft.com/office/drawing/2014/main" id="{00000000-0008-0000-0A00-000013000000}"/>
            </a:ext>
          </a:extLst>
        </xdr:cNvPr>
        <xdr:cNvCxnSpPr/>
      </xdr:nvCxnSpPr>
      <xdr:spPr>
        <a:xfrm flipH="1">
          <a:off x="687481" y="19936945"/>
          <a:ext cx="8904195" cy="0"/>
        </a:xfrm>
        <a:prstGeom prst="line">
          <a:avLst/>
        </a:prstGeom>
        <a:ln w="19050">
          <a:solidFill>
            <a:srgbClr val="FF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xdr:col>
      <xdr:colOff>0</xdr:colOff>
      <xdr:row>120</xdr:row>
      <xdr:rowOff>0</xdr:rowOff>
    </xdr:from>
    <xdr:to>
      <xdr:col>12</xdr:col>
      <xdr:colOff>95250</xdr:colOff>
      <xdr:row>148</xdr:row>
      <xdr:rowOff>38100</xdr:rowOff>
    </xdr:to>
    <xdr:pic>
      <xdr:nvPicPr>
        <xdr:cNvPr id="20" name="Picture 1">
          <a:extLst>
            <a:ext uri="{FF2B5EF4-FFF2-40B4-BE49-F238E27FC236}">
              <a16:creationId xmlns="" xmlns:a16="http://schemas.microsoft.com/office/drawing/2014/main" id="{00000000-0008-0000-0A00-000014000000}"/>
            </a:ext>
          </a:extLst>
        </xdr:cNvPr>
        <xdr:cNvPicPr>
          <a:picLocks noChangeAspect="1" noChangeArrowheads="1"/>
        </xdr:cNvPicPr>
      </xdr:nvPicPr>
      <xdr:blipFill>
        <a:blip xmlns:r="http://schemas.openxmlformats.org/officeDocument/2006/relationships" r:embed="rId8" cstate="print"/>
        <a:srcRect/>
        <a:stretch>
          <a:fillRect/>
        </a:stretch>
      </xdr:blipFill>
      <xdr:spPr bwMode="auto">
        <a:xfrm>
          <a:off x="676275" y="24003000"/>
          <a:ext cx="7639050" cy="5638800"/>
        </a:xfrm>
        <a:prstGeom prst="rect">
          <a:avLst/>
        </a:prstGeom>
        <a:noFill/>
        <a:ln w="1">
          <a:noFill/>
          <a:miter lim="800000"/>
          <a:headEnd/>
          <a:tailEnd type="none" w="med" len="med"/>
        </a:ln>
        <a:effectLst/>
      </xdr:spPr>
    </xdr:pic>
    <xdr:clientData/>
  </xdr:twoCellAnchor>
  <xdr:twoCellAnchor editAs="oneCell">
    <xdr:from>
      <xdr:col>13</xdr:col>
      <xdr:colOff>0</xdr:colOff>
      <xdr:row>120</xdr:row>
      <xdr:rowOff>0</xdr:rowOff>
    </xdr:from>
    <xdr:to>
      <xdr:col>24</xdr:col>
      <xdr:colOff>180975</xdr:colOff>
      <xdr:row>148</xdr:row>
      <xdr:rowOff>19050</xdr:rowOff>
    </xdr:to>
    <xdr:pic>
      <xdr:nvPicPr>
        <xdr:cNvPr id="21" name="Picture 2">
          <a:extLst>
            <a:ext uri="{FF2B5EF4-FFF2-40B4-BE49-F238E27FC236}">
              <a16:creationId xmlns="" xmlns:a16="http://schemas.microsoft.com/office/drawing/2014/main" id="{00000000-0008-0000-0A00-000015000000}"/>
            </a:ext>
          </a:extLst>
        </xdr:cNvPr>
        <xdr:cNvPicPr>
          <a:picLocks noChangeAspect="1" noChangeArrowheads="1"/>
        </xdr:cNvPicPr>
      </xdr:nvPicPr>
      <xdr:blipFill>
        <a:blip xmlns:r="http://schemas.openxmlformats.org/officeDocument/2006/relationships" r:embed="rId9" cstate="print"/>
        <a:srcRect/>
        <a:stretch>
          <a:fillRect/>
        </a:stretch>
      </xdr:blipFill>
      <xdr:spPr bwMode="auto">
        <a:xfrm>
          <a:off x="8905875" y="24003000"/>
          <a:ext cx="7724775" cy="561975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hyperlink" Target="https://trade.okasan-online.co.jp/web/?_bdld=2NEbSs.lMZLSTp" TargetMode="External"/><Relationship Id="rId3" Type="http://schemas.openxmlformats.org/officeDocument/2006/relationships/hyperlink" Target="https://mxp2.monex.co.jp/pc/ITS/login/LoginIDPassword.jsp" TargetMode="External"/><Relationship Id="rId7" Type="http://schemas.openxmlformats.org/officeDocument/2006/relationships/hyperlink" Target="http://ipoget.com/" TargetMode="External"/><Relationship Id="rId2" Type="http://schemas.openxmlformats.org/officeDocument/2006/relationships/hyperlink" Target="http://diamond.jp/category/z-ipo-schedule" TargetMode="External"/><Relationship Id="rId1" Type="http://schemas.openxmlformats.org/officeDocument/2006/relationships/hyperlink" Target="http://www.tokyoipo.com/ipo/schedule.php" TargetMode="External"/><Relationship Id="rId6" Type="http://schemas.openxmlformats.org/officeDocument/2006/relationships/hyperlink" Target="https://site1.sbisec.co.jp/ETGate/" TargetMode="External"/><Relationship Id="rId5" Type="http://schemas.openxmlformats.org/officeDocument/2006/relationships/hyperlink" Target="https://trade.smbcnikko.co.jp/Login/3077B0029834/login/kakunin/exec" TargetMode="External"/><Relationship Id="rId4" Type="http://schemas.openxmlformats.org/officeDocument/2006/relationships/hyperlink" Target="https://www.daiwa.co.jp/PCC/HomeTrade/Account/m8301.html?BUTTON.x=%83%8D%83O%83C%83%93%89%E6%96%CA%82%D6" TargetMode="External"/><Relationship Id="rId9"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3" Type="http://schemas.openxmlformats.org/officeDocument/2006/relationships/hyperlink" Target="https://stocks.finance.yahoo.co.jp/stocks/detail/?code=3978" TargetMode="External"/><Relationship Id="rId18" Type="http://schemas.openxmlformats.org/officeDocument/2006/relationships/hyperlink" Target="https://stocks.finance.yahoo.co.jp/stocks/detail/?code=3983" TargetMode="External"/><Relationship Id="rId26" Type="http://schemas.openxmlformats.org/officeDocument/2006/relationships/hyperlink" Target="https://stocks.finance.yahoo.co.jp/stocks/detail/?code=7940" TargetMode="External"/><Relationship Id="rId39" Type="http://schemas.openxmlformats.org/officeDocument/2006/relationships/hyperlink" Target="https://stocks.finance.yahoo.co.jp/stocks/detail/?code=6549" TargetMode="External"/><Relationship Id="rId3" Type="http://schemas.openxmlformats.org/officeDocument/2006/relationships/hyperlink" Target="https://stocks.finance.yahoo.co.jp/stocks/detail/?code=3557" TargetMode="External"/><Relationship Id="rId21" Type="http://schemas.openxmlformats.org/officeDocument/2006/relationships/hyperlink" Target="https://stocks.finance.yahoo.co.jp/stocks/detail/?code=3964" TargetMode="External"/><Relationship Id="rId34" Type="http://schemas.openxmlformats.org/officeDocument/2006/relationships/hyperlink" Target="https://stocks.finance.yahoo.co.jp/stocks/detail/?code=3810" TargetMode="External"/><Relationship Id="rId42" Type="http://schemas.openxmlformats.org/officeDocument/2006/relationships/hyperlink" Target="https://stocks.finance.yahoo.co.jp/stocks/detail/?code=3853" TargetMode="External"/><Relationship Id="rId47" Type="http://schemas.openxmlformats.org/officeDocument/2006/relationships/hyperlink" Target="https://stocks.finance.yahoo.co.jp/stocks/detail/?code=4563" TargetMode="External"/><Relationship Id="rId50" Type="http://schemas.openxmlformats.org/officeDocument/2006/relationships/drawing" Target="../drawings/drawing1.xml"/><Relationship Id="rId7" Type="http://schemas.openxmlformats.org/officeDocument/2006/relationships/hyperlink" Target="https://stocks.finance.yahoo.co.jp/stocks/detail/?code=3979" TargetMode="External"/><Relationship Id="rId12" Type="http://schemas.openxmlformats.org/officeDocument/2006/relationships/hyperlink" Target="https://stocks.finance.yahoo.co.jp/stocks/detail/?code=6546" TargetMode="External"/><Relationship Id="rId17" Type="http://schemas.openxmlformats.org/officeDocument/2006/relationships/hyperlink" Target="https://stocks.finance.yahoo.co.jp/stocks/detail/?code=3981" TargetMode="External"/><Relationship Id="rId25" Type="http://schemas.openxmlformats.org/officeDocument/2006/relationships/hyperlink" Target="https://stocks.finance.yahoo.co.jp/stocks/detail/?code=3985" TargetMode="External"/><Relationship Id="rId33" Type="http://schemas.openxmlformats.org/officeDocument/2006/relationships/hyperlink" Target="https://stocks.finance.yahoo.co.jp/stocks/detail/?code=2138" TargetMode="External"/><Relationship Id="rId38" Type="http://schemas.openxmlformats.org/officeDocument/2006/relationships/hyperlink" Target="https://stocks.finance.yahoo.co.jp/stocks/detail/?code=3986" TargetMode="External"/><Relationship Id="rId46" Type="http://schemas.openxmlformats.org/officeDocument/2006/relationships/hyperlink" Target="https://stocks.finance.yahoo.co.jp/stocks/detail/?code=6552" TargetMode="External"/><Relationship Id="rId2" Type="http://schemas.openxmlformats.org/officeDocument/2006/relationships/hyperlink" Target="https://stocks.finance.yahoo.co.jp/stocks/detail/?code=9519" TargetMode="External"/><Relationship Id="rId16" Type="http://schemas.openxmlformats.org/officeDocument/2006/relationships/hyperlink" Target="https://stocks.finance.yahoo.co.jp/stocks/detail/?code=3479" TargetMode="External"/><Relationship Id="rId20" Type="http://schemas.openxmlformats.org/officeDocument/2006/relationships/hyperlink" Target="https://stocks.finance.yahoo.co.jp/stocks/detail/?code=3562" TargetMode="External"/><Relationship Id="rId29" Type="http://schemas.openxmlformats.org/officeDocument/2006/relationships/hyperlink" Target="https://stocks.finance.yahoo.co.jp/stocks/detail/?code=3565" TargetMode="External"/><Relationship Id="rId41" Type="http://schemas.openxmlformats.org/officeDocument/2006/relationships/hyperlink" Target="https://stocks.finance.yahoo.co.jp/stocks/detail/?code=6550" TargetMode="External"/><Relationship Id="rId1" Type="http://schemas.openxmlformats.org/officeDocument/2006/relationships/hyperlink" Target="https://stocks.finance.yahoo.co.jp/stocks/detail/?code=6543" TargetMode="External"/><Relationship Id="rId6" Type="http://schemas.openxmlformats.org/officeDocument/2006/relationships/hyperlink" Target="https://stocks.finance.yahoo.co.jp/stocks/detail/?code=9325" TargetMode="External"/><Relationship Id="rId11" Type="http://schemas.openxmlformats.org/officeDocument/2006/relationships/hyperlink" Target="https://stocks.finance.yahoo.co.jp/stocks/detail/?code=6545" TargetMode="External"/><Relationship Id="rId24" Type="http://schemas.openxmlformats.org/officeDocument/2006/relationships/hyperlink" Target="https://stocks.finance.yahoo.co.jp/stocks/detail/?code=6175" TargetMode="External"/><Relationship Id="rId32" Type="http://schemas.openxmlformats.org/officeDocument/2006/relationships/hyperlink" Target="https://stocks.finance.yahoo.co.jp/stocks/detail/?code=6787" TargetMode="External"/><Relationship Id="rId37" Type="http://schemas.openxmlformats.org/officeDocument/2006/relationships/hyperlink" Target="https://stocks.finance.yahoo.co.jp/stocks/detail/?code=3661" TargetMode="External"/><Relationship Id="rId40" Type="http://schemas.openxmlformats.org/officeDocument/2006/relationships/hyperlink" Target="https://stocks.finance.yahoo.co.jp/stocks/detail/?code=3987" TargetMode="External"/><Relationship Id="rId45" Type="http://schemas.openxmlformats.org/officeDocument/2006/relationships/hyperlink" Target="https://stocks.finance.yahoo.co.jp/stocks/detail/?code=3988" TargetMode="External"/><Relationship Id="rId53" Type="http://schemas.openxmlformats.org/officeDocument/2006/relationships/image" Target="../media/image1.emf"/><Relationship Id="rId5" Type="http://schemas.openxmlformats.org/officeDocument/2006/relationships/hyperlink" Target="https://stocks.finance.yahoo.co.jp/stocks/detail/?code=3559" TargetMode="External"/><Relationship Id="rId15" Type="http://schemas.openxmlformats.org/officeDocument/2006/relationships/hyperlink" Target="https://stocks.finance.yahoo.co.jp/stocks/detail/?code=4597" TargetMode="External"/><Relationship Id="rId23" Type="http://schemas.openxmlformats.org/officeDocument/2006/relationships/hyperlink" Target="https://stocks.finance.yahoo.co.jp/stocks/detail/?code=3984" TargetMode="External"/><Relationship Id="rId28" Type="http://schemas.openxmlformats.org/officeDocument/2006/relationships/hyperlink" Target="https://stocks.finance.yahoo.co.jp/stocks/detail/?code=6548" TargetMode="External"/><Relationship Id="rId36" Type="http://schemas.openxmlformats.org/officeDocument/2006/relationships/hyperlink" Target="https://stocks.finance.yahoo.co.jp/stocks/detail/?code=3825" TargetMode="External"/><Relationship Id="rId49" Type="http://schemas.openxmlformats.org/officeDocument/2006/relationships/hyperlink" Target="https://stocks.finance.yahoo.co.jp/stocks/detail/?code=6553" TargetMode="External"/><Relationship Id="rId10" Type="http://schemas.openxmlformats.org/officeDocument/2006/relationships/hyperlink" Target="https://stocks.finance.yahoo.co.jp/stocks/detail/?code=3561" TargetMode="External"/><Relationship Id="rId19" Type="http://schemas.openxmlformats.org/officeDocument/2006/relationships/hyperlink" Target="https://stocks.finance.yahoo.co.jp/stocks/detail/?code=6694" TargetMode="External"/><Relationship Id="rId31" Type="http://schemas.openxmlformats.org/officeDocument/2006/relationships/hyperlink" Target="https://stocks.finance.yahoo.co.jp/stocks/detail/?code=3932" TargetMode="External"/><Relationship Id="rId44" Type="http://schemas.openxmlformats.org/officeDocument/2006/relationships/hyperlink" Target="https://stocks.finance.yahoo.co.jp/stocks/detail/?code=6551" TargetMode="External"/><Relationship Id="rId52" Type="http://schemas.openxmlformats.org/officeDocument/2006/relationships/control" Target="../activeX/activeX1.xml"/><Relationship Id="rId4" Type="http://schemas.openxmlformats.org/officeDocument/2006/relationships/hyperlink" Target="https://stocks.finance.yahoo.co.jp/stocks/detail/?code=3558" TargetMode="External"/><Relationship Id="rId9" Type="http://schemas.openxmlformats.org/officeDocument/2006/relationships/hyperlink" Target="https://stocks.finance.yahoo.co.jp/stocks/detail/?code=6544" TargetMode="External"/><Relationship Id="rId14" Type="http://schemas.openxmlformats.org/officeDocument/2006/relationships/hyperlink" Target="https://stocks.finance.yahoo.co.jp/stocks/detail/?code=6547" TargetMode="External"/><Relationship Id="rId22" Type="http://schemas.openxmlformats.org/officeDocument/2006/relationships/hyperlink" Target="https://stocks.finance.yahoo.co.jp/stocks/detail/?code=3563" TargetMode="External"/><Relationship Id="rId27" Type="http://schemas.openxmlformats.org/officeDocument/2006/relationships/hyperlink" Target="https://stocks.finance.yahoo.co.jp/stocks/detail/?code=3564" TargetMode="External"/><Relationship Id="rId30" Type="http://schemas.openxmlformats.org/officeDocument/2006/relationships/hyperlink" Target="https://stocks.finance.yahoo.co.jp/stocks/detail/?code=3758" TargetMode="External"/><Relationship Id="rId35" Type="http://schemas.openxmlformats.org/officeDocument/2006/relationships/hyperlink" Target="https://stocks.finance.yahoo.co.jp/stocks/detail/?code=4288" TargetMode="External"/><Relationship Id="rId43" Type="http://schemas.openxmlformats.org/officeDocument/2006/relationships/hyperlink" Target="https://stocks.finance.yahoo.co.jp/stocks/detail/?code=2160" TargetMode="External"/><Relationship Id="rId48" Type="http://schemas.openxmlformats.org/officeDocument/2006/relationships/hyperlink" Target="https://stocks.finance.yahoo.co.jp/stocks/detail/?code=8704" TargetMode="External"/><Relationship Id="rId8" Type="http://schemas.openxmlformats.org/officeDocument/2006/relationships/hyperlink" Target="https://stocks.finance.yahoo.co.jp/stocks/detail/?code=3560" TargetMode="External"/><Relationship Id="rId51" Type="http://schemas.openxmlformats.org/officeDocument/2006/relationships/vmlDrawing" Target="../drawings/vmlDrawing1.v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3" Type="http://schemas.openxmlformats.org/officeDocument/2006/relationships/hyperlink" Target="http://diamond.jp/category/z-ipo-schedule" TargetMode="External"/><Relationship Id="rId2" Type="http://schemas.openxmlformats.org/officeDocument/2006/relationships/hyperlink" Target="http://ipoget.com/" TargetMode="External"/><Relationship Id="rId1" Type="http://schemas.openxmlformats.org/officeDocument/2006/relationships/hyperlink" Target="http://www.tokyoipo.com/ipo/schedule.php" TargetMode="Externa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D54"/>
  <sheetViews>
    <sheetView zoomScale="80" zoomScaleNormal="80" workbookViewId="0">
      <pane ySplit="2" topLeftCell="A12" activePane="bottomLeft" state="frozen"/>
      <selection activeCell="A20" sqref="A20"/>
      <selection pane="bottomLeft" activeCell="C48" sqref="C48"/>
    </sheetView>
  </sheetViews>
  <sheetFormatPr defaultColWidth="8" defaultRowHeight="15.75" x14ac:dyDescent="0.25"/>
  <cols>
    <col min="1" max="1" width="3.5546875" style="12" customWidth="1"/>
    <col min="2" max="2" width="22" style="12" customWidth="1"/>
    <col min="3" max="3" width="11.5546875" style="12" bestFit="1" customWidth="1"/>
    <col min="4" max="4" width="10.5546875" style="12" customWidth="1"/>
    <col min="5" max="5" width="11.33203125" style="12" bestFit="1" customWidth="1"/>
    <col min="6" max="6" width="11.5546875" style="12" customWidth="1"/>
    <col min="7" max="7" width="8.21875" style="15" bestFit="1" customWidth="1"/>
    <col min="8" max="8" width="4.88671875" style="12" bestFit="1" customWidth="1"/>
    <col min="9" max="9" width="12.5546875" style="12" bestFit="1" customWidth="1"/>
    <col min="10" max="10" width="12" style="12" hidden="1" customWidth="1"/>
    <col min="11" max="11" width="13.21875" style="12" bestFit="1" customWidth="1"/>
    <col min="12" max="12" width="14.109375" style="12" hidden="1" customWidth="1"/>
    <col min="13" max="13" width="11.109375" style="12" bestFit="1" customWidth="1"/>
    <col min="14" max="14" width="8.33203125" style="12" hidden="1" customWidth="1"/>
    <col min="15" max="15" width="11.21875" style="12" bestFit="1" customWidth="1"/>
    <col min="16" max="16" width="8.33203125" style="12" hidden="1" customWidth="1"/>
    <col min="17" max="17" width="15.21875" style="12" customWidth="1"/>
    <col min="18" max="18" width="9.109375" style="12" hidden="1" customWidth="1"/>
    <col min="19" max="19" width="15.77734375" style="12" bestFit="1" customWidth="1"/>
    <col min="20" max="20" width="11.33203125" style="21" bestFit="1" customWidth="1"/>
    <col min="21" max="21" width="8.77734375" style="22" bestFit="1" customWidth="1"/>
    <col min="22" max="22" width="9.77734375" style="12" bestFit="1" customWidth="1"/>
    <col min="23" max="23" width="10" style="12" bestFit="1" customWidth="1"/>
    <col min="24" max="24" width="8" style="12" customWidth="1"/>
    <col min="25" max="25" width="13.33203125" style="12" customWidth="1"/>
    <col min="26" max="26" width="28" style="12" bestFit="1" customWidth="1"/>
    <col min="27" max="27" width="5.5546875" style="12" customWidth="1"/>
    <col min="28" max="29" width="8" style="12"/>
    <col min="30" max="30" width="8.21875" style="25" bestFit="1" customWidth="1"/>
    <col min="31" max="16384" width="8" style="12"/>
  </cols>
  <sheetData>
    <row r="1" spans="1:29" ht="19.5" thickBot="1" x14ac:dyDescent="0.3">
      <c r="A1" s="390" t="s">
        <v>14</v>
      </c>
      <c r="B1" s="390"/>
      <c r="D1" s="13" t="s">
        <v>15</v>
      </c>
      <c r="E1" s="14" t="s">
        <v>16</v>
      </c>
      <c r="H1" s="16" t="s">
        <v>17</v>
      </c>
      <c r="I1" s="17" t="e">
        <f>343000-SUM(J:J)+株式売買勝敗サマリ!E17</f>
        <v>#REF!</v>
      </c>
      <c r="J1" s="18"/>
      <c r="K1" s="17" t="e">
        <f>500000-SUM(L:L)+株式売買勝敗サマリ!E15</f>
        <v>#REF!</v>
      </c>
      <c r="L1" s="18"/>
      <c r="M1" s="19" t="e">
        <f>300000-N1+株式売買勝敗サマリ!E16</f>
        <v>#REF!</v>
      </c>
      <c r="N1" s="15">
        <f>SUM(N3:N47)</f>
        <v>0</v>
      </c>
      <c r="O1" s="19" t="e">
        <f>2000000+株式売買勝敗サマリ!E14</f>
        <v>#REF!</v>
      </c>
      <c r="P1" s="15"/>
      <c r="Q1" s="19" t="e">
        <f>50000+株式売買勝敗サマリ!E18</f>
        <v>#REF!</v>
      </c>
      <c r="R1" s="15"/>
      <c r="S1" s="20" t="s">
        <v>476</v>
      </c>
      <c r="V1" s="23"/>
      <c r="W1" s="24"/>
    </row>
    <row r="2" spans="1:29" ht="16.5" thickBot="1" x14ac:dyDescent="0.3">
      <c r="B2" s="315" t="s">
        <v>18</v>
      </c>
      <c r="C2" s="315" t="s">
        <v>19</v>
      </c>
      <c r="D2" s="315" t="s">
        <v>20</v>
      </c>
      <c r="E2" s="315" t="s">
        <v>21</v>
      </c>
      <c r="F2" s="315" t="s">
        <v>22</v>
      </c>
      <c r="G2" s="317" t="s">
        <v>23</v>
      </c>
      <c r="H2" s="322" t="s">
        <v>24</v>
      </c>
      <c r="I2" s="28" t="s">
        <v>25</v>
      </c>
      <c r="J2" s="28"/>
      <c r="K2" s="28" t="s">
        <v>26</v>
      </c>
      <c r="L2" s="28"/>
      <c r="M2" s="28" t="s">
        <v>27</v>
      </c>
      <c r="N2" s="29"/>
      <c r="O2" s="28" t="s">
        <v>28</v>
      </c>
      <c r="P2" s="29"/>
      <c r="Q2" s="357" t="s">
        <v>473</v>
      </c>
      <c r="R2" s="29"/>
      <c r="S2" s="315" t="s">
        <v>29</v>
      </c>
      <c r="T2" s="318" t="s">
        <v>30</v>
      </c>
      <c r="U2" s="316" t="s">
        <v>31</v>
      </c>
      <c r="V2" s="315" t="s">
        <v>32</v>
      </c>
      <c r="W2" s="315" t="s">
        <v>33</v>
      </c>
      <c r="Y2" s="31" t="s">
        <v>22</v>
      </c>
      <c r="Z2" s="31" t="s">
        <v>29</v>
      </c>
      <c r="AA2" s="31" t="s">
        <v>34</v>
      </c>
      <c r="AB2" s="31" t="s">
        <v>24</v>
      </c>
      <c r="AC2" s="31" t="s">
        <v>35</v>
      </c>
    </row>
    <row r="3" spans="1:29" ht="16.5" thickTop="1" x14ac:dyDescent="0.25">
      <c r="A3" s="12">
        <f>ROW()-2</f>
        <v>1</v>
      </c>
      <c r="B3" s="264" t="s">
        <v>36</v>
      </c>
      <c r="C3" s="265" t="s">
        <v>37</v>
      </c>
      <c r="D3" s="265" t="s">
        <v>37</v>
      </c>
      <c r="E3" s="265">
        <v>42774</v>
      </c>
      <c r="F3" s="264" t="s">
        <v>38</v>
      </c>
      <c r="G3" s="266">
        <v>1600</v>
      </c>
      <c r="H3" s="267"/>
      <c r="I3" s="264" t="s">
        <v>39</v>
      </c>
      <c r="J3" s="264"/>
      <c r="K3" s="264" t="s">
        <v>37</v>
      </c>
      <c r="L3" s="264"/>
      <c r="M3" s="264" t="s">
        <v>37</v>
      </c>
      <c r="N3" s="264"/>
      <c r="O3" s="264" t="s">
        <v>37</v>
      </c>
      <c r="P3" s="264"/>
      <c r="Q3" s="264" t="s">
        <v>37</v>
      </c>
      <c r="R3" s="264"/>
      <c r="S3" s="268" t="s">
        <v>40</v>
      </c>
      <c r="T3" s="265">
        <v>42782</v>
      </c>
      <c r="U3" s="269">
        <v>3000</v>
      </c>
      <c r="V3" s="267" t="str">
        <f>CONCATENATE((IF(ISBLANK(U3),0,U3)-IF(ISBLANK(G3),0,G3))/IF(ISBLANK(G3),0,G3)*100,"%")</f>
        <v>87.5%</v>
      </c>
      <c r="W3" s="264" t="s">
        <v>41</v>
      </c>
      <c r="Y3" s="32" t="s">
        <v>42</v>
      </c>
      <c r="Z3" s="33" t="s">
        <v>40</v>
      </c>
      <c r="AA3" s="34">
        <f t="shared" ref="AA3:AA11" si="0">COUNTIF(S:S,Z3)</f>
        <v>7</v>
      </c>
      <c r="AB3" s="34" t="s">
        <v>43</v>
      </c>
      <c r="AC3" s="34" t="s">
        <v>44</v>
      </c>
    </row>
    <row r="4" spans="1:29" x14ac:dyDescent="0.25">
      <c r="A4" s="12">
        <f t="shared" ref="A4:A54" si="1">ROW()-2</f>
        <v>2</v>
      </c>
      <c r="B4" s="270" t="s">
        <v>45</v>
      </c>
      <c r="C4" s="271" t="s">
        <v>37</v>
      </c>
      <c r="D4" s="271" t="s">
        <v>37</v>
      </c>
      <c r="E4" s="271">
        <v>42781</v>
      </c>
      <c r="F4" s="270" t="s">
        <v>46</v>
      </c>
      <c r="G4" s="272">
        <v>750</v>
      </c>
      <c r="H4" s="270" t="s">
        <v>47</v>
      </c>
      <c r="I4" s="270" t="s">
        <v>39</v>
      </c>
      <c r="J4" s="270"/>
      <c r="K4" s="270" t="s">
        <v>39</v>
      </c>
      <c r="L4" s="270"/>
      <c r="M4" s="270" t="s">
        <v>39</v>
      </c>
      <c r="N4" s="270"/>
      <c r="O4" s="270" t="s">
        <v>37</v>
      </c>
      <c r="P4" s="270"/>
      <c r="Q4" s="270" t="s">
        <v>37</v>
      </c>
      <c r="R4" s="270"/>
      <c r="S4" s="273" t="s">
        <v>40</v>
      </c>
      <c r="T4" s="271">
        <v>42789</v>
      </c>
      <c r="U4" s="274">
        <v>1125</v>
      </c>
      <c r="V4" s="270" t="str">
        <f>CONCATENATE((IF(ISBLANK(U4),0,U4)-IF(ISBLANK(G4),0,G4))/IF(ISBLANK(G4),0,G4)*100,"%")</f>
        <v>50%</v>
      </c>
      <c r="W4" s="270"/>
      <c r="Y4" s="35" t="s">
        <v>48</v>
      </c>
      <c r="Z4" s="36" t="s">
        <v>49</v>
      </c>
      <c r="AA4" s="34">
        <f t="shared" si="0"/>
        <v>3</v>
      </c>
      <c r="AB4" s="36" t="s">
        <v>50</v>
      </c>
      <c r="AC4" s="36" t="s">
        <v>51</v>
      </c>
    </row>
    <row r="5" spans="1:29" x14ac:dyDescent="0.25">
      <c r="A5" s="12">
        <f t="shared" si="1"/>
        <v>3</v>
      </c>
      <c r="B5" s="270" t="s">
        <v>52</v>
      </c>
      <c r="C5" s="271" t="s">
        <v>37</v>
      </c>
      <c r="D5" s="271" t="s">
        <v>37</v>
      </c>
      <c r="E5" s="271">
        <v>42781</v>
      </c>
      <c r="F5" s="270" t="s">
        <v>46</v>
      </c>
      <c r="G5" s="272">
        <v>1620</v>
      </c>
      <c r="H5" s="270" t="s">
        <v>53</v>
      </c>
      <c r="I5" s="270" t="s">
        <v>39</v>
      </c>
      <c r="J5" s="270"/>
      <c r="K5" s="270" t="s">
        <v>39</v>
      </c>
      <c r="L5" s="270"/>
      <c r="M5" s="270" t="s">
        <v>39</v>
      </c>
      <c r="N5" s="270"/>
      <c r="O5" s="270" t="s">
        <v>37</v>
      </c>
      <c r="P5" s="270"/>
      <c r="Q5" s="270" t="s">
        <v>37</v>
      </c>
      <c r="R5" s="270"/>
      <c r="S5" s="273" t="s">
        <v>54</v>
      </c>
      <c r="T5" s="271">
        <v>42789</v>
      </c>
      <c r="U5" s="274">
        <v>4500</v>
      </c>
      <c r="V5" s="270" t="str">
        <f t="shared" ref="V5:V31" si="2">CONCATENATE(ROUND((IF(ISBLANK(U5),0,U5)-IF(ISBLANK(G5),0,G5))/IF(ISBLANK(G5),0,G5)*100,2),"%")</f>
        <v>177.78%</v>
      </c>
      <c r="W5" s="270"/>
      <c r="Y5" s="35" t="s">
        <v>55</v>
      </c>
      <c r="Z5" s="36" t="s">
        <v>56</v>
      </c>
      <c r="AA5" s="34">
        <f t="shared" si="0"/>
        <v>6</v>
      </c>
      <c r="AB5" s="36" t="s">
        <v>57</v>
      </c>
      <c r="AC5" s="36" t="s">
        <v>58</v>
      </c>
    </row>
    <row r="6" spans="1:29" x14ac:dyDescent="0.25">
      <c r="A6" s="12">
        <f t="shared" si="1"/>
        <v>4</v>
      </c>
      <c r="B6" s="270" t="s">
        <v>59</v>
      </c>
      <c r="C6" s="271">
        <v>42783</v>
      </c>
      <c r="D6" s="271">
        <v>42789</v>
      </c>
      <c r="E6" s="271">
        <v>42790</v>
      </c>
      <c r="F6" s="270" t="s">
        <v>46</v>
      </c>
      <c r="G6" s="272">
        <v>1850</v>
      </c>
      <c r="H6" s="270" t="s">
        <v>60</v>
      </c>
      <c r="I6" s="270" t="s">
        <v>39</v>
      </c>
      <c r="J6" s="270">
        <f>IF(I6="抽選中",G6*100,0)</f>
        <v>0</v>
      </c>
      <c r="K6" s="270" t="s">
        <v>39</v>
      </c>
      <c r="L6" s="270">
        <f>IF(K6="抽選中",G6*100,0)</f>
        <v>0</v>
      </c>
      <c r="M6" s="270" t="s">
        <v>39</v>
      </c>
      <c r="N6" s="270"/>
      <c r="O6" s="270" t="s">
        <v>61</v>
      </c>
      <c r="P6" s="270">
        <f>IF(O6="抽選中",I6*100,0)</f>
        <v>0</v>
      </c>
      <c r="Q6" s="270" t="s">
        <v>37</v>
      </c>
      <c r="R6" s="270">
        <f>IF(Q6="抽選中",K6*100,0)</f>
        <v>0</v>
      </c>
      <c r="S6" s="270" t="s">
        <v>62</v>
      </c>
      <c r="T6" s="271">
        <v>42801</v>
      </c>
      <c r="U6" s="274">
        <v>2625</v>
      </c>
      <c r="V6" s="270" t="str">
        <f t="shared" si="2"/>
        <v>41.89%</v>
      </c>
      <c r="W6" s="270"/>
      <c r="Y6" s="35" t="s">
        <v>38</v>
      </c>
      <c r="Z6" s="36" t="s">
        <v>63</v>
      </c>
      <c r="AA6" s="34">
        <f t="shared" si="0"/>
        <v>1</v>
      </c>
      <c r="AB6" s="36" t="s">
        <v>64</v>
      </c>
      <c r="AC6" s="37" t="s">
        <v>65</v>
      </c>
    </row>
    <row r="7" spans="1:29" x14ac:dyDescent="0.25">
      <c r="A7" s="12">
        <f t="shared" si="1"/>
        <v>5</v>
      </c>
      <c r="B7" s="270" t="s">
        <v>66</v>
      </c>
      <c r="C7" s="271">
        <v>42787</v>
      </c>
      <c r="D7" s="271">
        <v>42793</v>
      </c>
      <c r="E7" s="271">
        <v>42794</v>
      </c>
      <c r="F7" s="270" t="s">
        <v>46</v>
      </c>
      <c r="G7" s="272">
        <v>1650</v>
      </c>
      <c r="H7" s="270" t="s">
        <v>47</v>
      </c>
      <c r="I7" s="270" t="s">
        <v>39</v>
      </c>
      <c r="J7" s="270">
        <f>IF(I7="抽選中",G7*100,0)</f>
        <v>0</v>
      </c>
      <c r="K7" s="270" t="s">
        <v>39</v>
      </c>
      <c r="L7" s="270">
        <f t="shared" ref="L7:L43" si="3">IF(K7="抽選中",G7*100,0)</f>
        <v>0</v>
      </c>
      <c r="M7" s="270" t="s">
        <v>37</v>
      </c>
      <c r="N7" s="270"/>
      <c r="O7" s="270" t="s">
        <v>37</v>
      </c>
      <c r="P7" s="270">
        <f>IF(O7="抽選中",I7*100,0)</f>
        <v>0</v>
      </c>
      <c r="Q7" s="270" t="s">
        <v>37</v>
      </c>
      <c r="R7" s="270">
        <f t="shared" ref="R7:R32" si="4">IF(Q7="抽選中",G7*100,0)</f>
        <v>0</v>
      </c>
      <c r="S7" s="273" t="s">
        <v>56</v>
      </c>
      <c r="T7" s="271">
        <v>42803</v>
      </c>
      <c r="U7" s="274">
        <v>3530</v>
      </c>
      <c r="V7" s="270" t="str">
        <f t="shared" si="2"/>
        <v>113.94%</v>
      </c>
      <c r="W7" s="270" t="s">
        <v>67</v>
      </c>
      <c r="Y7" s="36" t="s">
        <v>68</v>
      </c>
      <c r="Z7" s="36" t="s">
        <v>69</v>
      </c>
      <c r="AA7" s="34">
        <f t="shared" si="0"/>
        <v>3</v>
      </c>
      <c r="AB7" s="36" t="s">
        <v>70</v>
      </c>
    </row>
    <row r="8" spans="1:29" x14ac:dyDescent="0.25">
      <c r="A8" s="12">
        <f t="shared" si="1"/>
        <v>6</v>
      </c>
      <c r="B8" s="270" t="s">
        <v>71</v>
      </c>
      <c r="C8" s="271">
        <v>42794</v>
      </c>
      <c r="D8" s="271">
        <v>42800</v>
      </c>
      <c r="E8" s="271">
        <v>42801</v>
      </c>
      <c r="F8" s="270" t="s">
        <v>46</v>
      </c>
      <c r="G8" s="272">
        <v>1250</v>
      </c>
      <c r="H8" s="270" t="s">
        <v>72</v>
      </c>
      <c r="I8" s="270" t="s">
        <v>37</v>
      </c>
      <c r="J8" s="270">
        <f>IF(I8="抽選中",G8*100,0)</f>
        <v>0</v>
      </c>
      <c r="K8" s="270" t="s">
        <v>39</v>
      </c>
      <c r="L8" s="270">
        <f t="shared" si="3"/>
        <v>0</v>
      </c>
      <c r="M8" s="270" t="s">
        <v>39</v>
      </c>
      <c r="N8" s="270"/>
      <c r="O8" s="270" t="s">
        <v>39</v>
      </c>
      <c r="P8" s="270">
        <f>IF(O8="抽選中",G8*100,0)</f>
        <v>0</v>
      </c>
      <c r="Q8" s="270" t="s">
        <v>37</v>
      </c>
      <c r="R8" s="270">
        <f t="shared" si="4"/>
        <v>0</v>
      </c>
      <c r="S8" s="273" t="s">
        <v>40</v>
      </c>
      <c r="T8" s="271">
        <v>42809</v>
      </c>
      <c r="U8" s="274">
        <v>4010</v>
      </c>
      <c r="V8" s="270" t="str">
        <f t="shared" si="2"/>
        <v>220.8%</v>
      </c>
      <c r="W8" s="270"/>
      <c r="Y8" s="37" t="s">
        <v>73</v>
      </c>
      <c r="Z8" s="36" t="s">
        <v>74</v>
      </c>
      <c r="AA8" s="34">
        <f t="shared" si="0"/>
        <v>5</v>
      </c>
      <c r="AB8" s="37" t="s">
        <v>75</v>
      </c>
    </row>
    <row r="9" spans="1:29" x14ac:dyDescent="0.25">
      <c r="A9" s="12">
        <f t="shared" si="1"/>
        <v>7</v>
      </c>
      <c r="B9" s="270" t="s">
        <v>76</v>
      </c>
      <c r="C9" s="271">
        <v>42794</v>
      </c>
      <c r="D9" s="271">
        <v>42800</v>
      </c>
      <c r="E9" s="271">
        <v>42801</v>
      </c>
      <c r="F9" s="270" t="s">
        <v>46</v>
      </c>
      <c r="G9" s="272">
        <v>3000</v>
      </c>
      <c r="H9" s="270" t="s">
        <v>60</v>
      </c>
      <c r="I9" s="270" t="s">
        <v>39</v>
      </c>
      <c r="J9" s="270">
        <f>IF(I9="抽選中",G9*100,0)</f>
        <v>0</v>
      </c>
      <c r="K9" s="270" t="s">
        <v>39</v>
      </c>
      <c r="L9" s="270">
        <f>IF(K9="抽選中",G9*100,0)</f>
        <v>0</v>
      </c>
      <c r="M9" s="270" t="s">
        <v>39</v>
      </c>
      <c r="N9" s="270"/>
      <c r="O9" s="270" t="s">
        <v>37</v>
      </c>
      <c r="P9" s="270">
        <f t="shared" ref="P9:P48" si="5">IF(O9="抽選中",G9*100,0)</f>
        <v>0</v>
      </c>
      <c r="Q9" s="270" t="s">
        <v>37</v>
      </c>
      <c r="R9" s="270">
        <f t="shared" si="4"/>
        <v>0</v>
      </c>
      <c r="S9" s="270" t="s">
        <v>62</v>
      </c>
      <c r="T9" s="271">
        <v>42810</v>
      </c>
      <c r="U9" s="274">
        <v>3330</v>
      </c>
      <c r="V9" s="270" t="str">
        <f t="shared" si="2"/>
        <v>11%</v>
      </c>
      <c r="W9" s="270"/>
      <c r="Z9" s="36" t="s">
        <v>62</v>
      </c>
      <c r="AA9" s="36">
        <f t="shared" si="0"/>
        <v>15</v>
      </c>
    </row>
    <row r="10" spans="1:29" x14ac:dyDescent="0.25">
      <c r="A10" s="12">
        <f t="shared" si="1"/>
        <v>8</v>
      </c>
      <c r="B10" s="270" t="s">
        <v>77</v>
      </c>
      <c r="C10" s="271">
        <v>42794</v>
      </c>
      <c r="D10" s="271">
        <v>42800</v>
      </c>
      <c r="E10" s="271">
        <v>42801</v>
      </c>
      <c r="F10" s="270" t="s">
        <v>38</v>
      </c>
      <c r="G10" s="272">
        <v>2350</v>
      </c>
      <c r="H10" s="270" t="s">
        <v>72</v>
      </c>
      <c r="I10" s="270" t="s">
        <v>39</v>
      </c>
      <c r="J10" s="270">
        <f>IF(OR(I10="抽選中",I10="補欠当選"),G10*100,0)</f>
        <v>0</v>
      </c>
      <c r="K10" s="270" t="s">
        <v>39</v>
      </c>
      <c r="L10" s="270">
        <f>IF(K10="抽選中",G10*100,0)</f>
        <v>0</v>
      </c>
      <c r="M10" s="270" t="s">
        <v>37</v>
      </c>
      <c r="N10" s="270"/>
      <c r="O10" s="270" t="s">
        <v>39</v>
      </c>
      <c r="P10" s="270">
        <f t="shared" si="5"/>
        <v>0</v>
      </c>
      <c r="Q10" s="270" t="s">
        <v>37</v>
      </c>
      <c r="R10" s="270">
        <f t="shared" si="4"/>
        <v>0</v>
      </c>
      <c r="S10" s="270" t="s">
        <v>74</v>
      </c>
      <c r="T10" s="271">
        <v>42810</v>
      </c>
      <c r="U10" s="274">
        <v>5360</v>
      </c>
      <c r="V10" s="270" t="str">
        <f t="shared" si="2"/>
        <v>128.09%</v>
      </c>
      <c r="W10" s="270"/>
      <c r="Z10" s="49" t="s">
        <v>503</v>
      </c>
      <c r="AA10" s="49">
        <f t="shared" si="0"/>
        <v>1</v>
      </c>
    </row>
    <row r="11" spans="1:29" x14ac:dyDescent="0.25">
      <c r="A11" s="12">
        <f t="shared" si="1"/>
        <v>9</v>
      </c>
      <c r="B11" s="270" t="s">
        <v>79</v>
      </c>
      <c r="C11" s="271">
        <v>42795</v>
      </c>
      <c r="D11" s="271">
        <v>42801</v>
      </c>
      <c r="E11" s="271">
        <v>42802</v>
      </c>
      <c r="F11" s="270" t="s">
        <v>46</v>
      </c>
      <c r="G11" s="272">
        <v>550</v>
      </c>
      <c r="H11" s="270" t="s">
        <v>47</v>
      </c>
      <c r="I11" s="270" t="s">
        <v>37</v>
      </c>
      <c r="J11" s="270">
        <f t="shared" ref="J11:J28" si="6">IF(OR(I11="抽選中",I11="補欠当選"),G11*100,0)</f>
        <v>0</v>
      </c>
      <c r="K11" s="270" t="s">
        <v>39</v>
      </c>
      <c r="L11" s="270">
        <f t="shared" si="3"/>
        <v>0</v>
      </c>
      <c r="M11" s="270" t="s">
        <v>37</v>
      </c>
      <c r="N11" s="270"/>
      <c r="O11" s="270" t="s">
        <v>39</v>
      </c>
      <c r="P11" s="270">
        <f t="shared" si="5"/>
        <v>0</v>
      </c>
      <c r="Q11" s="270" t="s">
        <v>37</v>
      </c>
      <c r="R11" s="270">
        <f t="shared" si="4"/>
        <v>0</v>
      </c>
      <c r="S11" s="270" t="s">
        <v>62</v>
      </c>
      <c r="T11" s="271">
        <v>42811</v>
      </c>
      <c r="U11" s="274">
        <v>890</v>
      </c>
      <c r="V11" s="270" t="str">
        <f t="shared" si="2"/>
        <v>61.82%</v>
      </c>
      <c r="W11" s="270"/>
      <c r="Z11" s="37" t="s">
        <v>78</v>
      </c>
      <c r="AA11" s="37">
        <f t="shared" si="0"/>
        <v>1</v>
      </c>
    </row>
    <row r="12" spans="1:29" x14ac:dyDescent="0.25">
      <c r="A12" s="12">
        <f t="shared" si="1"/>
        <v>10</v>
      </c>
      <c r="B12" s="270" t="s">
        <v>80</v>
      </c>
      <c r="C12" s="271">
        <v>42796</v>
      </c>
      <c r="D12" s="271">
        <v>42802</v>
      </c>
      <c r="E12" s="271">
        <v>42803</v>
      </c>
      <c r="F12" s="270" t="s">
        <v>46</v>
      </c>
      <c r="G12" s="272">
        <v>1880</v>
      </c>
      <c r="H12" s="270" t="s">
        <v>60</v>
      </c>
      <c r="I12" s="270" t="s">
        <v>39</v>
      </c>
      <c r="J12" s="270">
        <f t="shared" si="6"/>
        <v>0</v>
      </c>
      <c r="K12" s="270" t="s">
        <v>39</v>
      </c>
      <c r="L12" s="270">
        <f t="shared" si="3"/>
        <v>0</v>
      </c>
      <c r="M12" s="270" t="s">
        <v>37</v>
      </c>
      <c r="N12" s="270"/>
      <c r="O12" s="270" t="s">
        <v>39</v>
      </c>
      <c r="P12" s="270">
        <f t="shared" si="5"/>
        <v>0</v>
      </c>
      <c r="Q12" s="270" t="s">
        <v>37</v>
      </c>
      <c r="R12" s="270">
        <f t="shared" si="4"/>
        <v>0</v>
      </c>
      <c r="S12" s="273" t="s">
        <v>54</v>
      </c>
      <c r="T12" s="271">
        <v>42811</v>
      </c>
      <c r="U12" s="274">
        <v>1881</v>
      </c>
      <c r="V12" s="270" t="str">
        <f t="shared" si="2"/>
        <v>0.05%</v>
      </c>
      <c r="W12" s="270"/>
    </row>
    <row r="13" spans="1:29" x14ac:dyDescent="0.25">
      <c r="A13" s="12">
        <f t="shared" si="1"/>
        <v>11</v>
      </c>
      <c r="B13" s="270" t="s">
        <v>81</v>
      </c>
      <c r="C13" s="271">
        <v>42796</v>
      </c>
      <c r="D13" s="271">
        <v>42802</v>
      </c>
      <c r="E13" s="271">
        <v>42803</v>
      </c>
      <c r="F13" s="270" t="s">
        <v>46</v>
      </c>
      <c r="G13" s="272">
        <v>600</v>
      </c>
      <c r="H13" s="270" t="s">
        <v>72</v>
      </c>
      <c r="I13" s="270" t="s">
        <v>39</v>
      </c>
      <c r="J13" s="270">
        <f t="shared" si="6"/>
        <v>0</v>
      </c>
      <c r="K13" s="270" t="s">
        <v>39</v>
      </c>
      <c r="L13" s="270">
        <f t="shared" si="3"/>
        <v>0</v>
      </c>
      <c r="M13" s="270" t="s">
        <v>37</v>
      </c>
      <c r="N13" s="270"/>
      <c r="O13" s="270" t="s">
        <v>37</v>
      </c>
      <c r="P13" s="270">
        <f t="shared" si="5"/>
        <v>0</v>
      </c>
      <c r="Q13" s="270" t="s">
        <v>37</v>
      </c>
      <c r="R13" s="270">
        <f t="shared" si="4"/>
        <v>0</v>
      </c>
      <c r="S13" s="270" t="s">
        <v>62</v>
      </c>
      <c r="T13" s="271">
        <v>42815</v>
      </c>
      <c r="U13" s="274">
        <v>2230</v>
      </c>
      <c r="V13" s="270" t="str">
        <f t="shared" si="2"/>
        <v>271.67%</v>
      </c>
      <c r="W13" s="270"/>
      <c r="Y13" s="12" t="s">
        <v>82</v>
      </c>
    </row>
    <row r="14" spans="1:29" x14ac:dyDescent="0.25">
      <c r="A14" s="12">
        <f t="shared" si="1"/>
        <v>12</v>
      </c>
      <c r="B14" s="270" t="s">
        <v>83</v>
      </c>
      <c r="C14" s="271">
        <v>42796</v>
      </c>
      <c r="D14" s="271">
        <v>42802</v>
      </c>
      <c r="E14" s="271">
        <v>42803</v>
      </c>
      <c r="F14" s="270" t="s">
        <v>46</v>
      </c>
      <c r="G14" s="272">
        <v>1320</v>
      </c>
      <c r="H14" s="270" t="s">
        <v>72</v>
      </c>
      <c r="I14" s="270" t="s">
        <v>39</v>
      </c>
      <c r="J14" s="270">
        <f t="shared" si="6"/>
        <v>0</v>
      </c>
      <c r="K14" s="270" t="s">
        <v>39</v>
      </c>
      <c r="L14" s="270">
        <f t="shared" si="3"/>
        <v>0</v>
      </c>
      <c r="M14" s="270" t="s">
        <v>39</v>
      </c>
      <c r="N14" s="270"/>
      <c r="O14" s="270" t="s">
        <v>39</v>
      </c>
      <c r="P14" s="270">
        <f t="shared" si="5"/>
        <v>0</v>
      </c>
      <c r="Q14" s="270" t="s">
        <v>37</v>
      </c>
      <c r="R14" s="270">
        <f t="shared" si="4"/>
        <v>0</v>
      </c>
      <c r="S14" s="270" t="s">
        <v>74</v>
      </c>
      <c r="T14" s="271">
        <v>42815</v>
      </c>
      <c r="U14" s="274">
        <v>5040</v>
      </c>
      <c r="V14" s="270" t="str">
        <f t="shared" si="2"/>
        <v>281.82%</v>
      </c>
      <c r="W14" s="270"/>
      <c r="Y14" s="12" t="s">
        <v>84</v>
      </c>
    </row>
    <row r="15" spans="1:29" x14ac:dyDescent="0.25">
      <c r="A15" s="12">
        <f t="shared" si="1"/>
        <v>13</v>
      </c>
      <c r="B15" s="270" t="s">
        <v>85</v>
      </c>
      <c r="C15" s="271">
        <v>42797</v>
      </c>
      <c r="D15" s="271">
        <v>42803</v>
      </c>
      <c r="E15" s="271">
        <v>42804</v>
      </c>
      <c r="F15" s="270" t="s">
        <v>48</v>
      </c>
      <c r="G15" s="272">
        <v>600</v>
      </c>
      <c r="H15" s="270" t="s">
        <v>60</v>
      </c>
      <c r="I15" s="270" t="s">
        <v>37</v>
      </c>
      <c r="J15" s="270">
        <f t="shared" si="6"/>
        <v>0</v>
      </c>
      <c r="K15" s="270" t="s">
        <v>39</v>
      </c>
      <c r="L15" s="270">
        <f t="shared" si="3"/>
        <v>0</v>
      </c>
      <c r="M15" s="270" t="s">
        <v>37</v>
      </c>
      <c r="N15" s="270"/>
      <c r="O15" s="270" t="s">
        <v>39</v>
      </c>
      <c r="P15" s="270">
        <f t="shared" si="5"/>
        <v>0</v>
      </c>
      <c r="Q15" s="270" t="s">
        <v>37</v>
      </c>
      <c r="R15" s="270">
        <f t="shared" si="4"/>
        <v>0</v>
      </c>
      <c r="S15" s="270" t="s">
        <v>62</v>
      </c>
      <c r="T15" s="271">
        <v>42816</v>
      </c>
      <c r="U15" s="274">
        <v>1230</v>
      </c>
      <c r="V15" s="270" t="str">
        <f t="shared" si="2"/>
        <v>105%</v>
      </c>
      <c r="W15" s="270"/>
      <c r="Y15" s="38" t="s">
        <v>86</v>
      </c>
    </row>
    <row r="16" spans="1:29" x14ac:dyDescent="0.25">
      <c r="A16" s="12">
        <f t="shared" si="1"/>
        <v>14</v>
      </c>
      <c r="B16" s="39" t="s">
        <v>87</v>
      </c>
      <c r="C16" s="40">
        <v>42800</v>
      </c>
      <c r="D16" s="40">
        <v>42804</v>
      </c>
      <c r="E16" s="40">
        <v>42807</v>
      </c>
      <c r="F16" s="39" t="s">
        <v>42</v>
      </c>
      <c r="G16" s="41">
        <v>1950</v>
      </c>
      <c r="H16" s="39" t="s">
        <v>60</v>
      </c>
      <c r="I16" s="39" t="s">
        <v>37</v>
      </c>
      <c r="J16" s="39">
        <f t="shared" si="6"/>
        <v>0</v>
      </c>
      <c r="K16" s="39" t="s">
        <v>39</v>
      </c>
      <c r="L16" s="39">
        <f t="shared" si="3"/>
        <v>0</v>
      </c>
      <c r="M16" s="42" t="s">
        <v>88</v>
      </c>
      <c r="N16" s="39">
        <f>IF(M16="繰上当選",195000,0)</f>
        <v>0</v>
      </c>
      <c r="O16" s="39" t="s">
        <v>39</v>
      </c>
      <c r="P16" s="39">
        <f t="shared" si="5"/>
        <v>0</v>
      </c>
      <c r="Q16" s="39" t="s">
        <v>37</v>
      </c>
      <c r="R16" s="39">
        <f t="shared" si="4"/>
        <v>0</v>
      </c>
      <c r="S16" s="39" t="s">
        <v>89</v>
      </c>
      <c r="T16" s="40">
        <v>42816</v>
      </c>
      <c r="U16" s="43">
        <v>1867</v>
      </c>
      <c r="V16" s="42" t="str">
        <f t="shared" si="2"/>
        <v>-4.26%</v>
      </c>
      <c r="W16" s="39" t="s">
        <v>90</v>
      </c>
    </row>
    <row r="17" spans="1:25" x14ac:dyDescent="0.25">
      <c r="A17" s="12">
        <f t="shared" si="1"/>
        <v>15</v>
      </c>
      <c r="B17" s="39" t="s">
        <v>91</v>
      </c>
      <c r="C17" s="40">
        <v>42800</v>
      </c>
      <c r="D17" s="40">
        <v>42804</v>
      </c>
      <c r="E17" s="40">
        <v>42807</v>
      </c>
      <c r="F17" s="39" t="s">
        <v>48</v>
      </c>
      <c r="G17" s="44">
        <v>1400</v>
      </c>
      <c r="H17" s="39" t="s">
        <v>60</v>
      </c>
      <c r="I17" s="39" t="s">
        <v>92</v>
      </c>
      <c r="J17" s="39">
        <f t="shared" si="6"/>
        <v>0</v>
      </c>
      <c r="K17" s="39" t="s">
        <v>39</v>
      </c>
      <c r="L17" s="39">
        <f t="shared" si="3"/>
        <v>0</v>
      </c>
      <c r="M17" s="42" t="s">
        <v>93</v>
      </c>
      <c r="N17" s="39">
        <f>IF(M17="当選",G17*100,0)</f>
        <v>0</v>
      </c>
      <c r="O17" s="39" t="s">
        <v>39</v>
      </c>
      <c r="P17" s="39">
        <f t="shared" si="5"/>
        <v>0</v>
      </c>
      <c r="Q17" s="39" t="s">
        <v>37</v>
      </c>
      <c r="R17" s="39">
        <f t="shared" si="4"/>
        <v>0</v>
      </c>
      <c r="S17" s="39" t="s">
        <v>62</v>
      </c>
      <c r="T17" s="40">
        <v>42817</v>
      </c>
      <c r="U17" s="43">
        <v>1521</v>
      </c>
      <c r="V17" s="39" t="str">
        <f t="shared" si="2"/>
        <v>8.64%</v>
      </c>
      <c r="W17" s="39" t="s">
        <v>94</v>
      </c>
      <c r="Y17" s="14" t="s">
        <v>95</v>
      </c>
    </row>
    <row r="18" spans="1:25" x14ac:dyDescent="0.25">
      <c r="A18" s="12">
        <f t="shared" si="1"/>
        <v>16</v>
      </c>
      <c r="B18" s="270" t="s">
        <v>96</v>
      </c>
      <c r="C18" s="271">
        <v>42801</v>
      </c>
      <c r="D18" s="271">
        <v>42807</v>
      </c>
      <c r="E18" s="271">
        <v>42808</v>
      </c>
      <c r="F18" s="270" t="s">
        <v>46</v>
      </c>
      <c r="G18" s="272">
        <v>2070</v>
      </c>
      <c r="H18" s="270" t="s">
        <v>47</v>
      </c>
      <c r="I18" s="270" t="s">
        <v>39</v>
      </c>
      <c r="J18" s="270">
        <f t="shared" si="6"/>
        <v>0</v>
      </c>
      <c r="K18" s="270" t="s">
        <v>37</v>
      </c>
      <c r="L18" s="270">
        <f t="shared" si="3"/>
        <v>0</v>
      </c>
      <c r="M18" s="270" t="s">
        <v>37</v>
      </c>
      <c r="N18" s="270">
        <f t="shared" ref="N18:N24" si="7">IF(M18="当選",G18*100,0)</f>
        <v>0</v>
      </c>
      <c r="O18" s="270" t="s">
        <v>39</v>
      </c>
      <c r="P18" s="270">
        <f t="shared" si="5"/>
        <v>0</v>
      </c>
      <c r="Q18" s="270" t="s">
        <v>37</v>
      </c>
      <c r="R18" s="270">
        <f t="shared" si="4"/>
        <v>0</v>
      </c>
      <c r="S18" s="270" t="s">
        <v>62</v>
      </c>
      <c r="T18" s="271">
        <v>42818</v>
      </c>
      <c r="U18" s="274">
        <v>4750</v>
      </c>
      <c r="V18" s="270" t="str">
        <f t="shared" si="2"/>
        <v>129.47%</v>
      </c>
      <c r="W18" s="270"/>
      <c r="Y18" s="352" t="s">
        <v>464</v>
      </c>
    </row>
    <row r="19" spans="1:25" x14ac:dyDescent="0.25">
      <c r="A19" s="12">
        <f t="shared" si="1"/>
        <v>17</v>
      </c>
      <c r="B19" s="270" t="s">
        <v>97</v>
      </c>
      <c r="C19" s="271">
        <v>42801</v>
      </c>
      <c r="D19" s="271">
        <v>42807</v>
      </c>
      <c r="E19" s="271">
        <v>42808</v>
      </c>
      <c r="F19" s="270" t="s">
        <v>46</v>
      </c>
      <c r="G19" s="272">
        <v>185</v>
      </c>
      <c r="H19" s="270" t="s">
        <v>60</v>
      </c>
      <c r="I19" s="270" t="s">
        <v>39</v>
      </c>
      <c r="J19" s="270">
        <f t="shared" si="6"/>
        <v>0</v>
      </c>
      <c r="K19" s="270" t="s">
        <v>39</v>
      </c>
      <c r="L19" s="270">
        <f t="shared" si="3"/>
        <v>0</v>
      </c>
      <c r="M19" s="270" t="s">
        <v>37</v>
      </c>
      <c r="N19" s="270">
        <f t="shared" si="7"/>
        <v>0</v>
      </c>
      <c r="O19" s="270" t="s">
        <v>39</v>
      </c>
      <c r="P19" s="270">
        <f t="shared" si="5"/>
        <v>0</v>
      </c>
      <c r="Q19" s="270" t="s">
        <v>37</v>
      </c>
      <c r="R19" s="270">
        <f t="shared" si="4"/>
        <v>0</v>
      </c>
      <c r="S19" s="270" t="s">
        <v>74</v>
      </c>
      <c r="T19" s="271">
        <v>42818</v>
      </c>
      <c r="U19" s="274">
        <v>234</v>
      </c>
      <c r="V19" s="270" t="str">
        <f t="shared" si="2"/>
        <v>26.49%</v>
      </c>
      <c r="W19" s="270"/>
    </row>
    <row r="20" spans="1:25" x14ac:dyDescent="0.25">
      <c r="A20" s="12">
        <f t="shared" si="1"/>
        <v>18</v>
      </c>
      <c r="B20" s="270" t="s">
        <v>98</v>
      </c>
      <c r="C20" s="271">
        <v>42802</v>
      </c>
      <c r="D20" s="271">
        <v>42808</v>
      </c>
      <c r="E20" s="271">
        <v>42809</v>
      </c>
      <c r="F20" s="270" t="s">
        <v>46</v>
      </c>
      <c r="G20" s="272">
        <v>6060</v>
      </c>
      <c r="H20" s="270" t="s">
        <v>60</v>
      </c>
      <c r="I20" s="270" t="s">
        <v>37</v>
      </c>
      <c r="J20" s="270">
        <f t="shared" si="6"/>
        <v>0</v>
      </c>
      <c r="K20" s="270" t="s">
        <v>39</v>
      </c>
      <c r="L20" s="270">
        <f t="shared" si="3"/>
        <v>0</v>
      </c>
      <c r="M20" s="270" t="s">
        <v>39</v>
      </c>
      <c r="N20" s="270">
        <f t="shared" si="7"/>
        <v>0</v>
      </c>
      <c r="O20" s="270" t="s">
        <v>37</v>
      </c>
      <c r="P20" s="270">
        <f t="shared" si="5"/>
        <v>0</v>
      </c>
      <c r="Q20" s="270" t="s">
        <v>37</v>
      </c>
      <c r="R20" s="270">
        <f t="shared" si="4"/>
        <v>0</v>
      </c>
      <c r="S20" s="270" t="s">
        <v>62</v>
      </c>
      <c r="T20" s="271">
        <v>42821</v>
      </c>
      <c r="U20" s="274">
        <v>10560</v>
      </c>
      <c r="V20" s="270" t="str">
        <f t="shared" si="2"/>
        <v>74.26%</v>
      </c>
      <c r="W20" s="270"/>
      <c r="Y20" s="12" t="s">
        <v>99</v>
      </c>
    </row>
    <row r="21" spans="1:25" x14ac:dyDescent="0.25">
      <c r="A21" s="12">
        <f t="shared" si="1"/>
        <v>19</v>
      </c>
      <c r="B21" s="270" t="s">
        <v>100</v>
      </c>
      <c r="C21" s="271">
        <v>42803</v>
      </c>
      <c r="D21" s="271">
        <v>42809</v>
      </c>
      <c r="E21" s="271">
        <v>42810</v>
      </c>
      <c r="F21" s="270" t="s">
        <v>38</v>
      </c>
      <c r="G21" s="272">
        <v>1520</v>
      </c>
      <c r="H21" s="270" t="s">
        <v>60</v>
      </c>
      <c r="I21" s="270" t="s">
        <v>37</v>
      </c>
      <c r="J21" s="270">
        <f t="shared" si="6"/>
        <v>0</v>
      </c>
      <c r="K21" s="270" t="s">
        <v>39</v>
      </c>
      <c r="L21" s="270">
        <f t="shared" si="3"/>
        <v>0</v>
      </c>
      <c r="M21" s="270" t="s">
        <v>37</v>
      </c>
      <c r="N21" s="270">
        <f t="shared" si="7"/>
        <v>0</v>
      </c>
      <c r="O21" s="270" t="s">
        <v>39</v>
      </c>
      <c r="P21" s="270">
        <f t="shared" si="5"/>
        <v>0</v>
      </c>
      <c r="Q21" s="270" t="s">
        <v>37</v>
      </c>
      <c r="R21" s="270">
        <f t="shared" si="4"/>
        <v>0</v>
      </c>
      <c r="S21" s="270" t="s">
        <v>62</v>
      </c>
      <c r="T21" s="271">
        <v>42822</v>
      </c>
      <c r="U21" s="274">
        <v>2278</v>
      </c>
      <c r="V21" s="270" t="str">
        <f t="shared" si="2"/>
        <v>49.87%</v>
      </c>
      <c r="W21" s="270"/>
      <c r="Y21" s="352" t="s">
        <v>465</v>
      </c>
    </row>
    <row r="22" spans="1:25" x14ac:dyDescent="0.25">
      <c r="A22" s="12">
        <f t="shared" si="1"/>
        <v>20</v>
      </c>
      <c r="B22" s="270" t="s">
        <v>101</v>
      </c>
      <c r="C22" s="271">
        <v>42803</v>
      </c>
      <c r="D22" s="271">
        <v>42809</v>
      </c>
      <c r="E22" s="271">
        <v>42810</v>
      </c>
      <c r="F22" s="270" t="s">
        <v>38</v>
      </c>
      <c r="G22" s="272">
        <v>1570</v>
      </c>
      <c r="H22" s="270" t="s">
        <v>72</v>
      </c>
      <c r="I22" s="270" t="s">
        <v>37</v>
      </c>
      <c r="J22" s="270">
        <f t="shared" si="6"/>
        <v>0</v>
      </c>
      <c r="K22" s="270" t="s">
        <v>39</v>
      </c>
      <c r="L22" s="270">
        <f t="shared" si="3"/>
        <v>0</v>
      </c>
      <c r="M22" s="270" t="s">
        <v>37</v>
      </c>
      <c r="N22" s="270">
        <f t="shared" si="7"/>
        <v>0</v>
      </c>
      <c r="O22" s="270" t="s">
        <v>39</v>
      </c>
      <c r="P22" s="270">
        <f t="shared" si="5"/>
        <v>0</v>
      </c>
      <c r="Q22" s="270" t="s">
        <v>37</v>
      </c>
      <c r="R22" s="270">
        <f t="shared" si="4"/>
        <v>0</v>
      </c>
      <c r="S22" s="273" t="s">
        <v>56</v>
      </c>
      <c r="T22" s="271">
        <v>42822</v>
      </c>
      <c r="U22" s="274">
        <v>3460</v>
      </c>
      <c r="V22" s="270" t="str">
        <f t="shared" si="2"/>
        <v>120.38%</v>
      </c>
      <c r="W22" s="270"/>
    </row>
    <row r="23" spans="1:25" x14ac:dyDescent="0.25">
      <c r="A23" s="12">
        <f t="shared" si="1"/>
        <v>21</v>
      </c>
      <c r="B23" s="275" t="s">
        <v>102</v>
      </c>
      <c r="C23" s="276">
        <v>42804</v>
      </c>
      <c r="D23" s="276">
        <v>42810</v>
      </c>
      <c r="E23" s="271">
        <v>42811</v>
      </c>
      <c r="F23" s="270" t="s">
        <v>42</v>
      </c>
      <c r="G23" s="277">
        <v>1100</v>
      </c>
      <c r="H23" s="275" t="s">
        <v>60</v>
      </c>
      <c r="I23" s="270" t="s">
        <v>39</v>
      </c>
      <c r="J23" s="270">
        <f t="shared" si="6"/>
        <v>0</v>
      </c>
      <c r="K23" s="270" t="s">
        <v>37</v>
      </c>
      <c r="L23" s="270">
        <f>IF(K23="抽選中",G23*100,0)</f>
        <v>0</v>
      </c>
      <c r="M23" s="270" t="s">
        <v>37</v>
      </c>
      <c r="N23" s="270">
        <f t="shared" si="7"/>
        <v>0</v>
      </c>
      <c r="O23" s="270" t="s">
        <v>37</v>
      </c>
      <c r="P23" s="270">
        <f t="shared" si="5"/>
        <v>0</v>
      </c>
      <c r="Q23" s="270" t="s">
        <v>37</v>
      </c>
      <c r="R23" s="270">
        <f t="shared" si="4"/>
        <v>0</v>
      </c>
      <c r="S23" s="275" t="s">
        <v>62</v>
      </c>
      <c r="T23" s="276">
        <v>42823</v>
      </c>
      <c r="U23" s="278">
        <v>1300</v>
      </c>
      <c r="V23" s="270" t="str">
        <f t="shared" si="2"/>
        <v>18.18%</v>
      </c>
      <c r="W23" s="275"/>
    </row>
    <row r="24" spans="1:25" x14ac:dyDescent="0.25">
      <c r="A24" s="12">
        <f t="shared" si="1"/>
        <v>22</v>
      </c>
      <c r="B24" s="45" t="s">
        <v>103</v>
      </c>
      <c r="C24" s="40">
        <v>42808</v>
      </c>
      <c r="D24" s="40">
        <v>42811</v>
      </c>
      <c r="E24" s="46">
        <v>42815</v>
      </c>
      <c r="F24" s="39" t="s">
        <v>42</v>
      </c>
      <c r="G24" s="47">
        <v>3600</v>
      </c>
      <c r="H24" s="45" t="s">
        <v>60</v>
      </c>
      <c r="I24" s="39" t="s">
        <v>37</v>
      </c>
      <c r="J24" s="39">
        <f t="shared" si="6"/>
        <v>0</v>
      </c>
      <c r="K24" s="39" t="s">
        <v>39</v>
      </c>
      <c r="L24" s="39">
        <f t="shared" si="3"/>
        <v>0</v>
      </c>
      <c r="M24" s="42" t="s">
        <v>93</v>
      </c>
      <c r="N24" s="39">
        <f t="shared" si="7"/>
        <v>0</v>
      </c>
      <c r="O24" s="39" t="s">
        <v>39</v>
      </c>
      <c r="P24" s="39">
        <f t="shared" si="5"/>
        <v>0</v>
      </c>
      <c r="Q24" s="39" t="s">
        <v>37</v>
      </c>
      <c r="R24" s="39">
        <f t="shared" si="4"/>
        <v>0</v>
      </c>
      <c r="S24" s="45" t="s">
        <v>62</v>
      </c>
      <c r="T24" s="46">
        <v>42824</v>
      </c>
      <c r="U24" s="48">
        <v>3430</v>
      </c>
      <c r="V24" s="42" t="str">
        <f t="shared" si="2"/>
        <v>-4.72%</v>
      </c>
      <c r="W24" s="39" t="s">
        <v>90</v>
      </c>
    </row>
    <row r="25" spans="1:25" x14ac:dyDescent="0.25">
      <c r="A25" s="12">
        <f t="shared" si="1"/>
        <v>23</v>
      </c>
      <c r="B25" s="270" t="s">
        <v>104</v>
      </c>
      <c r="C25" s="271">
        <v>42808</v>
      </c>
      <c r="D25" s="271">
        <v>42815</v>
      </c>
      <c r="E25" s="271">
        <v>42816</v>
      </c>
      <c r="F25" s="270" t="s">
        <v>46</v>
      </c>
      <c r="G25" s="272">
        <v>2940</v>
      </c>
      <c r="H25" s="270" t="s">
        <v>72</v>
      </c>
      <c r="I25" s="270" t="s">
        <v>37</v>
      </c>
      <c r="J25" s="270">
        <f t="shared" si="6"/>
        <v>0</v>
      </c>
      <c r="K25" s="270" t="s">
        <v>39</v>
      </c>
      <c r="L25" s="270">
        <f t="shared" si="3"/>
        <v>0</v>
      </c>
      <c r="M25" s="270" t="s">
        <v>39</v>
      </c>
      <c r="N25" s="270"/>
      <c r="O25" s="270" t="s">
        <v>39</v>
      </c>
      <c r="P25" s="270">
        <f t="shared" si="5"/>
        <v>0</v>
      </c>
      <c r="Q25" s="270" t="s">
        <v>37</v>
      </c>
      <c r="R25" s="270">
        <f t="shared" si="4"/>
        <v>0</v>
      </c>
      <c r="S25" s="273" t="s">
        <v>40</v>
      </c>
      <c r="T25" s="276">
        <v>42824</v>
      </c>
      <c r="U25" s="274">
        <v>12500</v>
      </c>
      <c r="V25" s="270" t="str">
        <f t="shared" si="2"/>
        <v>325.17%</v>
      </c>
      <c r="W25" s="270"/>
    </row>
    <row r="26" spans="1:25" x14ac:dyDescent="0.25">
      <c r="A26" s="12">
        <f t="shared" si="1"/>
        <v>24</v>
      </c>
      <c r="B26" s="270" t="s">
        <v>105</v>
      </c>
      <c r="C26" s="271">
        <v>42807</v>
      </c>
      <c r="D26" s="271">
        <v>42811</v>
      </c>
      <c r="E26" s="276">
        <v>42815</v>
      </c>
      <c r="F26" s="270" t="s">
        <v>38</v>
      </c>
      <c r="G26" s="272">
        <v>1140</v>
      </c>
      <c r="H26" s="270" t="s">
        <v>53</v>
      </c>
      <c r="I26" s="270" t="s">
        <v>37</v>
      </c>
      <c r="J26" s="270">
        <f>IF(OR(I26="抽選中",I26="補欠当選"),G26*100,0)</f>
        <v>0</v>
      </c>
      <c r="K26" s="270" t="s">
        <v>39</v>
      </c>
      <c r="L26" s="270">
        <f>IF(K26="抽選中",G26*100,0)</f>
        <v>0</v>
      </c>
      <c r="M26" s="270" t="s">
        <v>37</v>
      </c>
      <c r="N26" s="270">
        <f>IF(M26="当選",G26*100,0)</f>
        <v>0</v>
      </c>
      <c r="O26" s="270" t="s">
        <v>39</v>
      </c>
      <c r="P26" s="270">
        <f>IF(O26="抽選中",G26*100,0)</f>
        <v>0</v>
      </c>
      <c r="Q26" s="270" t="s">
        <v>37</v>
      </c>
      <c r="R26" s="270">
        <f t="shared" si="4"/>
        <v>0</v>
      </c>
      <c r="S26" s="273" t="s">
        <v>56</v>
      </c>
      <c r="T26" s="276">
        <v>42825</v>
      </c>
      <c r="U26" s="274">
        <v>1552</v>
      </c>
      <c r="V26" s="270" t="str">
        <f>CONCATENATE(ROUND((IF(ISBLANK(U26),0,U26)-IF(ISBLANK(G26),0,G26))/IF(ISBLANK(G26),0,G26)*100,2),"%")</f>
        <v>36.14%</v>
      </c>
      <c r="W26" s="270"/>
    </row>
    <row r="27" spans="1:25" x14ac:dyDescent="0.25">
      <c r="A27" s="12">
        <f t="shared" si="1"/>
        <v>25</v>
      </c>
      <c r="B27" s="275" t="s">
        <v>106</v>
      </c>
      <c r="C27" s="271">
        <v>42816</v>
      </c>
      <c r="D27" s="271">
        <v>42822</v>
      </c>
      <c r="E27" s="276">
        <v>42823</v>
      </c>
      <c r="F27" s="270" t="s">
        <v>46</v>
      </c>
      <c r="G27" s="277">
        <v>2550</v>
      </c>
      <c r="H27" s="275" t="s">
        <v>72</v>
      </c>
      <c r="I27" s="270" t="s">
        <v>39</v>
      </c>
      <c r="J27" s="270">
        <f t="shared" si="6"/>
        <v>0</v>
      </c>
      <c r="K27" s="270" t="s">
        <v>39</v>
      </c>
      <c r="L27" s="270">
        <f t="shared" si="3"/>
        <v>0</v>
      </c>
      <c r="M27" s="270" t="s">
        <v>37</v>
      </c>
      <c r="N27" s="270"/>
      <c r="O27" s="270" t="s">
        <v>39</v>
      </c>
      <c r="P27" s="270">
        <f t="shared" si="5"/>
        <v>0</v>
      </c>
      <c r="Q27" s="270" t="s">
        <v>37</v>
      </c>
      <c r="R27" s="270">
        <f t="shared" si="4"/>
        <v>0</v>
      </c>
      <c r="S27" s="279" t="s">
        <v>54</v>
      </c>
      <c r="T27" s="276">
        <v>42831</v>
      </c>
      <c r="U27" s="278">
        <v>8050</v>
      </c>
      <c r="V27" s="270" t="str">
        <f t="shared" si="2"/>
        <v>215.69%</v>
      </c>
      <c r="W27" s="275"/>
    </row>
    <row r="28" spans="1:25" x14ac:dyDescent="0.25">
      <c r="A28" s="12">
        <f t="shared" si="1"/>
        <v>26</v>
      </c>
      <c r="B28" s="270" t="s">
        <v>107</v>
      </c>
      <c r="C28" s="271">
        <v>42817</v>
      </c>
      <c r="D28" s="271">
        <v>42822</v>
      </c>
      <c r="E28" s="276">
        <v>42823</v>
      </c>
      <c r="F28" s="270" t="s">
        <v>48</v>
      </c>
      <c r="G28" s="272">
        <v>750</v>
      </c>
      <c r="H28" s="270" t="s">
        <v>60</v>
      </c>
      <c r="I28" s="270" t="s">
        <v>39</v>
      </c>
      <c r="J28" s="270">
        <f t="shared" si="6"/>
        <v>0</v>
      </c>
      <c r="K28" s="270" t="s">
        <v>39</v>
      </c>
      <c r="L28" s="270">
        <f t="shared" si="3"/>
        <v>0</v>
      </c>
      <c r="M28" s="270" t="s">
        <v>37</v>
      </c>
      <c r="N28" s="270"/>
      <c r="O28" s="270" t="s">
        <v>39</v>
      </c>
      <c r="P28" s="270">
        <f t="shared" si="5"/>
        <v>0</v>
      </c>
      <c r="Q28" s="270" t="s">
        <v>37</v>
      </c>
      <c r="R28" s="270">
        <f t="shared" si="4"/>
        <v>0</v>
      </c>
      <c r="S28" s="270" t="s">
        <v>74</v>
      </c>
      <c r="T28" s="276">
        <v>42835</v>
      </c>
      <c r="U28" s="274">
        <v>721</v>
      </c>
      <c r="V28" s="273" t="str">
        <f t="shared" si="2"/>
        <v>-3.87%</v>
      </c>
      <c r="W28" s="270" t="s">
        <v>90</v>
      </c>
    </row>
    <row r="29" spans="1:25" x14ac:dyDescent="0.25">
      <c r="A29" s="12">
        <f t="shared" si="1"/>
        <v>27</v>
      </c>
      <c r="B29" s="270" t="s">
        <v>108</v>
      </c>
      <c r="C29" s="271">
        <v>42822</v>
      </c>
      <c r="D29" s="271">
        <v>42825</v>
      </c>
      <c r="E29" s="271">
        <v>42828</v>
      </c>
      <c r="F29" s="270" t="s">
        <v>42</v>
      </c>
      <c r="G29" s="280">
        <v>2050</v>
      </c>
      <c r="H29" s="270" t="s">
        <v>60</v>
      </c>
      <c r="I29" s="270" t="s">
        <v>37</v>
      </c>
      <c r="J29" s="270"/>
      <c r="K29" s="270" t="s">
        <v>39</v>
      </c>
      <c r="L29" s="270">
        <f t="shared" si="3"/>
        <v>0</v>
      </c>
      <c r="M29" s="270" t="s">
        <v>39</v>
      </c>
      <c r="N29" s="270"/>
      <c r="O29" s="270" t="s">
        <v>37</v>
      </c>
      <c r="P29" s="270">
        <f t="shared" si="5"/>
        <v>0</v>
      </c>
      <c r="Q29" s="270" t="s">
        <v>37</v>
      </c>
      <c r="R29" s="270">
        <f t="shared" si="4"/>
        <v>0</v>
      </c>
      <c r="S29" s="270" t="s">
        <v>62</v>
      </c>
      <c r="T29" s="276">
        <v>42837</v>
      </c>
      <c r="U29" s="274">
        <v>1947</v>
      </c>
      <c r="V29" s="273" t="str">
        <f t="shared" si="2"/>
        <v>-5.02%</v>
      </c>
      <c r="W29" s="270" t="s">
        <v>90</v>
      </c>
    </row>
    <row r="30" spans="1:25" x14ac:dyDescent="0.25">
      <c r="A30" s="12">
        <f t="shared" si="1"/>
        <v>28</v>
      </c>
      <c r="B30" s="275" t="s">
        <v>109</v>
      </c>
      <c r="C30" s="276">
        <v>42828</v>
      </c>
      <c r="D30" s="276">
        <v>42832</v>
      </c>
      <c r="E30" s="276">
        <v>42835</v>
      </c>
      <c r="F30" s="270" t="s">
        <v>46</v>
      </c>
      <c r="G30" s="277">
        <v>1370</v>
      </c>
      <c r="H30" s="270" t="s">
        <v>53</v>
      </c>
      <c r="I30" s="270" t="s">
        <v>37</v>
      </c>
      <c r="J30" s="275"/>
      <c r="K30" s="270" t="s">
        <v>39</v>
      </c>
      <c r="L30" s="270">
        <f t="shared" si="3"/>
        <v>0</v>
      </c>
      <c r="M30" s="270" t="s">
        <v>39</v>
      </c>
      <c r="N30" s="275"/>
      <c r="O30" s="270" t="s">
        <v>37</v>
      </c>
      <c r="P30" s="270">
        <f t="shared" si="5"/>
        <v>0</v>
      </c>
      <c r="Q30" s="270" t="s">
        <v>37</v>
      </c>
      <c r="R30" s="270">
        <f t="shared" si="4"/>
        <v>0</v>
      </c>
      <c r="S30" s="279" t="s">
        <v>40</v>
      </c>
      <c r="T30" s="276">
        <v>42843</v>
      </c>
      <c r="U30" s="278">
        <v>3750</v>
      </c>
      <c r="V30" s="270" t="str">
        <f t="shared" si="2"/>
        <v>173.72%</v>
      </c>
      <c r="W30" s="275"/>
    </row>
    <row r="31" spans="1:25" x14ac:dyDescent="0.25">
      <c r="A31" s="12">
        <f t="shared" si="1"/>
        <v>29</v>
      </c>
      <c r="B31" s="270" t="s">
        <v>110</v>
      </c>
      <c r="C31" s="276">
        <v>42832</v>
      </c>
      <c r="D31" s="276">
        <v>42838</v>
      </c>
      <c r="E31" s="276">
        <v>42839</v>
      </c>
      <c r="F31" s="270" t="s">
        <v>46</v>
      </c>
      <c r="G31" s="272">
        <v>2000</v>
      </c>
      <c r="H31" s="270" t="s">
        <v>72</v>
      </c>
      <c r="I31" s="270" t="s">
        <v>37</v>
      </c>
      <c r="J31" s="270"/>
      <c r="K31" s="270" t="s">
        <v>37</v>
      </c>
      <c r="L31" s="270">
        <f t="shared" si="3"/>
        <v>0</v>
      </c>
      <c r="M31" s="270" t="s">
        <v>37</v>
      </c>
      <c r="N31" s="270"/>
      <c r="O31" s="270" t="s">
        <v>37</v>
      </c>
      <c r="P31" s="270">
        <f t="shared" si="5"/>
        <v>0</v>
      </c>
      <c r="Q31" s="270" t="s">
        <v>37</v>
      </c>
      <c r="R31" s="270">
        <f t="shared" si="4"/>
        <v>0</v>
      </c>
      <c r="S31" s="273" t="s">
        <v>56</v>
      </c>
      <c r="T31" s="276">
        <v>42850</v>
      </c>
      <c r="U31" s="274">
        <v>5950</v>
      </c>
      <c r="V31" s="270" t="str">
        <f t="shared" si="2"/>
        <v>197.5%</v>
      </c>
      <c r="W31" s="270"/>
    </row>
    <row r="32" spans="1:25" x14ac:dyDescent="0.25">
      <c r="A32" s="12">
        <f t="shared" si="1"/>
        <v>30</v>
      </c>
      <c r="B32" s="275" t="s">
        <v>111</v>
      </c>
      <c r="C32" s="276">
        <v>42884</v>
      </c>
      <c r="D32" s="276">
        <v>42888</v>
      </c>
      <c r="E32" s="276">
        <v>42891</v>
      </c>
      <c r="F32" s="270" t="s">
        <v>46</v>
      </c>
      <c r="G32" s="277">
        <v>1670</v>
      </c>
      <c r="H32" s="270" t="s">
        <v>72</v>
      </c>
      <c r="I32" s="275" t="s">
        <v>37</v>
      </c>
      <c r="J32" s="275"/>
      <c r="K32" s="275" t="s">
        <v>39</v>
      </c>
      <c r="L32" s="270">
        <f t="shared" si="3"/>
        <v>0</v>
      </c>
      <c r="M32" s="275" t="s">
        <v>37</v>
      </c>
      <c r="N32" s="275"/>
      <c r="O32" s="275" t="s">
        <v>39</v>
      </c>
      <c r="P32" s="270">
        <f t="shared" si="5"/>
        <v>0</v>
      </c>
      <c r="Q32" s="275" t="s">
        <v>37</v>
      </c>
      <c r="R32" s="270">
        <f t="shared" si="4"/>
        <v>0</v>
      </c>
      <c r="S32" s="279" t="s">
        <v>56</v>
      </c>
      <c r="T32" s="276">
        <v>42901</v>
      </c>
      <c r="U32" s="278">
        <v>7700</v>
      </c>
      <c r="V32" s="270" t="str">
        <f>CONCATENATE(ROUND((IF(ISBLANK(U32),0,U32)-IF(ISBLANK(G32),0,G32))/IF(ISBLANK(G32),0,G32),4)*100,"%")</f>
        <v>361.08%</v>
      </c>
      <c r="W32" s="275"/>
    </row>
    <row r="33" spans="1:23" x14ac:dyDescent="0.25">
      <c r="A33" s="12">
        <f t="shared" si="1"/>
        <v>31</v>
      </c>
      <c r="B33" s="270" t="s">
        <v>113</v>
      </c>
      <c r="C33" s="271">
        <v>42887</v>
      </c>
      <c r="D33" s="271">
        <v>42893</v>
      </c>
      <c r="E33" s="271">
        <v>42894</v>
      </c>
      <c r="F33" s="270" t="s">
        <v>38</v>
      </c>
      <c r="G33" s="272">
        <v>2500</v>
      </c>
      <c r="H33" s="270" t="s">
        <v>72</v>
      </c>
      <c r="I33" s="275" t="s">
        <v>37</v>
      </c>
      <c r="J33" s="270"/>
      <c r="K33" s="275" t="s">
        <v>37</v>
      </c>
      <c r="L33" s="270">
        <f t="shared" si="3"/>
        <v>0</v>
      </c>
      <c r="M33" s="275" t="s">
        <v>37</v>
      </c>
      <c r="N33" s="270"/>
      <c r="O33" s="275" t="s">
        <v>480</v>
      </c>
      <c r="P33" s="270">
        <f t="shared" si="5"/>
        <v>0</v>
      </c>
      <c r="Q33" s="275" t="s">
        <v>39</v>
      </c>
      <c r="R33" s="270">
        <f>IF(Q33="抽選中",G33*100,0)</f>
        <v>0</v>
      </c>
      <c r="S33" s="273" t="s">
        <v>56</v>
      </c>
      <c r="T33" s="271">
        <v>42906</v>
      </c>
      <c r="U33" s="274">
        <v>7100</v>
      </c>
      <c r="V33" s="270" t="str">
        <f t="shared" ref="V33:V39" si="8">CONCATENATE(ROUND((IF(ISBLANK(U33),0,U33)-IF(ISBLANK(G33),0,G33))/IF(ISBLANK(G33),0,G33),4)*100,"%")</f>
        <v>184%</v>
      </c>
      <c r="W33" s="270"/>
    </row>
    <row r="34" spans="1:23" x14ac:dyDescent="0.25">
      <c r="A34" s="12">
        <f t="shared" si="1"/>
        <v>32</v>
      </c>
      <c r="B34" s="270" t="s">
        <v>114</v>
      </c>
      <c r="C34" s="271">
        <v>42888</v>
      </c>
      <c r="D34" s="271">
        <v>42894</v>
      </c>
      <c r="E34" s="271">
        <v>42895</v>
      </c>
      <c r="F34" s="270" t="s">
        <v>73</v>
      </c>
      <c r="G34" s="272">
        <v>2730</v>
      </c>
      <c r="H34" s="270" t="s">
        <v>72</v>
      </c>
      <c r="I34" s="275" t="s">
        <v>37</v>
      </c>
      <c r="J34" s="270">
        <f>IF(I34="抽選中",G34*100,0)</f>
        <v>0</v>
      </c>
      <c r="K34" s="275" t="s">
        <v>39</v>
      </c>
      <c r="L34" s="270">
        <f t="shared" si="3"/>
        <v>0</v>
      </c>
      <c r="M34" s="275" t="s">
        <v>37</v>
      </c>
      <c r="N34" s="270"/>
      <c r="O34" s="275" t="s">
        <v>480</v>
      </c>
      <c r="P34" s="270">
        <f t="shared" si="5"/>
        <v>0</v>
      </c>
      <c r="Q34" s="275" t="s">
        <v>37</v>
      </c>
      <c r="R34" s="270">
        <f t="shared" ref="R34:R48" si="9">IF(Q34="抽選中",G34*100,0)</f>
        <v>0</v>
      </c>
      <c r="S34" s="270" t="s">
        <v>78</v>
      </c>
      <c r="T34" s="271">
        <v>42907</v>
      </c>
      <c r="U34" s="274">
        <v>4195</v>
      </c>
      <c r="V34" s="270" t="str">
        <f t="shared" si="8"/>
        <v>53.66%</v>
      </c>
      <c r="W34" s="270"/>
    </row>
    <row r="35" spans="1:23" x14ac:dyDescent="0.25">
      <c r="A35" s="12">
        <f t="shared" si="1"/>
        <v>33</v>
      </c>
      <c r="B35" s="270" t="s">
        <v>460</v>
      </c>
      <c r="C35" s="271">
        <v>42894</v>
      </c>
      <c r="D35" s="271">
        <v>42900</v>
      </c>
      <c r="E35" s="271">
        <v>42901</v>
      </c>
      <c r="F35" s="270" t="s">
        <v>46</v>
      </c>
      <c r="G35" s="272">
        <v>2600</v>
      </c>
      <c r="H35" s="270" t="s">
        <v>53</v>
      </c>
      <c r="I35" s="275" t="s">
        <v>37</v>
      </c>
      <c r="J35" s="270"/>
      <c r="K35" s="275" t="s">
        <v>39</v>
      </c>
      <c r="L35" s="270">
        <f t="shared" si="3"/>
        <v>0</v>
      </c>
      <c r="M35" s="275" t="s">
        <v>37</v>
      </c>
      <c r="N35" s="270"/>
      <c r="O35" s="275" t="s">
        <v>37</v>
      </c>
      <c r="P35" s="270">
        <f t="shared" si="5"/>
        <v>0</v>
      </c>
      <c r="Q35" s="275" t="s">
        <v>37</v>
      </c>
      <c r="R35" s="270">
        <f t="shared" si="9"/>
        <v>0</v>
      </c>
      <c r="S35" s="270" t="s">
        <v>62</v>
      </c>
      <c r="T35" s="271">
        <v>42913</v>
      </c>
      <c r="U35" s="274">
        <v>6060</v>
      </c>
      <c r="V35" s="270" t="str">
        <f t="shared" si="8"/>
        <v>133.08%</v>
      </c>
      <c r="W35" s="270"/>
    </row>
    <row r="36" spans="1:23" x14ac:dyDescent="0.25">
      <c r="A36" s="12">
        <f t="shared" si="1"/>
        <v>34</v>
      </c>
      <c r="B36" s="275" t="s">
        <v>462</v>
      </c>
      <c r="C36" s="276">
        <v>42900</v>
      </c>
      <c r="D36" s="276">
        <v>42906</v>
      </c>
      <c r="E36" s="276">
        <v>42907</v>
      </c>
      <c r="F36" s="270" t="s">
        <v>46</v>
      </c>
      <c r="G36" s="277">
        <v>2130</v>
      </c>
      <c r="H36" s="270" t="s">
        <v>53</v>
      </c>
      <c r="I36" s="275" t="s">
        <v>37</v>
      </c>
      <c r="J36" s="275" t="s">
        <v>112</v>
      </c>
      <c r="K36" s="275" t="s">
        <v>39</v>
      </c>
      <c r="L36" s="270">
        <f t="shared" si="3"/>
        <v>0</v>
      </c>
      <c r="M36" s="275" t="s">
        <v>39</v>
      </c>
      <c r="N36" s="275" t="s">
        <v>112</v>
      </c>
      <c r="O36" s="275" t="s">
        <v>39</v>
      </c>
      <c r="P36" s="270">
        <f t="shared" si="5"/>
        <v>0</v>
      </c>
      <c r="Q36" s="275" t="s">
        <v>37</v>
      </c>
      <c r="R36" s="270">
        <f t="shared" si="9"/>
        <v>0</v>
      </c>
      <c r="S36" s="275" t="s">
        <v>62</v>
      </c>
      <c r="T36" s="276">
        <v>42916</v>
      </c>
      <c r="U36" s="278">
        <v>4515</v>
      </c>
      <c r="V36" s="270" t="str">
        <f t="shared" si="8"/>
        <v>111.97%</v>
      </c>
      <c r="W36" s="275"/>
    </row>
    <row r="37" spans="1:23" x14ac:dyDescent="0.25">
      <c r="A37" s="12">
        <f t="shared" si="1"/>
        <v>35</v>
      </c>
      <c r="B37" s="270" t="s">
        <v>463</v>
      </c>
      <c r="C37" s="276">
        <v>42900</v>
      </c>
      <c r="D37" s="276">
        <v>42906</v>
      </c>
      <c r="E37" s="276">
        <v>42907</v>
      </c>
      <c r="F37" s="270" t="s">
        <v>38</v>
      </c>
      <c r="G37" s="272">
        <v>2560</v>
      </c>
      <c r="H37" s="270" t="s">
        <v>53</v>
      </c>
      <c r="I37" s="275" t="s">
        <v>37</v>
      </c>
      <c r="J37" s="270"/>
      <c r="K37" s="275" t="s">
        <v>39</v>
      </c>
      <c r="L37" s="270">
        <f t="shared" si="3"/>
        <v>0</v>
      </c>
      <c r="M37" s="275" t="s">
        <v>37</v>
      </c>
      <c r="N37" s="270"/>
      <c r="O37" s="275" t="s">
        <v>39</v>
      </c>
      <c r="P37" s="270">
        <f t="shared" si="5"/>
        <v>0</v>
      </c>
      <c r="Q37" s="275" t="s">
        <v>37</v>
      </c>
      <c r="R37" s="270">
        <f t="shared" si="9"/>
        <v>0</v>
      </c>
      <c r="S37" s="270" t="s">
        <v>63</v>
      </c>
      <c r="T37" s="276">
        <v>42916</v>
      </c>
      <c r="U37" s="274">
        <v>5530</v>
      </c>
      <c r="V37" s="270" t="str">
        <f t="shared" si="8"/>
        <v>116.02%</v>
      </c>
      <c r="W37" s="270"/>
    </row>
    <row r="38" spans="1:23" x14ac:dyDescent="0.25">
      <c r="A38" s="12">
        <f t="shared" si="1"/>
        <v>36</v>
      </c>
      <c r="B38" s="275" t="s">
        <v>467</v>
      </c>
      <c r="C38" s="276">
        <v>42901</v>
      </c>
      <c r="D38" s="276">
        <v>42907</v>
      </c>
      <c r="E38" s="276">
        <v>42908</v>
      </c>
      <c r="F38" s="270" t="s">
        <v>46</v>
      </c>
      <c r="G38" s="277">
        <v>1920</v>
      </c>
      <c r="H38" s="270" t="s">
        <v>53</v>
      </c>
      <c r="I38" s="275" t="s">
        <v>468</v>
      </c>
      <c r="J38" s="275"/>
      <c r="K38" s="275" t="s">
        <v>92</v>
      </c>
      <c r="L38" s="270">
        <f t="shared" si="3"/>
        <v>0</v>
      </c>
      <c r="M38" s="275" t="s">
        <v>39</v>
      </c>
      <c r="N38" s="275"/>
      <c r="O38" s="275" t="s">
        <v>61</v>
      </c>
      <c r="P38" s="270">
        <f t="shared" si="5"/>
        <v>0</v>
      </c>
      <c r="Q38" s="275" t="s">
        <v>37</v>
      </c>
      <c r="R38" s="270">
        <f t="shared" si="9"/>
        <v>0</v>
      </c>
      <c r="S38" s="279" t="s">
        <v>40</v>
      </c>
      <c r="T38" s="276">
        <v>42916</v>
      </c>
      <c r="U38" s="278">
        <v>4490</v>
      </c>
      <c r="V38" s="270" t="str">
        <f t="shared" si="8"/>
        <v>133.85%</v>
      </c>
      <c r="W38" s="275"/>
    </row>
    <row r="39" spans="1:23" x14ac:dyDescent="0.25">
      <c r="A39" s="12">
        <f t="shared" si="1"/>
        <v>37</v>
      </c>
      <c r="B39" s="270" t="s">
        <v>481</v>
      </c>
      <c r="C39" s="271">
        <v>42909</v>
      </c>
      <c r="D39" s="271">
        <v>42915</v>
      </c>
      <c r="E39" s="271">
        <v>42916</v>
      </c>
      <c r="F39" s="270" t="s">
        <v>46</v>
      </c>
      <c r="G39" s="272">
        <v>1200</v>
      </c>
      <c r="H39" s="270" t="s">
        <v>53</v>
      </c>
      <c r="I39" s="270" t="s">
        <v>482</v>
      </c>
      <c r="J39" s="270"/>
      <c r="K39" s="275" t="s">
        <v>39</v>
      </c>
      <c r="L39" s="270">
        <f t="shared" si="3"/>
        <v>0</v>
      </c>
      <c r="M39" s="275" t="s">
        <v>92</v>
      </c>
      <c r="N39" s="270"/>
      <c r="O39" s="275" t="s">
        <v>61</v>
      </c>
      <c r="P39" s="270">
        <f t="shared" si="5"/>
        <v>0</v>
      </c>
      <c r="Q39" s="270" t="s">
        <v>482</v>
      </c>
      <c r="R39" s="270">
        <f t="shared" si="9"/>
        <v>0</v>
      </c>
      <c r="S39" s="270" t="s">
        <v>89</v>
      </c>
      <c r="T39" s="271">
        <v>42928</v>
      </c>
      <c r="U39" s="274">
        <v>2123</v>
      </c>
      <c r="V39" s="270" t="str">
        <f t="shared" si="8"/>
        <v>76.92%</v>
      </c>
      <c r="W39" s="270"/>
    </row>
    <row r="40" spans="1:23" x14ac:dyDescent="0.25">
      <c r="A40" s="12">
        <f t="shared" si="1"/>
        <v>38</v>
      </c>
      <c r="B40" s="270" t="s">
        <v>483</v>
      </c>
      <c r="C40" s="271">
        <v>42915</v>
      </c>
      <c r="D40" s="271">
        <v>42921</v>
      </c>
      <c r="E40" s="271">
        <v>42922</v>
      </c>
      <c r="F40" s="270" t="s">
        <v>46</v>
      </c>
      <c r="G40" s="272">
        <v>2800</v>
      </c>
      <c r="H40" s="270" t="s">
        <v>53</v>
      </c>
      <c r="I40" s="270" t="s">
        <v>487</v>
      </c>
      <c r="J40" s="270">
        <f>IF(I40="抽選中",G40*100,0)</f>
        <v>0</v>
      </c>
      <c r="K40" s="275" t="s">
        <v>498</v>
      </c>
      <c r="L40" s="275" t="s">
        <v>112</v>
      </c>
      <c r="M40" s="275" t="s">
        <v>498</v>
      </c>
      <c r="N40" s="275" t="s">
        <v>112</v>
      </c>
      <c r="O40" s="275" t="s">
        <v>498</v>
      </c>
      <c r="P40" s="270">
        <f t="shared" si="5"/>
        <v>0</v>
      </c>
      <c r="Q40" s="270" t="s">
        <v>487</v>
      </c>
      <c r="R40" s="270">
        <f t="shared" si="9"/>
        <v>0</v>
      </c>
      <c r="S40" s="270" t="s">
        <v>62</v>
      </c>
      <c r="T40" s="271">
        <v>42935</v>
      </c>
      <c r="U40" s="274"/>
      <c r="V40" s="36" t="str">
        <f t="shared" ref="V40:V47" si="10">CONCATENATE((IF(ISBLANK(U40),0,U40)-IF(ISBLANK(G40),0,G40))/IF(ISBLANK(G40),0,G40)*100,"%")</f>
        <v>-100%</v>
      </c>
      <c r="W40" s="36"/>
    </row>
    <row r="41" spans="1:23" x14ac:dyDescent="0.25">
      <c r="A41" s="12">
        <f t="shared" si="1"/>
        <v>39</v>
      </c>
      <c r="B41" s="270" t="s">
        <v>485</v>
      </c>
      <c r="C41" s="271">
        <v>42916</v>
      </c>
      <c r="D41" s="271">
        <v>42922</v>
      </c>
      <c r="E41" s="271">
        <v>42923</v>
      </c>
      <c r="F41" s="270" t="s">
        <v>48</v>
      </c>
      <c r="G41" s="272">
        <v>3200</v>
      </c>
      <c r="H41" s="270" t="s">
        <v>60</v>
      </c>
      <c r="I41" s="270" t="s">
        <v>487</v>
      </c>
      <c r="J41" s="270"/>
      <c r="K41" s="275" t="s">
        <v>498</v>
      </c>
      <c r="L41" s="270">
        <f t="shared" si="3"/>
        <v>0</v>
      </c>
      <c r="M41" s="270" t="s">
        <v>487</v>
      </c>
      <c r="N41" s="270"/>
      <c r="O41" s="275" t="s">
        <v>498</v>
      </c>
      <c r="P41" s="270">
        <f t="shared" si="5"/>
        <v>0</v>
      </c>
      <c r="Q41" s="270" t="s">
        <v>487</v>
      </c>
      <c r="R41" s="270">
        <f t="shared" si="9"/>
        <v>0</v>
      </c>
      <c r="S41" s="270" t="s">
        <v>89</v>
      </c>
      <c r="T41" s="271">
        <v>42936</v>
      </c>
      <c r="U41" s="274"/>
      <c r="V41" s="36" t="str">
        <f t="shared" si="10"/>
        <v>-100%</v>
      </c>
      <c r="W41" s="36"/>
    </row>
    <row r="42" spans="1:23" x14ac:dyDescent="0.25">
      <c r="A42" s="12">
        <f t="shared" si="1"/>
        <v>40</v>
      </c>
      <c r="B42" s="275" t="s">
        <v>486</v>
      </c>
      <c r="C42" s="271">
        <v>42916</v>
      </c>
      <c r="D42" s="271">
        <v>42922</v>
      </c>
      <c r="E42" s="271">
        <v>42923</v>
      </c>
      <c r="F42" s="270" t="s">
        <v>38</v>
      </c>
      <c r="G42" s="277">
        <v>730</v>
      </c>
      <c r="H42" s="270" t="s">
        <v>47</v>
      </c>
      <c r="I42" s="270" t="s">
        <v>487</v>
      </c>
      <c r="J42" s="270"/>
      <c r="K42" s="275" t="s">
        <v>39</v>
      </c>
      <c r="L42" s="270">
        <f t="shared" ref="L42" si="11">IF(K42="抽選中",G42*100,0)</f>
        <v>0</v>
      </c>
      <c r="M42" s="270" t="s">
        <v>487</v>
      </c>
      <c r="N42" s="270"/>
      <c r="O42" s="275" t="s">
        <v>39</v>
      </c>
      <c r="P42" s="270">
        <f t="shared" ref="P42" si="12">IF(O42="抽選中",G42*100,0)</f>
        <v>0</v>
      </c>
      <c r="Q42" s="270" t="s">
        <v>487</v>
      </c>
      <c r="R42" s="270">
        <f t="shared" si="9"/>
        <v>0</v>
      </c>
      <c r="S42" s="275" t="s">
        <v>74</v>
      </c>
      <c r="T42" s="271">
        <v>42936</v>
      </c>
      <c r="U42" s="278"/>
      <c r="V42" s="36" t="str">
        <f t="shared" si="10"/>
        <v>-100%</v>
      </c>
      <c r="W42" s="49"/>
    </row>
    <row r="43" spans="1:23" x14ac:dyDescent="0.25">
      <c r="A43" s="12">
        <f t="shared" si="1"/>
        <v>41</v>
      </c>
      <c r="B43" s="36" t="s">
        <v>500</v>
      </c>
      <c r="C43" s="54">
        <v>42935</v>
      </c>
      <c r="D43" s="54">
        <v>42941</v>
      </c>
      <c r="E43" s="54">
        <v>42942</v>
      </c>
      <c r="F43" s="36" t="s">
        <v>46</v>
      </c>
      <c r="G43" s="55"/>
      <c r="H43" s="36" t="s">
        <v>72</v>
      </c>
      <c r="I43" s="36" t="s">
        <v>501</v>
      </c>
      <c r="J43" s="36"/>
      <c r="K43" s="36" t="s">
        <v>501</v>
      </c>
      <c r="L43" s="52">
        <f t="shared" si="3"/>
        <v>0</v>
      </c>
      <c r="M43" s="36" t="s">
        <v>501</v>
      </c>
      <c r="N43" s="36"/>
      <c r="O43" s="36" t="s">
        <v>501</v>
      </c>
      <c r="P43" s="36">
        <f t="shared" si="5"/>
        <v>0</v>
      </c>
      <c r="Q43" s="36" t="s">
        <v>468</v>
      </c>
      <c r="R43" s="36">
        <f t="shared" si="9"/>
        <v>0</v>
      </c>
      <c r="S43" s="376" t="s">
        <v>40</v>
      </c>
      <c r="T43" s="54">
        <v>42950</v>
      </c>
      <c r="U43" s="56"/>
      <c r="V43" s="36" t="e">
        <f t="shared" si="10"/>
        <v>#DIV/0!</v>
      </c>
      <c r="W43" s="36"/>
    </row>
    <row r="44" spans="1:23" x14ac:dyDescent="0.25">
      <c r="A44" s="12">
        <f t="shared" si="1"/>
        <v>42</v>
      </c>
      <c r="B44" s="49" t="s">
        <v>502</v>
      </c>
      <c r="C44" s="50">
        <v>42940</v>
      </c>
      <c r="D44" s="50">
        <v>42944</v>
      </c>
      <c r="E44" s="50">
        <v>42947</v>
      </c>
      <c r="F44" s="36" t="s">
        <v>46</v>
      </c>
      <c r="G44" s="51"/>
      <c r="H44" s="36" t="s">
        <v>72</v>
      </c>
      <c r="I44" s="36" t="s">
        <v>501</v>
      </c>
      <c r="J44" s="49"/>
      <c r="K44" s="36" t="s">
        <v>468</v>
      </c>
      <c r="L44" s="49"/>
      <c r="M44" s="36" t="s">
        <v>468</v>
      </c>
      <c r="N44" s="49"/>
      <c r="O44" s="36" t="s">
        <v>501</v>
      </c>
      <c r="P44" s="36">
        <f t="shared" si="5"/>
        <v>0</v>
      </c>
      <c r="Q44" s="36" t="s">
        <v>468</v>
      </c>
      <c r="R44" s="36">
        <f t="shared" si="9"/>
        <v>0</v>
      </c>
      <c r="S44" s="49" t="s">
        <v>503</v>
      </c>
      <c r="T44" s="50">
        <v>42956</v>
      </c>
      <c r="U44" s="53"/>
      <c r="V44" s="36" t="e">
        <f t="shared" si="10"/>
        <v>#DIV/0!</v>
      </c>
      <c r="W44" s="49"/>
    </row>
    <row r="45" spans="1:23" x14ac:dyDescent="0.25">
      <c r="A45" s="12">
        <f t="shared" si="1"/>
        <v>43</v>
      </c>
      <c r="B45" s="36"/>
      <c r="C45" s="36"/>
      <c r="D45" s="36"/>
      <c r="E45" s="36"/>
      <c r="F45" s="36"/>
      <c r="G45" s="55"/>
      <c r="H45" s="36"/>
      <c r="I45" s="36"/>
      <c r="J45" s="36"/>
      <c r="K45" s="36"/>
      <c r="L45" s="36"/>
      <c r="M45" s="36"/>
      <c r="N45" s="36"/>
      <c r="O45" s="36"/>
      <c r="P45" s="36">
        <f t="shared" si="5"/>
        <v>0</v>
      </c>
      <c r="Q45" s="36"/>
      <c r="R45" s="36">
        <f t="shared" si="9"/>
        <v>0</v>
      </c>
      <c r="S45" s="36"/>
      <c r="T45" s="54"/>
      <c r="U45" s="56"/>
      <c r="V45" s="36" t="e">
        <f t="shared" si="10"/>
        <v>#DIV/0!</v>
      </c>
      <c r="W45" s="36"/>
    </row>
    <row r="46" spans="1:23" x14ac:dyDescent="0.25">
      <c r="A46" s="12">
        <f t="shared" si="1"/>
        <v>44</v>
      </c>
      <c r="B46" s="49"/>
      <c r="C46" s="49"/>
      <c r="D46" s="49"/>
      <c r="E46" s="49"/>
      <c r="F46" s="49"/>
      <c r="G46" s="51"/>
      <c r="H46" s="36"/>
      <c r="I46" s="49"/>
      <c r="J46" s="49"/>
      <c r="K46" s="49"/>
      <c r="L46" s="49"/>
      <c r="M46" s="49"/>
      <c r="N46" s="49"/>
      <c r="O46" s="49"/>
      <c r="P46" s="36">
        <f t="shared" si="5"/>
        <v>0</v>
      </c>
      <c r="Q46" s="49"/>
      <c r="R46" s="36">
        <f t="shared" si="9"/>
        <v>0</v>
      </c>
      <c r="S46" s="49"/>
      <c r="T46" s="50"/>
      <c r="U46" s="53"/>
      <c r="V46" s="36" t="e">
        <f t="shared" si="10"/>
        <v>#DIV/0!</v>
      </c>
      <c r="W46" s="49"/>
    </row>
    <row r="47" spans="1:23" x14ac:dyDescent="0.25">
      <c r="A47" s="12">
        <f t="shared" si="1"/>
        <v>45</v>
      </c>
      <c r="B47" s="36"/>
      <c r="C47" s="36"/>
      <c r="D47" s="36"/>
      <c r="E47" s="36"/>
      <c r="F47" s="36"/>
      <c r="G47" s="55"/>
      <c r="H47" s="36"/>
      <c r="I47" s="36"/>
      <c r="J47" s="36"/>
      <c r="K47" s="36"/>
      <c r="L47" s="36"/>
      <c r="M47" s="36"/>
      <c r="N47" s="36"/>
      <c r="O47" s="36"/>
      <c r="P47" s="36">
        <f t="shared" si="5"/>
        <v>0</v>
      </c>
      <c r="Q47" s="36"/>
      <c r="R47" s="36">
        <f t="shared" si="9"/>
        <v>0</v>
      </c>
      <c r="S47" s="36"/>
      <c r="T47" s="54"/>
      <c r="U47" s="56"/>
      <c r="V47" s="36" t="e">
        <f t="shared" si="10"/>
        <v>#DIV/0!</v>
      </c>
      <c r="W47" s="36"/>
    </row>
    <row r="48" spans="1:23" x14ac:dyDescent="0.25">
      <c r="A48" s="12">
        <f t="shared" si="1"/>
        <v>46</v>
      </c>
      <c r="B48" s="49"/>
      <c r="C48" s="49"/>
      <c r="D48" s="49"/>
      <c r="E48" s="49"/>
      <c r="F48" s="49"/>
      <c r="G48" s="51"/>
      <c r="H48" s="36"/>
      <c r="I48" s="49"/>
      <c r="J48" s="49"/>
      <c r="K48" s="49"/>
      <c r="L48" s="49"/>
      <c r="M48" s="49"/>
      <c r="N48" s="49"/>
      <c r="O48" s="49"/>
      <c r="P48" s="36">
        <f t="shared" si="5"/>
        <v>0</v>
      </c>
      <c r="Q48" s="49"/>
      <c r="R48" s="36">
        <f t="shared" si="9"/>
        <v>0</v>
      </c>
      <c r="S48" s="49"/>
      <c r="T48" s="50"/>
      <c r="U48" s="53"/>
      <c r="V48" s="49"/>
      <c r="W48" s="49"/>
    </row>
    <row r="49" spans="1:23" x14ac:dyDescent="0.25">
      <c r="A49" s="12">
        <f t="shared" si="1"/>
        <v>47</v>
      </c>
      <c r="B49" s="49"/>
      <c r="C49" s="49"/>
      <c r="D49" s="49"/>
      <c r="E49" s="49"/>
      <c r="F49" s="49"/>
      <c r="G49" s="51"/>
      <c r="H49" s="36"/>
      <c r="I49" s="49"/>
      <c r="J49" s="49"/>
      <c r="K49" s="49"/>
      <c r="L49" s="49"/>
      <c r="M49" s="49"/>
      <c r="N49" s="49"/>
      <c r="O49" s="49"/>
      <c r="P49" s="36">
        <f t="shared" ref="P49:P54" si="13">IF(O49="抽選中",G49*100,0)</f>
        <v>0</v>
      </c>
      <c r="Q49" s="49"/>
      <c r="R49" s="36">
        <f t="shared" ref="R49:R54" si="14">IF(Q49="抽選中",G49*100,0)</f>
        <v>0</v>
      </c>
      <c r="S49" s="49"/>
      <c r="T49" s="50"/>
      <c r="U49" s="53"/>
      <c r="V49" s="49"/>
      <c r="W49" s="49"/>
    </row>
    <row r="50" spans="1:23" x14ac:dyDescent="0.25">
      <c r="A50" s="12">
        <f t="shared" si="1"/>
        <v>48</v>
      </c>
      <c r="B50" s="49"/>
      <c r="C50" s="49"/>
      <c r="D50" s="49"/>
      <c r="E50" s="49"/>
      <c r="F50" s="49"/>
      <c r="G50" s="51"/>
      <c r="H50" s="36"/>
      <c r="I50" s="49"/>
      <c r="J50" s="49"/>
      <c r="K50" s="49"/>
      <c r="L50" s="49"/>
      <c r="M50" s="49"/>
      <c r="N50" s="49"/>
      <c r="O50" s="49"/>
      <c r="P50" s="36">
        <f t="shared" si="13"/>
        <v>0</v>
      </c>
      <c r="Q50" s="49"/>
      <c r="R50" s="36">
        <f t="shared" si="14"/>
        <v>0</v>
      </c>
      <c r="S50" s="49"/>
      <c r="T50" s="50"/>
      <c r="U50" s="53"/>
      <c r="V50" s="49"/>
      <c r="W50" s="49"/>
    </row>
    <row r="51" spans="1:23" x14ac:dyDescent="0.25">
      <c r="A51" s="12">
        <f t="shared" si="1"/>
        <v>49</v>
      </c>
      <c r="B51" s="49"/>
      <c r="C51" s="49"/>
      <c r="D51" s="49"/>
      <c r="E51" s="49"/>
      <c r="F51" s="49"/>
      <c r="G51" s="51"/>
      <c r="H51" s="36"/>
      <c r="I51" s="49"/>
      <c r="J51" s="49"/>
      <c r="K51" s="49"/>
      <c r="L51" s="49"/>
      <c r="M51" s="49"/>
      <c r="N51" s="49"/>
      <c r="O51" s="49"/>
      <c r="P51" s="36">
        <f t="shared" si="13"/>
        <v>0</v>
      </c>
      <c r="Q51" s="49"/>
      <c r="R51" s="36">
        <f t="shared" si="14"/>
        <v>0</v>
      </c>
      <c r="S51" s="49"/>
      <c r="T51" s="50"/>
      <c r="U51" s="53"/>
      <c r="V51" s="49"/>
      <c r="W51" s="49"/>
    </row>
    <row r="52" spans="1:23" x14ac:dyDescent="0.25">
      <c r="A52" s="12">
        <f t="shared" si="1"/>
        <v>50</v>
      </c>
      <c r="B52" s="49"/>
      <c r="C52" s="49"/>
      <c r="D52" s="49"/>
      <c r="E52" s="49"/>
      <c r="F52" s="49"/>
      <c r="G52" s="51"/>
      <c r="H52" s="36"/>
      <c r="I52" s="49"/>
      <c r="J52" s="49"/>
      <c r="K52" s="49"/>
      <c r="L52" s="49"/>
      <c r="M52" s="49"/>
      <c r="N52" s="49"/>
      <c r="O52" s="49"/>
      <c r="P52" s="36">
        <f t="shared" si="13"/>
        <v>0</v>
      </c>
      <c r="Q52" s="49"/>
      <c r="R52" s="36">
        <f t="shared" si="14"/>
        <v>0</v>
      </c>
      <c r="S52" s="49"/>
      <c r="T52" s="50"/>
      <c r="U52" s="53"/>
      <c r="V52" s="49"/>
      <c r="W52" s="49"/>
    </row>
    <row r="53" spans="1:23" x14ac:dyDescent="0.25">
      <c r="A53" s="12">
        <f t="shared" si="1"/>
        <v>51</v>
      </c>
      <c r="B53" s="49"/>
      <c r="C53" s="49"/>
      <c r="D53" s="49"/>
      <c r="E53" s="49"/>
      <c r="F53" s="49"/>
      <c r="G53" s="51"/>
      <c r="H53" s="36"/>
      <c r="I53" s="49"/>
      <c r="J53" s="49"/>
      <c r="K53" s="49"/>
      <c r="L53" s="49"/>
      <c r="M53" s="49"/>
      <c r="N53" s="49"/>
      <c r="O53" s="49"/>
      <c r="P53" s="36">
        <f t="shared" si="13"/>
        <v>0</v>
      </c>
      <c r="Q53" s="49"/>
      <c r="R53" s="36">
        <f t="shared" si="14"/>
        <v>0</v>
      </c>
      <c r="S53" s="49"/>
      <c r="T53" s="50"/>
      <c r="U53" s="53"/>
      <c r="V53" s="49"/>
      <c r="W53" s="49"/>
    </row>
    <row r="54" spans="1:23" x14ac:dyDescent="0.25">
      <c r="A54" s="12">
        <f t="shared" si="1"/>
        <v>52</v>
      </c>
      <c r="B54" s="49"/>
      <c r="C54" s="49"/>
      <c r="D54" s="49"/>
      <c r="E54" s="49"/>
      <c r="F54" s="49"/>
      <c r="G54" s="51"/>
      <c r="H54" s="36"/>
      <c r="I54" s="49"/>
      <c r="J54" s="49"/>
      <c r="K54" s="49"/>
      <c r="L54" s="49"/>
      <c r="M54" s="49"/>
      <c r="N54" s="49"/>
      <c r="O54" s="49"/>
      <c r="P54" s="36">
        <f t="shared" si="13"/>
        <v>0</v>
      </c>
      <c r="Q54" s="49"/>
      <c r="R54" s="36">
        <f t="shared" si="14"/>
        <v>0</v>
      </c>
      <c r="S54" s="49"/>
      <c r="T54" s="50"/>
      <c r="U54" s="53"/>
      <c r="V54" s="49"/>
      <c r="W54" s="49"/>
    </row>
  </sheetData>
  <mergeCells count="1">
    <mergeCell ref="A1:B1"/>
  </mergeCells>
  <phoneticPr fontId="2"/>
  <conditionalFormatting sqref="H1:H1048576">
    <cfRule type="cellIs" dxfId="126" priority="2" operator="lessThan">
      <formula>"D"</formula>
    </cfRule>
    <cfRule type="cellIs" dxfId="125" priority="3" operator="equal">
      <formula>"D"</formula>
    </cfRule>
  </conditionalFormatting>
  <conditionalFormatting sqref="A1:XFD1048576">
    <cfRule type="expression" dxfId="124" priority="1">
      <formula>CELL("ROW")=ROW()</formula>
    </cfRule>
  </conditionalFormatting>
  <dataValidations count="3">
    <dataValidation type="list" allowBlank="1" showInputMessage="1" showErrorMessage="1" sqref="F3:F45">
      <formula1>$Y$3:$Y$8</formula1>
    </dataValidation>
    <dataValidation type="list" allowBlank="1" showInputMessage="1" showErrorMessage="1" sqref="H3:H54">
      <formula1>$AB$3:$AB$8</formula1>
    </dataValidation>
    <dataValidation type="list" allowBlank="1" showInputMessage="1" showErrorMessage="1" sqref="S2:S1048576">
      <formula1>$Z$3:$Z$11</formula1>
    </dataValidation>
  </dataValidations>
  <hyperlinks>
    <hyperlink ref="Y15" r:id="rId1"/>
    <hyperlink ref="Y18" r:id="rId2"/>
    <hyperlink ref="I2" r:id="rId3"/>
    <hyperlink ref="M2" r:id="rId4"/>
    <hyperlink ref="K2" r:id="rId5"/>
    <hyperlink ref="O2" r:id="rId6"/>
    <hyperlink ref="Y21" r:id="rId7"/>
    <hyperlink ref="Q2" r:id="rId8"/>
  </hyperlinks>
  <pageMargins left="0.7" right="0.7" top="0.75" bottom="0.75" header="0.3" footer="0.3"/>
  <pageSetup paperSize="9" orientation="portrait" horizontalDpi="300" verticalDpi="300"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Y192"/>
  <sheetViews>
    <sheetView zoomScale="70" zoomScaleNormal="70" workbookViewId="0">
      <pane xSplit="2" ySplit="2" topLeftCell="C27" activePane="bottomRight" state="frozen"/>
      <selection activeCell="A20" sqref="A20"/>
      <selection pane="topRight" activeCell="A20" sqref="A20"/>
      <selection pane="bottomLeft" activeCell="A20" sqref="A20"/>
      <selection pane="bottomRight" activeCell="E66" sqref="E66"/>
    </sheetView>
  </sheetViews>
  <sheetFormatPr defaultColWidth="8" defaultRowHeight="15.75" x14ac:dyDescent="0.25"/>
  <cols>
    <col min="1" max="1" width="5" style="121" bestFit="1" customWidth="1"/>
    <col min="2" max="2" width="24.109375" style="12" bestFit="1" customWidth="1"/>
    <col min="3" max="3" width="8.33203125" style="22" bestFit="1" customWidth="1"/>
    <col min="4" max="5" width="12.6640625" style="15" bestFit="1" customWidth="1"/>
    <col min="6" max="6" width="10.5546875" style="21" customWidth="1"/>
    <col min="7" max="7" width="9.5546875" style="22" customWidth="1"/>
    <col min="8" max="8" width="8.33203125" style="22" bestFit="1" customWidth="1"/>
    <col min="9" max="9" width="10.33203125" style="22" customWidth="1"/>
    <col min="10" max="10" width="12.21875" style="122" bestFit="1" customWidth="1"/>
    <col min="11" max="11" width="10.21875" style="122" bestFit="1" customWidth="1"/>
    <col min="12" max="12" width="8.33203125" style="58" bestFit="1" customWidth="1"/>
    <col min="13" max="13" width="8.33203125" style="58" customWidth="1"/>
    <col min="14" max="14" width="9.88671875" style="12" customWidth="1"/>
    <col min="15" max="15" width="8.33203125" style="12" bestFit="1" customWidth="1"/>
    <col min="16" max="16" width="11.109375" style="12" bestFit="1" customWidth="1"/>
    <col min="17" max="18" width="6.6640625" style="12" bestFit="1" customWidth="1"/>
    <col min="19" max="19" width="12.109375" style="123" bestFit="1" customWidth="1"/>
    <col min="20" max="20" width="13.21875" style="12" bestFit="1" customWidth="1"/>
    <col min="21" max="22" width="10.21875" style="15" bestFit="1" customWidth="1"/>
    <col min="23" max="23" width="8.6640625" style="15" customWidth="1"/>
    <col min="24" max="24" width="10.21875" style="15" bestFit="1" customWidth="1"/>
    <col min="25" max="25" width="10" style="60" bestFit="1" customWidth="1"/>
    <col min="26" max="26" width="9.44140625" style="60" bestFit="1" customWidth="1"/>
    <col min="27" max="28" width="8" style="60"/>
    <col min="29" max="29" width="11.88671875" style="60" bestFit="1" customWidth="1"/>
    <col min="30" max="30" width="7.6640625" style="60" bestFit="1" customWidth="1"/>
    <col min="31" max="31" width="8.33203125" style="60" bestFit="1" customWidth="1"/>
    <col min="32" max="16384" width="8" style="60"/>
  </cols>
  <sheetData>
    <row r="1" spans="1:25" ht="17.25" customHeight="1" x14ac:dyDescent="0.25">
      <c r="A1" s="391" t="s">
        <v>115</v>
      </c>
      <c r="B1" s="391"/>
      <c r="E1" s="57" t="s">
        <v>116</v>
      </c>
      <c r="F1" s="60"/>
      <c r="G1" s="60"/>
      <c r="H1" s="60"/>
      <c r="I1" s="60"/>
      <c r="J1" s="392" t="s">
        <v>117</v>
      </c>
      <c r="K1" s="392"/>
      <c r="M1" s="60"/>
      <c r="N1" s="60"/>
      <c r="O1" s="60"/>
      <c r="P1" s="60"/>
      <c r="R1" s="60"/>
      <c r="S1" s="60"/>
      <c r="T1" s="60"/>
      <c r="U1" s="60"/>
      <c r="V1" s="370" t="s">
        <v>118</v>
      </c>
      <c r="W1" s="59"/>
    </row>
    <row r="2" spans="1:25" ht="16.5" thickBot="1" x14ac:dyDescent="0.3">
      <c r="A2" s="315" t="s">
        <v>24</v>
      </c>
      <c r="B2" s="315" t="s">
        <v>18</v>
      </c>
      <c r="C2" s="316" t="s">
        <v>23</v>
      </c>
      <c r="D2" s="317" t="s">
        <v>119</v>
      </c>
      <c r="E2" s="317" t="s">
        <v>120</v>
      </c>
      <c r="F2" s="318" t="s">
        <v>30</v>
      </c>
      <c r="G2" s="316" t="s">
        <v>31</v>
      </c>
      <c r="H2" s="316" t="s">
        <v>121</v>
      </c>
      <c r="I2" s="316" t="s">
        <v>122</v>
      </c>
      <c r="J2" s="319" t="s">
        <v>123</v>
      </c>
      <c r="K2" s="319" t="s">
        <v>124</v>
      </c>
      <c r="L2" s="320" t="s">
        <v>125</v>
      </c>
      <c r="M2" s="320" t="s">
        <v>35</v>
      </c>
      <c r="N2" s="315" t="s">
        <v>126</v>
      </c>
      <c r="O2" s="315" t="s">
        <v>127</v>
      </c>
      <c r="P2" s="315" t="s">
        <v>128</v>
      </c>
      <c r="Q2" s="315" t="s">
        <v>129</v>
      </c>
      <c r="R2" s="315" t="s">
        <v>130</v>
      </c>
      <c r="S2" s="321" t="s">
        <v>131</v>
      </c>
      <c r="T2" s="61" t="s">
        <v>132</v>
      </c>
      <c r="U2" s="15" t="s">
        <v>133</v>
      </c>
      <c r="V2" s="15" t="s">
        <v>134</v>
      </c>
      <c r="W2" s="15" t="s">
        <v>135</v>
      </c>
      <c r="X2" s="15" t="s">
        <v>136</v>
      </c>
    </row>
    <row r="3" spans="1:25" ht="16.5" thickTop="1" x14ac:dyDescent="0.25">
      <c r="A3" s="62"/>
      <c r="B3" s="281" t="s">
        <v>137</v>
      </c>
      <c r="C3" s="282"/>
      <c r="D3" s="283"/>
      <c r="E3" s="283"/>
      <c r="F3" s="284"/>
      <c r="G3" s="282"/>
      <c r="H3" s="282"/>
      <c r="I3" s="282"/>
      <c r="J3" s="285"/>
      <c r="K3" s="285"/>
      <c r="L3" s="286"/>
      <c r="M3" s="63" t="s">
        <v>138</v>
      </c>
      <c r="N3" s="64">
        <v>661.5</v>
      </c>
      <c r="O3" s="64">
        <v>1000</v>
      </c>
      <c r="P3" s="64">
        <v>662.3</v>
      </c>
      <c r="Q3" s="65">
        <f t="shared" ref="Q3:R5" si="0">U3+W3</f>
        <v>924</v>
      </c>
      <c r="R3" s="65">
        <f t="shared" si="0"/>
        <v>72</v>
      </c>
      <c r="S3" s="66">
        <f t="shared" ref="S3:S167" si="1">(P3-N3)*O3-R3-Q3</f>
        <v>-196.00000000004547</v>
      </c>
      <c r="T3" s="67">
        <v>42836</v>
      </c>
      <c r="U3" s="15">
        <v>462</v>
      </c>
      <c r="V3" s="15">
        <v>36</v>
      </c>
      <c r="W3" s="15">
        <v>462</v>
      </c>
      <c r="X3" s="15">
        <v>36</v>
      </c>
      <c r="Y3" s="23"/>
    </row>
    <row r="4" spans="1:25" x14ac:dyDescent="0.25">
      <c r="A4" s="62"/>
      <c r="B4" s="287" t="s">
        <v>139</v>
      </c>
      <c r="C4" s="288"/>
      <c r="D4" s="289"/>
      <c r="E4" s="289"/>
      <c r="F4" s="290"/>
      <c r="G4" s="288"/>
      <c r="H4" s="288"/>
      <c r="I4" s="288"/>
      <c r="J4" s="291"/>
      <c r="K4" s="291"/>
      <c r="L4" s="292"/>
      <c r="M4" s="68" t="s">
        <v>138</v>
      </c>
      <c r="N4" s="69">
        <v>2945</v>
      </c>
      <c r="O4" s="69">
        <v>200</v>
      </c>
      <c r="P4" s="69">
        <v>2949.5</v>
      </c>
      <c r="Q4" s="70">
        <f t="shared" si="0"/>
        <v>974</v>
      </c>
      <c r="R4" s="70">
        <f t="shared" si="0"/>
        <v>76</v>
      </c>
      <c r="S4" s="71">
        <f t="shared" si="1"/>
        <v>-150</v>
      </c>
      <c r="T4" s="67">
        <v>42851</v>
      </c>
      <c r="U4" s="15">
        <v>487</v>
      </c>
      <c r="V4" s="15">
        <v>38</v>
      </c>
      <c r="W4" s="15">
        <v>487</v>
      </c>
      <c r="X4" s="15">
        <v>38</v>
      </c>
      <c r="Y4" s="23"/>
    </row>
    <row r="5" spans="1:25" x14ac:dyDescent="0.25">
      <c r="A5" s="62"/>
      <c r="B5" s="287" t="s">
        <v>140</v>
      </c>
      <c r="C5" s="288"/>
      <c r="D5" s="289"/>
      <c r="E5" s="289"/>
      <c r="F5" s="290"/>
      <c r="G5" s="288"/>
      <c r="H5" s="288"/>
      <c r="I5" s="288"/>
      <c r="J5" s="291"/>
      <c r="K5" s="291"/>
      <c r="L5" s="292"/>
      <c r="M5" s="72" t="s">
        <v>141</v>
      </c>
      <c r="N5" s="73">
        <v>1664</v>
      </c>
      <c r="O5" s="73">
        <v>200</v>
      </c>
      <c r="P5" s="73">
        <v>1673</v>
      </c>
      <c r="Q5" s="74">
        <f t="shared" si="0"/>
        <v>700</v>
      </c>
      <c r="R5" s="74">
        <f t="shared" si="0"/>
        <v>56</v>
      </c>
      <c r="S5" s="75">
        <f t="shared" si="1"/>
        <v>1044</v>
      </c>
      <c r="T5" s="67">
        <v>42864</v>
      </c>
      <c r="U5" s="15">
        <v>350</v>
      </c>
      <c r="V5" s="15">
        <v>28</v>
      </c>
      <c r="W5" s="15">
        <v>350</v>
      </c>
      <c r="X5" s="15">
        <v>28</v>
      </c>
      <c r="Y5" s="23"/>
    </row>
    <row r="6" spans="1:25" x14ac:dyDescent="0.25">
      <c r="A6" s="62"/>
      <c r="B6" s="293" t="s">
        <v>142</v>
      </c>
      <c r="C6" s="294"/>
      <c r="D6" s="295"/>
      <c r="E6" s="295"/>
      <c r="F6" s="296"/>
      <c r="G6" s="294"/>
      <c r="H6" s="294"/>
      <c r="I6" s="294"/>
      <c r="J6" s="297"/>
      <c r="K6" s="297"/>
      <c r="L6" s="298"/>
      <c r="M6" s="68" t="s">
        <v>138</v>
      </c>
      <c r="N6" s="76">
        <v>4560</v>
      </c>
      <c r="O6" s="76">
        <v>100</v>
      </c>
      <c r="P6" s="76">
        <v>4580</v>
      </c>
      <c r="Q6" s="77">
        <v>544</v>
      </c>
      <c r="R6" s="77">
        <v>42</v>
      </c>
      <c r="S6" s="78">
        <v>1414</v>
      </c>
      <c r="T6" s="67">
        <v>42865</v>
      </c>
      <c r="U6" s="15">
        <v>272</v>
      </c>
      <c r="V6" s="15">
        <v>21</v>
      </c>
      <c r="W6" s="15">
        <v>272</v>
      </c>
      <c r="X6" s="15">
        <v>21</v>
      </c>
      <c r="Y6" s="23"/>
    </row>
    <row r="7" spans="1:25" x14ac:dyDescent="0.25">
      <c r="A7" s="62"/>
      <c r="B7" s="287"/>
      <c r="C7" s="288"/>
      <c r="D7" s="289"/>
      <c r="E7" s="289"/>
      <c r="F7" s="290"/>
      <c r="G7" s="288"/>
      <c r="H7" s="288"/>
      <c r="I7" s="288"/>
      <c r="J7" s="291"/>
      <c r="K7" s="291"/>
      <c r="L7" s="292"/>
      <c r="M7" s="68" t="s">
        <v>138</v>
      </c>
      <c r="N7" s="69">
        <v>4650</v>
      </c>
      <c r="O7" s="69">
        <v>100</v>
      </c>
      <c r="P7" s="69">
        <v>4620</v>
      </c>
      <c r="Q7" s="70">
        <f t="shared" ref="Q7:R14" si="2">U7+W7</f>
        <v>544</v>
      </c>
      <c r="R7" s="70">
        <f t="shared" si="2"/>
        <v>42</v>
      </c>
      <c r="S7" s="71">
        <f t="shared" ref="S7:S14" si="3">(P7-N7)*O7-R7-Q7</f>
        <v>-3586</v>
      </c>
      <c r="T7" s="67">
        <v>42866</v>
      </c>
      <c r="U7" s="15">
        <v>272</v>
      </c>
      <c r="V7" s="15">
        <v>21</v>
      </c>
      <c r="W7" s="15">
        <v>272</v>
      </c>
      <c r="X7" s="15">
        <v>21</v>
      </c>
      <c r="Y7" s="23"/>
    </row>
    <row r="8" spans="1:25" x14ac:dyDescent="0.25">
      <c r="A8" s="62"/>
      <c r="B8" s="287"/>
      <c r="C8" s="288"/>
      <c r="D8" s="289"/>
      <c r="E8" s="289"/>
      <c r="F8" s="290"/>
      <c r="G8" s="288"/>
      <c r="H8" s="288"/>
      <c r="I8" s="288"/>
      <c r="J8" s="291"/>
      <c r="K8" s="291"/>
      <c r="L8" s="292"/>
      <c r="M8" s="68" t="s">
        <v>138</v>
      </c>
      <c r="N8" s="73">
        <v>4520</v>
      </c>
      <c r="O8" s="73">
        <v>100</v>
      </c>
      <c r="P8" s="73">
        <v>4555</v>
      </c>
      <c r="Q8" s="74">
        <f t="shared" si="2"/>
        <v>531</v>
      </c>
      <c r="R8" s="74">
        <f t="shared" si="2"/>
        <v>41</v>
      </c>
      <c r="S8" s="75">
        <f t="shared" si="3"/>
        <v>2928</v>
      </c>
      <c r="T8" s="67">
        <v>42873</v>
      </c>
      <c r="U8" s="15">
        <v>272</v>
      </c>
      <c r="V8" s="15">
        <v>21</v>
      </c>
      <c r="W8" s="15">
        <v>259</v>
      </c>
      <c r="X8" s="15">
        <v>20</v>
      </c>
      <c r="Y8" s="23"/>
    </row>
    <row r="9" spans="1:25" x14ac:dyDescent="0.25">
      <c r="A9" s="62"/>
      <c r="B9" s="287" t="s">
        <v>143</v>
      </c>
      <c r="C9" s="288"/>
      <c r="D9" s="289"/>
      <c r="E9" s="289"/>
      <c r="F9" s="290"/>
      <c r="G9" s="288"/>
      <c r="H9" s="288"/>
      <c r="I9" s="288"/>
      <c r="J9" s="291"/>
      <c r="K9" s="291"/>
      <c r="L9" s="292"/>
      <c r="M9" s="68" t="s">
        <v>138</v>
      </c>
      <c r="N9" s="73">
        <v>2955</v>
      </c>
      <c r="O9" s="73">
        <v>200</v>
      </c>
      <c r="P9" s="73">
        <v>3005</v>
      </c>
      <c r="Q9" s="74">
        <f t="shared" si="2"/>
        <v>974</v>
      </c>
      <c r="R9" s="74">
        <f t="shared" si="2"/>
        <v>76</v>
      </c>
      <c r="S9" s="75">
        <f t="shared" si="3"/>
        <v>8950</v>
      </c>
      <c r="T9" s="67">
        <v>42866</v>
      </c>
      <c r="U9" s="15">
        <v>487</v>
      </c>
      <c r="V9" s="15">
        <v>38</v>
      </c>
      <c r="W9" s="15">
        <v>487</v>
      </c>
      <c r="X9" s="15">
        <v>38</v>
      </c>
      <c r="Y9" s="23"/>
    </row>
    <row r="10" spans="1:25" x14ac:dyDescent="0.25">
      <c r="A10" s="62"/>
      <c r="B10" s="287" t="s">
        <v>144</v>
      </c>
      <c r="C10" s="288"/>
      <c r="D10" s="289"/>
      <c r="E10" s="289"/>
      <c r="F10" s="290"/>
      <c r="G10" s="288"/>
      <c r="H10" s="288"/>
      <c r="I10" s="288"/>
      <c r="J10" s="291"/>
      <c r="K10" s="291"/>
      <c r="L10" s="292"/>
      <c r="M10" s="68" t="s">
        <v>138</v>
      </c>
      <c r="N10" s="69">
        <v>5860</v>
      </c>
      <c r="O10" s="69">
        <v>100</v>
      </c>
      <c r="P10" s="69">
        <v>5860</v>
      </c>
      <c r="Q10" s="70">
        <f t="shared" si="2"/>
        <v>974</v>
      </c>
      <c r="R10" s="70">
        <f t="shared" si="2"/>
        <v>76</v>
      </c>
      <c r="S10" s="71">
        <f t="shared" si="3"/>
        <v>-1050</v>
      </c>
      <c r="T10" s="67">
        <v>42867</v>
      </c>
      <c r="U10" s="15">
        <v>487</v>
      </c>
      <c r="V10" s="15">
        <v>38</v>
      </c>
      <c r="W10" s="15">
        <v>487</v>
      </c>
      <c r="X10" s="15">
        <v>38</v>
      </c>
      <c r="Y10" s="23"/>
    </row>
    <row r="11" spans="1:25" x14ac:dyDescent="0.25">
      <c r="A11" s="62"/>
      <c r="B11" s="293"/>
      <c r="C11" s="294"/>
      <c r="D11" s="295"/>
      <c r="E11" s="295"/>
      <c r="F11" s="296"/>
      <c r="G11" s="294"/>
      <c r="H11" s="294"/>
      <c r="I11" s="294"/>
      <c r="J11" s="297"/>
      <c r="K11" s="297"/>
      <c r="L11" s="298"/>
      <c r="M11" s="68" t="s">
        <v>138</v>
      </c>
      <c r="N11" s="73">
        <v>6110</v>
      </c>
      <c r="O11" s="73">
        <v>100</v>
      </c>
      <c r="P11" s="73">
        <v>6130</v>
      </c>
      <c r="Q11" s="74">
        <f t="shared" si="2"/>
        <v>974</v>
      </c>
      <c r="R11" s="74">
        <f t="shared" si="2"/>
        <v>76</v>
      </c>
      <c r="S11" s="75">
        <f t="shared" si="3"/>
        <v>950</v>
      </c>
      <c r="T11" s="79">
        <v>42871</v>
      </c>
      <c r="U11" s="80">
        <v>487</v>
      </c>
      <c r="V11" s="80">
        <v>38</v>
      </c>
      <c r="W11" s="80">
        <v>487</v>
      </c>
      <c r="X11" s="80">
        <v>38</v>
      </c>
      <c r="Y11" s="23"/>
    </row>
    <row r="12" spans="1:25" x14ac:dyDescent="0.25">
      <c r="A12" s="62"/>
      <c r="B12" s="287"/>
      <c r="C12" s="288"/>
      <c r="D12" s="289"/>
      <c r="E12" s="289"/>
      <c r="F12" s="290"/>
      <c r="G12" s="288"/>
      <c r="H12" s="288"/>
      <c r="I12" s="288"/>
      <c r="J12" s="291"/>
      <c r="K12" s="291"/>
      <c r="L12" s="292"/>
      <c r="M12" s="68" t="s">
        <v>138</v>
      </c>
      <c r="N12" s="73">
        <v>6030</v>
      </c>
      <c r="O12" s="73">
        <v>100</v>
      </c>
      <c r="P12" s="73">
        <v>6060</v>
      </c>
      <c r="Q12" s="74">
        <f t="shared" si="2"/>
        <v>974</v>
      </c>
      <c r="R12" s="74">
        <f t="shared" si="2"/>
        <v>76</v>
      </c>
      <c r="S12" s="75">
        <f t="shared" si="3"/>
        <v>1950</v>
      </c>
      <c r="T12" s="81">
        <v>42872</v>
      </c>
      <c r="U12" s="82">
        <v>487</v>
      </c>
      <c r="V12" s="82">
        <v>38</v>
      </c>
      <c r="W12" s="82">
        <v>487</v>
      </c>
      <c r="X12" s="82">
        <v>38</v>
      </c>
      <c r="Y12" s="23"/>
    </row>
    <row r="13" spans="1:25" x14ac:dyDescent="0.25">
      <c r="A13" s="62"/>
      <c r="B13" s="287"/>
      <c r="C13" s="288"/>
      <c r="D13" s="289"/>
      <c r="E13" s="289"/>
      <c r="F13" s="290"/>
      <c r="G13" s="288"/>
      <c r="H13" s="288"/>
      <c r="I13" s="288"/>
      <c r="J13" s="291"/>
      <c r="K13" s="291"/>
      <c r="L13" s="292"/>
      <c r="M13" s="68" t="s">
        <v>138</v>
      </c>
      <c r="N13" s="73">
        <v>6240</v>
      </c>
      <c r="O13" s="73">
        <v>100</v>
      </c>
      <c r="P13" s="73">
        <v>6260</v>
      </c>
      <c r="Q13" s="74">
        <f t="shared" ref="Q13" si="4">U13+W13</f>
        <v>974</v>
      </c>
      <c r="R13" s="74">
        <f t="shared" ref="R13" si="5">V13+X13</f>
        <v>76</v>
      </c>
      <c r="S13" s="75">
        <f t="shared" ref="S13" si="6">(P13-N13)*O13-R13-Q13</f>
        <v>950</v>
      </c>
      <c r="T13" s="81">
        <v>42877</v>
      </c>
      <c r="U13" s="82">
        <v>487</v>
      </c>
      <c r="V13" s="82">
        <v>38</v>
      </c>
      <c r="W13" s="82">
        <v>487</v>
      </c>
      <c r="X13" s="82">
        <v>38</v>
      </c>
      <c r="Y13" s="23"/>
    </row>
    <row r="14" spans="1:25" x14ac:dyDescent="0.25">
      <c r="A14" s="62"/>
      <c r="B14" s="287" t="s">
        <v>145</v>
      </c>
      <c r="C14" s="288"/>
      <c r="D14" s="289"/>
      <c r="E14" s="289"/>
      <c r="F14" s="290"/>
      <c r="G14" s="288"/>
      <c r="H14" s="288"/>
      <c r="I14" s="288"/>
      <c r="J14" s="291"/>
      <c r="K14" s="291"/>
      <c r="L14" s="292"/>
      <c r="M14" s="68" t="s">
        <v>138</v>
      </c>
      <c r="N14" s="73">
        <v>1065</v>
      </c>
      <c r="O14" s="73">
        <v>500</v>
      </c>
      <c r="P14" s="73">
        <v>1105</v>
      </c>
      <c r="Q14" s="74">
        <f t="shared" si="2"/>
        <v>974</v>
      </c>
      <c r="R14" s="74">
        <f t="shared" si="2"/>
        <v>76</v>
      </c>
      <c r="S14" s="75">
        <f t="shared" si="3"/>
        <v>18950</v>
      </c>
      <c r="T14" s="81">
        <v>42873</v>
      </c>
      <c r="U14" s="82">
        <v>487</v>
      </c>
      <c r="V14" s="82">
        <v>38</v>
      </c>
      <c r="W14" s="82">
        <v>487</v>
      </c>
      <c r="X14" s="82">
        <v>38</v>
      </c>
      <c r="Y14" s="23"/>
    </row>
    <row r="15" spans="1:25" x14ac:dyDescent="0.25">
      <c r="A15" s="62"/>
      <c r="B15" s="293"/>
      <c r="C15" s="294"/>
      <c r="D15" s="295"/>
      <c r="E15" s="295"/>
      <c r="F15" s="296"/>
      <c r="G15" s="294"/>
      <c r="H15" s="294"/>
      <c r="I15" s="294"/>
      <c r="J15" s="297"/>
      <c r="K15" s="297"/>
      <c r="L15" s="298"/>
      <c r="M15" s="335" t="s">
        <v>138</v>
      </c>
      <c r="N15" s="76">
        <v>1155</v>
      </c>
      <c r="O15" s="76">
        <v>600</v>
      </c>
      <c r="P15" s="76">
        <v>1161</v>
      </c>
      <c r="Q15" s="77">
        <f t="shared" ref="Q15" si="7">U15+W15</f>
        <v>974</v>
      </c>
      <c r="R15" s="77">
        <f t="shared" ref="R15" si="8">V15+X15</f>
        <v>76</v>
      </c>
      <c r="S15" s="78">
        <f t="shared" ref="S15" si="9">(P15-N15)*O15-R15-Q15</f>
        <v>2550</v>
      </c>
      <c r="T15" s="332">
        <v>42877</v>
      </c>
      <c r="U15" s="82">
        <v>487</v>
      </c>
      <c r="V15" s="82">
        <v>38</v>
      </c>
      <c r="W15" s="82">
        <v>487</v>
      </c>
      <c r="X15" s="82">
        <v>38</v>
      </c>
      <c r="Y15" s="23"/>
    </row>
    <row r="16" spans="1:25" x14ac:dyDescent="0.25">
      <c r="A16" s="62"/>
      <c r="B16" s="293"/>
      <c r="C16" s="294"/>
      <c r="D16" s="295"/>
      <c r="E16" s="295"/>
      <c r="F16" s="296"/>
      <c r="G16" s="294"/>
      <c r="H16" s="294"/>
      <c r="I16" s="294"/>
      <c r="J16" s="297"/>
      <c r="K16" s="297"/>
      <c r="L16" s="298"/>
      <c r="M16" s="335" t="s">
        <v>138</v>
      </c>
      <c r="N16" s="76">
        <v>1197</v>
      </c>
      <c r="O16" s="76">
        <v>400</v>
      </c>
      <c r="P16" s="76">
        <v>1210</v>
      </c>
      <c r="Q16" s="77">
        <f t="shared" ref="Q16" si="10">U16+W16</f>
        <v>544</v>
      </c>
      <c r="R16" s="77">
        <f t="shared" ref="R16" si="11">V16+X16</f>
        <v>42</v>
      </c>
      <c r="S16" s="78">
        <f t="shared" ref="S16" si="12">(P16-N16)*O16-R16-Q16</f>
        <v>4614</v>
      </c>
      <c r="T16" s="332">
        <v>42878</v>
      </c>
      <c r="U16" s="82">
        <v>272</v>
      </c>
      <c r="V16" s="82">
        <v>21</v>
      </c>
      <c r="W16" s="82">
        <v>272</v>
      </c>
      <c r="X16" s="82">
        <v>21</v>
      </c>
      <c r="Y16" s="23"/>
    </row>
    <row r="17" spans="1:25" x14ac:dyDescent="0.25">
      <c r="A17" s="62"/>
      <c r="B17" s="293"/>
      <c r="C17" s="294"/>
      <c r="D17" s="295"/>
      <c r="E17" s="295"/>
      <c r="F17" s="296"/>
      <c r="G17" s="294"/>
      <c r="H17" s="294"/>
      <c r="I17" s="294"/>
      <c r="J17" s="297"/>
      <c r="K17" s="297"/>
      <c r="L17" s="298"/>
      <c r="M17" s="335" t="s">
        <v>138</v>
      </c>
      <c r="N17" s="76">
        <v>1213</v>
      </c>
      <c r="O17" s="76">
        <v>300</v>
      </c>
      <c r="P17" s="76">
        <v>1229</v>
      </c>
      <c r="Q17" s="77">
        <f t="shared" ref="Q17" si="13">U17+W17</f>
        <v>544</v>
      </c>
      <c r="R17" s="77">
        <f t="shared" ref="R17" si="14">V17+X17</f>
        <v>42</v>
      </c>
      <c r="S17" s="78">
        <f t="shared" ref="S17" si="15">(P17-N17)*O17-R17-Q17</f>
        <v>4214</v>
      </c>
      <c r="T17" s="332">
        <v>42879</v>
      </c>
      <c r="U17" s="82">
        <v>272</v>
      </c>
      <c r="V17" s="82">
        <v>21</v>
      </c>
      <c r="W17" s="82">
        <v>272</v>
      </c>
      <c r="X17" s="82">
        <v>21</v>
      </c>
      <c r="Y17" s="23"/>
    </row>
    <row r="18" spans="1:25" x14ac:dyDescent="0.25">
      <c r="A18" s="62"/>
      <c r="B18" s="293"/>
      <c r="C18" s="294"/>
      <c r="D18" s="295"/>
      <c r="E18" s="295"/>
      <c r="F18" s="296"/>
      <c r="G18" s="294"/>
      <c r="H18" s="294"/>
      <c r="I18" s="294"/>
      <c r="J18" s="297"/>
      <c r="K18" s="297"/>
      <c r="L18" s="298"/>
      <c r="M18" s="335" t="s">
        <v>138</v>
      </c>
      <c r="N18" s="76">
        <v>1205</v>
      </c>
      <c r="O18" s="76">
        <v>700</v>
      </c>
      <c r="P18" s="76">
        <v>1214</v>
      </c>
      <c r="Q18" s="77">
        <f t="shared" ref="Q18" si="16">U18+W18</f>
        <v>974</v>
      </c>
      <c r="R18" s="77">
        <f t="shared" ref="R18" si="17">V18+X18</f>
        <v>76</v>
      </c>
      <c r="S18" s="78">
        <f t="shared" ref="S18" si="18">(P18-N18)*O18-R18-Q18</f>
        <v>5250</v>
      </c>
      <c r="T18" s="332">
        <v>42880</v>
      </c>
      <c r="U18" s="82">
        <v>487</v>
      </c>
      <c r="V18" s="82">
        <v>38</v>
      </c>
      <c r="W18" s="82">
        <v>487</v>
      </c>
      <c r="X18" s="82">
        <v>38</v>
      </c>
      <c r="Y18" s="23"/>
    </row>
    <row r="19" spans="1:25" x14ac:dyDescent="0.25">
      <c r="A19" s="62"/>
      <c r="B19" s="293"/>
      <c r="C19" s="294"/>
      <c r="D19" s="295"/>
      <c r="E19" s="295"/>
      <c r="F19" s="296"/>
      <c r="G19" s="294"/>
      <c r="H19" s="294"/>
      <c r="I19" s="294"/>
      <c r="J19" s="297"/>
      <c r="K19" s="297"/>
      <c r="L19" s="298"/>
      <c r="M19" s="335" t="s">
        <v>138</v>
      </c>
      <c r="N19" s="76">
        <v>1302</v>
      </c>
      <c r="O19" s="76">
        <v>300</v>
      </c>
      <c r="P19" s="76">
        <v>1324</v>
      </c>
      <c r="Q19" s="77">
        <f t="shared" ref="Q19" si="19">U19+W19</f>
        <v>544</v>
      </c>
      <c r="R19" s="77">
        <f t="shared" ref="R19" si="20">V19+X19</f>
        <v>42</v>
      </c>
      <c r="S19" s="78">
        <f t="shared" ref="S19" si="21">(P19-N19)*O19-R19-Q19</f>
        <v>6014</v>
      </c>
      <c r="T19" s="332">
        <v>42885</v>
      </c>
      <c r="U19" s="82">
        <v>272</v>
      </c>
      <c r="V19" s="82">
        <v>21</v>
      </c>
      <c r="W19" s="82">
        <v>272</v>
      </c>
      <c r="X19" s="82">
        <v>21</v>
      </c>
      <c r="Y19" s="23"/>
    </row>
    <row r="20" spans="1:25" x14ac:dyDescent="0.25">
      <c r="A20" s="62"/>
      <c r="B20" s="293"/>
      <c r="C20" s="294"/>
      <c r="D20" s="295"/>
      <c r="E20" s="295"/>
      <c r="F20" s="296"/>
      <c r="G20" s="294"/>
      <c r="H20" s="294"/>
      <c r="I20" s="294"/>
      <c r="J20" s="297"/>
      <c r="K20" s="297"/>
      <c r="L20" s="298"/>
      <c r="M20" s="335" t="s">
        <v>138</v>
      </c>
      <c r="N20" s="76">
        <v>1361</v>
      </c>
      <c r="O20" s="76">
        <v>400</v>
      </c>
      <c r="P20" s="76">
        <v>1372</v>
      </c>
      <c r="Q20" s="77">
        <f t="shared" ref="Q20" si="22">U20+W20</f>
        <v>974</v>
      </c>
      <c r="R20" s="77">
        <f t="shared" ref="R20" si="23">V20+X20</f>
        <v>76</v>
      </c>
      <c r="S20" s="78">
        <f t="shared" ref="S20" si="24">(P20-N20)*O20-R20-Q20</f>
        <v>3350</v>
      </c>
      <c r="T20" s="332">
        <v>42898</v>
      </c>
      <c r="U20" s="82">
        <v>487</v>
      </c>
      <c r="V20" s="82">
        <v>38</v>
      </c>
      <c r="W20" s="82">
        <v>487</v>
      </c>
      <c r="X20" s="82">
        <v>38</v>
      </c>
      <c r="Y20" s="23"/>
    </row>
    <row r="21" spans="1:25" x14ac:dyDescent="0.25">
      <c r="A21" s="62"/>
      <c r="B21" s="293"/>
      <c r="C21" s="294"/>
      <c r="D21" s="295"/>
      <c r="E21" s="295"/>
      <c r="F21" s="296"/>
      <c r="G21" s="294"/>
      <c r="H21" s="294"/>
      <c r="I21" s="294"/>
      <c r="J21" s="297"/>
      <c r="K21" s="297"/>
      <c r="L21" s="298"/>
      <c r="M21" s="335" t="s">
        <v>138</v>
      </c>
      <c r="N21" s="76">
        <v>1361</v>
      </c>
      <c r="O21" s="76">
        <v>200</v>
      </c>
      <c r="P21" s="76">
        <v>1372</v>
      </c>
      <c r="Q21" s="77">
        <f t="shared" ref="Q21" si="25">U21+W21</f>
        <v>272</v>
      </c>
      <c r="R21" s="77">
        <f t="shared" ref="R21" si="26">V21+X21</f>
        <v>21</v>
      </c>
      <c r="S21" s="78">
        <f t="shared" ref="S21" si="27">(P21-N21)*O21-R21-Q21</f>
        <v>1907</v>
      </c>
      <c r="T21" s="332">
        <v>42898</v>
      </c>
      <c r="U21" s="82">
        <v>0</v>
      </c>
      <c r="V21" s="82">
        <v>0</v>
      </c>
      <c r="W21" s="82">
        <v>272</v>
      </c>
      <c r="X21" s="82">
        <v>21</v>
      </c>
      <c r="Y21" s="23"/>
    </row>
    <row r="22" spans="1:25" x14ac:dyDescent="0.25">
      <c r="A22" s="62"/>
      <c r="B22" s="293" t="s">
        <v>454</v>
      </c>
      <c r="C22" s="294"/>
      <c r="D22" s="295"/>
      <c r="E22" s="295"/>
      <c r="F22" s="296"/>
      <c r="G22" s="294"/>
      <c r="H22" s="294"/>
      <c r="I22" s="294"/>
      <c r="J22" s="297"/>
      <c r="K22" s="297"/>
      <c r="L22" s="298"/>
      <c r="M22" s="68" t="s">
        <v>138</v>
      </c>
      <c r="N22" s="336">
        <v>2631</v>
      </c>
      <c r="O22" s="336">
        <v>400</v>
      </c>
      <c r="P22" s="336">
        <v>2571</v>
      </c>
      <c r="Q22" s="70">
        <f t="shared" ref="Q22" si="28">U22+W22</f>
        <v>1135</v>
      </c>
      <c r="R22" s="70">
        <f t="shared" ref="R22" si="29">V22+X22</f>
        <v>90</v>
      </c>
      <c r="S22" s="71">
        <f t="shared" ref="S22:S23" si="30">(P22-N22)*O22-R22-Q22</f>
        <v>-25225</v>
      </c>
      <c r="T22" s="332">
        <v>42878</v>
      </c>
      <c r="U22" s="82">
        <v>582</v>
      </c>
      <c r="V22" s="82">
        <v>46</v>
      </c>
      <c r="W22" s="82">
        <v>553</v>
      </c>
      <c r="X22" s="82">
        <v>44</v>
      </c>
      <c r="Y22" s="23"/>
    </row>
    <row r="23" spans="1:25" x14ac:dyDescent="0.25">
      <c r="A23" s="62"/>
      <c r="B23" s="293"/>
      <c r="C23" s="294"/>
      <c r="D23" s="295"/>
      <c r="E23" s="295"/>
      <c r="F23" s="296"/>
      <c r="G23" s="294"/>
      <c r="H23" s="294"/>
      <c r="I23" s="294"/>
      <c r="J23" s="297"/>
      <c r="K23" s="297"/>
      <c r="L23" s="298"/>
      <c r="M23" s="335" t="s">
        <v>138</v>
      </c>
      <c r="N23" s="76">
        <v>2470</v>
      </c>
      <c r="O23" s="76">
        <v>100</v>
      </c>
      <c r="P23" s="76">
        <v>2503</v>
      </c>
      <c r="Q23" s="77">
        <f t="shared" ref="Q23:Q24" si="31">U23+W23</f>
        <v>544</v>
      </c>
      <c r="R23" s="77">
        <f t="shared" ref="R23:R24" si="32">V23+X23</f>
        <v>42</v>
      </c>
      <c r="S23" s="78">
        <f t="shared" si="30"/>
        <v>2714</v>
      </c>
      <c r="T23" s="332">
        <v>42885</v>
      </c>
      <c r="U23" s="82">
        <v>272</v>
      </c>
      <c r="V23" s="82">
        <v>21</v>
      </c>
      <c r="W23" s="82">
        <v>272</v>
      </c>
      <c r="X23" s="82">
        <v>21</v>
      </c>
      <c r="Y23" s="23"/>
    </row>
    <row r="24" spans="1:25" x14ac:dyDescent="0.25">
      <c r="A24" s="62"/>
      <c r="B24" s="293"/>
      <c r="C24" s="294"/>
      <c r="D24" s="295"/>
      <c r="E24" s="295"/>
      <c r="F24" s="296"/>
      <c r="G24" s="294"/>
      <c r="H24" s="294"/>
      <c r="I24" s="294"/>
      <c r="J24" s="297"/>
      <c r="K24" s="297"/>
      <c r="L24" s="298"/>
      <c r="M24" s="335" t="s">
        <v>138</v>
      </c>
      <c r="N24" s="336">
        <v>3070</v>
      </c>
      <c r="O24" s="336">
        <v>100</v>
      </c>
      <c r="P24" s="336">
        <v>3025</v>
      </c>
      <c r="Q24" s="70">
        <f t="shared" si="31"/>
        <v>544</v>
      </c>
      <c r="R24" s="70">
        <f t="shared" si="32"/>
        <v>42</v>
      </c>
      <c r="S24" s="71">
        <f t="shared" ref="S24" si="33">(P24-N24)*O24-R24-Q24</f>
        <v>-5086</v>
      </c>
      <c r="T24" s="332">
        <v>42888</v>
      </c>
      <c r="U24" s="82">
        <v>272</v>
      </c>
      <c r="V24" s="82">
        <v>21</v>
      </c>
      <c r="W24" s="82">
        <v>272</v>
      </c>
      <c r="X24" s="82">
        <v>21</v>
      </c>
      <c r="Y24" s="23"/>
    </row>
    <row r="25" spans="1:25" x14ac:dyDescent="0.25">
      <c r="A25" s="62"/>
      <c r="B25" s="293"/>
      <c r="C25" s="294"/>
      <c r="D25" s="295"/>
      <c r="E25" s="295"/>
      <c r="F25" s="296"/>
      <c r="G25" s="294"/>
      <c r="H25" s="294"/>
      <c r="I25" s="294"/>
      <c r="J25" s="297"/>
      <c r="K25" s="297"/>
      <c r="L25" s="298"/>
      <c r="M25" s="335" t="s">
        <v>138</v>
      </c>
      <c r="N25" s="336">
        <v>3830</v>
      </c>
      <c r="O25" s="336">
        <v>200</v>
      </c>
      <c r="P25" s="336">
        <v>3835</v>
      </c>
      <c r="Q25" s="70">
        <f t="shared" ref="Q25:Q26" si="34">U25+W25</f>
        <v>974</v>
      </c>
      <c r="R25" s="70">
        <f t="shared" ref="R25:R26" si="35">V25+X25</f>
        <v>76</v>
      </c>
      <c r="S25" s="71">
        <f t="shared" ref="S25:S26" si="36">(P25-N25)*O25-R25-Q25</f>
        <v>-50</v>
      </c>
      <c r="T25" s="332">
        <v>42900</v>
      </c>
      <c r="U25" s="82">
        <v>487</v>
      </c>
      <c r="V25" s="82">
        <v>38</v>
      </c>
      <c r="W25" s="82">
        <v>487</v>
      </c>
      <c r="X25" s="82">
        <v>38</v>
      </c>
      <c r="Y25" s="23"/>
    </row>
    <row r="26" spans="1:25" x14ac:dyDescent="0.25">
      <c r="A26" s="62"/>
      <c r="B26" s="293"/>
      <c r="C26" s="294"/>
      <c r="D26" s="295"/>
      <c r="E26" s="295"/>
      <c r="F26" s="296"/>
      <c r="G26" s="294"/>
      <c r="H26" s="294"/>
      <c r="I26" s="294"/>
      <c r="J26" s="297"/>
      <c r="K26" s="297"/>
      <c r="L26" s="298"/>
      <c r="M26" s="335" t="s">
        <v>138</v>
      </c>
      <c r="N26" s="76">
        <v>4555</v>
      </c>
      <c r="O26" s="76">
        <v>200</v>
      </c>
      <c r="P26" s="76">
        <v>4580</v>
      </c>
      <c r="Q26" s="77">
        <f t="shared" si="34"/>
        <v>1164</v>
      </c>
      <c r="R26" s="77">
        <f t="shared" si="35"/>
        <v>92</v>
      </c>
      <c r="S26" s="78">
        <f t="shared" si="36"/>
        <v>3744</v>
      </c>
      <c r="T26" s="332">
        <v>42906</v>
      </c>
      <c r="U26" s="82">
        <v>582</v>
      </c>
      <c r="V26" s="82">
        <v>46</v>
      </c>
      <c r="W26" s="82">
        <v>582</v>
      </c>
      <c r="X26" s="82">
        <v>46</v>
      </c>
      <c r="Y26" s="23"/>
    </row>
    <row r="27" spans="1:25" x14ac:dyDescent="0.25">
      <c r="A27" s="62"/>
      <c r="B27" s="293"/>
      <c r="C27" s="294"/>
      <c r="D27" s="295"/>
      <c r="E27" s="295"/>
      <c r="F27" s="296"/>
      <c r="G27" s="294"/>
      <c r="H27" s="294"/>
      <c r="I27" s="294"/>
      <c r="J27" s="297"/>
      <c r="K27" s="297"/>
      <c r="L27" s="298"/>
      <c r="M27" s="335" t="s">
        <v>138</v>
      </c>
      <c r="N27" s="76">
        <v>5570</v>
      </c>
      <c r="O27" s="76">
        <v>200</v>
      </c>
      <c r="P27" s="76">
        <v>5710</v>
      </c>
      <c r="Q27" s="77">
        <f t="shared" ref="Q27" si="37">U27+W27</f>
        <v>1164</v>
      </c>
      <c r="R27" s="77">
        <f t="shared" ref="R27" si="38">V27+X27</f>
        <v>92</v>
      </c>
      <c r="S27" s="78">
        <f t="shared" ref="S27" si="39">(P27-N27)*O27-R27-Q27</f>
        <v>26744</v>
      </c>
      <c r="T27" s="332">
        <v>42915</v>
      </c>
      <c r="U27" s="82">
        <v>582</v>
      </c>
      <c r="V27" s="82">
        <v>46</v>
      </c>
      <c r="W27" s="82">
        <v>582</v>
      </c>
      <c r="X27" s="82">
        <v>46</v>
      </c>
      <c r="Y27" s="23"/>
    </row>
    <row r="28" spans="1:25" x14ac:dyDescent="0.25">
      <c r="A28" s="62"/>
      <c r="B28" s="287" t="s">
        <v>466</v>
      </c>
      <c r="C28" s="288"/>
      <c r="D28" s="289"/>
      <c r="E28" s="289"/>
      <c r="F28" s="290"/>
      <c r="G28" s="288"/>
      <c r="H28" s="288"/>
      <c r="I28" s="288"/>
      <c r="J28" s="291"/>
      <c r="K28" s="291"/>
      <c r="L28" s="292"/>
      <c r="M28" s="68" t="s">
        <v>138</v>
      </c>
      <c r="N28" s="73">
        <v>2319</v>
      </c>
      <c r="O28" s="73">
        <v>100</v>
      </c>
      <c r="P28" s="73">
        <v>2345</v>
      </c>
      <c r="Q28" s="74">
        <f t="shared" ref="Q28:Q29" si="40">U28+W28</f>
        <v>544</v>
      </c>
      <c r="R28" s="74">
        <f t="shared" ref="R28:R29" si="41">V28+X28</f>
        <v>42</v>
      </c>
      <c r="S28" s="75">
        <f t="shared" ref="S28:S29" si="42">(P28-N28)*O28-R28-Q28</f>
        <v>2014</v>
      </c>
      <c r="T28" s="332">
        <v>42885</v>
      </c>
      <c r="U28" s="82">
        <v>272</v>
      </c>
      <c r="V28" s="82">
        <v>21</v>
      </c>
      <c r="W28" s="82">
        <v>272</v>
      </c>
      <c r="X28" s="82">
        <v>21</v>
      </c>
      <c r="Y28" s="23"/>
    </row>
    <row r="29" spans="1:25" x14ac:dyDescent="0.25">
      <c r="A29" s="62"/>
      <c r="B29" s="287"/>
      <c r="C29" s="288"/>
      <c r="D29" s="289"/>
      <c r="E29" s="289"/>
      <c r="F29" s="290"/>
      <c r="G29" s="288"/>
      <c r="H29" s="288"/>
      <c r="I29" s="288"/>
      <c r="J29" s="291"/>
      <c r="K29" s="291"/>
      <c r="L29" s="292"/>
      <c r="M29" s="68" t="s">
        <v>138</v>
      </c>
      <c r="N29" s="69">
        <v>2428</v>
      </c>
      <c r="O29" s="69">
        <v>100</v>
      </c>
      <c r="P29" s="69">
        <v>2426</v>
      </c>
      <c r="Q29" s="70">
        <f t="shared" si="40"/>
        <v>544</v>
      </c>
      <c r="R29" s="70">
        <f t="shared" si="41"/>
        <v>42</v>
      </c>
      <c r="S29" s="71">
        <f t="shared" si="42"/>
        <v>-786</v>
      </c>
      <c r="T29" s="332">
        <v>42887</v>
      </c>
      <c r="U29" s="82">
        <v>272</v>
      </c>
      <c r="V29" s="82">
        <v>21</v>
      </c>
      <c r="W29" s="82">
        <v>272</v>
      </c>
      <c r="X29" s="82">
        <v>21</v>
      </c>
      <c r="Y29" s="23"/>
    </row>
    <row r="30" spans="1:25" x14ac:dyDescent="0.25">
      <c r="A30" s="62"/>
      <c r="B30" s="287" t="s">
        <v>469</v>
      </c>
      <c r="C30" s="288"/>
      <c r="D30" s="289"/>
      <c r="E30" s="289"/>
      <c r="F30" s="290"/>
      <c r="G30" s="288"/>
      <c r="H30" s="288"/>
      <c r="I30" s="288"/>
      <c r="J30" s="291"/>
      <c r="K30" s="291"/>
      <c r="L30" s="292"/>
      <c r="M30" s="68" t="s">
        <v>138</v>
      </c>
      <c r="N30" s="69">
        <v>759</v>
      </c>
      <c r="O30" s="69">
        <v>600</v>
      </c>
      <c r="P30" s="69">
        <v>743</v>
      </c>
      <c r="Q30" s="70">
        <f t="shared" ref="Q30" si="43">U30+W30</f>
        <v>544</v>
      </c>
      <c r="R30" s="70">
        <f t="shared" ref="R30" si="44">V30+X30</f>
        <v>42</v>
      </c>
      <c r="S30" s="71">
        <f t="shared" ref="S30" si="45">(P30-N30)*O30-R30-Q30</f>
        <v>-10186</v>
      </c>
      <c r="T30" s="332">
        <v>42886</v>
      </c>
      <c r="U30" s="82">
        <v>272</v>
      </c>
      <c r="V30" s="82">
        <v>21</v>
      </c>
      <c r="W30" s="82">
        <v>272</v>
      </c>
      <c r="X30" s="82">
        <v>21</v>
      </c>
      <c r="Y30" s="23"/>
    </row>
    <row r="31" spans="1:25" x14ac:dyDescent="0.25">
      <c r="A31" s="62"/>
      <c r="B31" s="293"/>
      <c r="C31" s="294"/>
      <c r="D31" s="295"/>
      <c r="E31" s="295"/>
      <c r="F31" s="296"/>
      <c r="G31" s="294"/>
      <c r="H31" s="294"/>
      <c r="I31" s="294"/>
      <c r="J31" s="297"/>
      <c r="K31" s="297"/>
      <c r="L31" s="298"/>
      <c r="M31" s="68" t="s">
        <v>138</v>
      </c>
      <c r="N31" s="76">
        <v>876</v>
      </c>
      <c r="O31" s="76">
        <v>200</v>
      </c>
      <c r="P31" s="76">
        <v>887</v>
      </c>
      <c r="Q31" s="74">
        <f t="shared" ref="Q31:Q32" si="46">U31+W31</f>
        <v>370</v>
      </c>
      <c r="R31" s="74">
        <f t="shared" ref="R31:R32" si="47">V31+X31</f>
        <v>28</v>
      </c>
      <c r="S31" s="75">
        <f t="shared" ref="S31:S32" si="48">(P31-N31)*O31-R31-Q31</f>
        <v>1802</v>
      </c>
      <c r="T31" s="332">
        <v>42887</v>
      </c>
      <c r="U31" s="329">
        <v>185</v>
      </c>
      <c r="V31" s="329">
        <v>14</v>
      </c>
      <c r="W31" s="329">
        <v>185</v>
      </c>
      <c r="X31" s="329">
        <v>14</v>
      </c>
      <c r="Y31" s="23"/>
    </row>
    <row r="32" spans="1:25" x14ac:dyDescent="0.25">
      <c r="A32" s="62"/>
      <c r="B32" s="293"/>
      <c r="C32" s="294"/>
      <c r="D32" s="295"/>
      <c r="E32" s="295"/>
      <c r="F32" s="296"/>
      <c r="G32" s="294"/>
      <c r="H32" s="294"/>
      <c r="I32" s="294"/>
      <c r="J32" s="297"/>
      <c r="K32" s="297"/>
      <c r="L32" s="298"/>
      <c r="M32" s="68" t="s">
        <v>138</v>
      </c>
      <c r="N32" s="76">
        <v>915</v>
      </c>
      <c r="O32" s="76">
        <v>100</v>
      </c>
      <c r="P32" s="76">
        <v>947</v>
      </c>
      <c r="Q32" s="74">
        <f t="shared" si="46"/>
        <v>278</v>
      </c>
      <c r="R32" s="74">
        <f t="shared" si="47"/>
        <v>22</v>
      </c>
      <c r="S32" s="75">
        <f t="shared" si="48"/>
        <v>2900</v>
      </c>
      <c r="T32" s="332">
        <v>42888</v>
      </c>
      <c r="U32" s="329">
        <v>139</v>
      </c>
      <c r="V32" s="329">
        <v>11</v>
      </c>
      <c r="W32" s="329">
        <v>139</v>
      </c>
      <c r="X32" s="329">
        <v>11</v>
      </c>
      <c r="Y32" s="23"/>
    </row>
    <row r="33" spans="1:25" x14ac:dyDescent="0.25">
      <c r="A33" s="62"/>
      <c r="B33" s="293"/>
      <c r="C33" s="294"/>
      <c r="D33" s="295"/>
      <c r="E33" s="295"/>
      <c r="F33" s="296"/>
      <c r="G33" s="294"/>
      <c r="H33" s="294"/>
      <c r="I33" s="294"/>
      <c r="J33" s="297"/>
      <c r="K33" s="297"/>
      <c r="L33" s="298"/>
      <c r="M33" s="335" t="s">
        <v>138</v>
      </c>
      <c r="N33" s="76">
        <v>680</v>
      </c>
      <c r="O33" s="76">
        <v>300</v>
      </c>
      <c r="P33" s="76">
        <v>720</v>
      </c>
      <c r="Q33" s="77">
        <f t="shared" ref="Q33:Q35" si="49">U33+W33</f>
        <v>544</v>
      </c>
      <c r="R33" s="77">
        <f t="shared" ref="R33:R35" si="50">V33+X33</f>
        <v>42</v>
      </c>
      <c r="S33" s="78">
        <f t="shared" ref="S33:S35" si="51">(P33-N33)*O33-R33-Q33</f>
        <v>11414</v>
      </c>
      <c r="T33" s="332">
        <v>42892</v>
      </c>
      <c r="U33" s="82">
        <v>272</v>
      </c>
      <c r="V33" s="82">
        <v>21</v>
      </c>
      <c r="W33" s="82">
        <v>272</v>
      </c>
      <c r="X33" s="82">
        <v>21</v>
      </c>
      <c r="Y33" s="23"/>
    </row>
    <row r="34" spans="1:25" x14ac:dyDescent="0.25">
      <c r="A34" s="62"/>
      <c r="B34" s="293"/>
      <c r="C34" s="294"/>
      <c r="D34" s="295"/>
      <c r="E34" s="295"/>
      <c r="F34" s="296"/>
      <c r="G34" s="294"/>
      <c r="H34" s="294"/>
      <c r="I34" s="294"/>
      <c r="J34" s="297"/>
      <c r="K34" s="297"/>
      <c r="L34" s="298"/>
      <c r="M34" s="335" t="s">
        <v>138</v>
      </c>
      <c r="N34" s="336">
        <v>1633</v>
      </c>
      <c r="O34" s="336">
        <v>300</v>
      </c>
      <c r="P34" s="336">
        <v>1404</v>
      </c>
      <c r="Q34" s="70">
        <f t="shared" si="49"/>
        <v>544</v>
      </c>
      <c r="R34" s="70">
        <f t="shared" si="50"/>
        <v>42</v>
      </c>
      <c r="S34" s="71">
        <f t="shared" si="51"/>
        <v>-69286</v>
      </c>
      <c r="T34" s="332">
        <v>42898</v>
      </c>
      <c r="U34" s="82">
        <v>272</v>
      </c>
      <c r="V34" s="82">
        <v>21</v>
      </c>
      <c r="W34" s="82">
        <v>272</v>
      </c>
      <c r="X34" s="82">
        <v>21</v>
      </c>
      <c r="Y34" s="23"/>
    </row>
    <row r="35" spans="1:25" x14ac:dyDescent="0.25">
      <c r="A35" s="62"/>
      <c r="B35" s="293"/>
      <c r="C35" s="294"/>
      <c r="D35" s="295"/>
      <c r="E35" s="295"/>
      <c r="F35" s="296"/>
      <c r="G35" s="294"/>
      <c r="H35" s="294"/>
      <c r="I35" s="294"/>
      <c r="J35" s="297"/>
      <c r="K35" s="297"/>
      <c r="L35" s="298"/>
      <c r="M35" s="335" t="s">
        <v>489</v>
      </c>
      <c r="N35" s="76">
        <v>1619</v>
      </c>
      <c r="O35" s="76">
        <v>800</v>
      </c>
      <c r="P35" s="76">
        <v>1623</v>
      </c>
      <c r="Q35" s="77">
        <f t="shared" si="49"/>
        <v>1164</v>
      </c>
      <c r="R35" s="77">
        <f t="shared" si="50"/>
        <v>92</v>
      </c>
      <c r="S35" s="78">
        <f t="shared" si="51"/>
        <v>1944</v>
      </c>
      <c r="T35" s="332">
        <v>42906</v>
      </c>
      <c r="U35" s="82">
        <v>582</v>
      </c>
      <c r="V35" s="82">
        <v>46</v>
      </c>
      <c r="W35" s="82">
        <v>582</v>
      </c>
      <c r="X35" s="82">
        <v>46</v>
      </c>
      <c r="Y35" s="23"/>
    </row>
    <row r="36" spans="1:25" x14ac:dyDescent="0.25">
      <c r="A36" s="62"/>
      <c r="B36" s="293"/>
      <c r="C36" s="294"/>
      <c r="D36" s="295"/>
      <c r="E36" s="295"/>
      <c r="F36" s="296"/>
      <c r="G36" s="294"/>
      <c r="H36" s="294"/>
      <c r="I36" s="294"/>
      <c r="J36" s="297"/>
      <c r="K36" s="297"/>
      <c r="L36" s="298"/>
      <c r="M36" s="335" t="s">
        <v>488</v>
      </c>
      <c r="N36" s="76">
        <f>(1610*1+1614.5*7)/8</f>
        <v>1613.9375</v>
      </c>
      <c r="O36" s="76">
        <v>800</v>
      </c>
      <c r="P36" s="76">
        <v>1634</v>
      </c>
      <c r="Q36" s="77">
        <f t="shared" ref="Q36" si="52">U36+W36</f>
        <v>1311</v>
      </c>
      <c r="R36" s="77">
        <f t="shared" ref="R36" si="53">V36+X36</f>
        <v>104</v>
      </c>
      <c r="S36" s="78">
        <f t="shared" ref="S36" si="54">(P36-N36)*O36-R36-Q36</f>
        <v>14635</v>
      </c>
      <c r="T36" s="332">
        <v>42907</v>
      </c>
      <c r="U36" s="82">
        <f>176+553</f>
        <v>729</v>
      </c>
      <c r="V36" s="82">
        <f>14+44</f>
        <v>58</v>
      </c>
      <c r="W36" s="82">
        <v>582</v>
      </c>
      <c r="X36" s="82">
        <v>46</v>
      </c>
      <c r="Y36" s="23"/>
    </row>
    <row r="37" spans="1:25" x14ac:dyDescent="0.25">
      <c r="A37" s="62"/>
      <c r="B37" s="293"/>
      <c r="C37" s="294"/>
      <c r="D37" s="295"/>
      <c r="E37" s="295"/>
      <c r="F37" s="296"/>
      <c r="G37" s="294"/>
      <c r="H37" s="294"/>
      <c r="I37" s="294"/>
      <c r="J37" s="297"/>
      <c r="K37" s="297"/>
      <c r="L37" s="298"/>
      <c r="M37" s="373" t="s">
        <v>51</v>
      </c>
      <c r="N37" s="76">
        <v>1350</v>
      </c>
      <c r="O37" s="76">
        <v>300</v>
      </c>
      <c r="P37" s="76">
        <v>1400</v>
      </c>
      <c r="Q37" s="77">
        <f t="shared" ref="Q37" si="55">U37+W37</f>
        <v>800</v>
      </c>
      <c r="R37" s="77">
        <f t="shared" ref="R37" si="56">V37+X37</f>
        <v>64</v>
      </c>
      <c r="S37" s="78">
        <f t="shared" ref="S37" si="57">(P37-N37)*O37-R37-Q37</f>
        <v>14136</v>
      </c>
      <c r="T37" s="332">
        <v>42909</v>
      </c>
      <c r="U37" s="82">
        <v>400</v>
      </c>
      <c r="V37" s="82">
        <v>32</v>
      </c>
      <c r="W37" s="82">
        <v>400</v>
      </c>
      <c r="X37" s="82">
        <v>32</v>
      </c>
      <c r="Y37" s="23"/>
    </row>
    <row r="38" spans="1:25" x14ac:dyDescent="0.25">
      <c r="A38" s="62"/>
      <c r="B38" s="293"/>
      <c r="C38" s="294"/>
      <c r="D38" s="295"/>
      <c r="E38" s="295"/>
      <c r="F38" s="296"/>
      <c r="G38" s="294"/>
      <c r="H38" s="294"/>
      <c r="I38" s="294"/>
      <c r="J38" s="297"/>
      <c r="K38" s="297"/>
      <c r="L38" s="298"/>
      <c r="M38" s="335" t="s">
        <v>138</v>
      </c>
      <c r="N38" s="336">
        <v>1585</v>
      </c>
      <c r="O38" s="336">
        <v>800</v>
      </c>
      <c r="P38" s="336"/>
      <c r="Q38" s="358"/>
      <c r="R38" s="358"/>
      <c r="S38" s="359"/>
      <c r="T38" s="332">
        <v>42915</v>
      </c>
      <c r="U38" s="82">
        <v>582</v>
      </c>
      <c r="V38" s="82">
        <v>46</v>
      </c>
      <c r="W38" s="82"/>
      <c r="X38" s="82"/>
      <c r="Y38" s="23"/>
    </row>
    <row r="39" spans="1:25" x14ac:dyDescent="0.25">
      <c r="A39" s="62"/>
      <c r="B39" s="293"/>
      <c r="C39" s="294"/>
      <c r="D39" s="295"/>
      <c r="E39" s="295"/>
      <c r="F39" s="296"/>
      <c r="G39" s="294"/>
      <c r="H39" s="294"/>
      <c r="I39" s="294"/>
      <c r="J39" s="297"/>
      <c r="K39" s="297"/>
      <c r="L39" s="298"/>
      <c r="M39" s="373" t="s">
        <v>51</v>
      </c>
      <c r="N39" s="336">
        <v>1212</v>
      </c>
      <c r="O39" s="336">
        <v>400</v>
      </c>
      <c r="P39" s="336"/>
      <c r="Q39" s="358"/>
      <c r="R39" s="358"/>
      <c r="S39" s="359"/>
      <c r="T39" s="332">
        <v>42929</v>
      </c>
      <c r="U39" s="82">
        <v>400</v>
      </c>
      <c r="V39" s="82">
        <v>32</v>
      </c>
      <c r="W39" s="82"/>
      <c r="X39" s="82"/>
      <c r="Y39" s="23"/>
    </row>
    <row r="40" spans="1:25" x14ac:dyDescent="0.25">
      <c r="A40" s="62"/>
      <c r="B40" s="293" t="s">
        <v>479</v>
      </c>
      <c r="C40" s="294"/>
      <c r="D40" s="295"/>
      <c r="E40" s="295"/>
      <c r="F40" s="296"/>
      <c r="G40" s="294"/>
      <c r="H40" s="294"/>
      <c r="I40" s="294"/>
      <c r="J40" s="297"/>
      <c r="K40" s="297"/>
      <c r="L40" s="298"/>
      <c r="M40" s="335" t="s">
        <v>138</v>
      </c>
      <c r="N40" s="76">
        <v>2407</v>
      </c>
      <c r="O40" s="76">
        <v>100</v>
      </c>
      <c r="P40" s="76">
        <v>2415</v>
      </c>
      <c r="Q40" s="77">
        <f t="shared" ref="Q40:Q41" si="58">U40+W40</f>
        <v>544</v>
      </c>
      <c r="R40" s="77">
        <f t="shared" ref="R40:R41" si="59">V40+X40</f>
        <v>42</v>
      </c>
      <c r="S40" s="78">
        <f t="shared" ref="S40:S41" si="60">(P40-N40)*O40-R40-Q40</f>
        <v>214</v>
      </c>
      <c r="T40" s="332">
        <v>42893</v>
      </c>
      <c r="U40" s="82">
        <v>272</v>
      </c>
      <c r="V40" s="82">
        <v>21</v>
      </c>
      <c r="W40" s="82">
        <v>272</v>
      </c>
      <c r="X40" s="82">
        <v>21</v>
      </c>
      <c r="Y40" s="23"/>
    </row>
    <row r="41" spans="1:25" x14ac:dyDescent="0.25">
      <c r="A41" s="62"/>
      <c r="B41" s="293"/>
      <c r="C41" s="294"/>
      <c r="D41" s="295"/>
      <c r="E41" s="295"/>
      <c r="F41" s="296"/>
      <c r="G41" s="294"/>
      <c r="H41" s="294"/>
      <c r="I41" s="294"/>
      <c r="J41" s="297"/>
      <c r="K41" s="297"/>
      <c r="L41" s="298"/>
      <c r="M41" s="335" t="s">
        <v>138</v>
      </c>
      <c r="N41" s="336">
        <v>2193</v>
      </c>
      <c r="O41" s="336">
        <v>300</v>
      </c>
      <c r="P41" s="336">
        <v>1883</v>
      </c>
      <c r="Q41" s="358">
        <f t="shared" si="58"/>
        <v>974</v>
      </c>
      <c r="R41" s="358">
        <f t="shared" si="59"/>
        <v>76</v>
      </c>
      <c r="S41" s="359">
        <f t="shared" si="60"/>
        <v>-94050</v>
      </c>
      <c r="T41" s="332">
        <v>42900</v>
      </c>
      <c r="U41" s="82">
        <v>487</v>
      </c>
      <c r="V41" s="82">
        <v>38</v>
      </c>
      <c r="W41" s="82">
        <v>487</v>
      </c>
      <c r="X41" s="82">
        <v>38</v>
      </c>
      <c r="Y41" s="23"/>
    </row>
    <row r="42" spans="1:25" x14ac:dyDescent="0.25">
      <c r="A42" s="62"/>
      <c r="B42" s="293" t="s">
        <v>490</v>
      </c>
      <c r="C42" s="294"/>
      <c r="D42" s="295"/>
      <c r="E42" s="295"/>
      <c r="F42" s="296"/>
      <c r="G42" s="294"/>
      <c r="H42" s="294"/>
      <c r="I42" s="294"/>
      <c r="J42" s="297"/>
      <c r="K42" s="297"/>
      <c r="L42" s="298"/>
      <c r="M42" s="335" t="s">
        <v>138</v>
      </c>
      <c r="N42" s="76">
        <v>1080</v>
      </c>
      <c r="O42" s="76">
        <v>1000</v>
      </c>
      <c r="P42" s="76">
        <v>1095</v>
      </c>
      <c r="Q42" s="77">
        <f t="shared" ref="Q42:Q43" si="61">U42+W42</f>
        <v>1164</v>
      </c>
      <c r="R42" s="77">
        <f t="shared" ref="R42:R43" si="62">V42+X42</f>
        <v>92</v>
      </c>
      <c r="S42" s="78">
        <f t="shared" ref="S42:S43" si="63">(P42-N42)*O42-R42-Q42</f>
        <v>13744</v>
      </c>
      <c r="T42" s="332">
        <v>42914</v>
      </c>
      <c r="U42" s="82">
        <v>582</v>
      </c>
      <c r="V42" s="82">
        <v>46</v>
      </c>
      <c r="W42" s="82">
        <v>582</v>
      </c>
      <c r="X42" s="82">
        <v>46</v>
      </c>
      <c r="Y42" s="23"/>
    </row>
    <row r="43" spans="1:25" x14ac:dyDescent="0.25">
      <c r="A43" s="62"/>
      <c r="B43" s="293"/>
      <c r="C43" s="294"/>
      <c r="D43" s="295"/>
      <c r="E43" s="295"/>
      <c r="F43" s="296"/>
      <c r="G43" s="294"/>
      <c r="H43" s="294"/>
      <c r="I43" s="294"/>
      <c r="J43" s="297"/>
      <c r="K43" s="297"/>
      <c r="L43" s="298"/>
      <c r="M43" s="335" t="s">
        <v>138</v>
      </c>
      <c r="N43" s="76">
        <v>1206</v>
      </c>
      <c r="O43" s="76">
        <v>100</v>
      </c>
      <c r="P43" s="76">
        <v>1280</v>
      </c>
      <c r="Q43" s="77">
        <f t="shared" si="61"/>
        <v>361</v>
      </c>
      <c r="R43" s="77">
        <f t="shared" si="62"/>
        <v>26</v>
      </c>
      <c r="S43" s="78">
        <f t="shared" si="63"/>
        <v>7013</v>
      </c>
      <c r="T43" s="332">
        <v>42920</v>
      </c>
      <c r="U43" s="82">
        <v>185</v>
      </c>
      <c r="V43" s="82">
        <v>14</v>
      </c>
      <c r="W43" s="329">
        <v>176</v>
      </c>
      <c r="X43" s="329">
        <v>12</v>
      </c>
      <c r="Y43" s="23"/>
    </row>
    <row r="44" spans="1:25" x14ac:dyDescent="0.25">
      <c r="A44" s="62"/>
      <c r="B44" s="293" t="s">
        <v>491</v>
      </c>
      <c r="C44" s="294"/>
      <c r="D44" s="295"/>
      <c r="E44" s="295"/>
      <c r="F44" s="296"/>
      <c r="G44" s="294"/>
      <c r="H44" s="294"/>
      <c r="I44" s="294"/>
      <c r="J44" s="297"/>
      <c r="K44" s="297"/>
      <c r="L44" s="298"/>
      <c r="M44" s="335" t="s">
        <v>138</v>
      </c>
      <c r="N44" s="76">
        <v>644</v>
      </c>
      <c r="O44" s="76">
        <v>2000</v>
      </c>
      <c r="P44" s="76">
        <f>(650+651)/2</f>
        <v>650.5</v>
      </c>
      <c r="Q44" s="77">
        <f t="shared" ref="Q44" si="64">U44+W44</f>
        <v>1531</v>
      </c>
      <c r="R44" s="77">
        <f t="shared" ref="R44" si="65">V44+X44</f>
        <v>120</v>
      </c>
      <c r="S44" s="78">
        <f t="shared" ref="S44" si="66">(P44-N44)*O44-R44-Q44</f>
        <v>11349</v>
      </c>
      <c r="T44" s="332">
        <v>42914</v>
      </c>
      <c r="U44" s="82">
        <v>582</v>
      </c>
      <c r="V44" s="82">
        <v>46</v>
      </c>
      <c r="W44" s="15">
        <f>462+487</f>
        <v>949</v>
      </c>
      <c r="X44" s="15">
        <f>36+38</f>
        <v>74</v>
      </c>
      <c r="Y44" s="23"/>
    </row>
    <row r="45" spans="1:25" x14ac:dyDescent="0.25">
      <c r="A45" s="62"/>
      <c r="B45" s="293" t="s">
        <v>499</v>
      </c>
      <c r="C45" s="294"/>
      <c r="D45" s="295"/>
      <c r="E45" s="295"/>
      <c r="F45" s="296"/>
      <c r="G45" s="294"/>
      <c r="H45" s="294"/>
      <c r="I45" s="294"/>
      <c r="J45" s="297"/>
      <c r="K45" s="297"/>
      <c r="L45" s="298"/>
      <c r="M45" s="335" t="s">
        <v>138</v>
      </c>
      <c r="N45" s="76">
        <v>664</v>
      </c>
      <c r="O45" s="76">
        <v>200</v>
      </c>
      <c r="P45" s="76">
        <v>673</v>
      </c>
      <c r="Q45" s="77">
        <f t="shared" ref="Q45" si="67">U45+W45</f>
        <v>370</v>
      </c>
      <c r="R45" s="77">
        <f t="shared" ref="R45" si="68">V45+X45</f>
        <v>28</v>
      </c>
      <c r="S45" s="78">
        <f t="shared" ref="S45" si="69">(P45-N45)*O45-R45-Q45</f>
        <v>1402</v>
      </c>
      <c r="T45" s="332">
        <v>42922</v>
      </c>
      <c r="U45" s="329">
        <v>185</v>
      </c>
      <c r="V45" s="329">
        <v>14</v>
      </c>
      <c r="W45" s="329">
        <v>185</v>
      </c>
      <c r="X45" s="329">
        <v>14</v>
      </c>
      <c r="Y45" s="23"/>
    </row>
    <row r="46" spans="1:25" x14ac:dyDescent="0.25">
      <c r="A46" s="62"/>
      <c r="B46" s="293" t="s">
        <v>504</v>
      </c>
      <c r="C46" s="294"/>
      <c r="D46" s="295"/>
      <c r="E46" s="295"/>
      <c r="F46" s="296"/>
      <c r="G46" s="294"/>
      <c r="H46" s="294"/>
      <c r="I46" s="294"/>
      <c r="J46" s="297"/>
      <c r="K46" s="297"/>
      <c r="L46" s="298"/>
      <c r="M46" s="335" t="s">
        <v>138</v>
      </c>
      <c r="N46" s="76">
        <v>300</v>
      </c>
      <c r="O46" s="76">
        <v>400</v>
      </c>
      <c r="P46" s="76">
        <v>337</v>
      </c>
      <c r="Q46" s="77">
        <f t="shared" ref="Q46" si="70">U46+W46</f>
        <v>370</v>
      </c>
      <c r="R46" s="77">
        <f t="shared" ref="R46" si="71">V46+X46</f>
        <v>28</v>
      </c>
      <c r="S46" s="78">
        <f t="shared" ref="S46" si="72">(P46-N46)*O46-R46-Q46</f>
        <v>14402</v>
      </c>
      <c r="T46" s="332">
        <v>42923</v>
      </c>
      <c r="U46" s="329">
        <v>185</v>
      </c>
      <c r="V46" s="329">
        <v>14</v>
      </c>
      <c r="W46" s="329">
        <v>185</v>
      </c>
      <c r="X46" s="329">
        <v>14</v>
      </c>
      <c r="Y46" s="23"/>
    </row>
    <row r="47" spans="1:25" x14ac:dyDescent="0.25">
      <c r="A47" s="62"/>
      <c r="B47" s="293"/>
      <c r="C47" s="294"/>
      <c r="D47" s="295"/>
      <c r="E47" s="295"/>
      <c r="F47" s="296"/>
      <c r="G47" s="294"/>
      <c r="H47" s="294"/>
      <c r="I47" s="294"/>
      <c r="J47" s="297"/>
      <c r="K47" s="297"/>
      <c r="L47" s="298"/>
      <c r="M47" s="335" t="s">
        <v>138</v>
      </c>
      <c r="N47" s="336">
        <v>350</v>
      </c>
      <c r="O47" s="336">
        <v>1500</v>
      </c>
      <c r="P47" s="336"/>
      <c r="Q47" s="358"/>
      <c r="R47" s="358"/>
      <c r="S47" s="359"/>
      <c r="T47" s="332">
        <v>42926</v>
      </c>
      <c r="U47" s="15">
        <v>487</v>
      </c>
      <c r="V47" s="15">
        <v>38</v>
      </c>
      <c r="W47" s="329"/>
      <c r="X47" s="329"/>
      <c r="Y47" s="23"/>
    </row>
    <row r="48" spans="1:25" x14ac:dyDescent="0.25">
      <c r="A48" s="83"/>
      <c r="B48" s="84" t="str">
        <f>IPO監視一覧!B3</f>
        <v>日宣</v>
      </c>
      <c r="C48" s="85">
        <f>IPO監視一覧!G3</f>
        <v>1600</v>
      </c>
      <c r="D48" s="86">
        <v>200000</v>
      </c>
      <c r="E48" s="86">
        <v>50000</v>
      </c>
      <c r="F48" s="87">
        <f>IPO監視一覧!T3</f>
        <v>42782</v>
      </c>
      <c r="G48" s="85">
        <f>IPO監視一覧!U3</f>
        <v>3000</v>
      </c>
      <c r="H48" s="85">
        <f>終値履歴!C3</f>
        <v>2519</v>
      </c>
      <c r="I48" s="85">
        <f>参加条件計算!C3</f>
        <v>4600</v>
      </c>
      <c r="J48" s="88">
        <f>(G48-C48)*100*0.79685</f>
        <v>111558.99999999999</v>
      </c>
      <c r="K48" s="88">
        <f>IF((H48-G48)&gt;0,(H48-G48)*100*0.79685,(H48-G48)*100)</f>
        <v>-48100</v>
      </c>
      <c r="L48" s="89">
        <f ca="1">NETWORKDAYS(F48,TODAY())</f>
        <v>107</v>
      </c>
      <c r="M48" s="96"/>
      <c r="N48" s="34"/>
      <c r="O48" s="34"/>
      <c r="P48" s="34"/>
      <c r="Q48" s="34"/>
      <c r="R48" s="34"/>
      <c r="S48" s="90">
        <f t="shared" si="1"/>
        <v>0</v>
      </c>
    </row>
    <row r="49" spans="1:25" x14ac:dyDescent="0.25">
      <c r="A49" s="91" t="str">
        <f>IPO監視一覧!H4</f>
        <v>C</v>
      </c>
      <c r="B49" s="91" t="str">
        <f>IPO監視一覧!B4</f>
        <v>レノバ </v>
      </c>
      <c r="C49" s="92">
        <f>IPO監視一覧!G4</f>
        <v>750</v>
      </c>
      <c r="D49" s="93">
        <v>650000</v>
      </c>
      <c r="E49" s="93">
        <v>560000</v>
      </c>
      <c r="F49" s="94">
        <f>IPO監視一覧!T4</f>
        <v>42789</v>
      </c>
      <c r="G49" s="92">
        <f>IPO監視一覧!U4</f>
        <v>1125</v>
      </c>
      <c r="H49" s="85">
        <f>終値履歴!C4</f>
        <v>1263</v>
      </c>
      <c r="I49" s="85">
        <f>参加条件計算!C4</f>
        <v>179200</v>
      </c>
      <c r="J49" s="95">
        <f>(G49-C49)*100*0.79685</f>
        <v>29881.874999999996</v>
      </c>
      <c r="K49" s="95">
        <f>IF((H49-G49)&gt;0,(H49-G49)*100*0.79685,(H49-G49)*100)</f>
        <v>10996.529999999999</v>
      </c>
      <c r="L49" s="96">
        <f ca="1">NETWORKDAYS(F49,TODAY())</f>
        <v>102</v>
      </c>
      <c r="M49" s="68" t="s">
        <v>138</v>
      </c>
      <c r="N49" s="73">
        <v>1900</v>
      </c>
      <c r="O49" s="73">
        <v>200</v>
      </c>
      <c r="P49" s="73">
        <v>1919</v>
      </c>
      <c r="Q49" s="74">
        <f t="shared" ref="Q49:R51" si="73">U49+W49</f>
        <v>722</v>
      </c>
      <c r="R49" s="74">
        <f t="shared" si="73"/>
        <v>56</v>
      </c>
      <c r="S49" s="75">
        <f t="shared" si="1"/>
        <v>3022</v>
      </c>
      <c r="T49" s="21">
        <v>42808</v>
      </c>
      <c r="U49" s="15">
        <v>370</v>
      </c>
      <c r="V49" s="15">
        <v>28</v>
      </c>
      <c r="W49" s="15">
        <v>352</v>
      </c>
      <c r="X49" s="15">
        <v>28</v>
      </c>
    </row>
    <row r="50" spans="1:25" x14ac:dyDescent="0.25">
      <c r="A50" s="91"/>
      <c r="B50" s="91"/>
      <c r="C50" s="92"/>
      <c r="D50" s="93"/>
      <c r="E50" s="93"/>
      <c r="F50" s="94"/>
      <c r="G50" s="92"/>
      <c r="H50" s="92"/>
      <c r="I50" s="92"/>
      <c r="J50" s="95"/>
      <c r="K50" s="95"/>
      <c r="L50" s="96"/>
      <c r="M50" s="72" t="s">
        <v>141</v>
      </c>
      <c r="N50" s="73">
        <v>1297</v>
      </c>
      <c r="O50" s="73">
        <v>200</v>
      </c>
      <c r="P50" s="73">
        <v>1311</v>
      </c>
      <c r="Q50" s="74">
        <f t="shared" si="73"/>
        <v>500</v>
      </c>
      <c r="R50" s="74">
        <f t="shared" si="73"/>
        <v>40</v>
      </c>
      <c r="S50" s="75">
        <f t="shared" si="1"/>
        <v>2260</v>
      </c>
      <c r="T50" s="21">
        <v>42857</v>
      </c>
      <c r="U50" s="15">
        <v>250</v>
      </c>
      <c r="V50" s="15">
        <v>20</v>
      </c>
      <c r="W50" s="15">
        <v>250</v>
      </c>
      <c r="X50" s="15">
        <v>20</v>
      </c>
    </row>
    <row r="51" spans="1:25" x14ac:dyDescent="0.25">
      <c r="A51" s="91"/>
      <c r="B51" s="91"/>
      <c r="C51" s="92"/>
      <c r="D51" s="93"/>
      <c r="E51" s="93"/>
      <c r="F51" s="94"/>
      <c r="G51" s="92"/>
      <c r="H51" s="92"/>
      <c r="I51" s="92"/>
      <c r="J51" s="95"/>
      <c r="K51" s="95"/>
      <c r="L51" s="96"/>
      <c r="M51" s="72" t="s">
        <v>141</v>
      </c>
      <c r="N51" s="73">
        <v>1288</v>
      </c>
      <c r="O51" s="73">
        <v>200</v>
      </c>
      <c r="P51" s="73">
        <v>1340</v>
      </c>
      <c r="Q51" s="74">
        <f t="shared" si="73"/>
        <v>500</v>
      </c>
      <c r="R51" s="74">
        <f t="shared" si="73"/>
        <v>40</v>
      </c>
      <c r="S51" s="75">
        <f t="shared" si="1"/>
        <v>9860</v>
      </c>
      <c r="T51" s="21">
        <v>42871</v>
      </c>
      <c r="U51" s="15">
        <v>250</v>
      </c>
      <c r="V51" s="15">
        <v>20</v>
      </c>
      <c r="W51" s="15">
        <v>250</v>
      </c>
      <c r="X51" s="15">
        <v>20</v>
      </c>
    </row>
    <row r="52" spans="1:25" x14ac:dyDescent="0.25">
      <c r="A52" s="91"/>
      <c r="B52" s="91"/>
      <c r="C52" s="92"/>
      <c r="D52" s="93"/>
      <c r="E52" s="93"/>
      <c r="F52" s="94"/>
      <c r="G52" s="92"/>
      <c r="H52" s="85"/>
      <c r="I52" s="85"/>
      <c r="J52" s="95"/>
      <c r="K52" s="95"/>
      <c r="L52" s="96"/>
      <c r="M52" s="68" t="s">
        <v>138</v>
      </c>
      <c r="N52" s="73">
        <v>1330</v>
      </c>
      <c r="O52" s="73">
        <v>500</v>
      </c>
      <c r="P52" s="73">
        <v>1334</v>
      </c>
      <c r="Q52" s="74">
        <f t="shared" ref="Q52" si="74">U52+W52</f>
        <v>974</v>
      </c>
      <c r="R52" s="74">
        <f t="shared" ref="R52" si="75">V52+X52</f>
        <v>76</v>
      </c>
      <c r="S52" s="75">
        <f t="shared" ref="S52" si="76">(P52-N52)*O52-R52-Q52</f>
        <v>950</v>
      </c>
      <c r="T52" s="21">
        <v>42878</v>
      </c>
      <c r="U52" s="15">
        <v>487</v>
      </c>
      <c r="V52" s="15">
        <v>38</v>
      </c>
      <c r="W52" s="15">
        <v>487</v>
      </c>
      <c r="X52" s="15">
        <v>38</v>
      </c>
    </row>
    <row r="53" spans="1:25" x14ac:dyDescent="0.25">
      <c r="A53" s="91" t="str">
        <f>IPO監視一覧!H5</f>
        <v>B</v>
      </c>
      <c r="B53" s="91" t="str">
        <f>IPO監視一覧!B5</f>
        <v>ユナイテッド＆コレクティブ</v>
      </c>
      <c r="C53" s="92">
        <f>IPO監視一覧!G5</f>
        <v>1620</v>
      </c>
      <c r="D53" s="93">
        <v>228500</v>
      </c>
      <c r="E53" s="93">
        <v>68700</v>
      </c>
      <c r="F53" s="94">
        <f>IPO監視一覧!T5</f>
        <v>42789</v>
      </c>
      <c r="G53" s="92">
        <f>IPO監視一覧!U5</f>
        <v>4500</v>
      </c>
      <c r="H53" s="85">
        <f>終値履歴!C5</f>
        <v>4410</v>
      </c>
      <c r="I53" s="85">
        <f>参加条件計算!C5</f>
        <v>8000</v>
      </c>
      <c r="J53" s="95">
        <f>(G53-C53)*100*0.79685</f>
        <v>229492.8</v>
      </c>
      <c r="K53" s="95">
        <f t="shared" ref="K53:K175" si="77">IF((H53-G53)&gt;0,(H53-G53)*100*0.79685,(H53-G53)*100)</f>
        <v>-9000</v>
      </c>
      <c r="L53" s="96">
        <f t="shared" ref="L53:L161" ca="1" si="78">NETWORKDAYS(F53,TODAY())</f>
        <v>102</v>
      </c>
      <c r="M53" s="96"/>
      <c r="N53" s="36"/>
      <c r="O53" s="36"/>
      <c r="P53" s="36"/>
      <c r="Q53" s="97"/>
      <c r="R53" s="97"/>
      <c r="S53" s="98">
        <f t="shared" si="1"/>
        <v>0</v>
      </c>
    </row>
    <row r="54" spans="1:25" x14ac:dyDescent="0.25">
      <c r="A54" s="91" t="str">
        <f>IPO監視一覧!H6</f>
        <v>D</v>
      </c>
      <c r="B54" s="91" t="str">
        <f>IPO監視一覧!B6</f>
        <v>ロコンド</v>
      </c>
      <c r="C54" s="92">
        <f>IPO監視一覧!G6</f>
        <v>1850</v>
      </c>
      <c r="D54" s="93">
        <v>924000</v>
      </c>
      <c r="E54" s="93">
        <v>651700</v>
      </c>
      <c r="F54" s="94">
        <f>IPO監視一覧!T6</f>
        <v>42801</v>
      </c>
      <c r="G54" s="92">
        <f>IPO監視一覧!U6</f>
        <v>2625</v>
      </c>
      <c r="H54" s="85">
        <f>終値履歴!C6</f>
        <v>2140</v>
      </c>
      <c r="I54" s="85">
        <f>参加条件計算!C6</f>
        <v>226000</v>
      </c>
      <c r="J54" s="95">
        <f>(G54-C54)*100*0.79685</f>
        <v>61755.874999999993</v>
      </c>
      <c r="K54" s="95">
        <f t="shared" si="77"/>
        <v>-48500</v>
      </c>
      <c r="L54" s="96">
        <f t="shared" ca="1" si="78"/>
        <v>94</v>
      </c>
      <c r="M54" s="96"/>
      <c r="N54" s="36"/>
      <c r="O54" s="36"/>
      <c r="P54" s="36"/>
      <c r="Q54" s="97"/>
      <c r="R54" s="97"/>
      <c r="S54" s="98">
        <f t="shared" si="1"/>
        <v>0</v>
      </c>
    </row>
    <row r="55" spans="1:25" x14ac:dyDescent="0.25">
      <c r="A55" s="91" t="str">
        <f>IPO監視一覧!H7</f>
        <v>C</v>
      </c>
      <c r="B55" s="99" t="str">
        <f>IPO監視一覧!B7</f>
        <v>ピーバンドットコム</v>
      </c>
      <c r="C55" s="100">
        <f>IPO監視一覧!G7</f>
        <v>1650</v>
      </c>
      <c r="D55" s="101">
        <v>150000</v>
      </c>
      <c r="E55" s="101">
        <v>650000</v>
      </c>
      <c r="F55" s="102">
        <f>IPO監視一覧!T7</f>
        <v>42803</v>
      </c>
      <c r="G55" s="100">
        <f>IPO監視一覧!U7</f>
        <v>3530</v>
      </c>
      <c r="H55" s="85">
        <f>終値履歴!C7</f>
        <v>2076</v>
      </c>
      <c r="I55" s="85">
        <f>参加条件計算!C7</f>
        <v>25700</v>
      </c>
      <c r="J55" s="95">
        <f>(G55-C55)*100*0.79685</f>
        <v>149807.79999999999</v>
      </c>
      <c r="K55" s="95">
        <f t="shared" si="77"/>
        <v>-145400</v>
      </c>
      <c r="L55" s="103">
        <f ca="1">NETWORKDAYS(F55,TODAY())</f>
        <v>92</v>
      </c>
      <c r="M55" s="68" t="s">
        <v>138</v>
      </c>
      <c r="N55" s="104">
        <v>3550</v>
      </c>
      <c r="O55" s="69">
        <v>200</v>
      </c>
      <c r="P55" s="104">
        <v>3320</v>
      </c>
      <c r="Q55" s="70">
        <f t="shared" ref="Q55:R142" si="79">U55+W55</f>
        <v>974</v>
      </c>
      <c r="R55" s="70">
        <f t="shared" si="79"/>
        <v>76</v>
      </c>
      <c r="S55" s="71">
        <f t="shared" si="1"/>
        <v>-47050</v>
      </c>
      <c r="T55" s="21">
        <v>42803</v>
      </c>
      <c r="U55" s="15">
        <v>487</v>
      </c>
      <c r="V55" s="15">
        <v>38</v>
      </c>
      <c r="W55" s="15">
        <v>487</v>
      </c>
      <c r="X55" s="15">
        <v>38</v>
      </c>
      <c r="Y55" s="105"/>
    </row>
    <row r="56" spans="1:25" x14ac:dyDescent="0.25">
      <c r="A56" s="91"/>
      <c r="B56" s="99"/>
      <c r="C56" s="100"/>
      <c r="D56" s="101"/>
      <c r="E56" s="101"/>
      <c r="F56" s="102"/>
      <c r="G56" s="100"/>
      <c r="H56" s="100"/>
      <c r="I56" s="100"/>
      <c r="J56" s="106"/>
      <c r="K56" s="95"/>
      <c r="L56" s="103"/>
      <c r="M56" s="68" t="s">
        <v>138</v>
      </c>
      <c r="N56" s="107">
        <v>2999</v>
      </c>
      <c r="O56" s="73">
        <v>300</v>
      </c>
      <c r="P56" s="108">
        <v>3083.33</v>
      </c>
      <c r="Q56" s="74">
        <f t="shared" si="79"/>
        <v>1518</v>
      </c>
      <c r="R56" s="74">
        <f t="shared" si="79"/>
        <v>118</v>
      </c>
      <c r="S56" s="75">
        <f t="shared" si="1"/>
        <v>23662.999999999978</v>
      </c>
      <c r="T56" s="21">
        <v>42808</v>
      </c>
      <c r="U56" s="15">
        <v>759</v>
      </c>
      <c r="V56" s="15">
        <v>59</v>
      </c>
      <c r="W56" s="15">
        <v>759</v>
      </c>
      <c r="X56" s="15">
        <v>59</v>
      </c>
      <c r="Y56" s="109"/>
    </row>
    <row r="57" spans="1:25" x14ac:dyDescent="0.25">
      <c r="A57" s="91"/>
      <c r="B57" s="99"/>
      <c r="C57" s="100"/>
      <c r="D57" s="101"/>
      <c r="E57" s="101"/>
      <c r="F57" s="102"/>
      <c r="G57" s="100"/>
      <c r="H57" s="100"/>
      <c r="I57" s="100"/>
      <c r="J57" s="106"/>
      <c r="K57" s="95"/>
      <c r="L57" s="103"/>
      <c r="M57" s="68" t="s">
        <v>138</v>
      </c>
      <c r="N57" s="110">
        <v>2900.33</v>
      </c>
      <c r="O57" s="73">
        <v>300</v>
      </c>
      <c r="P57" s="108">
        <v>3020</v>
      </c>
      <c r="Q57" s="74">
        <f t="shared" si="79"/>
        <v>974</v>
      </c>
      <c r="R57" s="74">
        <f t="shared" si="79"/>
        <v>76</v>
      </c>
      <c r="S57" s="75">
        <f t="shared" si="1"/>
        <v>34851.000000000022</v>
      </c>
      <c r="T57" s="21">
        <v>42809</v>
      </c>
      <c r="U57" s="15">
        <v>487</v>
      </c>
      <c r="V57" s="15">
        <v>38</v>
      </c>
      <c r="W57" s="15">
        <v>487</v>
      </c>
      <c r="X57" s="15">
        <v>38</v>
      </c>
      <c r="Y57" s="109"/>
    </row>
    <row r="58" spans="1:25" x14ac:dyDescent="0.25">
      <c r="A58" s="91" t="str">
        <f>IPO監視一覧!H8</f>
        <v>A</v>
      </c>
      <c r="B58" s="91" t="str">
        <f>IPO監視一覧!B8</f>
        <v>ファイズ</v>
      </c>
      <c r="C58" s="92">
        <f>IPO監視一覧!G8</f>
        <v>1250</v>
      </c>
      <c r="D58" s="93">
        <v>300000</v>
      </c>
      <c r="E58" s="93">
        <v>250000</v>
      </c>
      <c r="F58" s="94">
        <f>IPO監視一覧!T8</f>
        <v>42809</v>
      </c>
      <c r="G58" s="92">
        <f>IPO監視一覧!U8</f>
        <v>4010</v>
      </c>
      <c r="H58" s="85">
        <f>終値履歴!C8</f>
        <v>6700</v>
      </c>
      <c r="I58" s="85">
        <f>参加条件計算!C8</f>
        <v>13600</v>
      </c>
      <c r="J58" s="95">
        <f>(G58-C58)*100*0.79685</f>
        <v>219930.59999999998</v>
      </c>
      <c r="K58" s="95">
        <f t="shared" si="77"/>
        <v>214352.65</v>
      </c>
      <c r="L58" s="96">
        <f t="shared" ca="1" si="78"/>
        <v>88</v>
      </c>
      <c r="M58" s="68" t="s">
        <v>138</v>
      </c>
      <c r="N58" s="73">
        <v>3700</v>
      </c>
      <c r="O58" s="73">
        <v>200</v>
      </c>
      <c r="P58" s="73">
        <v>3807.5</v>
      </c>
      <c r="Q58" s="74">
        <f t="shared" si="79"/>
        <v>974</v>
      </c>
      <c r="R58" s="74">
        <f t="shared" si="79"/>
        <v>76</v>
      </c>
      <c r="S58" s="75">
        <f t="shared" si="1"/>
        <v>20450</v>
      </c>
      <c r="T58" s="21">
        <v>42811</v>
      </c>
      <c r="U58" s="15">
        <v>487</v>
      </c>
      <c r="V58" s="15">
        <v>38</v>
      </c>
      <c r="W58" s="15">
        <v>487</v>
      </c>
      <c r="X58" s="15">
        <v>38</v>
      </c>
    </row>
    <row r="59" spans="1:25" x14ac:dyDescent="0.25">
      <c r="A59" s="91"/>
      <c r="B59" s="91"/>
      <c r="C59" s="92"/>
      <c r="D59" s="93"/>
      <c r="E59" s="93"/>
      <c r="F59" s="94"/>
      <c r="G59" s="92"/>
      <c r="H59" s="92"/>
      <c r="I59" s="92"/>
      <c r="J59" s="95"/>
      <c r="K59" s="95"/>
      <c r="L59" s="96"/>
      <c r="M59" s="68" t="s">
        <v>138</v>
      </c>
      <c r="N59" s="69">
        <v>3790</v>
      </c>
      <c r="O59" s="69">
        <v>200</v>
      </c>
      <c r="P59" s="69">
        <v>3450</v>
      </c>
      <c r="Q59" s="70">
        <f t="shared" si="79"/>
        <v>974</v>
      </c>
      <c r="R59" s="70">
        <f t="shared" si="79"/>
        <v>76</v>
      </c>
      <c r="S59" s="71">
        <f t="shared" si="1"/>
        <v>-69050</v>
      </c>
      <c r="T59" s="21">
        <v>42815</v>
      </c>
      <c r="U59" s="15">
        <v>487</v>
      </c>
      <c r="V59" s="15">
        <v>38</v>
      </c>
      <c r="W59" s="15">
        <v>487</v>
      </c>
      <c r="X59" s="15">
        <v>38</v>
      </c>
      <c r="Y59" s="105"/>
    </row>
    <row r="60" spans="1:25" x14ac:dyDescent="0.25">
      <c r="A60" s="91"/>
      <c r="B60" s="91"/>
      <c r="C60" s="92"/>
      <c r="D60" s="93"/>
      <c r="E60" s="93"/>
      <c r="F60" s="94"/>
      <c r="G60" s="92"/>
      <c r="H60" s="92"/>
      <c r="I60" s="92"/>
      <c r="J60" s="95"/>
      <c r="K60" s="95"/>
      <c r="L60" s="96"/>
      <c r="M60" s="68" t="s">
        <v>138</v>
      </c>
      <c r="N60" s="73">
        <v>7400</v>
      </c>
      <c r="O60" s="73">
        <v>100</v>
      </c>
      <c r="P60" s="73">
        <v>7430</v>
      </c>
      <c r="Q60" s="74">
        <f t="shared" si="79"/>
        <v>974</v>
      </c>
      <c r="R60" s="74">
        <f t="shared" si="79"/>
        <v>76</v>
      </c>
      <c r="S60" s="75">
        <f t="shared" si="1"/>
        <v>1950</v>
      </c>
      <c r="T60" s="21">
        <v>42832</v>
      </c>
      <c r="U60" s="15">
        <v>487</v>
      </c>
      <c r="V60" s="15">
        <v>38</v>
      </c>
      <c r="W60" s="15">
        <v>487</v>
      </c>
      <c r="X60" s="15">
        <v>38</v>
      </c>
      <c r="Y60" s="105"/>
    </row>
    <row r="61" spans="1:25" x14ac:dyDescent="0.25">
      <c r="A61" s="91"/>
      <c r="B61" s="91"/>
      <c r="C61" s="92"/>
      <c r="D61" s="93"/>
      <c r="E61" s="93"/>
      <c r="F61" s="94"/>
      <c r="G61" s="92"/>
      <c r="H61" s="92"/>
      <c r="I61" s="92"/>
      <c r="J61" s="95"/>
      <c r="K61" s="95"/>
      <c r="L61" s="96"/>
      <c r="M61" s="68" t="s">
        <v>138</v>
      </c>
      <c r="N61" s="73">
        <v>7730</v>
      </c>
      <c r="O61" s="73">
        <v>100</v>
      </c>
      <c r="P61" s="73">
        <v>7850</v>
      </c>
      <c r="Q61" s="74">
        <f t="shared" si="79"/>
        <v>974</v>
      </c>
      <c r="R61" s="74">
        <f t="shared" si="79"/>
        <v>76</v>
      </c>
      <c r="S61" s="75">
        <f t="shared" si="1"/>
        <v>10950</v>
      </c>
      <c r="T61" s="21">
        <v>42835</v>
      </c>
      <c r="U61" s="15">
        <v>487</v>
      </c>
      <c r="V61" s="15">
        <v>38</v>
      </c>
      <c r="W61" s="15">
        <v>487</v>
      </c>
      <c r="X61" s="15">
        <v>38</v>
      </c>
      <c r="Y61" s="105"/>
    </row>
    <row r="62" spans="1:25" x14ac:dyDescent="0.25">
      <c r="A62" s="91"/>
      <c r="B62" s="91"/>
      <c r="C62" s="92"/>
      <c r="D62" s="93"/>
      <c r="E62" s="93"/>
      <c r="F62" s="94"/>
      <c r="G62" s="92"/>
      <c r="H62" s="92"/>
      <c r="I62" s="92"/>
      <c r="J62" s="95"/>
      <c r="K62" s="95"/>
      <c r="L62" s="96"/>
      <c r="M62" s="68" t="s">
        <v>138</v>
      </c>
      <c r="N62" s="73">
        <v>7910</v>
      </c>
      <c r="O62" s="73">
        <v>100</v>
      </c>
      <c r="P62" s="73">
        <v>7940</v>
      </c>
      <c r="Q62" s="74">
        <f t="shared" si="79"/>
        <v>949</v>
      </c>
      <c r="R62" s="74">
        <f t="shared" si="79"/>
        <v>74</v>
      </c>
      <c r="S62" s="75">
        <f t="shared" si="1"/>
        <v>1977</v>
      </c>
      <c r="T62" s="21">
        <v>42836</v>
      </c>
      <c r="U62" s="15">
        <v>462</v>
      </c>
      <c r="V62" s="15">
        <v>36</v>
      </c>
      <c r="W62" s="15">
        <v>487</v>
      </c>
      <c r="X62" s="15">
        <v>38</v>
      </c>
      <c r="Y62" s="105"/>
    </row>
    <row r="63" spans="1:25" x14ac:dyDescent="0.25">
      <c r="A63" s="91"/>
      <c r="B63" s="91"/>
      <c r="C63" s="92"/>
      <c r="D63" s="93"/>
      <c r="E63" s="93"/>
      <c r="F63" s="94"/>
      <c r="G63" s="92"/>
      <c r="H63" s="92"/>
      <c r="I63" s="92"/>
      <c r="J63" s="95"/>
      <c r="K63" s="95"/>
      <c r="L63" s="96"/>
      <c r="M63" s="68" t="s">
        <v>138</v>
      </c>
      <c r="N63" s="73">
        <v>6550</v>
      </c>
      <c r="O63" s="73">
        <v>100</v>
      </c>
      <c r="P63" s="73">
        <v>6640</v>
      </c>
      <c r="Q63" s="74">
        <f t="shared" si="79"/>
        <v>974</v>
      </c>
      <c r="R63" s="74">
        <f t="shared" si="79"/>
        <v>76</v>
      </c>
      <c r="S63" s="75">
        <f t="shared" si="1"/>
        <v>7950</v>
      </c>
      <c r="T63" s="21">
        <v>42837</v>
      </c>
      <c r="U63" s="15">
        <v>487</v>
      </c>
      <c r="V63" s="15">
        <v>38</v>
      </c>
      <c r="W63" s="15">
        <v>487</v>
      </c>
      <c r="X63" s="15">
        <v>38</v>
      </c>
      <c r="Y63" s="105"/>
    </row>
    <row r="64" spans="1:25" x14ac:dyDescent="0.25">
      <c r="A64" s="91"/>
      <c r="B64" s="91"/>
      <c r="C64" s="92"/>
      <c r="D64" s="93"/>
      <c r="E64" s="93"/>
      <c r="F64" s="94"/>
      <c r="G64" s="92"/>
      <c r="H64" s="92"/>
      <c r="I64" s="92"/>
      <c r="J64" s="95"/>
      <c r="K64" s="95"/>
      <c r="L64" s="96"/>
      <c r="M64" s="68" t="s">
        <v>138</v>
      </c>
      <c r="N64" s="73">
        <v>6610</v>
      </c>
      <c r="O64" s="73">
        <v>100</v>
      </c>
      <c r="P64" s="73">
        <v>6680</v>
      </c>
      <c r="Q64" s="74">
        <f t="shared" si="79"/>
        <v>974</v>
      </c>
      <c r="R64" s="74">
        <f t="shared" si="79"/>
        <v>76</v>
      </c>
      <c r="S64" s="75">
        <f t="shared" si="1"/>
        <v>5950</v>
      </c>
      <c r="T64" s="21">
        <v>42838</v>
      </c>
      <c r="U64" s="15">
        <v>487</v>
      </c>
      <c r="V64" s="15">
        <v>38</v>
      </c>
      <c r="W64" s="15">
        <v>487</v>
      </c>
      <c r="X64" s="15">
        <v>38</v>
      </c>
      <c r="Y64" s="105"/>
    </row>
    <row r="65" spans="1:25" x14ac:dyDescent="0.25">
      <c r="A65" s="91"/>
      <c r="B65" s="91"/>
      <c r="C65" s="92"/>
      <c r="D65" s="93"/>
      <c r="E65" s="93"/>
      <c r="F65" s="94"/>
      <c r="G65" s="92"/>
      <c r="H65" s="92"/>
      <c r="I65" s="92"/>
      <c r="J65" s="95"/>
      <c r="K65" s="95"/>
      <c r="L65" s="96"/>
      <c r="M65" s="68" t="s">
        <v>138</v>
      </c>
      <c r="N65" s="73">
        <v>6410</v>
      </c>
      <c r="O65" s="73">
        <v>100</v>
      </c>
      <c r="P65" s="73">
        <v>6520</v>
      </c>
      <c r="Q65" s="74">
        <f t="shared" si="79"/>
        <v>974</v>
      </c>
      <c r="R65" s="74">
        <f t="shared" si="79"/>
        <v>76</v>
      </c>
      <c r="S65" s="75">
        <f t="shared" si="1"/>
        <v>9950</v>
      </c>
      <c r="T65" s="21">
        <v>42839</v>
      </c>
      <c r="U65" s="15">
        <v>487</v>
      </c>
      <c r="V65" s="15">
        <v>38</v>
      </c>
      <c r="W65" s="15">
        <v>487</v>
      </c>
      <c r="X65" s="15">
        <v>38</v>
      </c>
      <c r="Y65" s="105"/>
    </row>
    <row r="66" spans="1:25" x14ac:dyDescent="0.25">
      <c r="A66" s="91"/>
      <c r="B66" s="91"/>
      <c r="C66" s="92"/>
      <c r="D66" s="93"/>
      <c r="E66" s="93"/>
      <c r="F66" s="94"/>
      <c r="G66" s="92"/>
      <c r="H66" s="92"/>
      <c r="I66" s="92"/>
      <c r="J66" s="95"/>
      <c r="K66" s="95"/>
      <c r="L66" s="96"/>
      <c r="M66" s="68" t="s">
        <v>138</v>
      </c>
      <c r="N66" s="73">
        <v>5700</v>
      </c>
      <c r="O66" s="73">
        <v>100</v>
      </c>
      <c r="P66" s="73">
        <v>5770</v>
      </c>
      <c r="Q66" s="74">
        <f t="shared" si="79"/>
        <v>974</v>
      </c>
      <c r="R66" s="74">
        <f t="shared" si="79"/>
        <v>76</v>
      </c>
      <c r="S66" s="75">
        <f t="shared" si="1"/>
        <v>5950</v>
      </c>
      <c r="T66" s="21">
        <v>42842</v>
      </c>
      <c r="U66" s="15">
        <v>487</v>
      </c>
      <c r="V66" s="15">
        <v>38</v>
      </c>
      <c r="W66" s="15">
        <v>487</v>
      </c>
      <c r="X66" s="15">
        <v>38</v>
      </c>
      <c r="Y66" s="105"/>
    </row>
    <row r="67" spans="1:25" x14ac:dyDescent="0.25">
      <c r="A67" s="91"/>
      <c r="B67" s="91"/>
      <c r="C67" s="92"/>
      <c r="D67" s="93"/>
      <c r="E67" s="93"/>
      <c r="F67" s="94"/>
      <c r="G67" s="92"/>
      <c r="H67" s="92"/>
      <c r="I67" s="92"/>
      <c r="J67" s="95"/>
      <c r="K67" s="95"/>
      <c r="L67" s="96"/>
      <c r="M67" s="68" t="s">
        <v>138</v>
      </c>
      <c r="N67" s="73">
        <v>6400</v>
      </c>
      <c r="O67" s="73">
        <v>100</v>
      </c>
      <c r="P67" s="73">
        <v>6430</v>
      </c>
      <c r="Q67" s="74">
        <f t="shared" si="79"/>
        <v>974</v>
      </c>
      <c r="R67" s="74">
        <f t="shared" si="79"/>
        <v>76</v>
      </c>
      <c r="S67" s="75">
        <f t="shared" si="1"/>
        <v>1950</v>
      </c>
      <c r="T67" s="21">
        <v>42843</v>
      </c>
      <c r="U67" s="15">
        <v>487</v>
      </c>
      <c r="V67" s="15">
        <v>38</v>
      </c>
      <c r="W67" s="15">
        <v>487</v>
      </c>
      <c r="X67" s="15">
        <v>38</v>
      </c>
      <c r="Y67" s="105"/>
    </row>
    <row r="68" spans="1:25" x14ac:dyDescent="0.25">
      <c r="A68" s="91"/>
      <c r="B68" s="91"/>
      <c r="C68" s="92"/>
      <c r="D68" s="93"/>
      <c r="E68" s="93"/>
      <c r="F68" s="94"/>
      <c r="G68" s="92"/>
      <c r="H68" s="92"/>
      <c r="I68" s="92"/>
      <c r="J68" s="95"/>
      <c r="K68" s="95"/>
      <c r="L68" s="96"/>
      <c r="M68" s="68" t="s">
        <v>138</v>
      </c>
      <c r="N68" s="73">
        <v>7020</v>
      </c>
      <c r="O68" s="73">
        <v>200</v>
      </c>
      <c r="P68" s="73">
        <v>7090</v>
      </c>
      <c r="Q68" s="74">
        <f t="shared" si="79"/>
        <v>1948</v>
      </c>
      <c r="R68" s="74">
        <f t="shared" si="79"/>
        <v>152</v>
      </c>
      <c r="S68" s="75">
        <f t="shared" si="1"/>
        <v>11900</v>
      </c>
      <c r="T68" s="21">
        <v>42850</v>
      </c>
      <c r="U68" s="15">
        <v>974</v>
      </c>
      <c r="V68" s="15">
        <v>76</v>
      </c>
      <c r="W68" s="15">
        <v>974</v>
      </c>
      <c r="X68" s="15">
        <v>76</v>
      </c>
      <c r="Y68" s="105"/>
    </row>
    <row r="69" spans="1:25" x14ac:dyDescent="0.25">
      <c r="A69" s="91"/>
      <c r="B69" s="91"/>
      <c r="C69" s="92"/>
      <c r="D69" s="93"/>
      <c r="E69" s="93"/>
      <c r="F69" s="94"/>
      <c r="G69" s="92"/>
      <c r="H69" s="92"/>
      <c r="I69" s="92"/>
      <c r="J69" s="95"/>
      <c r="K69" s="95"/>
      <c r="L69" s="96"/>
      <c r="M69" s="68" t="s">
        <v>138</v>
      </c>
      <c r="N69" s="73">
        <v>7180</v>
      </c>
      <c r="O69" s="73">
        <v>100</v>
      </c>
      <c r="P69" s="73">
        <v>7220</v>
      </c>
      <c r="Q69" s="74">
        <f t="shared" si="79"/>
        <v>974</v>
      </c>
      <c r="R69" s="74">
        <f t="shared" si="79"/>
        <v>76</v>
      </c>
      <c r="S69" s="75">
        <f t="shared" si="1"/>
        <v>2950</v>
      </c>
      <c r="T69" s="21">
        <v>42851</v>
      </c>
      <c r="U69" s="15">
        <v>487</v>
      </c>
      <c r="V69" s="15">
        <v>38</v>
      </c>
      <c r="W69" s="15">
        <v>487</v>
      </c>
      <c r="X69" s="15">
        <v>38</v>
      </c>
      <c r="Y69" s="105"/>
    </row>
    <row r="70" spans="1:25" x14ac:dyDescent="0.25">
      <c r="A70" s="91"/>
      <c r="B70" s="91"/>
      <c r="C70" s="92"/>
      <c r="D70" s="93"/>
      <c r="E70" s="93"/>
      <c r="F70" s="94"/>
      <c r="G70" s="92"/>
      <c r="H70" s="92"/>
      <c r="I70" s="92"/>
      <c r="J70" s="95"/>
      <c r="K70" s="95"/>
      <c r="L70" s="96"/>
      <c r="M70" s="68" t="s">
        <v>138</v>
      </c>
      <c r="N70" s="69">
        <v>8320</v>
      </c>
      <c r="O70" s="69">
        <v>100</v>
      </c>
      <c r="P70" s="69">
        <v>8320</v>
      </c>
      <c r="Q70" s="70">
        <f t="shared" si="79"/>
        <v>974</v>
      </c>
      <c r="R70" s="70">
        <f t="shared" si="79"/>
        <v>76</v>
      </c>
      <c r="S70" s="71">
        <f t="shared" si="1"/>
        <v>-1050</v>
      </c>
      <c r="T70" s="21">
        <v>42865</v>
      </c>
      <c r="U70" s="15">
        <v>487</v>
      </c>
      <c r="V70" s="15">
        <v>38</v>
      </c>
      <c r="W70" s="15">
        <v>487</v>
      </c>
      <c r="X70" s="15">
        <v>38</v>
      </c>
      <c r="Y70" s="105"/>
    </row>
    <row r="71" spans="1:25" x14ac:dyDescent="0.25">
      <c r="A71" s="91"/>
      <c r="B71" s="91"/>
      <c r="C71" s="92"/>
      <c r="D71" s="93"/>
      <c r="E71" s="93"/>
      <c r="F71" s="94"/>
      <c r="G71" s="92"/>
      <c r="H71" s="92"/>
      <c r="I71" s="92"/>
      <c r="J71" s="95"/>
      <c r="K71" s="95"/>
      <c r="L71" s="96"/>
      <c r="M71" s="68" t="s">
        <v>138</v>
      </c>
      <c r="N71" s="73">
        <v>8150</v>
      </c>
      <c r="O71" s="73">
        <v>100</v>
      </c>
      <c r="P71" s="73">
        <v>8210</v>
      </c>
      <c r="Q71" s="74">
        <f t="shared" si="79"/>
        <v>974</v>
      </c>
      <c r="R71" s="74">
        <f t="shared" si="79"/>
        <v>76</v>
      </c>
      <c r="S71" s="75">
        <f t="shared" si="1"/>
        <v>4950</v>
      </c>
      <c r="T71" s="21">
        <v>42866</v>
      </c>
      <c r="U71" s="15">
        <v>487</v>
      </c>
      <c r="V71" s="15">
        <v>38</v>
      </c>
      <c r="W71" s="15">
        <v>487</v>
      </c>
      <c r="X71" s="15">
        <v>38</v>
      </c>
      <c r="Y71" s="105"/>
    </row>
    <row r="72" spans="1:25" x14ac:dyDescent="0.25">
      <c r="A72" s="91"/>
      <c r="B72" s="91"/>
      <c r="C72" s="92"/>
      <c r="D72" s="93"/>
      <c r="E72" s="93"/>
      <c r="F72" s="94"/>
      <c r="G72" s="92"/>
      <c r="H72" s="92"/>
      <c r="I72" s="92"/>
      <c r="J72" s="95"/>
      <c r="K72" s="95"/>
      <c r="L72" s="96"/>
      <c r="M72" s="68" t="s">
        <v>138</v>
      </c>
      <c r="N72" s="73">
        <v>7780</v>
      </c>
      <c r="O72" s="73">
        <v>100</v>
      </c>
      <c r="P72" s="73">
        <v>7980</v>
      </c>
      <c r="Q72" s="74">
        <f t="shared" si="79"/>
        <v>974</v>
      </c>
      <c r="R72" s="74">
        <f t="shared" si="79"/>
        <v>76</v>
      </c>
      <c r="S72" s="75">
        <f t="shared" si="1"/>
        <v>18950</v>
      </c>
      <c r="T72" s="21">
        <v>42870</v>
      </c>
      <c r="U72" s="15">
        <v>487</v>
      </c>
      <c r="V72" s="15">
        <v>38</v>
      </c>
      <c r="W72" s="15">
        <v>487</v>
      </c>
      <c r="X72" s="15">
        <v>38</v>
      </c>
      <c r="Y72" s="105"/>
    </row>
    <row r="73" spans="1:25" x14ac:dyDescent="0.25">
      <c r="A73" s="91"/>
      <c r="B73" s="91"/>
      <c r="C73" s="92"/>
      <c r="D73" s="93"/>
      <c r="E73" s="93"/>
      <c r="F73" s="94"/>
      <c r="G73" s="92"/>
      <c r="H73" s="85"/>
      <c r="I73" s="85"/>
      <c r="J73" s="95"/>
      <c r="K73" s="95"/>
      <c r="L73" s="96"/>
      <c r="M73" s="68" t="s">
        <v>138</v>
      </c>
      <c r="N73" s="73">
        <v>7730</v>
      </c>
      <c r="O73" s="73">
        <v>100</v>
      </c>
      <c r="P73" s="73">
        <v>7760</v>
      </c>
      <c r="Q73" s="74">
        <f t="shared" ref="Q73" si="80">U73+W73</f>
        <v>974</v>
      </c>
      <c r="R73" s="74">
        <f t="shared" ref="R73" si="81">V73+X73</f>
        <v>76</v>
      </c>
      <c r="S73" s="75">
        <f t="shared" ref="S73" si="82">(P73-N73)*O73-R73-Q73</f>
        <v>1950</v>
      </c>
      <c r="T73" s="21">
        <v>42878</v>
      </c>
      <c r="U73" s="15">
        <v>487</v>
      </c>
      <c r="V73" s="15">
        <v>38</v>
      </c>
      <c r="W73" s="15">
        <v>487</v>
      </c>
      <c r="X73" s="15">
        <v>38</v>
      </c>
      <c r="Y73" s="105"/>
    </row>
    <row r="74" spans="1:25" x14ac:dyDescent="0.25">
      <c r="A74" s="91"/>
      <c r="B74" s="91"/>
      <c r="C74" s="92"/>
      <c r="D74" s="93"/>
      <c r="E74" s="93"/>
      <c r="F74" s="94"/>
      <c r="G74" s="92"/>
      <c r="H74" s="85"/>
      <c r="I74" s="85"/>
      <c r="J74" s="95"/>
      <c r="K74" s="95"/>
      <c r="L74" s="96"/>
      <c r="M74" s="68" t="s">
        <v>138</v>
      </c>
      <c r="N74" s="73">
        <v>6540</v>
      </c>
      <c r="O74" s="73">
        <v>100</v>
      </c>
      <c r="P74" s="73">
        <v>6590</v>
      </c>
      <c r="Q74" s="74">
        <f t="shared" ref="Q74" si="83">U74+W74</f>
        <v>974</v>
      </c>
      <c r="R74" s="74">
        <f t="shared" ref="R74" si="84">V74+X74</f>
        <v>76</v>
      </c>
      <c r="S74" s="75">
        <f t="shared" ref="S74" si="85">(P74-N74)*O74-R74-Q74</f>
        <v>3950</v>
      </c>
      <c r="T74" s="21">
        <v>42905</v>
      </c>
      <c r="U74" s="15">
        <v>487</v>
      </c>
      <c r="V74" s="15">
        <v>38</v>
      </c>
      <c r="W74" s="15">
        <v>487</v>
      </c>
      <c r="X74" s="15">
        <v>38</v>
      </c>
      <c r="Y74" s="105"/>
    </row>
    <row r="75" spans="1:25" x14ac:dyDescent="0.25">
      <c r="A75" s="91" t="str">
        <f>IPO監視一覧!H9</f>
        <v>D</v>
      </c>
      <c r="B75" s="91" t="str">
        <f>IPO監視一覧!B9</f>
        <v>うるる</v>
      </c>
      <c r="C75" s="92">
        <f>IPO監視一覧!G9</f>
        <v>3000</v>
      </c>
      <c r="D75" s="93">
        <v>250000</v>
      </c>
      <c r="E75" s="111">
        <v>1025800</v>
      </c>
      <c r="F75" s="94">
        <f>IPO監視一覧!T9</f>
        <v>42810</v>
      </c>
      <c r="G75" s="92">
        <f>IPO監視一覧!U9</f>
        <v>3330</v>
      </c>
      <c r="H75" s="85">
        <f>終値履歴!C9</f>
        <v>5230</v>
      </c>
      <c r="I75" s="85">
        <f>参加条件計算!C9</f>
        <v>85300</v>
      </c>
      <c r="J75" s="95">
        <f t="shared" ref="J75:J101" si="86">(G75-C75)*100*0.79685</f>
        <v>26296.05</v>
      </c>
      <c r="K75" s="95">
        <f t="shared" si="77"/>
        <v>151401.5</v>
      </c>
      <c r="L75" s="96">
        <f t="shared" ca="1" si="78"/>
        <v>87</v>
      </c>
      <c r="M75" s="68" t="s">
        <v>138</v>
      </c>
      <c r="N75" s="73">
        <v>4000</v>
      </c>
      <c r="O75" s="73">
        <v>200</v>
      </c>
      <c r="P75" s="73">
        <v>4105</v>
      </c>
      <c r="Q75" s="74">
        <f t="shared" si="79"/>
        <v>974</v>
      </c>
      <c r="R75" s="74">
        <f t="shared" si="79"/>
        <v>76</v>
      </c>
      <c r="S75" s="75">
        <f>(P75-N75)*O75-R75-Q75</f>
        <v>19950</v>
      </c>
      <c r="T75" s="21">
        <v>42817</v>
      </c>
      <c r="U75" s="15">
        <v>487</v>
      </c>
      <c r="V75" s="15">
        <v>38</v>
      </c>
      <c r="W75" s="15">
        <v>487</v>
      </c>
      <c r="X75" s="15">
        <v>38</v>
      </c>
    </row>
    <row r="76" spans="1:25" x14ac:dyDescent="0.25">
      <c r="A76" s="91"/>
      <c r="B76" s="91"/>
      <c r="C76" s="92"/>
      <c r="D76" s="93"/>
      <c r="E76" s="111"/>
      <c r="F76" s="94"/>
      <c r="G76" s="92"/>
      <c r="H76" s="92"/>
      <c r="I76" s="92"/>
      <c r="J76" s="95"/>
      <c r="K76" s="95"/>
      <c r="L76" s="96"/>
      <c r="M76" s="68" t="s">
        <v>138</v>
      </c>
      <c r="N76" s="73">
        <v>4120</v>
      </c>
      <c r="O76" s="73">
        <v>100</v>
      </c>
      <c r="P76" s="73">
        <v>4225</v>
      </c>
      <c r="Q76" s="74">
        <f t="shared" si="79"/>
        <v>544</v>
      </c>
      <c r="R76" s="74">
        <f t="shared" si="79"/>
        <v>42</v>
      </c>
      <c r="S76" s="75">
        <f>(P76-N76)*O76-R76-Q76</f>
        <v>9914</v>
      </c>
      <c r="T76" s="21">
        <v>42873</v>
      </c>
      <c r="U76" s="15">
        <v>272</v>
      </c>
      <c r="V76" s="15">
        <v>21</v>
      </c>
      <c r="W76" s="15">
        <v>272</v>
      </c>
      <c r="X76" s="15">
        <v>21</v>
      </c>
    </row>
    <row r="77" spans="1:25" x14ac:dyDescent="0.25">
      <c r="A77" s="91"/>
      <c r="B77" s="91"/>
      <c r="C77" s="92"/>
      <c r="D77" s="93"/>
      <c r="E77" s="111"/>
      <c r="F77" s="94"/>
      <c r="G77" s="92"/>
      <c r="H77" s="85"/>
      <c r="I77" s="85"/>
      <c r="J77" s="95"/>
      <c r="K77" s="95"/>
      <c r="L77" s="96"/>
      <c r="M77" s="68" t="s">
        <v>138</v>
      </c>
      <c r="N77" s="73">
        <v>4600</v>
      </c>
      <c r="O77" s="73">
        <v>100</v>
      </c>
      <c r="P77" s="73">
        <v>4625</v>
      </c>
      <c r="Q77" s="74">
        <f t="shared" ref="Q77" si="87">U77+W77</f>
        <v>544</v>
      </c>
      <c r="R77" s="74">
        <f t="shared" ref="R77" si="88">V77+X77</f>
        <v>42</v>
      </c>
      <c r="S77" s="75">
        <f>(P77-N77)*O77-R77-Q77</f>
        <v>1914</v>
      </c>
      <c r="T77" s="21">
        <v>42879</v>
      </c>
      <c r="U77" s="15">
        <v>272</v>
      </c>
      <c r="V77" s="15">
        <v>21</v>
      </c>
      <c r="W77" s="15">
        <v>272</v>
      </c>
      <c r="X77" s="15">
        <v>21</v>
      </c>
    </row>
    <row r="78" spans="1:25" x14ac:dyDescent="0.25">
      <c r="A78" s="91" t="str">
        <f>IPO監視一覧!H10</f>
        <v>A</v>
      </c>
      <c r="B78" s="91" t="str">
        <f>IPO監視一覧!B10</f>
        <v>ほぼ日</v>
      </c>
      <c r="C78" s="92">
        <f>IPO監視一覧!G10</f>
        <v>2350</v>
      </c>
      <c r="D78" s="93">
        <v>250000</v>
      </c>
      <c r="E78" s="93">
        <v>150000</v>
      </c>
      <c r="F78" s="94">
        <f>IPO監視一覧!T10</f>
        <v>42810</v>
      </c>
      <c r="G78" s="92">
        <f>IPO監視一覧!U10</f>
        <v>5360</v>
      </c>
      <c r="H78" s="85">
        <f>終値履歴!C10</f>
        <v>5300</v>
      </c>
      <c r="I78" s="85">
        <f>参加条件計算!C10</f>
        <v>29000</v>
      </c>
      <c r="J78" s="95">
        <f t="shared" si="86"/>
        <v>239851.84999999998</v>
      </c>
      <c r="K78" s="95">
        <f t="shared" si="77"/>
        <v>-6000</v>
      </c>
      <c r="L78" s="96">
        <f t="shared" ca="1" si="78"/>
        <v>87</v>
      </c>
      <c r="M78" s="68" t="s">
        <v>138</v>
      </c>
      <c r="N78" s="73">
        <v>4557.5</v>
      </c>
      <c r="O78" s="73">
        <v>200</v>
      </c>
      <c r="P78" s="73">
        <v>4595</v>
      </c>
      <c r="Q78" s="74">
        <f t="shared" si="79"/>
        <v>974</v>
      </c>
      <c r="R78" s="74">
        <f t="shared" si="79"/>
        <v>76</v>
      </c>
      <c r="S78" s="75">
        <f>(P78-N78)*O78-R78-Q78</f>
        <v>6450</v>
      </c>
      <c r="T78" s="21">
        <v>42817</v>
      </c>
      <c r="U78" s="15">
        <v>487</v>
      </c>
      <c r="V78" s="15">
        <v>38</v>
      </c>
      <c r="W78" s="15">
        <v>487</v>
      </c>
      <c r="X78" s="15">
        <v>38</v>
      </c>
    </row>
    <row r="79" spans="1:25" x14ac:dyDescent="0.25">
      <c r="A79" s="91" t="str">
        <f>IPO監視一覧!H11</f>
        <v>C</v>
      </c>
      <c r="B79" s="91" t="str">
        <f>IPO監視一覧!B11</f>
        <v>ジャパンエレベーターサービスHD</v>
      </c>
      <c r="C79" s="92">
        <f>IPO監視一覧!G11</f>
        <v>550</v>
      </c>
      <c r="D79" s="93">
        <v>1640000</v>
      </c>
      <c r="E79" s="93">
        <v>1695000</v>
      </c>
      <c r="F79" s="94">
        <f>IPO監視一覧!T11</f>
        <v>42811</v>
      </c>
      <c r="G79" s="92">
        <f>IPO監視一覧!U11</f>
        <v>890</v>
      </c>
      <c r="H79" s="85">
        <f>終値履歴!C11</f>
        <v>1629</v>
      </c>
      <c r="I79" s="85">
        <f>参加条件計算!C11</f>
        <v>28400</v>
      </c>
      <c r="J79" s="95">
        <f t="shared" si="86"/>
        <v>27092.899999999998</v>
      </c>
      <c r="K79" s="95">
        <f t="shared" si="77"/>
        <v>58887.214999999997</v>
      </c>
      <c r="L79" s="96">
        <f t="shared" ca="1" si="78"/>
        <v>86</v>
      </c>
      <c r="M79" s="68" t="s">
        <v>138</v>
      </c>
      <c r="N79" s="73">
        <v>901.8</v>
      </c>
      <c r="O79" s="73">
        <v>500</v>
      </c>
      <c r="P79" s="73">
        <v>950.4</v>
      </c>
      <c r="Q79" s="74">
        <f t="shared" si="79"/>
        <v>914</v>
      </c>
      <c r="R79" s="74">
        <f t="shared" si="79"/>
        <v>70</v>
      </c>
      <c r="S79" s="75">
        <f t="shared" si="1"/>
        <v>23316.000000000011</v>
      </c>
      <c r="T79" s="21">
        <v>42811</v>
      </c>
      <c r="U79" s="15">
        <v>457</v>
      </c>
      <c r="V79" s="15">
        <v>35</v>
      </c>
      <c r="W79" s="15">
        <v>457</v>
      </c>
      <c r="X79" s="15">
        <v>35</v>
      </c>
    </row>
    <row r="80" spans="1:25" x14ac:dyDescent="0.25">
      <c r="A80" s="91"/>
      <c r="B80" s="91"/>
      <c r="C80" s="92"/>
      <c r="D80" s="93"/>
      <c r="E80" s="93"/>
      <c r="F80" s="94"/>
      <c r="G80" s="92"/>
      <c r="H80" s="92"/>
      <c r="I80" s="92"/>
      <c r="J80" s="95"/>
      <c r="K80" s="95"/>
      <c r="L80" s="96"/>
      <c r="M80" s="68" t="s">
        <v>138</v>
      </c>
      <c r="N80" s="73">
        <v>1166.5</v>
      </c>
      <c r="O80" s="73">
        <v>800</v>
      </c>
      <c r="P80" s="73">
        <v>1220.5</v>
      </c>
      <c r="Q80" s="74">
        <f t="shared" si="79"/>
        <v>1518</v>
      </c>
      <c r="R80" s="74">
        <f t="shared" si="79"/>
        <v>118</v>
      </c>
      <c r="S80" s="75">
        <f t="shared" si="1"/>
        <v>41564</v>
      </c>
      <c r="T80" s="21">
        <v>42815</v>
      </c>
      <c r="U80" s="15">
        <v>759</v>
      </c>
      <c r="V80" s="15">
        <v>59</v>
      </c>
      <c r="W80" s="15">
        <v>759</v>
      </c>
      <c r="X80" s="15">
        <v>59</v>
      </c>
    </row>
    <row r="81" spans="1:25" x14ac:dyDescent="0.25">
      <c r="A81" s="91"/>
      <c r="B81" s="91"/>
      <c r="C81" s="92"/>
      <c r="D81" s="93"/>
      <c r="E81" s="93"/>
      <c r="F81" s="94"/>
      <c r="G81" s="92"/>
      <c r="H81" s="92"/>
      <c r="I81" s="92"/>
      <c r="J81" s="95"/>
      <c r="K81" s="95"/>
      <c r="L81" s="96"/>
      <c r="M81" s="72" t="s">
        <v>141</v>
      </c>
      <c r="N81" s="69">
        <v>1222</v>
      </c>
      <c r="O81" s="69">
        <v>100</v>
      </c>
      <c r="P81" s="69">
        <v>1183</v>
      </c>
      <c r="Q81" s="70">
        <f t="shared" si="79"/>
        <v>360</v>
      </c>
      <c r="R81" s="70">
        <f t="shared" si="79"/>
        <v>28</v>
      </c>
      <c r="S81" s="71">
        <f t="shared" si="1"/>
        <v>-4288</v>
      </c>
      <c r="T81" s="21">
        <v>42815</v>
      </c>
      <c r="U81" s="15">
        <v>180</v>
      </c>
      <c r="V81" s="15">
        <v>14</v>
      </c>
      <c r="W81" s="15">
        <v>180</v>
      </c>
      <c r="X81" s="15">
        <v>14</v>
      </c>
      <c r="Y81" s="105"/>
    </row>
    <row r="82" spans="1:25" x14ac:dyDescent="0.25">
      <c r="A82" s="91"/>
      <c r="B82" s="91"/>
      <c r="C82" s="92"/>
      <c r="D82" s="93"/>
      <c r="E82" s="93"/>
      <c r="F82" s="94"/>
      <c r="G82" s="92"/>
      <c r="H82" s="92"/>
      <c r="I82" s="92"/>
      <c r="J82" s="95"/>
      <c r="K82" s="95"/>
      <c r="L82" s="96"/>
      <c r="M82" s="68" t="s">
        <v>138</v>
      </c>
      <c r="N82" s="73">
        <v>1139</v>
      </c>
      <c r="O82" s="73">
        <v>800</v>
      </c>
      <c r="P82" s="73">
        <v>1191.8</v>
      </c>
      <c r="Q82" s="74">
        <f t="shared" si="79"/>
        <v>974</v>
      </c>
      <c r="R82" s="74">
        <f t="shared" si="79"/>
        <v>76</v>
      </c>
      <c r="S82" s="75">
        <f t="shared" si="1"/>
        <v>41189.999999999964</v>
      </c>
      <c r="T82" s="21">
        <v>42816</v>
      </c>
      <c r="U82" s="15">
        <v>487</v>
      </c>
      <c r="V82" s="15">
        <v>38</v>
      </c>
      <c r="W82" s="15">
        <v>487</v>
      </c>
      <c r="X82" s="15">
        <v>38</v>
      </c>
    </row>
    <row r="83" spans="1:25" x14ac:dyDescent="0.25">
      <c r="A83" s="91"/>
      <c r="B83" s="91"/>
      <c r="C83" s="92"/>
      <c r="D83" s="93"/>
      <c r="E83" s="93"/>
      <c r="F83" s="94"/>
      <c r="G83" s="92"/>
      <c r="H83" s="92"/>
      <c r="I83" s="92"/>
      <c r="J83" s="95"/>
      <c r="K83" s="95"/>
      <c r="L83" s="96"/>
      <c r="M83" s="72" t="s">
        <v>141</v>
      </c>
      <c r="N83" s="73">
        <v>1152</v>
      </c>
      <c r="O83" s="73">
        <v>200</v>
      </c>
      <c r="P83" s="73">
        <v>1163</v>
      </c>
      <c r="Q83" s="74">
        <f t="shared" si="79"/>
        <v>500</v>
      </c>
      <c r="R83" s="74">
        <f t="shared" si="79"/>
        <v>40</v>
      </c>
      <c r="S83" s="75">
        <f t="shared" si="1"/>
        <v>1660</v>
      </c>
      <c r="T83" s="21">
        <v>42863</v>
      </c>
      <c r="U83" s="15">
        <v>250</v>
      </c>
      <c r="V83" s="15">
        <v>20</v>
      </c>
      <c r="W83" s="15">
        <v>250</v>
      </c>
      <c r="X83" s="15">
        <v>20</v>
      </c>
    </row>
    <row r="84" spans="1:25" x14ac:dyDescent="0.25">
      <c r="A84" s="91"/>
      <c r="B84" s="91"/>
      <c r="C84" s="92"/>
      <c r="D84" s="93"/>
      <c r="E84" s="93"/>
      <c r="F84" s="94"/>
      <c r="G84" s="92"/>
      <c r="H84" s="92"/>
      <c r="I84" s="92"/>
      <c r="J84" s="95"/>
      <c r="K84" s="95"/>
      <c r="L84" s="96"/>
      <c r="M84" s="68" t="s">
        <v>138</v>
      </c>
      <c r="N84" s="73">
        <v>1378</v>
      </c>
      <c r="O84" s="73">
        <v>100</v>
      </c>
      <c r="P84" s="73">
        <v>1399</v>
      </c>
      <c r="Q84" s="74">
        <f t="shared" si="79"/>
        <v>368</v>
      </c>
      <c r="R84" s="74">
        <f t="shared" si="79"/>
        <v>30</v>
      </c>
      <c r="S84" s="75">
        <f t="shared" si="1"/>
        <v>1702</v>
      </c>
      <c r="T84" s="21">
        <v>42871</v>
      </c>
      <c r="U84" s="15">
        <v>184</v>
      </c>
      <c r="V84" s="15">
        <v>15</v>
      </c>
      <c r="W84" s="15">
        <v>184</v>
      </c>
      <c r="X84" s="15">
        <v>15</v>
      </c>
    </row>
    <row r="85" spans="1:25" x14ac:dyDescent="0.25">
      <c r="A85" s="91"/>
      <c r="B85" s="91"/>
      <c r="C85" s="92"/>
      <c r="D85" s="93"/>
      <c r="E85" s="93"/>
      <c r="F85" s="94"/>
      <c r="G85" s="92"/>
      <c r="H85" s="85"/>
      <c r="I85" s="85"/>
      <c r="J85" s="95"/>
      <c r="K85" s="95"/>
      <c r="L85" s="96"/>
      <c r="M85" s="68" t="s">
        <v>138</v>
      </c>
      <c r="N85" s="69">
        <f>(1726*5+1646*3)/8</f>
        <v>1696</v>
      </c>
      <c r="O85" s="69">
        <v>800</v>
      </c>
      <c r="P85" s="69">
        <f>(1751*1+1672.8*7)/8</f>
        <v>1682.575</v>
      </c>
      <c r="Q85" s="70">
        <f t="shared" ref="Q85" si="89">U85+W85</f>
        <v>1526</v>
      </c>
      <c r="R85" s="70">
        <f t="shared" ref="R85" si="90">V85+X85</f>
        <v>119</v>
      </c>
      <c r="S85" s="71">
        <f t="shared" ref="S85" si="91">(P85-N85)*O85-R85-Q85</f>
        <v>-12384.999999999964</v>
      </c>
      <c r="T85" s="21">
        <v>42877</v>
      </c>
      <c r="U85" s="15">
        <v>759</v>
      </c>
      <c r="V85" s="15">
        <v>59</v>
      </c>
      <c r="W85" s="15">
        <f>185+582</f>
        <v>767</v>
      </c>
      <c r="X85" s="15">
        <f>14+46</f>
        <v>60</v>
      </c>
    </row>
    <row r="86" spans="1:25" x14ac:dyDescent="0.25">
      <c r="A86" s="91"/>
      <c r="B86" s="91"/>
      <c r="C86" s="92"/>
      <c r="D86" s="93"/>
      <c r="E86" s="93"/>
      <c r="F86" s="94"/>
      <c r="G86" s="92"/>
      <c r="H86" s="85"/>
      <c r="I86" s="85"/>
      <c r="J86" s="95"/>
      <c r="K86" s="95"/>
      <c r="L86" s="96"/>
      <c r="M86" s="68" t="s">
        <v>138</v>
      </c>
      <c r="N86" s="73">
        <v>1667</v>
      </c>
      <c r="O86" s="73">
        <v>300</v>
      </c>
      <c r="P86" s="73">
        <v>1688</v>
      </c>
      <c r="Q86" s="74">
        <f t="shared" ref="Q86:Q87" si="92">U86+W86</f>
        <v>974</v>
      </c>
      <c r="R86" s="74">
        <f t="shared" ref="R86:R87" si="93">V86+X86</f>
        <v>76</v>
      </c>
      <c r="S86" s="75">
        <f t="shared" ref="S86:S87" si="94">(P86-N86)*O86-R86-Q86</f>
        <v>5250</v>
      </c>
      <c r="T86" s="21">
        <v>42879</v>
      </c>
      <c r="U86" s="15">
        <v>487</v>
      </c>
      <c r="V86" s="15">
        <v>38</v>
      </c>
      <c r="W86" s="15">
        <v>487</v>
      </c>
      <c r="X86" s="15">
        <v>38</v>
      </c>
    </row>
    <row r="87" spans="1:25" x14ac:dyDescent="0.25">
      <c r="A87" s="91"/>
      <c r="B87" s="91"/>
      <c r="C87" s="92"/>
      <c r="D87" s="93"/>
      <c r="E87" s="93"/>
      <c r="F87" s="94"/>
      <c r="G87" s="92"/>
      <c r="H87" s="85"/>
      <c r="I87" s="85"/>
      <c r="J87" s="95"/>
      <c r="K87" s="95"/>
      <c r="L87" s="96"/>
      <c r="M87" s="68" t="s">
        <v>138</v>
      </c>
      <c r="N87" s="69">
        <v>1606.8</v>
      </c>
      <c r="O87" s="69">
        <v>900</v>
      </c>
      <c r="P87" s="69">
        <v>1538.5</v>
      </c>
      <c r="Q87" s="70">
        <f t="shared" si="92"/>
        <v>1558</v>
      </c>
      <c r="R87" s="70">
        <f t="shared" si="93"/>
        <v>152</v>
      </c>
      <c r="S87" s="71">
        <f t="shared" si="94"/>
        <v>-63179.999999999956</v>
      </c>
      <c r="T87" s="21">
        <v>42881</v>
      </c>
      <c r="U87" s="15">
        <v>976</v>
      </c>
      <c r="V87" s="15">
        <v>76</v>
      </c>
      <c r="W87" s="15">
        <v>582</v>
      </c>
      <c r="X87" s="15">
        <v>76</v>
      </c>
    </row>
    <row r="88" spans="1:25" x14ac:dyDescent="0.25">
      <c r="A88" s="91" t="str">
        <f>IPO監視一覧!H12</f>
        <v>D</v>
      </c>
      <c r="B88" s="91" t="str">
        <f>IPO監視一覧!B12</f>
        <v>ビーグリー</v>
      </c>
      <c r="C88" s="92">
        <f>IPO監視一覧!G12</f>
        <v>1880</v>
      </c>
      <c r="D88" s="93">
        <v>384700</v>
      </c>
      <c r="E88" s="111">
        <v>4309900</v>
      </c>
      <c r="F88" s="94">
        <f>IPO監視一覧!T12</f>
        <v>42811</v>
      </c>
      <c r="G88" s="92">
        <f>IPO監視一覧!U12</f>
        <v>1881</v>
      </c>
      <c r="H88" s="85">
        <f>終値履歴!C12</f>
        <v>2150</v>
      </c>
      <c r="I88" s="85">
        <f>参加条件計算!C12</f>
        <v>115600</v>
      </c>
      <c r="J88" s="95">
        <f t="shared" si="86"/>
        <v>79.684999999999988</v>
      </c>
      <c r="K88" s="95">
        <f t="shared" si="77"/>
        <v>21435.264999999999</v>
      </c>
      <c r="L88" s="96">
        <f t="shared" ca="1" si="78"/>
        <v>86</v>
      </c>
      <c r="M88" s="68" t="s">
        <v>138</v>
      </c>
      <c r="N88" s="73">
        <v>2330</v>
      </c>
      <c r="O88" s="73">
        <v>300</v>
      </c>
      <c r="P88" s="73">
        <v>2365</v>
      </c>
      <c r="Q88" s="74">
        <f t="shared" si="79"/>
        <v>974</v>
      </c>
      <c r="R88" s="74">
        <f t="shared" si="79"/>
        <v>84</v>
      </c>
      <c r="S88" s="75">
        <f t="shared" si="1"/>
        <v>9442</v>
      </c>
      <c r="T88" s="21">
        <v>42817</v>
      </c>
      <c r="U88" s="15">
        <v>487</v>
      </c>
      <c r="V88" s="15">
        <v>38</v>
      </c>
      <c r="W88" s="15">
        <v>487</v>
      </c>
      <c r="X88" s="15">
        <v>46</v>
      </c>
    </row>
    <row r="89" spans="1:25" x14ac:dyDescent="0.25">
      <c r="A89" s="91"/>
      <c r="B89" s="91"/>
      <c r="C89" s="92"/>
      <c r="D89" s="93"/>
      <c r="E89" s="111"/>
      <c r="F89" s="94"/>
      <c r="G89" s="92"/>
      <c r="H89" s="92"/>
      <c r="I89" s="92"/>
      <c r="J89" s="95"/>
      <c r="K89" s="95"/>
      <c r="L89" s="96"/>
      <c r="M89" s="68" t="s">
        <v>138</v>
      </c>
      <c r="N89" s="73">
        <v>2319</v>
      </c>
      <c r="O89" s="73">
        <v>300</v>
      </c>
      <c r="P89" s="73">
        <v>2376</v>
      </c>
      <c r="Q89" s="74">
        <f t="shared" si="79"/>
        <v>974</v>
      </c>
      <c r="R89" s="74">
        <f t="shared" si="79"/>
        <v>76</v>
      </c>
      <c r="S89" s="75">
        <f t="shared" si="1"/>
        <v>16050</v>
      </c>
      <c r="T89" s="21">
        <v>42818</v>
      </c>
      <c r="U89" s="15">
        <v>487</v>
      </c>
      <c r="V89" s="15">
        <v>38</v>
      </c>
      <c r="W89" s="15">
        <v>487</v>
      </c>
      <c r="X89" s="15">
        <v>38</v>
      </c>
    </row>
    <row r="90" spans="1:25" x14ac:dyDescent="0.25">
      <c r="A90" s="91"/>
      <c r="B90" s="91"/>
      <c r="C90" s="92"/>
      <c r="D90" s="93"/>
      <c r="E90" s="111"/>
      <c r="F90" s="94"/>
      <c r="G90" s="92"/>
      <c r="H90" s="92"/>
      <c r="I90" s="92"/>
      <c r="J90" s="95"/>
      <c r="K90" s="95"/>
      <c r="L90" s="96"/>
      <c r="M90" s="68" t="s">
        <v>138</v>
      </c>
      <c r="N90" s="73">
        <v>2263</v>
      </c>
      <c r="O90" s="73">
        <v>300</v>
      </c>
      <c r="P90" s="73">
        <v>2309</v>
      </c>
      <c r="Q90" s="74">
        <f t="shared" si="79"/>
        <v>974</v>
      </c>
      <c r="R90" s="74">
        <f t="shared" si="79"/>
        <v>76</v>
      </c>
      <c r="S90" s="75">
        <f t="shared" si="1"/>
        <v>12750</v>
      </c>
      <c r="T90" s="21">
        <v>42873</v>
      </c>
      <c r="U90" s="15">
        <v>487</v>
      </c>
      <c r="V90" s="15">
        <v>38</v>
      </c>
      <c r="W90" s="15">
        <v>487</v>
      </c>
      <c r="X90" s="15">
        <v>38</v>
      </c>
    </row>
    <row r="91" spans="1:25" x14ac:dyDescent="0.25">
      <c r="A91" s="91"/>
      <c r="B91" s="91"/>
      <c r="C91" s="92"/>
      <c r="D91" s="93"/>
      <c r="E91" s="111"/>
      <c r="F91" s="94"/>
      <c r="G91" s="92"/>
      <c r="H91" s="85"/>
      <c r="I91" s="85"/>
      <c r="J91" s="95"/>
      <c r="K91" s="95"/>
      <c r="L91" s="96"/>
      <c r="M91" s="68" t="s">
        <v>138</v>
      </c>
      <c r="N91" s="73">
        <v>2380</v>
      </c>
      <c r="O91" s="73">
        <v>300</v>
      </c>
      <c r="P91" s="73">
        <v>2406</v>
      </c>
      <c r="Q91" s="74">
        <f t="shared" ref="Q91" si="95">U91+W91</f>
        <v>974</v>
      </c>
      <c r="R91" s="74">
        <f t="shared" ref="R91" si="96">V91+X91</f>
        <v>76</v>
      </c>
      <c r="S91" s="75">
        <f t="shared" ref="S91" si="97">(P91-N91)*O91-R91-Q91</f>
        <v>6750</v>
      </c>
      <c r="T91" s="21">
        <v>42878</v>
      </c>
      <c r="U91" s="15">
        <v>487</v>
      </c>
      <c r="V91" s="15">
        <v>38</v>
      </c>
      <c r="W91" s="15">
        <v>487</v>
      </c>
      <c r="X91" s="15">
        <v>38</v>
      </c>
    </row>
    <row r="92" spans="1:25" x14ac:dyDescent="0.25">
      <c r="A92" s="91"/>
      <c r="B92" s="91"/>
      <c r="C92" s="92"/>
      <c r="D92" s="93"/>
      <c r="E92" s="111"/>
      <c r="F92" s="94"/>
      <c r="G92" s="92"/>
      <c r="H92" s="85"/>
      <c r="I92" s="85"/>
      <c r="J92" s="95"/>
      <c r="K92" s="95"/>
      <c r="L92" s="96"/>
      <c r="M92" s="68" t="s">
        <v>138</v>
      </c>
      <c r="N92" s="73">
        <v>2305</v>
      </c>
      <c r="O92" s="73">
        <v>300</v>
      </c>
      <c r="P92" s="73">
        <v>2319</v>
      </c>
      <c r="Q92" s="74">
        <f t="shared" ref="Q92" si="98">U92+W92</f>
        <v>974</v>
      </c>
      <c r="R92" s="74">
        <f t="shared" ref="R92" si="99">V92+X92</f>
        <v>76</v>
      </c>
      <c r="S92" s="75">
        <f t="shared" ref="S92" si="100">(P92-N92)*O92-R92-Q92</f>
        <v>3150</v>
      </c>
      <c r="T92" s="21">
        <v>42879</v>
      </c>
      <c r="U92" s="15">
        <v>487</v>
      </c>
      <c r="V92" s="15">
        <v>38</v>
      </c>
      <c r="W92" s="15">
        <v>487</v>
      </c>
      <c r="X92" s="15">
        <v>38</v>
      </c>
    </row>
    <row r="93" spans="1:25" x14ac:dyDescent="0.25">
      <c r="A93" s="91"/>
      <c r="B93" s="91"/>
      <c r="C93" s="92"/>
      <c r="D93" s="93"/>
      <c r="E93" s="111"/>
      <c r="F93" s="94"/>
      <c r="G93" s="92"/>
      <c r="H93" s="85"/>
      <c r="I93" s="85"/>
      <c r="J93" s="95"/>
      <c r="K93" s="95"/>
      <c r="L93" s="96"/>
      <c r="M93" s="72" t="s">
        <v>141</v>
      </c>
      <c r="N93" s="73">
        <v>2306</v>
      </c>
      <c r="O93" s="73">
        <v>100</v>
      </c>
      <c r="P93" s="73">
        <v>2315</v>
      </c>
      <c r="Q93" s="74">
        <f t="shared" ref="Q93" si="101">U93+W93</f>
        <v>500</v>
      </c>
      <c r="R93" s="74">
        <f t="shared" ref="R93" si="102">V93+X93</f>
        <v>40</v>
      </c>
      <c r="S93" s="75">
        <f t="shared" ref="S93" si="103">(P93-N93)*O93-R93-Q93</f>
        <v>360</v>
      </c>
      <c r="T93" s="21">
        <v>42879</v>
      </c>
      <c r="U93" s="15">
        <v>250</v>
      </c>
      <c r="V93" s="15">
        <v>20</v>
      </c>
      <c r="W93" s="15">
        <v>250</v>
      </c>
      <c r="X93" s="15">
        <v>20</v>
      </c>
    </row>
    <row r="94" spans="1:25" x14ac:dyDescent="0.25">
      <c r="A94" s="91"/>
      <c r="B94" s="91"/>
      <c r="C94" s="92"/>
      <c r="D94" s="93"/>
      <c r="E94" s="111"/>
      <c r="F94" s="94"/>
      <c r="G94" s="92"/>
      <c r="H94" s="85"/>
      <c r="I94" s="85"/>
      <c r="J94" s="95"/>
      <c r="K94" s="95"/>
      <c r="L94" s="96"/>
      <c r="M94" s="68" t="s">
        <v>138</v>
      </c>
      <c r="N94" s="73">
        <v>2287</v>
      </c>
      <c r="O94" s="73">
        <v>500</v>
      </c>
      <c r="P94" s="73">
        <v>2326</v>
      </c>
      <c r="Q94" s="74">
        <f t="shared" ref="Q94" si="104">U94+W94</f>
        <v>1164</v>
      </c>
      <c r="R94" s="74">
        <f t="shared" ref="R94" si="105">V94+X94</f>
        <v>92</v>
      </c>
      <c r="S94" s="75">
        <f t="shared" ref="S94" si="106">(P94-N94)*O94-R94-Q94</f>
        <v>18244</v>
      </c>
      <c r="T94" s="21">
        <v>42880</v>
      </c>
      <c r="U94" s="15">
        <v>582</v>
      </c>
      <c r="V94" s="15">
        <v>46</v>
      </c>
      <c r="W94" s="15">
        <v>582</v>
      </c>
      <c r="X94" s="15">
        <v>46</v>
      </c>
    </row>
    <row r="95" spans="1:25" x14ac:dyDescent="0.25">
      <c r="A95" s="91"/>
      <c r="B95" s="91"/>
      <c r="C95" s="92"/>
      <c r="D95" s="93"/>
      <c r="E95" s="111"/>
      <c r="F95" s="94"/>
      <c r="G95" s="92"/>
      <c r="H95" s="85"/>
      <c r="I95" s="85"/>
      <c r="J95" s="95"/>
      <c r="K95" s="95"/>
      <c r="L95" s="96"/>
      <c r="M95" s="68" t="s">
        <v>138</v>
      </c>
      <c r="N95" s="73">
        <v>2406</v>
      </c>
      <c r="O95" s="73">
        <v>100</v>
      </c>
      <c r="P95" s="73">
        <v>2416</v>
      </c>
      <c r="Q95" s="74">
        <f t="shared" ref="Q95:Q96" si="107">U95+W95</f>
        <v>544</v>
      </c>
      <c r="R95" s="74">
        <f t="shared" ref="R95:R96" si="108">V95+X95</f>
        <v>42</v>
      </c>
      <c r="S95" s="75">
        <f t="shared" ref="S95:S96" si="109">(P95-N95)*O95-R95-Q95</f>
        <v>414</v>
      </c>
      <c r="T95" s="21">
        <v>42886</v>
      </c>
      <c r="U95" s="15">
        <v>272</v>
      </c>
      <c r="V95" s="15">
        <v>21</v>
      </c>
      <c r="W95" s="15">
        <v>272</v>
      </c>
      <c r="X95" s="15">
        <v>21</v>
      </c>
    </row>
    <row r="96" spans="1:25" x14ac:dyDescent="0.25">
      <c r="A96" s="91"/>
      <c r="B96" s="91"/>
      <c r="C96" s="92"/>
      <c r="D96" s="93"/>
      <c r="E96" s="111"/>
      <c r="F96" s="94"/>
      <c r="G96" s="92"/>
      <c r="H96" s="85"/>
      <c r="I96" s="85"/>
      <c r="J96" s="95"/>
      <c r="K96" s="95"/>
      <c r="L96" s="96"/>
      <c r="M96" s="68" t="s">
        <v>138</v>
      </c>
      <c r="N96" s="69">
        <v>2289</v>
      </c>
      <c r="O96" s="69">
        <v>100</v>
      </c>
      <c r="P96" s="69">
        <v>2292</v>
      </c>
      <c r="Q96" s="70">
        <f t="shared" si="107"/>
        <v>544</v>
      </c>
      <c r="R96" s="70">
        <f t="shared" si="108"/>
        <v>42</v>
      </c>
      <c r="S96" s="71">
        <f t="shared" si="109"/>
        <v>-286</v>
      </c>
      <c r="T96" s="21">
        <v>42888</v>
      </c>
      <c r="U96" s="15">
        <v>272</v>
      </c>
      <c r="V96" s="15">
        <v>21</v>
      </c>
      <c r="W96" s="15">
        <v>272</v>
      </c>
      <c r="X96" s="15">
        <v>21</v>
      </c>
    </row>
    <row r="97" spans="1:25" x14ac:dyDescent="0.25">
      <c r="A97" s="91" t="str">
        <f>IPO監視一覧!H13</f>
        <v>A</v>
      </c>
      <c r="B97" s="91" t="str">
        <f>IPO監視一覧!B13</f>
        <v>力の源HD</v>
      </c>
      <c r="C97" s="92">
        <f>IPO監視一覧!G13</f>
        <v>600</v>
      </c>
      <c r="D97" s="93">
        <v>800000</v>
      </c>
      <c r="E97" s="93">
        <v>200000</v>
      </c>
      <c r="F97" s="94">
        <f>IPO監視一覧!T13</f>
        <v>42815</v>
      </c>
      <c r="G97" s="92">
        <f>IPO監視一覧!U13</f>
        <v>2230</v>
      </c>
      <c r="H97" s="85">
        <f>終値履歴!C13</f>
        <v>2031</v>
      </c>
      <c r="I97" s="85">
        <f>参加条件計算!C13</f>
        <v>46400</v>
      </c>
      <c r="J97" s="95">
        <f t="shared" si="86"/>
        <v>129886.54999999999</v>
      </c>
      <c r="K97" s="95">
        <f t="shared" si="77"/>
        <v>-19900</v>
      </c>
      <c r="L97" s="96">
        <f t="shared" ca="1" si="78"/>
        <v>84</v>
      </c>
      <c r="M97" s="68" t="s">
        <v>138</v>
      </c>
      <c r="N97" s="73">
        <v>2981</v>
      </c>
      <c r="O97" s="73">
        <v>200</v>
      </c>
      <c r="P97" s="73">
        <v>3050</v>
      </c>
      <c r="Q97" s="74">
        <f t="shared" si="79"/>
        <v>974</v>
      </c>
      <c r="R97" s="74">
        <f t="shared" si="79"/>
        <v>76</v>
      </c>
      <c r="S97" s="75">
        <f t="shared" si="1"/>
        <v>12750</v>
      </c>
      <c r="T97" s="21">
        <v>42821</v>
      </c>
      <c r="U97" s="15">
        <v>487</v>
      </c>
      <c r="V97" s="15">
        <v>38</v>
      </c>
      <c r="W97" s="15">
        <v>487</v>
      </c>
      <c r="X97" s="15">
        <v>38</v>
      </c>
    </row>
    <row r="98" spans="1:25" x14ac:dyDescent="0.25">
      <c r="A98" s="91"/>
      <c r="B98" s="91"/>
      <c r="C98" s="92"/>
      <c r="D98" s="93"/>
      <c r="E98" s="93"/>
      <c r="F98" s="94"/>
      <c r="G98" s="92"/>
      <c r="H98" s="92"/>
      <c r="I98" s="92"/>
      <c r="J98" s="95"/>
      <c r="K98" s="95"/>
      <c r="L98" s="96"/>
      <c r="M98" s="68" t="s">
        <v>138</v>
      </c>
      <c r="N98" s="73">
        <v>2672</v>
      </c>
      <c r="O98" s="73">
        <v>300</v>
      </c>
      <c r="P98" s="73">
        <v>2735.6669999999999</v>
      </c>
      <c r="Q98" s="74">
        <f t="shared" si="79"/>
        <v>1246</v>
      </c>
      <c r="R98" s="74">
        <f t="shared" si="79"/>
        <v>97</v>
      </c>
      <c r="S98" s="75">
        <f t="shared" si="1"/>
        <v>17757.099999999977</v>
      </c>
      <c r="T98" s="21">
        <v>42822</v>
      </c>
      <c r="U98" s="15">
        <v>759</v>
      </c>
      <c r="V98" s="15">
        <v>59</v>
      </c>
      <c r="W98" s="15">
        <v>487</v>
      </c>
      <c r="X98" s="15">
        <v>38</v>
      </c>
    </row>
    <row r="99" spans="1:25" x14ac:dyDescent="0.25">
      <c r="A99" s="91"/>
      <c r="B99" s="91"/>
      <c r="C99" s="92"/>
      <c r="D99" s="93"/>
      <c r="E99" s="93"/>
      <c r="F99" s="94"/>
      <c r="G99" s="92"/>
      <c r="H99" s="92"/>
      <c r="I99" s="92"/>
      <c r="J99" s="95"/>
      <c r="K99" s="95"/>
      <c r="L99" s="96"/>
      <c r="M99" s="68" t="s">
        <v>138</v>
      </c>
      <c r="N99" s="69">
        <v>2678</v>
      </c>
      <c r="O99" s="69">
        <v>500</v>
      </c>
      <c r="P99" s="69">
        <f>(2200*200+2201*300)/500</f>
        <v>2200.6</v>
      </c>
      <c r="Q99" s="70">
        <f t="shared" si="79"/>
        <v>1436</v>
      </c>
      <c r="R99" s="70">
        <f t="shared" si="79"/>
        <v>113</v>
      </c>
      <c r="S99" s="71">
        <f t="shared" si="1"/>
        <v>-240249.00000000006</v>
      </c>
      <c r="T99" s="21">
        <v>42825</v>
      </c>
      <c r="U99" s="15">
        <v>854</v>
      </c>
      <c r="V99" s="15">
        <v>67</v>
      </c>
      <c r="W99" s="15">
        <v>582</v>
      </c>
      <c r="X99" s="15">
        <v>46</v>
      </c>
    </row>
    <row r="100" spans="1:25" x14ac:dyDescent="0.25">
      <c r="A100" s="91" t="str">
        <f>IPO監視一覧!H14</f>
        <v>A</v>
      </c>
      <c r="B100" s="91" t="str">
        <f>IPO監視一覧!B14</f>
        <v>インターネットインフィニティー</v>
      </c>
      <c r="C100" s="92">
        <f>IPO監視一覧!G14</f>
        <v>1320</v>
      </c>
      <c r="D100" s="93">
        <v>130000</v>
      </c>
      <c r="E100" s="93">
        <v>65000</v>
      </c>
      <c r="F100" s="94">
        <f>IPO監視一覧!T14</f>
        <v>42815</v>
      </c>
      <c r="G100" s="92">
        <f>IPO監視一覧!U14</f>
        <v>5040</v>
      </c>
      <c r="H100" s="85">
        <f>終値履歴!C14</f>
        <v>8170</v>
      </c>
      <c r="I100" s="85">
        <f>参加条件計算!C14</f>
        <v>110300</v>
      </c>
      <c r="J100" s="95">
        <f t="shared" si="86"/>
        <v>296428.19999999995</v>
      </c>
      <c r="K100" s="95">
        <f t="shared" si="77"/>
        <v>249414.05</v>
      </c>
      <c r="L100" s="96">
        <f t="shared" ca="1" si="78"/>
        <v>84</v>
      </c>
      <c r="M100" s="68" t="s">
        <v>138</v>
      </c>
      <c r="N100" s="69">
        <v>5110</v>
      </c>
      <c r="O100" s="69">
        <v>100</v>
      </c>
      <c r="P100" s="69">
        <v>5010</v>
      </c>
      <c r="Q100" s="70">
        <f t="shared" si="79"/>
        <v>974</v>
      </c>
      <c r="R100" s="70">
        <f t="shared" si="79"/>
        <v>76</v>
      </c>
      <c r="S100" s="71">
        <f t="shared" si="1"/>
        <v>-11050</v>
      </c>
      <c r="T100" s="21">
        <v>42818</v>
      </c>
      <c r="U100" s="15">
        <v>487</v>
      </c>
      <c r="V100" s="15">
        <v>38</v>
      </c>
      <c r="W100" s="15">
        <v>487</v>
      </c>
      <c r="X100" s="15">
        <v>38</v>
      </c>
      <c r="Y100" s="105"/>
    </row>
    <row r="101" spans="1:25" x14ac:dyDescent="0.25">
      <c r="A101" s="305" t="str">
        <f>IPO監視一覧!H15</f>
        <v>D</v>
      </c>
      <c r="B101" s="305" t="str">
        <f>IPO監視一覧!B15</f>
        <v>フルテック</v>
      </c>
      <c r="C101" s="308">
        <f>IPO監視一覧!G15</f>
        <v>600</v>
      </c>
      <c r="D101" s="309">
        <v>600000</v>
      </c>
      <c r="E101" s="309">
        <v>519200</v>
      </c>
      <c r="F101" s="310">
        <f>IPO監視一覧!T15</f>
        <v>42816</v>
      </c>
      <c r="G101" s="308">
        <f>IPO監視一覧!U15</f>
        <v>1230</v>
      </c>
      <c r="H101" s="311">
        <f>終値履歴!C15</f>
        <v>1047</v>
      </c>
      <c r="I101" s="311">
        <f>参加条件計算!C15</f>
        <v>15900</v>
      </c>
      <c r="J101" s="312">
        <f t="shared" si="86"/>
        <v>50201.549999999996</v>
      </c>
      <c r="K101" s="312">
        <f t="shared" si="77"/>
        <v>-18300</v>
      </c>
      <c r="L101" s="68">
        <f t="shared" ca="1" si="78"/>
        <v>83</v>
      </c>
      <c r="M101" s="68" t="s">
        <v>138</v>
      </c>
      <c r="N101" s="73">
        <v>1004.6</v>
      </c>
      <c r="O101" s="73">
        <v>300</v>
      </c>
      <c r="P101" s="73">
        <v>1030</v>
      </c>
      <c r="Q101" s="74">
        <f t="shared" si="79"/>
        <v>544</v>
      </c>
      <c r="R101" s="74">
        <f t="shared" si="79"/>
        <v>42</v>
      </c>
      <c r="S101" s="75">
        <f t="shared" si="1"/>
        <v>7033.9999999999927</v>
      </c>
      <c r="T101" s="21">
        <v>42816</v>
      </c>
      <c r="U101" s="15">
        <v>272</v>
      </c>
      <c r="V101" s="15">
        <v>21</v>
      </c>
      <c r="W101" s="15">
        <v>272</v>
      </c>
      <c r="X101" s="15">
        <v>21</v>
      </c>
    </row>
    <row r="102" spans="1:25" x14ac:dyDescent="0.25">
      <c r="A102" s="305" t="str">
        <f>IPO監視一覧!H16</f>
        <v>D</v>
      </c>
      <c r="B102" s="305" t="str">
        <f>IPO監視一覧!B16</f>
        <v>マクロミル</v>
      </c>
      <c r="C102" s="308">
        <f>IPO監視一覧!G16</f>
        <v>1950</v>
      </c>
      <c r="D102" s="309">
        <v>487800</v>
      </c>
      <c r="E102" s="313">
        <v>25017200</v>
      </c>
      <c r="F102" s="310">
        <f>IPO監視一覧!T16</f>
        <v>42816</v>
      </c>
      <c r="G102" s="308">
        <f>IPO監視一覧!U16</f>
        <v>1867</v>
      </c>
      <c r="H102" s="311">
        <f>終値履歴!C16</f>
        <v>2692</v>
      </c>
      <c r="I102" s="311">
        <f>参加条件計算!C16</f>
        <v>111000</v>
      </c>
      <c r="J102" s="312">
        <f>IF((G102-C102)&gt;0,(G102-C102)*100*0.79685,(G102-C102)*100)</f>
        <v>-8300</v>
      </c>
      <c r="K102" s="312">
        <f t="shared" si="77"/>
        <v>65740.125</v>
      </c>
      <c r="L102" s="68">
        <f t="shared" ca="1" si="78"/>
        <v>83</v>
      </c>
      <c r="M102" s="112" t="s">
        <v>58</v>
      </c>
      <c r="N102" s="69">
        <v>1950</v>
      </c>
      <c r="O102" s="69">
        <v>100</v>
      </c>
      <c r="P102" s="69">
        <v>1725</v>
      </c>
      <c r="Q102" s="69">
        <f t="shared" si="79"/>
        <v>1000</v>
      </c>
      <c r="R102" s="69">
        <f t="shared" si="79"/>
        <v>80</v>
      </c>
      <c r="S102" s="71">
        <f t="shared" si="1"/>
        <v>-23580</v>
      </c>
      <c r="T102" s="21">
        <v>42816</v>
      </c>
      <c r="U102" s="15">
        <v>0</v>
      </c>
      <c r="V102" s="15">
        <v>0</v>
      </c>
      <c r="W102" s="15">
        <v>1000</v>
      </c>
      <c r="X102" s="15">
        <v>80</v>
      </c>
      <c r="Y102" s="105"/>
    </row>
    <row r="103" spans="1:25" x14ac:dyDescent="0.25">
      <c r="A103" s="305" t="str">
        <f>IPO監視一覧!H17</f>
        <v>D</v>
      </c>
      <c r="B103" s="305" t="str">
        <f>IPO監視一覧!B17</f>
        <v>グリーンズ</v>
      </c>
      <c r="C103" s="308">
        <f>IPO監視一覧!G17</f>
        <v>1400</v>
      </c>
      <c r="D103" s="309">
        <v>2000000</v>
      </c>
      <c r="E103" s="309">
        <v>2400000</v>
      </c>
      <c r="F103" s="310">
        <f>IPO監視一覧!T17</f>
        <v>42817</v>
      </c>
      <c r="G103" s="308">
        <f>IPO監視一覧!U17</f>
        <v>1521</v>
      </c>
      <c r="H103" s="311">
        <f>終値履歴!C17</f>
        <v>1437</v>
      </c>
      <c r="I103" s="311">
        <f>参加条件計算!C17</f>
        <v>22600</v>
      </c>
      <c r="J103" s="312">
        <f t="shared" ref="J103:J175" si="110">IF((G103-C103)&gt;0,(G103-C103)*100*0.79685,(G103-C103)*100)</f>
        <v>9641.8850000000002</v>
      </c>
      <c r="K103" s="312">
        <f t="shared" si="77"/>
        <v>-8400</v>
      </c>
      <c r="L103" s="68">
        <f ca="1">NETWORKDAYS(F103,TODAY())</f>
        <v>82</v>
      </c>
      <c r="M103" s="112" t="s">
        <v>58</v>
      </c>
      <c r="N103" s="73">
        <v>1400</v>
      </c>
      <c r="O103" s="73">
        <v>100</v>
      </c>
      <c r="P103" s="73">
        <v>1521</v>
      </c>
      <c r="Q103" s="73">
        <f t="shared" si="79"/>
        <v>1000</v>
      </c>
      <c r="R103" s="73">
        <f t="shared" si="79"/>
        <v>80</v>
      </c>
      <c r="S103" s="75">
        <f t="shared" si="1"/>
        <v>11020</v>
      </c>
      <c r="T103" s="21">
        <v>42817</v>
      </c>
      <c r="U103" s="15">
        <v>0</v>
      </c>
      <c r="V103" s="15">
        <v>0</v>
      </c>
      <c r="W103" s="15">
        <v>1000</v>
      </c>
      <c r="X103" s="15">
        <v>80</v>
      </c>
    </row>
    <row r="104" spans="1:25" x14ac:dyDescent="0.25">
      <c r="A104" s="91" t="str">
        <f>IPO監視一覧!H18</f>
        <v>C</v>
      </c>
      <c r="B104" s="91" t="str">
        <f>IPO監視一覧!B18</f>
        <v>オロ</v>
      </c>
      <c r="C104" s="92">
        <f>IPO監視一覧!G18</f>
        <v>2070</v>
      </c>
      <c r="D104" s="93">
        <v>1000000</v>
      </c>
      <c r="E104" s="93">
        <v>0</v>
      </c>
      <c r="F104" s="94">
        <f>IPO監視一覧!T18</f>
        <v>42818</v>
      </c>
      <c r="G104" s="92">
        <f>IPO監視一覧!U18</f>
        <v>4750</v>
      </c>
      <c r="H104" s="85">
        <f>終値履歴!C18</f>
        <v>3185</v>
      </c>
      <c r="I104" s="85">
        <f>参加条件計算!C18</f>
        <v>4800</v>
      </c>
      <c r="J104" s="95">
        <f t="shared" si="110"/>
        <v>213555.8</v>
      </c>
      <c r="K104" s="95">
        <f t="shared" si="77"/>
        <v>-156500</v>
      </c>
      <c r="L104" s="96">
        <f t="shared" ca="1" si="78"/>
        <v>81</v>
      </c>
      <c r="M104" s="68" t="s">
        <v>138</v>
      </c>
      <c r="N104" s="73">
        <v>4110</v>
      </c>
      <c r="O104" s="73">
        <v>100</v>
      </c>
      <c r="P104" s="73">
        <v>4290</v>
      </c>
      <c r="Q104" s="73">
        <f t="shared" si="79"/>
        <v>544</v>
      </c>
      <c r="R104" s="73">
        <f t="shared" si="79"/>
        <v>42</v>
      </c>
      <c r="S104" s="75">
        <f t="shared" si="1"/>
        <v>17414</v>
      </c>
      <c r="T104" s="21">
        <v>42821</v>
      </c>
      <c r="U104" s="15">
        <v>272</v>
      </c>
      <c r="V104" s="15">
        <v>21</v>
      </c>
      <c r="W104" s="15">
        <v>272</v>
      </c>
      <c r="X104" s="15">
        <v>21</v>
      </c>
    </row>
    <row r="105" spans="1:25" x14ac:dyDescent="0.25">
      <c r="A105" s="91"/>
      <c r="B105" s="91"/>
      <c r="C105" s="92"/>
      <c r="D105" s="93"/>
      <c r="E105" s="93"/>
      <c r="F105" s="94"/>
      <c r="G105" s="92"/>
      <c r="H105" s="92"/>
      <c r="I105" s="92"/>
      <c r="J105" s="95"/>
      <c r="K105" s="95"/>
      <c r="L105" s="96"/>
      <c r="M105" s="68" t="s">
        <v>138</v>
      </c>
      <c r="N105" s="73">
        <v>3720</v>
      </c>
      <c r="O105" s="73">
        <v>200</v>
      </c>
      <c r="P105" s="73">
        <v>3730</v>
      </c>
      <c r="Q105" s="73">
        <f t="shared" si="79"/>
        <v>974</v>
      </c>
      <c r="R105" s="73">
        <f t="shared" si="79"/>
        <v>76</v>
      </c>
      <c r="S105" s="75">
        <f t="shared" si="1"/>
        <v>950</v>
      </c>
      <c r="T105" s="21">
        <v>42823</v>
      </c>
      <c r="U105" s="15">
        <v>487</v>
      </c>
      <c r="V105" s="15">
        <v>38</v>
      </c>
      <c r="W105" s="15">
        <v>487</v>
      </c>
      <c r="X105" s="15">
        <v>38</v>
      </c>
    </row>
    <row r="106" spans="1:25" x14ac:dyDescent="0.25">
      <c r="A106" s="91" t="str">
        <f>IPO監視一覧!H19</f>
        <v>D</v>
      </c>
      <c r="B106" s="91" t="str">
        <f>IPO監視一覧!B19</f>
        <v>ソレイジア・ファーマ</v>
      </c>
      <c r="C106" s="92">
        <f>IPO監視一覧!G19</f>
        <v>185</v>
      </c>
      <c r="D106" s="93">
        <v>19437500</v>
      </c>
      <c r="E106" s="93">
        <v>0</v>
      </c>
      <c r="F106" s="94">
        <f>IPO監視一覧!T19</f>
        <v>42818</v>
      </c>
      <c r="G106" s="92">
        <f>IPO監視一覧!U19</f>
        <v>234</v>
      </c>
      <c r="H106" s="85">
        <f>終値履歴!C19</f>
        <v>409</v>
      </c>
      <c r="I106" s="85">
        <f>参加条件計算!C19</f>
        <v>4787400</v>
      </c>
      <c r="J106" s="95">
        <f t="shared" si="110"/>
        <v>3904.5649999999996</v>
      </c>
      <c r="K106" s="95">
        <f>IF((H106-G106)&gt;0,(H106-G106)*100*0.79685,(H106-G106)*100)</f>
        <v>13944.874999999998</v>
      </c>
      <c r="L106" s="96">
        <f t="shared" ca="1" si="78"/>
        <v>81</v>
      </c>
      <c r="M106" s="68" t="s">
        <v>138</v>
      </c>
      <c r="N106" s="73">
        <v>273</v>
      </c>
      <c r="O106" s="73">
        <v>2000</v>
      </c>
      <c r="P106" s="73">
        <v>280</v>
      </c>
      <c r="Q106" s="73">
        <f t="shared" si="79"/>
        <v>949</v>
      </c>
      <c r="R106" s="73">
        <f t="shared" si="79"/>
        <v>74</v>
      </c>
      <c r="S106" s="75">
        <f t="shared" si="1"/>
        <v>12977</v>
      </c>
      <c r="T106" s="21">
        <v>42818</v>
      </c>
      <c r="U106" s="15">
        <v>487</v>
      </c>
      <c r="V106" s="15">
        <v>38</v>
      </c>
      <c r="W106" s="15">
        <v>462</v>
      </c>
      <c r="X106" s="15">
        <v>36</v>
      </c>
    </row>
    <row r="107" spans="1:25" x14ac:dyDescent="0.25">
      <c r="A107" s="91"/>
      <c r="B107" s="91"/>
      <c r="C107" s="92"/>
      <c r="D107" s="93"/>
      <c r="E107" s="93"/>
      <c r="F107" s="94"/>
      <c r="G107" s="92"/>
      <c r="H107" s="92"/>
      <c r="I107" s="92"/>
      <c r="J107" s="95"/>
      <c r="K107" s="95"/>
      <c r="L107" s="96"/>
      <c r="M107" s="68" t="s">
        <v>138</v>
      </c>
      <c r="N107" s="69">
        <v>256</v>
      </c>
      <c r="O107" s="69">
        <v>2000</v>
      </c>
      <c r="P107" s="69">
        <v>231</v>
      </c>
      <c r="Q107" s="69">
        <f t="shared" si="79"/>
        <v>759</v>
      </c>
      <c r="R107" s="69">
        <f t="shared" si="79"/>
        <v>59</v>
      </c>
      <c r="S107" s="71">
        <f t="shared" si="1"/>
        <v>-50818</v>
      </c>
      <c r="T107" s="21">
        <v>42821</v>
      </c>
      <c r="U107" s="15">
        <v>487</v>
      </c>
      <c r="V107" s="15">
        <v>38</v>
      </c>
      <c r="W107" s="15">
        <v>272</v>
      </c>
      <c r="X107" s="15">
        <v>21</v>
      </c>
      <c r="Y107" s="105"/>
    </row>
    <row r="108" spans="1:25" x14ac:dyDescent="0.25">
      <c r="A108" s="91"/>
      <c r="B108" s="91"/>
      <c r="C108" s="92"/>
      <c r="D108" s="93"/>
      <c r="E108" s="93"/>
      <c r="F108" s="94"/>
      <c r="G108" s="92"/>
      <c r="H108" s="92"/>
      <c r="I108" s="92"/>
      <c r="J108" s="95"/>
      <c r="K108" s="95"/>
      <c r="L108" s="96"/>
      <c r="M108" s="68" t="s">
        <v>138</v>
      </c>
      <c r="N108" s="73">
        <v>320</v>
      </c>
      <c r="O108" s="73">
        <v>2000</v>
      </c>
      <c r="P108" s="73">
        <v>321</v>
      </c>
      <c r="Q108" s="73">
        <f t="shared" si="79"/>
        <v>974</v>
      </c>
      <c r="R108" s="73">
        <f t="shared" si="79"/>
        <v>76</v>
      </c>
      <c r="S108" s="75">
        <f t="shared" si="1"/>
        <v>950</v>
      </c>
      <c r="T108" s="21">
        <v>42832</v>
      </c>
      <c r="U108" s="15">
        <v>487</v>
      </c>
      <c r="V108" s="15">
        <v>38</v>
      </c>
      <c r="W108" s="15">
        <v>487</v>
      </c>
      <c r="X108" s="15">
        <v>38</v>
      </c>
      <c r="Y108" s="105"/>
    </row>
    <row r="109" spans="1:25" x14ac:dyDescent="0.25">
      <c r="A109" s="91"/>
      <c r="B109" s="91"/>
      <c r="C109" s="92"/>
      <c r="D109" s="93"/>
      <c r="E109" s="93"/>
      <c r="F109" s="94"/>
      <c r="G109" s="92"/>
      <c r="H109" s="92"/>
      <c r="I109" s="92"/>
      <c r="J109" s="95"/>
      <c r="K109" s="95"/>
      <c r="L109" s="96"/>
      <c r="M109" s="68" t="s">
        <v>138</v>
      </c>
      <c r="N109" s="73">
        <v>386</v>
      </c>
      <c r="O109" s="73">
        <v>2000</v>
      </c>
      <c r="P109" s="73">
        <v>388</v>
      </c>
      <c r="Q109" s="73">
        <f t="shared" si="79"/>
        <v>974</v>
      </c>
      <c r="R109" s="73">
        <f t="shared" si="79"/>
        <v>76</v>
      </c>
      <c r="S109" s="75">
        <f t="shared" si="1"/>
        <v>2950</v>
      </c>
      <c r="T109" s="21">
        <v>42836</v>
      </c>
      <c r="U109" s="15">
        <v>487</v>
      </c>
      <c r="V109" s="15">
        <v>38</v>
      </c>
      <c r="W109" s="15">
        <v>487</v>
      </c>
      <c r="X109" s="15">
        <v>38</v>
      </c>
      <c r="Y109" s="105"/>
    </row>
    <row r="110" spans="1:25" x14ac:dyDescent="0.25">
      <c r="A110" s="91"/>
      <c r="B110" s="91"/>
      <c r="C110" s="92"/>
      <c r="D110" s="93"/>
      <c r="E110" s="93"/>
      <c r="F110" s="94"/>
      <c r="G110" s="92"/>
      <c r="H110" s="92"/>
      <c r="I110" s="92"/>
      <c r="J110" s="95"/>
      <c r="K110" s="95"/>
      <c r="L110" s="96"/>
      <c r="M110" s="68" t="s">
        <v>138</v>
      </c>
      <c r="N110" s="73">
        <v>402</v>
      </c>
      <c r="O110" s="73">
        <v>2000</v>
      </c>
      <c r="P110" s="73">
        <v>405</v>
      </c>
      <c r="Q110" s="73">
        <f t="shared" si="79"/>
        <v>974</v>
      </c>
      <c r="R110" s="73">
        <f t="shared" si="79"/>
        <v>76</v>
      </c>
      <c r="S110" s="75">
        <f t="shared" si="1"/>
        <v>4950</v>
      </c>
      <c r="T110" s="21">
        <v>42837</v>
      </c>
      <c r="U110" s="15">
        <v>487</v>
      </c>
      <c r="V110" s="15">
        <v>38</v>
      </c>
      <c r="W110" s="15">
        <v>487</v>
      </c>
      <c r="X110" s="15">
        <v>38</v>
      </c>
      <c r="Y110" s="105"/>
    </row>
    <row r="111" spans="1:25" x14ac:dyDescent="0.25">
      <c r="A111" s="91"/>
      <c r="B111" s="91"/>
      <c r="C111" s="92"/>
      <c r="D111" s="93"/>
      <c r="E111" s="93"/>
      <c r="F111" s="94"/>
      <c r="G111" s="92"/>
      <c r="H111" s="92"/>
      <c r="I111" s="92"/>
      <c r="J111" s="95"/>
      <c r="K111" s="95"/>
      <c r="L111" s="96"/>
      <c r="M111" s="68" t="s">
        <v>138</v>
      </c>
      <c r="N111" s="73">
        <v>378</v>
      </c>
      <c r="O111" s="73">
        <v>2000</v>
      </c>
      <c r="P111" s="73">
        <v>384</v>
      </c>
      <c r="Q111" s="73">
        <f t="shared" si="79"/>
        <v>974</v>
      </c>
      <c r="R111" s="73">
        <f t="shared" si="79"/>
        <v>76</v>
      </c>
      <c r="S111" s="75">
        <f t="shared" si="1"/>
        <v>10950</v>
      </c>
      <c r="T111" s="21">
        <v>42838</v>
      </c>
      <c r="U111" s="15">
        <v>487</v>
      </c>
      <c r="V111" s="15">
        <v>38</v>
      </c>
      <c r="W111" s="15">
        <v>487</v>
      </c>
      <c r="X111" s="15">
        <v>38</v>
      </c>
      <c r="Y111" s="105"/>
    </row>
    <row r="112" spans="1:25" x14ac:dyDescent="0.25">
      <c r="A112" s="91"/>
      <c r="B112" s="91"/>
      <c r="C112" s="92"/>
      <c r="D112" s="93"/>
      <c r="E112" s="93"/>
      <c r="F112" s="94"/>
      <c r="G112" s="92"/>
      <c r="H112" s="92"/>
      <c r="I112" s="92"/>
      <c r="J112" s="95"/>
      <c r="K112" s="95"/>
      <c r="L112" s="96"/>
      <c r="M112" s="68" t="s">
        <v>138</v>
      </c>
      <c r="N112" s="73">
        <v>407</v>
      </c>
      <c r="O112" s="73">
        <v>2000</v>
      </c>
      <c r="P112" s="73">
        <v>417</v>
      </c>
      <c r="Q112" s="73">
        <f t="shared" si="79"/>
        <v>974</v>
      </c>
      <c r="R112" s="73">
        <f t="shared" si="79"/>
        <v>76</v>
      </c>
      <c r="S112" s="75">
        <f t="shared" si="1"/>
        <v>18950</v>
      </c>
      <c r="T112" s="21">
        <v>42839</v>
      </c>
      <c r="U112" s="15">
        <v>487</v>
      </c>
      <c r="V112" s="15">
        <v>38</v>
      </c>
      <c r="W112" s="15">
        <v>487</v>
      </c>
      <c r="X112" s="15">
        <v>38</v>
      </c>
      <c r="Y112" s="105"/>
    </row>
    <row r="113" spans="1:25" x14ac:dyDescent="0.25">
      <c r="A113" s="91"/>
      <c r="B113" s="91"/>
      <c r="C113" s="92"/>
      <c r="D113" s="93"/>
      <c r="E113" s="93"/>
      <c r="F113" s="94"/>
      <c r="G113" s="92"/>
      <c r="H113" s="92"/>
      <c r="I113" s="92"/>
      <c r="J113" s="95"/>
      <c r="K113" s="95"/>
      <c r="L113" s="96"/>
      <c r="M113" s="68" t="s">
        <v>138</v>
      </c>
      <c r="N113" s="73">
        <v>434</v>
      </c>
      <c r="O113" s="73">
        <v>2000</v>
      </c>
      <c r="P113" s="73">
        <v>437</v>
      </c>
      <c r="Q113" s="73">
        <f t="shared" si="79"/>
        <v>974</v>
      </c>
      <c r="R113" s="73">
        <f t="shared" si="79"/>
        <v>76</v>
      </c>
      <c r="S113" s="75">
        <f t="shared" si="1"/>
        <v>4950</v>
      </c>
      <c r="T113" s="21">
        <v>42843</v>
      </c>
      <c r="U113" s="15">
        <v>487</v>
      </c>
      <c r="V113" s="15">
        <v>38</v>
      </c>
      <c r="W113" s="15">
        <v>487</v>
      </c>
      <c r="X113" s="15">
        <v>38</v>
      </c>
      <c r="Y113" s="105"/>
    </row>
    <row r="114" spans="1:25" x14ac:dyDescent="0.25">
      <c r="A114" s="91"/>
      <c r="B114" s="91"/>
      <c r="C114" s="92"/>
      <c r="D114" s="93"/>
      <c r="E114" s="93"/>
      <c r="F114" s="94"/>
      <c r="G114" s="92"/>
      <c r="H114" s="92"/>
      <c r="I114" s="92"/>
      <c r="J114" s="95"/>
      <c r="K114" s="95"/>
      <c r="L114" s="96"/>
      <c r="M114" s="68" t="s">
        <v>138</v>
      </c>
      <c r="N114" s="73">
        <v>532</v>
      </c>
      <c r="O114" s="73">
        <v>600</v>
      </c>
      <c r="P114" s="73">
        <v>539</v>
      </c>
      <c r="Q114" s="73">
        <f t="shared" si="79"/>
        <v>544</v>
      </c>
      <c r="R114" s="73">
        <f t="shared" si="79"/>
        <v>42</v>
      </c>
      <c r="S114" s="75">
        <f t="shared" si="1"/>
        <v>3614</v>
      </c>
      <c r="T114" s="21">
        <v>42844</v>
      </c>
      <c r="U114" s="15">
        <v>272</v>
      </c>
      <c r="V114" s="15">
        <v>21</v>
      </c>
      <c r="W114" s="15">
        <v>272</v>
      </c>
      <c r="X114" s="15">
        <v>21</v>
      </c>
      <c r="Y114" s="105"/>
    </row>
    <row r="115" spans="1:25" x14ac:dyDescent="0.25">
      <c r="A115" s="91"/>
      <c r="B115" s="91"/>
      <c r="C115" s="92"/>
      <c r="D115" s="93"/>
      <c r="E115" s="93"/>
      <c r="F115" s="94"/>
      <c r="G115" s="92"/>
      <c r="H115" s="92"/>
      <c r="I115" s="92"/>
      <c r="J115" s="95"/>
      <c r="K115" s="95"/>
      <c r="L115" s="96"/>
      <c r="M115" s="72" t="s">
        <v>141</v>
      </c>
      <c r="N115" s="73">
        <v>615</v>
      </c>
      <c r="O115" s="73">
        <v>500</v>
      </c>
      <c r="P115" s="73">
        <v>626</v>
      </c>
      <c r="Q115" s="73">
        <f t="shared" si="79"/>
        <v>700</v>
      </c>
      <c r="R115" s="73">
        <f t="shared" si="79"/>
        <v>56</v>
      </c>
      <c r="S115" s="75">
        <f t="shared" si="1"/>
        <v>4744</v>
      </c>
      <c r="T115" s="21">
        <v>42845</v>
      </c>
      <c r="U115" s="15">
        <v>350</v>
      </c>
      <c r="V115" s="15">
        <v>28</v>
      </c>
      <c r="W115" s="15">
        <v>350</v>
      </c>
      <c r="X115" s="15">
        <v>28</v>
      </c>
      <c r="Y115" s="105"/>
    </row>
    <row r="116" spans="1:25" x14ac:dyDescent="0.25">
      <c r="A116" s="91"/>
      <c r="B116" s="91"/>
      <c r="C116" s="92"/>
      <c r="D116" s="93"/>
      <c r="E116" s="93"/>
      <c r="F116" s="94"/>
      <c r="G116" s="92"/>
      <c r="H116" s="92"/>
      <c r="I116" s="92"/>
      <c r="J116" s="95"/>
      <c r="K116" s="95"/>
      <c r="L116" s="96"/>
      <c r="M116" s="68" t="s">
        <v>138</v>
      </c>
      <c r="N116" s="73">
        <v>602</v>
      </c>
      <c r="O116" s="73">
        <v>2500</v>
      </c>
      <c r="P116" s="73">
        <v>618.4</v>
      </c>
      <c r="Q116" s="73">
        <f t="shared" si="79"/>
        <v>1708</v>
      </c>
      <c r="R116" s="73">
        <f t="shared" si="79"/>
        <v>134</v>
      </c>
      <c r="S116" s="75">
        <f t="shared" si="1"/>
        <v>39157.999999999942</v>
      </c>
      <c r="T116" s="21">
        <v>42845</v>
      </c>
      <c r="U116" s="15">
        <v>854</v>
      </c>
      <c r="V116" s="15">
        <v>67</v>
      </c>
      <c r="W116" s="15">
        <v>854</v>
      </c>
      <c r="X116" s="15">
        <v>67</v>
      </c>
      <c r="Y116" s="105"/>
    </row>
    <row r="117" spans="1:25" x14ac:dyDescent="0.25">
      <c r="A117" s="91"/>
      <c r="B117" s="91"/>
      <c r="C117" s="92"/>
      <c r="D117" s="93"/>
      <c r="E117" s="93"/>
      <c r="F117" s="94"/>
      <c r="G117" s="92"/>
      <c r="H117" s="92"/>
      <c r="I117" s="92"/>
      <c r="J117" s="95"/>
      <c r="K117" s="95"/>
      <c r="L117" s="96"/>
      <c r="M117" s="68" t="s">
        <v>138</v>
      </c>
      <c r="N117" s="73">
        <v>592.70000000000005</v>
      </c>
      <c r="O117" s="73">
        <v>2500</v>
      </c>
      <c r="P117" s="73">
        <v>606.79999999999995</v>
      </c>
      <c r="Q117" s="73">
        <f t="shared" si="79"/>
        <v>1923</v>
      </c>
      <c r="R117" s="73">
        <f t="shared" si="79"/>
        <v>150</v>
      </c>
      <c r="S117" s="75">
        <f t="shared" si="1"/>
        <v>33176.999999999774</v>
      </c>
      <c r="T117" s="21">
        <v>42846</v>
      </c>
      <c r="U117" s="15">
        <v>974</v>
      </c>
      <c r="V117" s="15">
        <v>76</v>
      </c>
      <c r="W117" s="15">
        <v>949</v>
      </c>
      <c r="X117" s="15">
        <v>74</v>
      </c>
      <c r="Y117" s="105"/>
    </row>
    <row r="118" spans="1:25" x14ac:dyDescent="0.25">
      <c r="A118" s="91"/>
      <c r="B118" s="91"/>
      <c r="C118" s="92"/>
      <c r="D118" s="93"/>
      <c r="E118" s="93"/>
      <c r="F118" s="94"/>
      <c r="G118" s="92"/>
      <c r="H118" s="92"/>
      <c r="I118" s="92"/>
      <c r="J118" s="95"/>
      <c r="K118" s="95"/>
      <c r="L118" s="96"/>
      <c r="M118" s="68" t="s">
        <v>138</v>
      </c>
      <c r="N118" s="73">
        <v>513</v>
      </c>
      <c r="O118" s="73">
        <v>1200</v>
      </c>
      <c r="P118" s="73">
        <v>523</v>
      </c>
      <c r="Q118" s="73">
        <f t="shared" si="79"/>
        <v>974</v>
      </c>
      <c r="R118" s="73">
        <f t="shared" si="79"/>
        <v>76</v>
      </c>
      <c r="S118" s="75">
        <f t="shared" si="1"/>
        <v>10950</v>
      </c>
      <c r="T118" s="21">
        <v>42850</v>
      </c>
      <c r="U118" s="15">
        <v>487</v>
      </c>
      <c r="V118" s="15">
        <v>38</v>
      </c>
      <c r="W118" s="15">
        <v>487</v>
      </c>
      <c r="X118" s="15">
        <v>38</v>
      </c>
      <c r="Y118" s="105"/>
    </row>
    <row r="119" spans="1:25" x14ac:dyDescent="0.25">
      <c r="A119" s="91"/>
      <c r="B119" s="91"/>
      <c r="C119" s="92"/>
      <c r="D119" s="93"/>
      <c r="E119" s="93"/>
      <c r="F119" s="94"/>
      <c r="G119" s="92"/>
      <c r="H119" s="92"/>
      <c r="I119" s="92"/>
      <c r="J119" s="95"/>
      <c r="K119" s="95"/>
      <c r="L119" s="96"/>
      <c r="M119" s="68" t="s">
        <v>138</v>
      </c>
      <c r="N119" s="73">
        <v>486</v>
      </c>
      <c r="O119" s="73">
        <v>2000</v>
      </c>
      <c r="P119" s="73">
        <v>492</v>
      </c>
      <c r="Q119" s="73">
        <f t="shared" si="79"/>
        <v>974</v>
      </c>
      <c r="R119" s="73">
        <f t="shared" si="79"/>
        <v>76</v>
      </c>
      <c r="S119" s="75">
        <f t="shared" si="1"/>
        <v>10950</v>
      </c>
      <c r="T119" s="21">
        <v>42850</v>
      </c>
      <c r="U119" s="15">
        <v>487</v>
      </c>
      <c r="V119" s="15">
        <v>38</v>
      </c>
      <c r="W119" s="15">
        <v>487</v>
      </c>
      <c r="X119" s="15">
        <v>38</v>
      </c>
      <c r="Y119" s="105"/>
    </row>
    <row r="120" spans="1:25" x14ac:dyDescent="0.25">
      <c r="A120" s="91"/>
      <c r="B120" s="91"/>
      <c r="C120" s="92"/>
      <c r="D120" s="93"/>
      <c r="E120" s="93"/>
      <c r="F120" s="94"/>
      <c r="G120" s="92"/>
      <c r="H120" s="92"/>
      <c r="I120" s="92"/>
      <c r="J120" s="95"/>
      <c r="K120" s="95"/>
      <c r="L120" s="96"/>
      <c r="M120" s="72" t="s">
        <v>141</v>
      </c>
      <c r="N120" s="73">
        <v>620</v>
      </c>
      <c r="O120" s="73">
        <v>400</v>
      </c>
      <c r="P120" s="73">
        <v>631</v>
      </c>
      <c r="Q120" s="73">
        <f t="shared" si="79"/>
        <v>500</v>
      </c>
      <c r="R120" s="73">
        <f t="shared" si="79"/>
        <v>40</v>
      </c>
      <c r="S120" s="75">
        <f t="shared" si="1"/>
        <v>3860</v>
      </c>
      <c r="T120" s="21">
        <v>42864</v>
      </c>
      <c r="U120" s="15">
        <v>250</v>
      </c>
      <c r="V120" s="15">
        <v>20</v>
      </c>
      <c r="W120" s="15">
        <v>250</v>
      </c>
      <c r="X120" s="15">
        <v>20</v>
      </c>
      <c r="Y120" s="105"/>
    </row>
    <row r="121" spans="1:25" x14ac:dyDescent="0.25">
      <c r="A121" s="91"/>
      <c r="B121" s="91"/>
      <c r="C121" s="92"/>
      <c r="D121" s="93"/>
      <c r="E121" s="93"/>
      <c r="F121" s="94"/>
      <c r="G121" s="92"/>
      <c r="H121" s="92"/>
      <c r="I121" s="92"/>
      <c r="J121" s="95"/>
      <c r="K121" s="95"/>
      <c r="L121" s="96"/>
      <c r="M121" s="68" t="s">
        <v>138</v>
      </c>
      <c r="N121" s="73">
        <v>558</v>
      </c>
      <c r="O121" s="73">
        <v>900</v>
      </c>
      <c r="P121" s="73">
        <v>580</v>
      </c>
      <c r="Q121" s="73">
        <f t="shared" si="79"/>
        <v>949</v>
      </c>
      <c r="R121" s="73">
        <f t="shared" si="79"/>
        <v>74</v>
      </c>
      <c r="S121" s="75">
        <f t="shared" si="1"/>
        <v>18777</v>
      </c>
      <c r="T121" s="21">
        <v>42864</v>
      </c>
      <c r="U121" s="15">
        <v>462</v>
      </c>
      <c r="V121" s="15">
        <v>36</v>
      </c>
      <c r="W121" s="15">
        <v>487</v>
      </c>
      <c r="X121" s="15">
        <v>38</v>
      </c>
      <c r="Y121" s="105"/>
    </row>
    <row r="122" spans="1:25" x14ac:dyDescent="0.25">
      <c r="A122" s="91"/>
      <c r="B122" s="91"/>
      <c r="C122" s="92"/>
      <c r="D122" s="93"/>
      <c r="E122" s="93"/>
      <c r="F122" s="94"/>
      <c r="G122" s="92"/>
      <c r="H122" s="92"/>
      <c r="I122" s="92"/>
      <c r="J122" s="95"/>
      <c r="K122" s="95"/>
      <c r="L122" s="96"/>
      <c r="M122" s="68" t="s">
        <v>138</v>
      </c>
      <c r="N122" s="69">
        <v>599</v>
      </c>
      <c r="O122" s="69">
        <v>2000</v>
      </c>
      <c r="P122" s="69">
        <v>580</v>
      </c>
      <c r="Q122" s="69">
        <f t="shared" si="79"/>
        <v>1164</v>
      </c>
      <c r="R122" s="69">
        <f t="shared" si="79"/>
        <v>92</v>
      </c>
      <c r="S122" s="71">
        <f t="shared" si="1"/>
        <v>-39256</v>
      </c>
      <c r="T122" s="21">
        <v>42866</v>
      </c>
      <c r="U122" s="15">
        <v>582</v>
      </c>
      <c r="V122" s="15">
        <v>46</v>
      </c>
      <c r="W122" s="15">
        <v>582</v>
      </c>
      <c r="X122" s="15">
        <v>46</v>
      </c>
      <c r="Y122" s="105"/>
    </row>
    <row r="123" spans="1:25" x14ac:dyDescent="0.25">
      <c r="A123" s="91"/>
      <c r="B123" s="91"/>
      <c r="C123" s="92"/>
      <c r="D123" s="93"/>
      <c r="E123" s="93"/>
      <c r="F123" s="94"/>
      <c r="G123" s="92"/>
      <c r="H123" s="92"/>
      <c r="I123" s="92"/>
      <c r="J123" s="95"/>
      <c r="K123" s="95"/>
      <c r="L123" s="96"/>
      <c r="M123" s="68" t="s">
        <v>138</v>
      </c>
      <c r="N123" s="69">
        <v>575</v>
      </c>
      <c r="O123" s="69">
        <v>1000</v>
      </c>
      <c r="P123" s="69">
        <v>551</v>
      </c>
      <c r="Q123" s="69">
        <f t="shared" si="79"/>
        <v>924</v>
      </c>
      <c r="R123" s="69">
        <f t="shared" si="79"/>
        <v>72</v>
      </c>
      <c r="S123" s="71">
        <f t="shared" si="1"/>
        <v>-24996</v>
      </c>
      <c r="T123" s="21">
        <v>42867</v>
      </c>
      <c r="U123" s="15">
        <v>462</v>
      </c>
      <c r="V123" s="15">
        <v>36</v>
      </c>
      <c r="W123" s="15">
        <v>462</v>
      </c>
      <c r="X123" s="15">
        <v>36</v>
      </c>
      <c r="Y123" s="105"/>
    </row>
    <row r="124" spans="1:25" x14ac:dyDescent="0.25">
      <c r="A124" s="91"/>
      <c r="B124" s="91"/>
      <c r="C124" s="92"/>
      <c r="D124" s="93"/>
      <c r="E124" s="93"/>
      <c r="F124" s="94"/>
      <c r="G124" s="92"/>
      <c r="H124" s="92"/>
      <c r="I124" s="92"/>
      <c r="J124" s="95"/>
      <c r="K124" s="95"/>
      <c r="L124" s="96"/>
      <c r="M124" s="68" t="s">
        <v>138</v>
      </c>
      <c r="N124" s="73">
        <v>625</v>
      </c>
      <c r="O124" s="73">
        <v>1000</v>
      </c>
      <c r="P124" s="73">
        <v>631</v>
      </c>
      <c r="Q124" s="73">
        <f t="shared" si="79"/>
        <v>974</v>
      </c>
      <c r="R124" s="73">
        <f t="shared" si="79"/>
        <v>76</v>
      </c>
      <c r="S124" s="75">
        <f t="shared" si="1"/>
        <v>4950</v>
      </c>
      <c r="T124" s="21">
        <v>42874</v>
      </c>
      <c r="U124" s="15">
        <v>487</v>
      </c>
      <c r="V124" s="15">
        <v>38</v>
      </c>
      <c r="W124" s="15">
        <v>487</v>
      </c>
      <c r="X124" s="15">
        <v>38</v>
      </c>
      <c r="Y124" s="105"/>
    </row>
    <row r="125" spans="1:25" x14ac:dyDescent="0.25">
      <c r="A125" s="91"/>
      <c r="B125" s="91"/>
      <c r="C125" s="92"/>
      <c r="D125" s="93"/>
      <c r="E125" s="93"/>
      <c r="F125" s="94"/>
      <c r="G125" s="92"/>
      <c r="H125" s="85"/>
      <c r="I125" s="85"/>
      <c r="J125" s="95"/>
      <c r="K125" s="95"/>
      <c r="L125" s="96"/>
      <c r="M125" s="68" t="s">
        <v>138</v>
      </c>
      <c r="N125" s="73">
        <v>579</v>
      </c>
      <c r="O125" s="73">
        <v>1000</v>
      </c>
      <c r="P125" s="73">
        <v>587</v>
      </c>
      <c r="Q125" s="73">
        <f t="shared" ref="Q125" si="111">U125+W125</f>
        <v>974</v>
      </c>
      <c r="R125" s="73">
        <f t="shared" ref="R125" si="112">V125+X125</f>
        <v>76</v>
      </c>
      <c r="S125" s="75">
        <f t="shared" ref="S125" si="113">(P125-N125)*O125-R125-Q125</f>
        <v>6950</v>
      </c>
      <c r="T125" s="21">
        <v>42878</v>
      </c>
      <c r="U125" s="15">
        <v>487</v>
      </c>
      <c r="V125" s="15">
        <v>38</v>
      </c>
      <c r="W125" s="15">
        <v>487</v>
      </c>
      <c r="X125" s="15">
        <v>38</v>
      </c>
      <c r="Y125" s="105"/>
    </row>
    <row r="126" spans="1:25" x14ac:dyDescent="0.25">
      <c r="A126" s="91"/>
      <c r="B126" s="91"/>
      <c r="C126" s="92"/>
      <c r="D126" s="93"/>
      <c r="E126" s="93"/>
      <c r="F126" s="94"/>
      <c r="G126" s="92"/>
      <c r="H126" s="85"/>
      <c r="I126" s="85"/>
      <c r="J126" s="95"/>
      <c r="K126" s="95"/>
      <c r="L126" s="96"/>
      <c r="M126" s="72" t="s">
        <v>141</v>
      </c>
      <c r="N126" s="69">
        <v>603</v>
      </c>
      <c r="O126" s="69">
        <v>500</v>
      </c>
      <c r="P126" s="69"/>
      <c r="Q126" s="69"/>
      <c r="R126" s="69"/>
      <c r="S126" s="71"/>
      <c r="T126" s="21">
        <v>42880</v>
      </c>
      <c r="U126" s="15">
        <v>350</v>
      </c>
      <c r="V126" s="15">
        <v>28</v>
      </c>
      <c r="Y126" s="105"/>
    </row>
    <row r="127" spans="1:25" x14ac:dyDescent="0.25">
      <c r="A127" s="91"/>
      <c r="B127" s="91"/>
      <c r="C127" s="92"/>
      <c r="D127" s="93"/>
      <c r="E127" s="93"/>
      <c r="F127" s="94"/>
      <c r="G127" s="92"/>
      <c r="H127" s="85"/>
      <c r="I127" s="85"/>
      <c r="J127" s="95"/>
      <c r="K127" s="95"/>
      <c r="L127" s="96"/>
      <c r="M127" s="68" t="s">
        <v>138</v>
      </c>
      <c r="N127" s="73">
        <f>(509*2+527*18)/20</f>
        <v>525.20000000000005</v>
      </c>
      <c r="O127" s="73">
        <v>2000</v>
      </c>
      <c r="P127" s="73">
        <v>548</v>
      </c>
      <c r="Q127" s="73">
        <f t="shared" ref="Q127" si="114">U127+W127</f>
        <v>1229</v>
      </c>
      <c r="R127" s="73">
        <f t="shared" ref="R127" si="115">V127+X127</f>
        <v>96</v>
      </c>
      <c r="S127" s="75">
        <f t="shared" ref="S127" si="116">(P127-N127)*O127-R127-Q127</f>
        <v>44274.999999999913</v>
      </c>
      <c r="T127" s="21">
        <v>42884</v>
      </c>
      <c r="U127" s="15">
        <f>185+462</f>
        <v>647</v>
      </c>
      <c r="V127" s="15">
        <f>14+36</f>
        <v>50</v>
      </c>
      <c r="W127" s="15">
        <v>582</v>
      </c>
      <c r="X127" s="15">
        <v>46</v>
      </c>
      <c r="Y127" s="105"/>
    </row>
    <row r="128" spans="1:25" x14ac:dyDescent="0.25">
      <c r="A128" s="91"/>
      <c r="B128" s="91"/>
      <c r="C128" s="92"/>
      <c r="D128" s="93"/>
      <c r="E128" s="93"/>
      <c r="F128" s="94"/>
      <c r="G128" s="92"/>
      <c r="H128" s="85"/>
      <c r="I128" s="85"/>
      <c r="J128" s="95"/>
      <c r="K128" s="95"/>
      <c r="L128" s="96"/>
      <c r="M128" s="68" t="s">
        <v>138</v>
      </c>
      <c r="N128" s="73">
        <f>(551*20+538*4)/24</f>
        <v>548.83333333333337</v>
      </c>
      <c r="O128" s="73">
        <v>2400</v>
      </c>
      <c r="P128" s="73">
        <v>550</v>
      </c>
      <c r="Q128" s="73">
        <f t="shared" ref="Q128" si="117">U128+W128</f>
        <v>1436</v>
      </c>
      <c r="R128" s="73">
        <f t="shared" ref="R128" si="118">V128+X128</f>
        <v>113</v>
      </c>
      <c r="S128" s="75">
        <f t="shared" ref="S128" si="119">(P128-N128)*O128-R128-Q128</f>
        <v>1250.9999999999091</v>
      </c>
      <c r="T128" s="21">
        <v>42891</v>
      </c>
      <c r="U128" s="15">
        <f>582+272</f>
        <v>854</v>
      </c>
      <c r="V128" s="15">
        <f>46+21</f>
        <v>67</v>
      </c>
      <c r="W128" s="15">
        <v>582</v>
      </c>
      <c r="X128" s="15">
        <v>46</v>
      </c>
      <c r="Y128" s="105"/>
    </row>
    <row r="129" spans="1:25" x14ac:dyDescent="0.25">
      <c r="A129" s="91"/>
      <c r="B129" s="91"/>
      <c r="C129" s="92"/>
      <c r="D129" s="93"/>
      <c r="E129" s="93"/>
      <c r="F129" s="94"/>
      <c r="G129" s="92"/>
      <c r="H129" s="85"/>
      <c r="I129" s="85"/>
      <c r="J129" s="95"/>
      <c r="K129" s="95"/>
      <c r="L129" s="96"/>
      <c r="M129" s="68" t="s">
        <v>488</v>
      </c>
      <c r="N129" s="73">
        <v>520</v>
      </c>
      <c r="O129" s="73">
        <v>2500</v>
      </c>
      <c r="P129" s="73">
        <v>523</v>
      </c>
      <c r="Q129" s="73">
        <f t="shared" ref="Q129" si="120">U129+W129</f>
        <v>1164</v>
      </c>
      <c r="R129" s="73">
        <f t="shared" ref="R129" si="121">V129+X129</f>
        <v>92</v>
      </c>
      <c r="S129" s="75">
        <f t="shared" ref="S129" si="122">(P129-N129)*O129-R129-Q129</f>
        <v>6244</v>
      </c>
      <c r="T129" s="21">
        <v>42902</v>
      </c>
      <c r="U129" s="15">
        <v>582</v>
      </c>
      <c r="V129" s="15">
        <v>46</v>
      </c>
      <c r="W129" s="15">
        <v>582</v>
      </c>
      <c r="X129" s="15">
        <v>46</v>
      </c>
      <c r="Y129" s="105"/>
    </row>
    <row r="130" spans="1:25" x14ac:dyDescent="0.25">
      <c r="A130" s="91"/>
      <c r="B130" s="91"/>
      <c r="C130" s="92"/>
      <c r="D130" s="93"/>
      <c r="E130" s="93"/>
      <c r="F130" s="94"/>
      <c r="G130" s="92"/>
      <c r="H130" s="85"/>
      <c r="I130" s="85"/>
      <c r="J130" s="95"/>
      <c r="K130" s="95"/>
      <c r="L130" s="96"/>
      <c r="M130" s="68" t="s">
        <v>138</v>
      </c>
      <c r="N130" s="73">
        <v>517</v>
      </c>
      <c r="O130" s="73">
        <v>2500</v>
      </c>
      <c r="P130" s="73">
        <v>539</v>
      </c>
      <c r="Q130" s="73">
        <f t="shared" ref="Q130:Q132" si="123">U130+W130</f>
        <v>1135</v>
      </c>
      <c r="R130" s="73">
        <f t="shared" ref="R130:R132" si="124">V130+X130</f>
        <v>90</v>
      </c>
      <c r="S130" s="75">
        <f t="shared" ref="S130:S132" si="125">(P130-N130)*O130-R130-Q130</f>
        <v>53775</v>
      </c>
      <c r="T130" s="21">
        <v>42905</v>
      </c>
      <c r="U130" s="15">
        <v>582</v>
      </c>
      <c r="V130" s="15">
        <v>46</v>
      </c>
      <c r="W130" s="15">
        <v>553</v>
      </c>
      <c r="X130" s="15">
        <v>44</v>
      </c>
      <c r="Y130" s="105"/>
    </row>
    <row r="131" spans="1:25" x14ac:dyDescent="0.25">
      <c r="A131" s="91"/>
      <c r="B131" s="91"/>
      <c r="C131" s="92"/>
      <c r="D131" s="93"/>
      <c r="E131" s="93"/>
      <c r="F131" s="94"/>
      <c r="G131" s="92"/>
      <c r="H131" s="85"/>
      <c r="I131" s="85"/>
      <c r="J131" s="95"/>
      <c r="K131" s="95"/>
      <c r="L131" s="96"/>
      <c r="M131" s="68" t="s">
        <v>138</v>
      </c>
      <c r="N131" s="69">
        <v>506</v>
      </c>
      <c r="O131" s="69">
        <v>1000</v>
      </c>
      <c r="P131" s="69">
        <v>454</v>
      </c>
      <c r="Q131" s="69">
        <f t="shared" si="123"/>
        <v>759</v>
      </c>
      <c r="R131" s="69">
        <f t="shared" si="124"/>
        <v>59</v>
      </c>
      <c r="S131" s="71">
        <f t="shared" si="125"/>
        <v>-52818</v>
      </c>
      <c r="T131" s="21">
        <v>42907</v>
      </c>
      <c r="U131" s="15">
        <v>487</v>
      </c>
      <c r="V131" s="15">
        <v>38</v>
      </c>
      <c r="W131" s="15">
        <v>272</v>
      </c>
      <c r="X131" s="15">
        <v>21</v>
      </c>
      <c r="Y131" s="105"/>
    </row>
    <row r="132" spans="1:25" x14ac:dyDescent="0.25">
      <c r="A132" s="91"/>
      <c r="B132" s="91"/>
      <c r="C132" s="92"/>
      <c r="D132" s="93"/>
      <c r="E132" s="93"/>
      <c r="F132" s="94"/>
      <c r="G132" s="92"/>
      <c r="H132" s="85"/>
      <c r="I132" s="85"/>
      <c r="J132" s="95"/>
      <c r="K132" s="95"/>
      <c r="L132" s="96"/>
      <c r="M132" s="373" t="s">
        <v>51</v>
      </c>
      <c r="N132" s="73">
        <v>381</v>
      </c>
      <c r="O132" s="73">
        <v>1000</v>
      </c>
      <c r="P132" s="73">
        <v>454</v>
      </c>
      <c r="Q132" s="73">
        <f t="shared" si="123"/>
        <v>800</v>
      </c>
      <c r="R132" s="73">
        <f t="shared" si="124"/>
        <v>64</v>
      </c>
      <c r="S132" s="75">
        <f t="shared" si="125"/>
        <v>72136</v>
      </c>
      <c r="T132" s="21">
        <v>42916</v>
      </c>
      <c r="U132" s="15">
        <v>400</v>
      </c>
      <c r="V132" s="15">
        <v>32</v>
      </c>
      <c r="W132" s="15">
        <v>400</v>
      </c>
      <c r="X132" s="15">
        <v>32</v>
      </c>
      <c r="Y132" s="105"/>
    </row>
    <row r="133" spans="1:25" x14ac:dyDescent="0.25">
      <c r="A133" s="91" t="str">
        <f>IPO監視一覧!H20</f>
        <v>D</v>
      </c>
      <c r="B133" s="91" t="str">
        <f>IPO監視一覧!B20</f>
        <v>ティーケーピー</v>
      </c>
      <c r="C133" s="92">
        <f>IPO監視一覧!G20</f>
        <v>6060</v>
      </c>
      <c r="D133" s="93">
        <v>310000</v>
      </c>
      <c r="E133" s="93">
        <v>199200</v>
      </c>
      <c r="F133" s="94">
        <f>IPO監視一覧!T20</f>
        <v>42821</v>
      </c>
      <c r="G133" s="92">
        <f>IPO監視一覧!U20</f>
        <v>10560</v>
      </c>
      <c r="H133" s="85">
        <f>終値履歴!C20</f>
        <v>13710</v>
      </c>
      <c r="I133" s="85">
        <f>参加条件計算!C20</f>
        <v>76700</v>
      </c>
      <c r="J133" s="95">
        <f t="shared" si="110"/>
        <v>358582.5</v>
      </c>
      <c r="K133" s="95">
        <f t="shared" si="77"/>
        <v>251007.74999999997</v>
      </c>
      <c r="L133" s="96">
        <f t="shared" ca="1" si="78"/>
        <v>80</v>
      </c>
      <c r="M133" s="68" t="s">
        <v>138</v>
      </c>
      <c r="N133" s="73">
        <v>12520</v>
      </c>
      <c r="O133" s="73">
        <v>100</v>
      </c>
      <c r="P133" s="73">
        <v>12600</v>
      </c>
      <c r="Q133" s="73">
        <f t="shared" si="79"/>
        <v>1164</v>
      </c>
      <c r="R133" s="73">
        <f t="shared" si="79"/>
        <v>92</v>
      </c>
      <c r="S133" s="75">
        <f t="shared" si="1"/>
        <v>6744</v>
      </c>
      <c r="T133" s="21">
        <v>42825</v>
      </c>
      <c r="U133" s="15">
        <v>582</v>
      </c>
      <c r="V133" s="15">
        <v>46</v>
      </c>
      <c r="W133" s="15">
        <v>582</v>
      </c>
      <c r="X133" s="15">
        <v>46</v>
      </c>
    </row>
    <row r="134" spans="1:25" x14ac:dyDescent="0.25">
      <c r="A134" s="91"/>
      <c r="B134" s="91"/>
      <c r="C134" s="92"/>
      <c r="D134" s="93"/>
      <c r="E134" s="93"/>
      <c r="F134" s="94"/>
      <c r="G134" s="92"/>
      <c r="H134" s="92"/>
      <c r="I134" s="92"/>
      <c r="J134" s="95"/>
      <c r="K134" s="95"/>
      <c r="L134" s="96"/>
      <c r="M134" s="68" t="s">
        <v>138</v>
      </c>
      <c r="N134" s="73">
        <v>12160</v>
      </c>
      <c r="O134" s="73">
        <v>100</v>
      </c>
      <c r="P134" s="73">
        <v>12190</v>
      </c>
      <c r="Q134" s="73">
        <f t="shared" si="79"/>
        <v>1164</v>
      </c>
      <c r="R134" s="73">
        <f t="shared" si="79"/>
        <v>92</v>
      </c>
      <c r="S134" s="75">
        <f t="shared" si="1"/>
        <v>1744</v>
      </c>
      <c r="T134" s="21">
        <v>42844</v>
      </c>
      <c r="U134" s="15">
        <v>582</v>
      </c>
      <c r="V134" s="15">
        <v>46</v>
      </c>
      <c r="W134" s="15">
        <v>582</v>
      </c>
      <c r="X134" s="15">
        <v>46</v>
      </c>
    </row>
    <row r="135" spans="1:25" x14ac:dyDescent="0.25">
      <c r="A135" s="91"/>
      <c r="B135" s="91"/>
      <c r="C135" s="92"/>
      <c r="D135" s="93"/>
      <c r="E135" s="93"/>
      <c r="F135" s="94"/>
      <c r="G135" s="92"/>
      <c r="H135" s="92"/>
      <c r="I135" s="92"/>
      <c r="J135" s="95"/>
      <c r="K135" s="95"/>
      <c r="L135" s="96"/>
      <c r="M135" s="68" t="s">
        <v>138</v>
      </c>
      <c r="N135" s="73">
        <v>11080</v>
      </c>
      <c r="O135" s="73">
        <v>100</v>
      </c>
      <c r="P135" s="73">
        <v>11350</v>
      </c>
      <c r="Q135" s="73">
        <f t="shared" si="79"/>
        <v>1164</v>
      </c>
      <c r="R135" s="73">
        <f t="shared" si="79"/>
        <v>92</v>
      </c>
      <c r="S135" s="75">
        <f t="shared" si="1"/>
        <v>25744</v>
      </c>
      <c r="T135" s="21">
        <v>42849</v>
      </c>
      <c r="U135" s="15">
        <v>582</v>
      </c>
      <c r="V135" s="15">
        <v>46</v>
      </c>
      <c r="W135" s="15">
        <v>582</v>
      </c>
      <c r="X135" s="15">
        <v>46</v>
      </c>
    </row>
    <row r="136" spans="1:25" x14ac:dyDescent="0.25">
      <c r="A136" s="91"/>
      <c r="B136" s="91"/>
      <c r="C136" s="92"/>
      <c r="D136" s="93"/>
      <c r="E136" s="93"/>
      <c r="F136" s="94"/>
      <c r="G136" s="92"/>
      <c r="H136" s="92"/>
      <c r="I136" s="92"/>
      <c r="J136" s="95"/>
      <c r="K136" s="95"/>
      <c r="L136" s="96"/>
      <c r="M136" s="68" t="s">
        <v>138</v>
      </c>
      <c r="N136" s="73">
        <v>13740</v>
      </c>
      <c r="O136" s="73">
        <v>100</v>
      </c>
      <c r="P136" s="73">
        <v>13810</v>
      </c>
      <c r="Q136" s="73">
        <f t="shared" si="79"/>
        <v>1164</v>
      </c>
      <c r="R136" s="73">
        <f t="shared" si="79"/>
        <v>92</v>
      </c>
      <c r="S136" s="75">
        <f t="shared" si="1"/>
        <v>5744</v>
      </c>
      <c r="T136" s="21">
        <v>42867</v>
      </c>
      <c r="U136" s="15">
        <v>582</v>
      </c>
      <c r="V136" s="15">
        <v>46</v>
      </c>
      <c r="W136" s="15">
        <v>582</v>
      </c>
      <c r="X136" s="15">
        <v>46</v>
      </c>
    </row>
    <row r="137" spans="1:25" x14ac:dyDescent="0.25">
      <c r="A137" s="91"/>
      <c r="B137" s="91"/>
      <c r="C137" s="92"/>
      <c r="D137" s="93"/>
      <c r="E137" s="93"/>
      <c r="F137" s="94"/>
      <c r="G137" s="92"/>
      <c r="H137" s="92"/>
      <c r="I137" s="92"/>
      <c r="J137" s="95"/>
      <c r="K137" s="95"/>
      <c r="L137" s="96"/>
      <c r="M137" s="68" t="s">
        <v>138</v>
      </c>
      <c r="N137" s="73">
        <v>13480</v>
      </c>
      <c r="O137" s="73">
        <v>100</v>
      </c>
      <c r="P137" s="73">
        <v>13720</v>
      </c>
      <c r="Q137" s="73">
        <f t="shared" si="79"/>
        <v>1164</v>
      </c>
      <c r="R137" s="73">
        <f t="shared" si="79"/>
        <v>92</v>
      </c>
      <c r="S137" s="75">
        <f t="shared" si="1"/>
        <v>22744</v>
      </c>
      <c r="T137" s="21">
        <v>42871</v>
      </c>
      <c r="U137" s="15">
        <v>582</v>
      </c>
      <c r="V137" s="15">
        <v>46</v>
      </c>
      <c r="W137" s="15">
        <v>582</v>
      </c>
      <c r="X137" s="15">
        <v>46</v>
      </c>
    </row>
    <row r="138" spans="1:25" x14ac:dyDescent="0.25">
      <c r="A138" s="91"/>
      <c r="B138" s="91"/>
      <c r="C138" s="92"/>
      <c r="D138" s="93"/>
      <c r="E138" s="93"/>
      <c r="F138" s="94"/>
      <c r="G138" s="92"/>
      <c r="H138" s="92"/>
      <c r="I138" s="92"/>
      <c r="J138" s="95"/>
      <c r="K138" s="95"/>
      <c r="L138" s="96"/>
      <c r="M138" s="68" t="s">
        <v>138</v>
      </c>
      <c r="N138" s="73">
        <v>14790</v>
      </c>
      <c r="O138" s="73">
        <v>100</v>
      </c>
      <c r="P138" s="73">
        <v>14900</v>
      </c>
      <c r="Q138" s="73">
        <f t="shared" si="79"/>
        <v>1164</v>
      </c>
      <c r="R138" s="73">
        <f t="shared" si="79"/>
        <v>92</v>
      </c>
      <c r="S138" s="75">
        <f t="shared" si="1"/>
        <v>9744</v>
      </c>
      <c r="T138" s="21">
        <v>42874</v>
      </c>
      <c r="U138" s="15">
        <v>582</v>
      </c>
      <c r="V138" s="15">
        <v>46</v>
      </c>
      <c r="W138" s="15">
        <v>582</v>
      </c>
      <c r="X138" s="15">
        <v>46</v>
      </c>
    </row>
    <row r="139" spans="1:25" x14ac:dyDescent="0.25">
      <c r="A139" s="91" t="str">
        <f>IPO監視一覧!H21</f>
        <v>D</v>
      </c>
      <c r="B139" s="91" t="str">
        <f>IPO監視一覧!B21</f>
        <v>ズーム</v>
      </c>
      <c r="C139" s="92">
        <f>IPO監視一覧!G21</f>
        <v>1520</v>
      </c>
      <c r="D139" s="93">
        <v>210000</v>
      </c>
      <c r="E139" s="93">
        <v>421000</v>
      </c>
      <c r="F139" s="94">
        <f>IPO監視一覧!T21</f>
        <v>42822</v>
      </c>
      <c r="G139" s="92">
        <f>IPO監視一覧!U21</f>
        <v>2278</v>
      </c>
      <c r="H139" s="85">
        <f>終値履歴!C21</f>
        <v>1802</v>
      </c>
      <c r="I139" s="85">
        <f>参加条件計算!C21</f>
        <v>6000</v>
      </c>
      <c r="J139" s="95">
        <f t="shared" si="110"/>
        <v>60401.229999999996</v>
      </c>
      <c r="K139" s="95">
        <f t="shared" si="77"/>
        <v>-47600</v>
      </c>
      <c r="L139" s="96">
        <f t="shared" ca="1" si="78"/>
        <v>79</v>
      </c>
      <c r="M139" s="68" t="s">
        <v>138</v>
      </c>
      <c r="N139" s="73">
        <v>1835</v>
      </c>
      <c r="O139" s="73">
        <v>400</v>
      </c>
      <c r="P139" s="73">
        <v>1855</v>
      </c>
      <c r="Q139" s="73">
        <f t="shared" si="79"/>
        <v>1031</v>
      </c>
      <c r="R139" s="73">
        <f t="shared" si="79"/>
        <v>80</v>
      </c>
      <c r="S139" s="75">
        <f t="shared" si="1"/>
        <v>6889</v>
      </c>
      <c r="T139" s="21">
        <v>42823</v>
      </c>
      <c r="U139" s="15">
        <v>544</v>
      </c>
      <c r="V139" s="15">
        <v>42</v>
      </c>
      <c r="W139" s="15">
        <v>487</v>
      </c>
      <c r="X139" s="15">
        <v>38</v>
      </c>
    </row>
    <row r="140" spans="1:25" x14ac:dyDescent="0.25">
      <c r="A140" s="91" t="str">
        <f>IPO監視一覧!H22</f>
        <v>A</v>
      </c>
      <c r="B140" s="91" t="str">
        <f>IPO監視一覧!B22</f>
        <v>Ｎｏ．１</v>
      </c>
      <c r="C140" s="92">
        <f>IPO監視一覧!G22</f>
        <v>1570</v>
      </c>
      <c r="D140" s="93">
        <v>220000</v>
      </c>
      <c r="E140" s="93">
        <v>220000</v>
      </c>
      <c r="F140" s="94">
        <f>IPO監視一覧!T22</f>
        <v>42822</v>
      </c>
      <c r="G140" s="92">
        <f>IPO監視一覧!U22</f>
        <v>3460</v>
      </c>
      <c r="H140" s="85">
        <f>終値履歴!C22</f>
        <v>2603</v>
      </c>
      <c r="I140" s="85">
        <f>参加条件計算!C22</f>
        <v>31500</v>
      </c>
      <c r="J140" s="95">
        <f t="shared" si="110"/>
        <v>150604.65</v>
      </c>
      <c r="K140" s="95">
        <f t="shared" si="77"/>
        <v>-85700</v>
      </c>
      <c r="L140" s="96">
        <f t="shared" ca="1" si="78"/>
        <v>79</v>
      </c>
      <c r="M140" s="68" t="s">
        <v>138</v>
      </c>
      <c r="N140" s="73">
        <v>3943.3</v>
      </c>
      <c r="O140" s="73">
        <v>300</v>
      </c>
      <c r="P140" s="73">
        <v>3960</v>
      </c>
      <c r="Q140" s="73">
        <f t="shared" si="79"/>
        <v>1341</v>
      </c>
      <c r="R140" s="73">
        <f t="shared" si="79"/>
        <v>105</v>
      </c>
      <c r="S140" s="75">
        <f t="shared" si="1"/>
        <v>3563.9999999999454</v>
      </c>
      <c r="T140" s="21">
        <v>42824</v>
      </c>
      <c r="U140" s="15">
        <v>759</v>
      </c>
      <c r="V140" s="15">
        <v>59</v>
      </c>
      <c r="W140" s="15">
        <v>582</v>
      </c>
      <c r="X140" s="15">
        <v>46</v>
      </c>
    </row>
    <row r="141" spans="1:25" x14ac:dyDescent="0.25">
      <c r="A141" s="91"/>
      <c r="B141" s="91"/>
      <c r="C141" s="92"/>
      <c r="D141" s="93"/>
      <c r="E141" s="93"/>
      <c r="F141" s="94"/>
      <c r="G141" s="92"/>
      <c r="H141" s="92"/>
      <c r="I141" s="92"/>
      <c r="J141" s="95"/>
      <c r="K141" s="95">
        <f t="shared" si="77"/>
        <v>0</v>
      </c>
      <c r="L141" s="96"/>
      <c r="M141" s="68" t="s">
        <v>138</v>
      </c>
      <c r="N141" s="73">
        <v>3600</v>
      </c>
      <c r="O141" s="73">
        <v>300</v>
      </c>
      <c r="P141" s="73">
        <v>3740</v>
      </c>
      <c r="Q141" s="73">
        <f t="shared" si="79"/>
        <v>1164</v>
      </c>
      <c r="R141" s="73">
        <f t="shared" si="79"/>
        <v>92</v>
      </c>
      <c r="S141" s="75">
        <f>(P141-N141)*O141-R141-Q141</f>
        <v>40744</v>
      </c>
      <c r="T141" s="21">
        <v>42825</v>
      </c>
      <c r="U141" s="15">
        <v>582</v>
      </c>
      <c r="V141" s="15">
        <v>46</v>
      </c>
      <c r="W141" s="15">
        <v>582</v>
      </c>
      <c r="X141" s="15">
        <v>46</v>
      </c>
    </row>
    <row r="142" spans="1:25" x14ac:dyDescent="0.25">
      <c r="A142" s="91"/>
      <c r="B142" s="91"/>
      <c r="C142" s="92"/>
      <c r="D142" s="93"/>
      <c r="E142" s="93"/>
      <c r="F142" s="94"/>
      <c r="G142" s="92"/>
      <c r="H142" s="92"/>
      <c r="I142" s="92"/>
      <c r="J142" s="95"/>
      <c r="K142" s="95">
        <f t="shared" si="77"/>
        <v>0</v>
      </c>
      <c r="L142" s="96"/>
      <c r="M142" s="68" t="s">
        <v>138</v>
      </c>
      <c r="N142" s="69">
        <v>3490</v>
      </c>
      <c r="O142" s="69">
        <v>100</v>
      </c>
      <c r="P142" s="69">
        <v>2815</v>
      </c>
      <c r="Q142" s="69">
        <f t="shared" si="79"/>
        <v>544</v>
      </c>
      <c r="R142" s="69">
        <f t="shared" si="79"/>
        <v>42</v>
      </c>
      <c r="S142" s="71">
        <f>(P142-N142)*O142-R142-Q142</f>
        <v>-68086</v>
      </c>
      <c r="T142" s="21">
        <v>42829</v>
      </c>
      <c r="U142" s="15">
        <v>272</v>
      </c>
      <c r="V142" s="15">
        <v>21</v>
      </c>
      <c r="W142" s="15">
        <v>272</v>
      </c>
      <c r="X142" s="15">
        <v>21</v>
      </c>
    </row>
    <row r="143" spans="1:25" x14ac:dyDescent="0.25">
      <c r="A143" s="305" t="str">
        <f>IPO監視一覧!H23</f>
        <v>D</v>
      </c>
      <c r="B143" s="305" t="str">
        <f>IPO監視一覧!B23</f>
        <v>オークネット</v>
      </c>
      <c r="C143" s="308">
        <f>IPO監視一覧!G23</f>
        <v>1100</v>
      </c>
      <c r="D143" s="309">
        <v>2200000</v>
      </c>
      <c r="E143" s="309">
        <v>2620000</v>
      </c>
      <c r="F143" s="310">
        <f>IPO監視一覧!T23</f>
        <v>42823</v>
      </c>
      <c r="G143" s="308">
        <f>IPO監視一覧!U23</f>
        <v>1300</v>
      </c>
      <c r="H143" s="311">
        <f>終値履歴!C23</f>
        <v>1387</v>
      </c>
      <c r="I143" s="311">
        <f>参加条件計算!C23</f>
        <v>30300</v>
      </c>
      <c r="J143" s="312">
        <f t="shared" si="110"/>
        <v>15936.999999999998</v>
      </c>
      <c r="K143" s="312">
        <f t="shared" si="77"/>
        <v>6932.5949999999993</v>
      </c>
      <c r="L143" s="68">
        <f t="shared" ca="1" si="78"/>
        <v>78</v>
      </c>
      <c r="M143" s="96"/>
      <c r="N143" s="113"/>
      <c r="O143" s="113"/>
      <c r="P143" s="113"/>
      <c r="Q143" s="113"/>
      <c r="R143" s="113"/>
      <c r="S143" s="98">
        <f t="shared" si="1"/>
        <v>0</v>
      </c>
      <c r="T143" s="21">
        <v>42835</v>
      </c>
    </row>
    <row r="144" spans="1:25" x14ac:dyDescent="0.25">
      <c r="A144" s="305" t="str">
        <f>IPO監視一覧!H24</f>
        <v>D</v>
      </c>
      <c r="B144" s="305" t="str">
        <f>IPO監視一覧!B24</f>
        <v>スシローグローバルHD</v>
      </c>
      <c r="C144" s="308">
        <f>IPO監視一覧!G24</f>
        <v>3600</v>
      </c>
      <c r="D144" s="309">
        <v>0</v>
      </c>
      <c r="E144" s="313">
        <v>19123100</v>
      </c>
      <c r="F144" s="310">
        <f>IPO監視一覧!T24</f>
        <v>42824</v>
      </c>
      <c r="G144" s="308">
        <f>IPO監視一覧!U24</f>
        <v>3430</v>
      </c>
      <c r="H144" s="311">
        <f>終値履歴!C24</f>
        <v>3320</v>
      </c>
      <c r="I144" s="311">
        <f>参加条件計算!C24</f>
        <v>51900</v>
      </c>
      <c r="J144" s="312">
        <f t="shared" si="110"/>
        <v>-17000</v>
      </c>
      <c r="K144" s="312">
        <f t="shared" si="77"/>
        <v>-11000</v>
      </c>
      <c r="L144" s="68">
        <f t="shared" ca="1" si="78"/>
        <v>77</v>
      </c>
      <c r="M144" s="112" t="s">
        <v>58</v>
      </c>
      <c r="N144" s="69">
        <v>3600</v>
      </c>
      <c r="O144" s="69">
        <v>100</v>
      </c>
      <c r="P144" s="69">
        <v>3430</v>
      </c>
      <c r="Q144" s="69">
        <f t="shared" ref="Q144:R159" si="126">U144+W144</f>
        <v>1183</v>
      </c>
      <c r="R144" s="69">
        <f t="shared" si="126"/>
        <v>95</v>
      </c>
      <c r="S144" s="71">
        <f>(P144-N144)*O144-R144-Q144</f>
        <v>-18278</v>
      </c>
      <c r="T144" s="21">
        <v>42824</v>
      </c>
      <c r="U144" s="15">
        <v>0</v>
      </c>
      <c r="V144" s="15">
        <v>0</v>
      </c>
      <c r="W144" s="15">
        <v>1183</v>
      </c>
      <c r="X144" s="15">
        <v>95</v>
      </c>
      <c r="Y144" s="105"/>
    </row>
    <row r="145" spans="1:24" x14ac:dyDescent="0.25">
      <c r="A145" s="91" t="str">
        <f>IPO監視一覧!H25</f>
        <v>A</v>
      </c>
      <c r="B145" s="91" t="str">
        <f>IPO監視一覧!B25</f>
        <v>ユーザーローカル</v>
      </c>
      <c r="C145" s="92">
        <f>IPO監視一覧!G25</f>
        <v>2940</v>
      </c>
      <c r="D145" s="93">
        <v>205000</v>
      </c>
      <c r="E145" s="93">
        <v>200000</v>
      </c>
      <c r="F145" s="94">
        <f>IPO監視一覧!T25</f>
        <v>42824</v>
      </c>
      <c r="G145" s="92">
        <f>IPO監視一覧!U25</f>
        <v>12500</v>
      </c>
      <c r="H145" s="85">
        <f>終値履歴!C25</f>
        <v>8410</v>
      </c>
      <c r="I145" s="85">
        <f>参加条件計算!C25</f>
        <v>3000</v>
      </c>
      <c r="J145" s="95">
        <f t="shared" si="110"/>
        <v>761788.6</v>
      </c>
      <c r="K145" s="95">
        <f t="shared" si="77"/>
        <v>-409000</v>
      </c>
      <c r="L145" s="96">
        <f t="shared" ca="1" si="78"/>
        <v>77</v>
      </c>
      <c r="M145" s="68" t="s">
        <v>138</v>
      </c>
      <c r="N145" s="69">
        <v>9710</v>
      </c>
      <c r="O145" s="69">
        <v>100</v>
      </c>
      <c r="P145" s="69">
        <v>9230</v>
      </c>
      <c r="Q145" s="69">
        <f t="shared" si="126"/>
        <v>974</v>
      </c>
      <c r="R145" s="69">
        <f t="shared" si="126"/>
        <v>76</v>
      </c>
      <c r="S145" s="71">
        <f>(P145-N145)*O145-R145-Q145</f>
        <v>-49050</v>
      </c>
      <c r="T145" s="21">
        <v>42835</v>
      </c>
      <c r="U145" s="15">
        <v>487</v>
      </c>
      <c r="V145" s="15">
        <v>38</v>
      </c>
      <c r="W145" s="15">
        <v>487</v>
      </c>
      <c r="X145" s="15">
        <v>38</v>
      </c>
    </row>
    <row r="146" spans="1:24" x14ac:dyDescent="0.25">
      <c r="A146" s="91" t="str">
        <f>IPO監視一覧!H26</f>
        <v>B</v>
      </c>
      <c r="B146" s="91" t="str">
        <f>IPO監視一覧!B26</f>
        <v>ネットマーケティング</v>
      </c>
      <c r="C146" s="92">
        <f>IPO監視一覧!G26</f>
        <v>1140</v>
      </c>
      <c r="D146" s="93">
        <v>280000</v>
      </c>
      <c r="E146" s="93">
        <v>680000</v>
      </c>
      <c r="F146" s="94">
        <f>IPO監視一覧!T26</f>
        <v>42825</v>
      </c>
      <c r="G146" s="92">
        <f>IPO監視一覧!U26</f>
        <v>1552</v>
      </c>
      <c r="H146" s="85">
        <f>終値履歴!C26</f>
        <v>1230</v>
      </c>
      <c r="I146" s="85">
        <f>参加条件計算!C26</f>
        <v>68100</v>
      </c>
      <c r="J146" s="95">
        <f t="shared" si="110"/>
        <v>32830.22</v>
      </c>
      <c r="K146" s="95">
        <f t="shared" si="77"/>
        <v>-32200</v>
      </c>
      <c r="L146" s="96">
        <f ca="1">NETWORKDAYS(F146,TODAY())</f>
        <v>76</v>
      </c>
      <c r="M146" s="68" t="s">
        <v>138</v>
      </c>
      <c r="N146" s="73">
        <v>1598.3</v>
      </c>
      <c r="O146" s="73">
        <v>600</v>
      </c>
      <c r="P146" s="73">
        <v>1615</v>
      </c>
      <c r="Q146" s="73">
        <f t="shared" si="126"/>
        <v>974</v>
      </c>
      <c r="R146" s="73">
        <f t="shared" si="126"/>
        <v>76</v>
      </c>
      <c r="S146" s="75">
        <f t="shared" si="1"/>
        <v>8970.0000000000273</v>
      </c>
      <c r="T146" s="21">
        <v>42825</v>
      </c>
      <c r="U146" s="15">
        <v>487</v>
      </c>
      <c r="V146" s="15">
        <v>38</v>
      </c>
      <c r="W146" s="15">
        <v>487</v>
      </c>
      <c r="X146" s="15">
        <v>38</v>
      </c>
    </row>
    <row r="147" spans="1:24" x14ac:dyDescent="0.25">
      <c r="A147" s="91"/>
      <c r="B147" s="91"/>
      <c r="C147" s="92"/>
      <c r="D147" s="93"/>
      <c r="E147" s="93"/>
      <c r="F147" s="94"/>
      <c r="G147" s="92"/>
      <c r="H147" s="92"/>
      <c r="I147" s="92"/>
      <c r="J147" s="95"/>
      <c r="K147" s="95"/>
      <c r="L147" s="96"/>
      <c r="M147" s="68" t="s">
        <v>138</v>
      </c>
      <c r="N147" s="73">
        <v>1480</v>
      </c>
      <c r="O147" s="73">
        <v>400</v>
      </c>
      <c r="P147" s="73">
        <v>1501.5</v>
      </c>
      <c r="Q147" s="73">
        <f t="shared" si="126"/>
        <v>974</v>
      </c>
      <c r="R147" s="73">
        <f t="shared" si="126"/>
        <v>76</v>
      </c>
      <c r="S147" s="75">
        <f t="shared" si="1"/>
        <v>7550</v>
      </c>
      <c r="T147" s="21">
        <v>42842</v>
      </c>
      <c r="U147" s="15">
        <v>487</v>
      </c>
      <c r="V147" s="15">
        <v>38</v>
      </c>
      <c r="W147" s="15">
        <v>487</v>
      </c>
      <c r="X147" s="15">
        <v>38</v>
      </c>
    </row>
    <row r="148" spans="1:24" x14ac:dyDescent="0.25">
      <c r="A148" s="91"/>
      <c r="B148" s="91"/>
      <c r="C148" s="92"/>
      <c r="D148" s="93"/>
      <c r="E148" s="93"/>
      <c r="F148" s="94"/>
      <c r="G148" s="92"/>
      <c r="H148" s="92"/>
      <c r="I148" s="92"/>
      <c r="J148" s="95"/>
      <c r="K148" s="95"/>
      <c r="L148" s="96"/>
      <c r="M148" s="68" t="s">
        <v>138</v>
      </c>
      <c r="N148" s="73">
        <v>1391</v>
      </c>
      <c r="O148" s="73">
        <v>400</v>
      </c>
      <c r="P148" s="73">
        <v>1395</v>
      </c>
      <c r="Q148" s="73">
        <f t="shared" si="126"/>
        <v>974</v>
      </c>
      <c r="R148" s="73">
        <f t="shared" si="126"/>
        <v>76</v>
      </c>
      <c r="S148" s="75">
        <f t="shared" si="1"/>
        <v>550</v>
      </c>
      <c r="T148" s="21">
        <v>42843</v>
      </c>
      <c r="U148" s="15">
        <v>487</v>
      </c>
      <c r="V148" s="15">
        <v>38</v>
      </c>
      <c r="W148" s="15">
        <v>487</v>
      </c>
      <c r="X148" s="15">
        <v>38</v>
      </c>
    </row>
    <row r="149" spans="1:24" x14ac:dyDescent="0.25">
      <c r="A149" s="91" t="str">
        <f>IPO監視一覧!H27</f>
        <v>A</v>
      </c>
      <c r="B149" s="91" t="str">
        <f>IPO監視一覧!B27</f>
        <v>テモナ</v>
      </c>
      <c r="C149" s="92">
        <f>IPO監視一覧!G27</f>
        <v>2550</v>
      </c>
      <c r="D149" s="93">
        <v>240000</v>
      </c>
      <c r="E149" s="93">
        <v>48800</v>
      </c>
      <c r="F149" s="94">
        <f>IPO監視一覧!T27</f>
        <v>42831</v>
      </c>
      <c r="G149" s="92">
        <f>IPO監視一覧!U27</f>
        <v>8050</v>
      </c>
      <c r="H149" s="85">
        <f>終値履歴!C27</f>
        <v>7280</v>
      </c>
      <c r="I149" s="85">
        <f>参加条件計算!C27</f>
        <v>26200</v>
      </c>
      <c r="J149" s="95">
        <f t="shared" si="110"/>
        <v>438267.5</v>
      </c>
      <c r="K149" s="95">
        <f t="shared" si="77"/>
        <v>-77000</v>
      </c>
      <c r="L149" s="96">
        <f t="shared" ca="1" si="78"/>
        <v>72</v>
      </c>
      <c r="M149" s="68" t="s">
        <v>138</v>
      </c>
      <c r="N149" s="73">
        <v>8050</v>
      </c>
      <c r="O149" s="73">
        <v>100</v>
      </c>
      <c r="P149" s="73">
        <v>8250</v>
      </c>
      <c r="Q149" s="73">
        <f t="shared" si="126"/>
        <v>974</v>
      </c>
      <c r="R149" s="73">
        <f t="shared" si="126"/>
        <v>76</v>
      </c>
      <c r="S149" s="75">
        <f t="shared" si="1"/>
        <v>18950</v>
      </c>
      <c r="T149" s="21">
        <v>42835</v>
      </c>
      <c r="U149" s="15">
        <v>487</v>
      </c>
      <c r="V149" s="15">
        <v>38</v>
      </c>
      <c r="W149" s="15">
        <v>487</v>
      </c>
      <c r="X149" s="15">
        <v>38</v>
      </c>
    </row>
    <row r="150" spans="1:24" x14ac:dyDescent="0.25">
      <c r="A150" s="91"/>
      <c r="B150" s="91"/>
      <c r="C150" s="92"/>
      <c r="D150" s="93"/>
      <c r="E150" s="93"/>
      <c r="F150" s="94"/>
      <c r="G150" s="92"/>
      <c r="H150" s="92"/>
      <c r="I150" s="92"/>
      <c r="J150" s="95"/>
      <c r="K150" s="95"/>
      <c r="L150" s="96"/>
      <c r="M150" s="68" t="s">
        <v>138</v>
      </c>
      <c r="N150" s="73">
        <v>5900</v>
      </c>
      <c r="O150" s="73">
        <v>100</v>
      </c>
      <c r="P150" s="73">
        <v>5960</v>
      </c>
      <c r="Q150" s="73">
        <f t="shared" si="126"/>
        <v>974</v>
      </c>
      <c r="R150" s="73">
        <f t="shared" si="126"/>
        <v>76</v>
      </c>
      <c r="S150" s="75">
        <f t="shared" si="1"/>
        <v>4950</v>
      </c>
      <c r="T150" s="21">
        <v>42838</v>
      </c>
      <c r="U150" s="15">
        <v>487</v>
      </c>
      <c r="V150" s="15">
        <v>38</v>
      </c>
      <c r="W150" s="15">
        <v>487</v>
      </c>
      <c r="X150" s="15">
        <v>38</v>
      </c>
    </row>
    <row r="151" spans="1:24" x14ac:dyDescent="0.25">
      <c r="A151" s="91"/>
      <c r="B151" s="91"/>
      <c r="C151" s="92"/>
      <c r="D151" s="93"/>
      <c r="E151" s="93"/>
      <c r="F151" s="94"/>
      <c r="G151" s="92"/>
      <c r="H151" s="92"/>
      <c r="I151" s="92"/>
      <c r="J151" s="95"/>
      <c r="K151" s="95"/>
      <c r="L151" s="96"/>
      <c r="M151" s="68" t="s">
        <v>138</v>
      </c>
      <c r="N151" s="73">
        <v>5900</v>
      </c>
      <c r="O151" s="73">
        <v>100</v>
      </c>
      <c r="P151" s="73">
        <v>6000</v>
      </c>
      <c r="Q151" s="73">
        <f t="shared" si="126"/>
        <v>974</v>
      </c>
      <c r="R151" s="73">
        <f t="shared" si="126"/>
        <v>76</v>
      </c>
      <c r="S151" s="75">
        <f t="shared" si="1"/>
        <v>8950</v>
      </c>
      <c r="T151" s="21">
        <v>42843</v>
      </c>
      <c r="U151" s="15">
        <v>487</v>
      </c>
      <c r="V151" s="15">
        <v>38</v>
      </c>
      <c r="W151" s="15">
        <v>487</v>
      </c>
      <c r="X151" s="15">
        <v>38</v>
      </c>
    </row>
    <row r="152" spans="1:24" x14ac:dyDescent="0.25">
      <c r="A152" s="91"/>
      <c r="B152" s="91"/>
      <c r="C152" s="92"/>
      <c r="D152" s="93"/>
      <c r="E152" s="93"/>
      <c r="F152" s="94"/>
      <c r="G152" s="92"/>
      <c r="H152" s="92"/>
      <c r="I152" s="92"/>
      <c r="J152" s="95"/>
      <c r="K152" s="95"/>
      <c r="L152" s="96"/>
      <c r="M152" s="68" t="s">
        <v>138</v>
      </c>
      <c r="N152" s="73">
        <v>7450</v>
      </c>
      <c r="O152" s="73">
        <v>100</v>
      </c>
      <c r="P152" s="73">
        <v>7530</v>
      </c>
      <c r="Q152" s="73">
        <f t="shared" si="126"/>
        <v>974</v>
      </c>
      <c r="R152" s="73">
        <f t="shared" si="126"/>
        <v>76</v>
      </c>
      <c r="S152" s="75">
        <f t="shared" si="1"/>
        <v>6950</v>
      </c>
      <c r="T152" s="21">
        <v>42849</v>
      </c>
      <c r="U152" s="15">
        <v>487</v>
      </c>
      <c r="V152" s="15">
        <v>38</v>
      </c>
      <c r="W152" s="15">
        <v>487</v>
      </c>
      <c r="X152" s="15">
        <v>38</v>
      </c>
    </row>
    <row r="153" spans="1:24" x14ac:dyDescent="0.25">
      <c r="A153" s="91"/>
      <c r="B153" s="91"/>
      <c r="C153" s="92"/>
      <c r="D153" s="93"/>
      <c r="E153" s="93"/>
      <c r="F153" s="94"/>
      <c r="G153" s="92"/>
      <c r="H153" s="92"/>
      <c r="I153" s="92"/>
      <c r="J153" s="95"/>
      <c r="K153" s="95"/>
      <c r="L153" s="96"/>
      <c r="M153" s="68" t="s">
        <v>138</v>
      </c>
      <c r="N153" s="69">
        <v>8570</v>
      </c>
      <c r="O153" s="69">
        <v>100</v>
      </c>
      <c r="P153" s="69">
        <v>8460</v>
      </c>
      <c r="Q153" s="69">
        <f t="shared" si="126"/>
        <v>974</v>
      </c>
      <c r="R153" s="69">
        <f t="shared" si="126"/>
        <v>76</v>
      </c>
      <c r="S153" s="71">
        <f t="shared" si="1"/>
        <v>-12050</v>
      </c>
      <c r="T153" s="21">
        <v>42851</v>
      </c>
      <c r="U153" s="15">
        <v>487</v>
      </c>
      <c r="V153" s="15">
        <v>38</v>
      </c>
      <c r="W153" s="15">
        <v>487</v>
      </c>
      <c r="X153" s="15">
        <v>38</v>
      </c>
    </row>
    <row r="154" spans="1:24" x14ac:dyDescent="0.25">
      <c r="A154" s="91"/>
      <c r="B154" s="91"/>
      <c r="C154" s="92"/>
      <c r="D154" s="93"/>
      <c r="E154" s="93"/>
      <c r="F154" s="94"/>
      <c r="G154" s="92"/>
      <c r="H154" s="92"/>
      <c r="I154" s="92"/>
      <c r="J154" s="95"/>
      <c r="K154" s="95"/>
      <c r="L154" s="96"/>
      <c r="M154" s="68" t="s">
        <v>138</v>
      </c>
      <c r="N154" s="73">
        <v>8600</v>
      </c>
      <c r="O154" s="73">
        <v>100</v>
      </c>
      <c r="P154" s="73">
        <v>8820</v>
      </c>
      <c r="Q154" s="73">
        <f t="shared" si="126"/>
        <v>974</v>
      </c>
      <c r="R154" s="73">
        <f t="shared" si="126"/>
        <v>76</v>
      </c>
      <c r="S154" s="75">
        <f t="shared" si="1"/>
        <v>20950</v>
      </c>
      <c r="T154" s="21">
        <v>42864</v>
      </c>
      <c r="U154" s="15">
        <v>487</v>
      </c>
      <c r="V154" s="15">
        <v>38</v>
      </c>
      <c r="W154" s="15">
        <v>487</v>
      </c>
      <c r="X154" s="15">
        <v>38</v>
      </c>
    </row>
    <row r="155" spans="1:24" x14ac:dyDescent="0.25">
      <c r="A155" s="91"/>
      <c r="B155" s="91"/>
      <c r="C155" s="92"/>
      <c r="D155" s="93"/>
      <c r="E155" s="93"/>
      <c r="F155" s="94"/>
      <c r="G155" s="92"/>
      <c r="H155" s="92"/>
      <c r="I155" s="92"/>
      <c r="J155" s="95"/>
      <c r="K155" s="95"/>
      <c r="L155" s="96"/>
      <c r="M155" s="68" t="s">
        <v>138</v>
      </c>
      <c r="N155" s="73">
        <v>8000</v>
      </c>
      <c r="O155" s="73">
        <v>100</v>
      </c>
      <c r="P155" s="73">
        <v>8130</v>
      </c>
      <c r="Q155" s="73">
        <f t="shared" si="126"/>
        <v>974</v>
      </c>
      <c r="R155" s="73">
        <f t="shared" si="126"/>
        <v>76</v>
      </c>
      <c r="S155" s="75">
        <f t="shared" si="1"/>
        <v>11950</v>
      </c>
      <c r="T155" s="21">
        <v>42865</v>
      </c>
      <c r="U155" s="15">
        <v>487</v>
      </c>
      <c r="V155" s="15">
        <v>38</v>
      </c>
      <c r="W155" s="15">
        <v>487</v>
      </c>
      <c r="X155" s="15">
        <v>38</v>
      </c>
    </row>
    <row r="156" spans="1:24" x14ac:dyDescent="0.25">
      <c r="A156" s="91"/>
      <c r="B156" s="91"/>
      <c r="C156" s="92"/>
      <c r="D156" s="93"/>
      <c r="E156" s="93"/>
      <c r="F156" s="94"/>
      <c r="G156" s="92"/>
      <c r="H156" s="92"/>
      <c r="I156" s="92"/>
      <c r="J156" s="95"/>
      <c r="K156" s="95"/>
      <c r="L156" s="96"/>
      <c r="M156" s="68" t="s">
        <v>138</v>
      </c>
      <c r="N156" s="73">
        <v>8270</v>
      </c>
      <c r="O156" s="73">
        <v>100</v>
      </c>
      <c r="P156" s="73">
        <v>8300</v>
      </c>
      <c r="Q156" s="73">
        <f t="shared" si="126"/>
        <v>949</v>
      </c>
      <c r="R156" s="73">
        <f t="shared" si="126"/>
        <v>74</v>
      </c>
      <c r="S156" s="75">
        <f t="shared" si="1"/>
        <v>1977</v>
      </c>
      <c r="T156" s="21">
        <v>42870</v>
      </c>
      <c r="U156" s="15">
        <v>487</v>
      </c>
      <c r="V156" s="15">
        <v>38</v>
      </c>
      <c r="W156" s="15">
        <v>462</v>
      </c>
      <c r="X156" s="15">
        <v>36</v>
      </c>
    </row>
    <row r="157" spans="1:24" x14ac:dyDescent="0.25">
      <c r="A157" s="91"/>
      <c r="B157" s="91"/>
      <c r="C157" s="92"/>
      <c r="D157" s="93"/>
      <c r="E157" s="93"/>
      <c r="F157" s="94"/>
      <c r="G157" s="92"/>
      <c r="H157" s="92"/>
      <c r="I157" s="92"/>
      <c r="J157" s="95"/>
      <c r="K157" s="95"/>
      <c r="L157" s="96"/>
      <c r="M157" s="68" t="s">
        <v>138</v>
      </c>
      <c r="N157" s="73">
        <v>7990</v>
      </c>
      <c r="O157" s="73">
        <v>100</v>
      </c>
      <c r="P157" s="73">
        <v>8050</v>
      </c>
      <c r="Q157" s="73">
        <f t="shared" si="126"/>
        <v>974</v>
      </c>
      <c r="R157" s="73">
        <f t="shared" si="126"/>
        <v>76</v>
      </c>
      <c r="S157" s="75">
        <f t="shared" si="1"/>
        <v>4950</v>
      </c>
      <c r="T157" s="21">
        <v>42871</v>
      </c>
      <c r="U157" s="15">
        <v>487</v>
      </c>
      <c r="V157" s="15">
        <v>38</v>
      </c>
      <c r="W157" s="15">
        <v>487</v>
      </c>
      <c r="X157" s="15">
        <v>38</v>
      </c>
    </row>
    <row r="158" spans="1:24" x14ac:dyDescent="0.25">
      <c r="A158" s="91"/>
      <c r="B158" s="91"/>
      <c r="C158" s="92"/>
      <c r="D158" s="93"/>
      <c r="E158" s="93"/>
      <c r="F158" s="94"/>
      <c r="G158" s="92"/>
      <c r="H158" s="92"/>
      <c r="I158" s="92"/>
      <c r="J158" s="95"/>
      <c r="K158" s="95"/>
      <c r="L158" s="96"/>
      <c r="M158" s="68" t="s">
        <v>138</v>
      </c>
      <c r="N158" s="73">
        <v>8110</v>
      </c>
      <c r="O158" s="73">
        <v>100</v>
      </c>
      <c r="P158" s="73">
        <v>8130</v>
      </c>
      <c r="Q158" s="73">
        <f t="shared" si="126"/>
        <v>974</v>
      </c>
      <c r="R158" s="73">
        <f t="shared" si="126"/>
        <v>76</v>
      </c>
      <c r="S158" s="75">
        <f t="shared" si="1"/>
        <v>950</v>
      </c>
      <c r="T158" s="21">
        <v>42872</v>
      </c>
      <c r="U158" s="15">
        <v>487</v>
      </c>
      <c r="V158" s="15">
        <v>38</v>
      </c>
      <c r="W158" s="15">
        <v>487</v>
      </c>
      <c r="X158" s="15">
        <v>38</v>
      </c>
    </row>
    <row r="159" spans="1:24" x14ac:dyDescent="0.25">
      <c r="A159" s="305" t="str">
        <f>IPO監視一覧!H28</f>
        <v>D</v>
      </c>
      <c r="B159" s="305" t="str">
        <f>IPO監視一覧!B28</f>
        <v>ウェーブロックHD</v>
      </c>
      <c r="C159" s="308">
        <f>IPO監視一覧!G28</f>
        <v>750</v>
      </c>
      <c r="D159" s="309">
        <v>0</v>
      </c>
      <c r="E159" s="314">
        <v>5266500</v>
      </c>
      <c r="F159" s="310">
        <f>IPO監視一覧!T28</f>
        <v>42835</v>
      </c>
      <c r="G159" s="308">
        <f>IPO監視一覧!U28</f>
        <v>721</v>
      </c>
      <c r="H159" s="311">
        <f>終値履歴!C28</f>
        <v>1215</v>
      </c>
      <c r="I159" s="311">
        <f>参加条件計算!C28</f>
        <v>242300</v>
      </c>
      <c r="J159" s="312">
        <f t="shared" si="110"/>
        <v>-2900</v>
      </c>
      <c r="K159" s="312">
        <f t="shared" si="77"/>
        <v>39364.39</v>
      </c>
      <c r="L159" s="68">
        <f t="shared" ca="1" si="78"/>
        <v>70</v>
      </c>
      <c r="M159" s="68" t="s">
        <v>138</v>
      </c>
      <c r="N159" s="73">
        <v>1187</v>
      </c>
      <c r="O159" s="73">
        <v>300</v>
      </c>
      <c r="P159" s="73">
        <v>1208</v>
      </c>
      <c r="Q159" s="73">
        <f t="shared" si="126"/>
        <v>544</v>
      </c>
      <c r="R159" s="73">
        <f t="shared" si="126"/>
        <v>42</v>
      </c>
      <c r="S159" s="75">
        <f t="shared" si="1"/>
        <v>5714</v>
      </c>
      <c r="T159" s="21">
        <v>42886</v>
      </c>
      <c r="U159" s="15">
        <v>272</v>
      </c>
      <c r="V159" s="15">
        <v>21</v>
      </c>
      <c r="W159" s="15">
        <v>272</v>
      </c>
      <c r="X159" s="15">
        <v>21</v>
      </c>
    </row>
    <row r="160" spans="1:24" x14ac:dyDescent="0.25">
      <c r="A160" s="305"/>
      <c r="B160" s="305"/>
      <c r="C160" s="308"/>
      <c r="D160" s="309"/>
      <c r="E160" s="314"/>
      <c r="F160" s="310"/>
      <c r="G160" s="308"/>
      <c r="H160" s="311"/>
      <c r="I160" s="311"/>
      <c r="J160" s="312"/>
      <c r="K160" s="312"/>
      <c r="L160" s="68"/>
      <c r="M160" s="68" t="s">
        <v>138</v>
      </c>
      <c r="N160" s="69">
        <v>1179</v>
      </c>
      <c r="O160" s="69">
        <v>100</v>
      </c>
      <c r="P160" s="69">
        <v>1182</v>
      </c>
      <c r="Q160" s="69">
        <f t="shared" ref="Q160" si="127">U160+W160</f>
        <v>370</v>
      </c>
      <c r="R160" s="69">
        <f t="shared" ref="R160" si="128">V160+X160</f>
        <v>28</v>
      </c>
      <c r="S160" s="71">
        <f t="shared" ref="S160" si="129">(P160-N160)*O160-R160-Q160</f>
        <v>-98</v>
      </c>
      <c r="T160" s="21">
        <v>42887</v>
      </c>
      <c r="U160" s="15">
        <v>185</v>
      </c>
      <c r="V160" s="15">
        <v>14</v>
      </c>
      <c r="W160" s="15">
        <v>185</v>
      </c>
      <c r="X160" s="15">
        <v>14</v>
      </c>
    </row>
    <row r="161" spans="1:24" x14ac:dyDescent="0.25">
      <c r="A161" s="305" t="str">
        <f>IPO監視一覧!H29</f>
        <v>D</v>
      </c>
      <c r="B161" s="305" t="str">
        <f>IPO監視一覧!B29</f>
        <v>LIXILビバ</v>
      </c>
      <c r="C161" s="308">
        <f>IPO監視一覧!G29</f>
        <v>2050</v>
      </c>
      <c r="D161" s="309">
        <v>4720000</v>
      </c>
      <c r="E161" s="314">
        <v>14903800</v>
      </c>
      <c r="F161" s="310">
        <f>IPO監視一覧!T29</f>
        <v>42837</v>
      </c>
      <c r="G161" s="308">
        <f>IPO監視一覧!U29</f>
        <v>1947</v>
      </c>
      <c r="H161" s="311">
        <f>終値履歴!C29</f>
        <v>1964</v>
      </c>
      <c r="I161" s="311">
        <f>参加条件計算!C29</f>
        <v>119800</v>
      </c>
      <c r="J161" s="312">
        <f t="shared" si="110"/>
        <v>-10300</v>
      </c>
      <c r="K161" s="312">
        <f t="shared" si="77"/>
        <v>1354.645</v>
      </c>
      <c r="L161" s="68">
        <f t="shared" ca="1" si="78"/>
        <v>68</v>
      </c>
      <c r="M161" s="96"/>
      <c r="N161" s="113"/>
      <c r="O161" s="113"/>
      <c r="P161" s="113"/>
      <c r="Q161" s="113">
        <f t="shared" ref="Q161:R172" si="130">U161+W161</f>
        <v>0</v>
      </c>
      <c r="R161" s="113">
        <f t="shared" si="130"/>
        <v>0</v>
      </c>
      <c r="S161" s="98">
        <f t="shared" si="1"/>
        <v>0</v>
      </c>
    </row>
    <row r="162" spans="1:24" x14ac:dyDescent="0.25">
      <c r="A162" s="91" t="str">
        <f>IPO監視一覧!H30</f>
        <v>B</v>
      </c>
      <c r="B162" s="91" t="str">
        <f>IPO監視一覧!B30</f>
        <v>旅工房</v>
      </c>
      <c r="C162" s="92">
        <f>IPO監視一覧!G30</f>
        <v>1370</v>
      </c>
      <c r="D162" s="93">
        <v>450000</v>
      </c>
      <c r="E162" s="93">
        <v>110000</v>
      </c>
      <c r="F162" s="94">
        <f>IPO監視一覧!T30</f>
        <v>42843</v>
      </c>
      <c r="G162" s="92">
        <f>IPO監視一覧!U30</f>
        <v>3750</v>
      </c>
      <c r="H162" s="85">
        <f>終値履歴!C30</f>
        <v>3560</v>
      </c>
      <c r="I162" s="85">
        <f>参加条件計算!C30</f>
        <v>7100</v>
      </c>
      <c r="J162" s="95">
        <f t="shared" si="110"/>
        <v>189650.3</v>
      </c>
      <c r="K162" s="95">
        <f t="shared" si="77"/>
        <v>-19000</v>
      </c>
      <c r="L162" s="96">
        <f ca="1">NETWORKDAYS(F162,TODAY())</f>
        <v>64</v>
      </c>
      <c r="M162" s="68" t="s">
        <v>138</v>
      </c>
      <c r="N162" s="69">
        <v>5030</v>
      </c>
      <c r="O162" s="69">
        <v>100</v>
      </c>
      <c r="P162" s="69">
        <v>4670</v>
      </c>
      <c r="Q162" s="69">
        <f t="shared" si="130"/>
        <v>758</v>
      </c>
      <c r="R162" s="69">
        <f t="shared" si="130"/>
        <v>59</v>
      </c>
      <c r="S162" s="71">
        <f t="shared" si="1"/>
        <v>-36817</v>
      </c>
      <c r="T162" s="21">
        <v>42846</v>
      </c>
      <c r="U162" s="15">
        <v>487</v>
      </c>
      <c r="V162" s="15">
        <v>38</v>
      </c>
      <c r="W162" s="15">
        <v>271</v>
      </c>
      <c r="X162" s="15">
        <v>21</v>
      </c>
    </row>
    <row r="163" spans="1:24" x14ac:dyDescent="0.25">
      <c r="A163" s="91"/>
      <c r="B163" s="91"/>
      <c r="C163" s="92"/>
      <c r="D163" s="93"/>
      <c r="E163" s="93"/>
      <c r="F163" s="94"/>
      <c r="G163" s="92"/>
      <c r="H163" s="92"/>
      <c r="I163" s="92"/>
      <c r="J163" s="95"/>
      <c r="K163" s="95"/>
      <c r="L163" s="96"/>
      <c r="M163" s="68" t="s">
        <v>138</v>
      </c>
      <c r="N163" s="73">
        <v>4310</v>
      </c>
      <c r="O163" s="73">
        <v>100</v>
      </c>
      <c r="P163" s="73">
        <v>4345</v>
      </c>
      <c r="Q163" s="73">
        <f t="shared" si="130"/>
        <v>542</v>
      </c>
      <c r="R163" s="73">
        <f t="shared" si="130"/>
        <v>42</v>
      </c>
      <c r="S163" s="75">
        <f t="shared" si="1"/>
        <v>2916</v>
      </c>
      <c r="T163" s="21">
        <v>42849</v>
      </c>
      <c r="U163" s="15">
        <v>271</v>
      </c>
      <c r="V163" s="15">
        <v>21</v>
      </c>
      <c r="W163" s="15">
        <v>271</v>
      </c>
      <c r="X163" s="15">
        <v>21</v>
      </c>
    </row>
    <row r="164" spans="1:24" x14ac:dyDescent="0.25">
      <c r="A164" s="91"/>
      <c r="B164" s="91"/>
      <c r="C164" s="92"/>
      <c r="D164" s="93"/>
      <c r="E164" s="93"/>
      <c r="F164" s="94"/>
      <c r="G164" s="92"/>
      <c r="H164" s="92"/>
      <c r="I164" s="92"/>
      <c r="J164" s="95"/>
      <c r="K164" s="95"/>
      <c r="L164" s="96"/>
      <c r="M164" s="68" t="s">
        <v>138</v>
      </c>
      <c r="N164" s="73">
        <v>4385</v>
      </c>
      <c r="O164" s="73">
        <v>100</v>
      </c>
      <c r="P164" s="73">
        <v>4410</v>
      </c>
      <c r="Q164" s="73">
        <f t="shared" si="130"/>
        <v>542</v>
      </c>
      <c r="R164" s="73">
        <f t="shared" si="130"/>
        <v>42</v>
      </c>
      <c r="S164" s="75">
        <f t="shared" si="1"/>
        <v>1916</v>
      </c>
      <c r="T164" s="21">
        <v>42850</v>
      </c>
      <c r="U164" s="15">
        <v>271</v>
      </c>
      <c r="V164" s="15">
        <v>21</v>
      </c>
      <c r="W164" s="15">
        <v>271</v>
      </c>
      <c r="X164" s="15">
        <v>21</v>
      </c>
    </row>
    <row r="165" spans="1:24" x14ac:dyDescent="0.25">
      <c r="A165" s="91"/>
      <c r="B165" s="91"/>
      <c r="C165" s="92"/>
      <c r="D165" s="93"/>
      <c r="E165" s="93"/>
      <c r="F165" s="94"/>
      <c r="G165" s="92"/>
      <c r="H165" s="92"/>
      <c r="I165" s="92"/>
      <c r="J165" s="95"/>
      <c r="K165" s="95"/>
      <c r="L165" s="96"/>
      <c r="M165" s="68" t="s">
        <v>138</v>
      </c>
      <c r="N165" s="69">
        <v>5510</v>
      </c>
      <c r="O165" s="69">
        <v>300</v>
      </c>
      <c r="P165" s="69">
        <v>4620</v>
      </c>
      <c r="Q165" s="69">
        <f t="shared" si="130"/>
        <v>1503</v>
      </c>
      <c r="R165" s="69">
        <f t="shared" si="130"/>
        <v>119</v>
      </c>
      <c r="S165" s="71">
        <f t="shared" si="1"/>
        <v>-268622</v>
      </c>
      <c r="T165" s="21">
        <v>42851</v>
      </c>
      <c r="U165" s="15">
        <v>921</v>
      </c>
      <c r="V165" s="15">
        <v>73</v>
      </c>
      <c r="W165" s="15">
        <v>582</v>
      </c>
      <c r="X165" s="15">
        <v>46</v>
      </c>
    </row>
    <row r="166" spans="1:24" x14ac:dyDescent="0.25">
      <c r="A166" s="91"/>
      <c r="B166" s="91"/>
      <c r="C166" s="92"/>
      <c r="D166" s="93"/>
      <c r="E166" s="93"/>
      <c r="F166" s="94"/>
      <c r="G166" s="92"/>
      <c r="H166" s="92"/>
      <c r="I166" s="92"/>
      <c r="J166" s="95"/>
      <c r="K166" s="95"/>
      <c r="L166" s="96"/>
      <c r="M166" s="68" t="s">
        <v>138</v>
      </c>
      <c r="N166" s="73">
        <v>4235</v>
      </c>
      <c r="O166" s="73">
        <v>100</v>
      </c>
      <c r="P166" s="73">
        <v>4305</v>
      </c>
      <c r="Q166" s="73">
        <f t="shared" si="130"/>
        <v>542</v>
      </c>
      <c r="R166" s="73">
        <f t="shared" si="130"/>
        <v>42</v>
      </c>
      <c r="S166" s="75">
        <f t="shared" si="1"/>
        <v>6416</v>
      </c>
      <c r="T166" s="21">
        <v>42870</v>
      </c>
      <c r="U166" s="15">
        <v>271</v>
      </c>
      <c r="V166" s="15">
        <v>21</v>
      </c>
      <c r="W166" s="15">
        <v>271</v>
      </c>
      <c r="X166" s="15">
        <v>21</v>
      </c>
    </row>
    <row r="167" spans="1:24" x14ac:dyDescent="0.25">
      <c r="A167" s="91" t="str">
        <f>IPO監視一覧!H31</f>
        <v>A</v>
      </c>
      <c r="B167" s="91" t="str">
        <f>IPO監視一覧!B31</f>
        <v>アセンテック</v>
      </c>
      <c r="C167" s="92">
        <f>IPO監視一覧!G31</f>
        <v>2000</v>
      </c>
      <c r="D167" s="93">
        <v>120000</v>
      </c>
      <c r="E167" s="93">
        <v>290000</v>
      </c>
      <c r="F167" s="94">
        <f>IPO監視一覧!T31</f>
        <v>42850</v>
      </c>
      <c r="G167" s="92">
        <f>IPO監視一覧!U31</f>
        <v>5950</v>
      </c>
      <c r="H167" s="85">
        <f>終値履歴!C31</f>
        <v>5670</v>
      </c>
      <c r="I167" s="85">
        <f>参加条件計算!C29</f>
        <v>119800</v>
      </c>
      <c r="J167" s="95">
        <f t="shared" si="110"/>
        <v>314755.75</v>
      </c>
      <c r="K167" s="95">
        <f t="shared" si="77"/>
        <v>-28000</v>
      </c>
      <c r="L167" s="96">
        <f ca="1">NETWORKDAYS(F167,TODAY())</f>
        <v>59</v>
      </c>
      <c r="M167" s="68" t="s">
        <v>138</v>
      </c>
      <c r="N167" s="69">
        <f>(6990+6680)/2</f>
        <v>6835</v>
      </c>
      <c r="O167" s="69">
        <v>200</v>
      </c>
      <c r="P167" s="69">
        <v>6800</v>
      </c>
      <c r="Q167" s="69">
        <f t="shared" si="130"/>
        <v>1556</v>
      </c>
      <c r="R167" s="69">
        <f t="shared" si="130"/>
        <v>122</v>
      </c>
      <c r="S167" s="71">
        <f t="shared" si="1"/>
        <v>-8678</v>
      </c>
      <c r="T167" s="21">
        <v>42857</v>
      </c>
      <c r="U167" s="15">
        <f>487*2</f>
        <v>974</v>
      </c>
      <c r="V167" s="15">
        <f>38*2</f>
        <v>76</v>
      </c>
      <c r="W167" s="15">
        <v>582</v>
      </c>
      <c r="X167" s="15">
        <v>46</v>
      </c>
    </row>
    <row r="168" spans="1:24" x14ac:dyDescent="0.25">
      <c r="A168" s="91"/>
      <c r="B168" s="91"/>
      <c r="C168" s="92"/>
      <c r="D168" s="93"/>
      <c r="E168" s="93"/>
      <c r="F168" s="94"/>
      <c r="G168" s="92"/>
      <c r="H168" s="92"/>
      <c r="I168" s="92"/>
      <c r="J168" s="95"/>
      <c r="K168" s="95"/>
      <c r="L168" s="96"/>
      <c r="M168" s="68" t="s">
        <v>138</v>
      </c>
      <c r="N168" s="73">
        <v>6820</v>
      </c>
      <c r="O168" s="73">
        <v>100</v>
      </c>
      <c r="P168" s="73">
        <v>6850</v>
      </c>
      <c r="Q168" s="73">
        <f t="shared" si="130"/>
        <v>974</v>
      </c>
      <c r="R168" s="73">
        <f t="shared" si="130"/>
        <v>76</v>
      </c>
      <c r="S168" s="75">
        <f t="shared" ref="S168:S173" si="131">(P168-N168)*O168-R168-Q168</f>
        <v>1950</v>
      </c>
      <c r="T168" s="21">
        <v>42865</v>
      </c>
      <c r="U168" s="15">
        <v>487</v>
      </c>
      <c r="V168" s="15">
        <v>38</v>
      </c>
      <c r="W168" s="15">
        <v>487</v>
      </c>
      <c r="X168" s="15">
        <v>38</v>
      </c>
    </row>
    <row r="169" spans="1:24" x14ac:dyDescent="0.25">
      <c r="A169" s="91"/>
      <c r="B169" s="91"/>
      <c r="C169" s="92"/>
      <c r="D169" s="93"/>
      <c r="E169" s="93"/>
      <c r="F169" s="94"/>
      <c r="G169" s="92"/>
      <c r="H169" s="92"/>
      <c r="I169" s="92"/>
      <c r="J169" s="95"/>
      <c r="K169" s="95"/>
      <c r="L169" s="96"/>
      <c r="M169" s="68" t="s">
        <v>138</v>
      </c>
      <c r="N169" s="73">
        <v>8160</v>
      </c>
      <c r="O169" s="73">
        <v>100</v>
      </c>
      <c r="P169" s="73">
        <v>8220</v>
      </c>
      <c r="Q169" s="73">
        <f t="shared" si="130"/>
        <v>974</v>
      </c>
      <c r="R169" s="73">
        <f t="shared" si="130"/>
        <v>76</v>
      </c>
      <c r="S169" s="75">
        <f t="shared" si="131"/>
        <v>4950</v>
      </c>
      <c r="T169" s="21">
        <v>42870</v>
      </c>
      <c r="U169" s="15">
        <v>487</v>
      </c>
      <c r="V169" s="15">
        <v>38</v>
      </c>
      <c r="W169" s="15">
        <v>487</v>
      </c>
      <c r="X169" s="15">
        <v>38</v>
      </c>
    </row>
    <row r="170" spans="1:24" x14ac:dyDescent="0.25">
      <c r="A170" s="91"/>
      <c r="B170" s="91"/>
      <c r="C170" s="92"/>
      <c r="D170" s="93"/>
      <c r="E170" s="93"/>
      <c r="F170" s="94"/>
      <c r="G170" s="92"/>
      <c r="H170" s="92"/>
      <c r="I170" s="92"/>
      <c r="J170" s="95"/>
      <c r="K170" s="95"/>
      <c r="L170" s="96"/>
      <c r="M170" s="68" t="s">
        <v>138</v>
      </c>
      <c r="N170" s="73">
        <v>7630</v>
      </c>
      <c r="O170" s="73">
        <v>100</v>
      </c>
      <c r="P170" s="73">
        <v>7690</v>
      </c>
      <c r="Q170" s="73">
        <f t="shared" si="130"/>
        <v>974</v>
      </c>
      <c r="R170" s="73">
        <f t="shared" si="130"/>
        <v>76</v>
      </c>
      <c r="S170" s="75">
        <f t="shared" si="131"/>
        <v>4950</v>
      </c>
      <c r="T170" s="21">
        <v>42871</v>
      </c>
      <c r="U170" s="15">
        <v>487</v>
      </c>
      <c r="V170" s="15">
        <v>38</v>
      </c>
      <c r="W170" s="15">
        <v>487</v>
      </c>
      <c r="X170" s="15">
        <v>38</v>
      </c>
    </row>
    <row r="171" spans="1:24" x14ac:dyDescent="0.25">
      <c r="A171" s="91"/>
      <c r="B171" s="91"/>
      <c r="C171" s="92"/>
      <c r="D171" s="93"/>
      <c r="E171" s="93"/>
      <c r="F171" s="94"/>
      <c r="G171" s="92"/>
      <c r="H171" s="92"/>
      <c r="I171" s="92"/>
      <c r="J171" s="95"/>
      <c r="K171" s="95"/>
      <c r="L171" s="96"/>
      <c r="M171" s="68" t="s">
        <v>138</v>
      </c>
      <c r="N171" s="73">
        <v>7640</v>
      </c>
      <c r="O171" s="73">
        <v>100</v>
      </c>
      <c r="P171" s="73">
        <v>7660</v>
      </c>
      <c r="Q171" s="73">
        <f t="shared" si="130"/>
        <v>974</v>
      </c>
      <c r="R171" s="73">
        <f t="shared" si="130"/>
        <v>76</v>
      </c>
      <c r="S171" s="75">
        <f t="shared" si="131"/>
        <v>950</v>
      </c>
      <c r="T171" s="21">
        <v>42872</v>
      </c>
      <c r="U171" s="15">
        <v>487</v>
      </c>
      <c r="V171" s="15">
        <v>38</v>
      </c>
      <c r="W171" s="15">
        <v>487</v>
      </c>
      <c r="X171" s="15">
        <v>38</v>
      </c>
    </row>
    <row r="172" spans="1:24" x14ac:dyDescent="0.25">
      <c r="A172" s="91"/>
      <c r="B172" s="91"/>
      <c r="C172" s="92"/>
      <c r="D172" s="93"/>
      <c r="E172" s="93"/>
      <c r="F172" s="94"/>
      <c r="G172" s="92"/>
      <c r="H172" s="92"/>
      <c r="I172" s="92"/>
      <c r="J172" s="95"/>
      <c r="K172" s="95"/>
      <c r="L172" s="96"/>
      <c r="M172" s="68" t="s">
        <v>138</v>
      </c>
      <c r="N172" s="73">
        <v>7020</v>
      </c>
      <c r="O172" s="73">
        <v>100</v>
      </c>
      <c r="P172" s="73">
        <v>7050</v>
      </c>
      <c r="Q172" s="73">
        <f t="shared" si="130"/>
        <v>974</v>
      </c>
      <c r="R172" s="73">
        <f t="shared" si="130"/>
        <v>76</v>
      </c>
      <c r="S172" s="75">
        <f t="shared" si="131"/>
        <v>1950</v>
      </c>
      <c r="T172" s="21">
        <v>42873</v>
      </c>
      <c r="U172" s="15">
        <v>487</v>
      </c>
      <c r="V172" s="15">
        <v>38</v>
      </c>
      <c r="W172" s="15">
        <v>487</v>
      </c>
      <c r="X172" s="15">
        <v>38</v>
      </c>
    </row>
    <row r="173" spans="1:24" x14ac:dyDescent="0.25">
      <c r="A173" s="91" t="str">
        <f>IPO監視一覧!H32</f>
        <v>A</v>
      </c>
      <c r="B173" s="91" t="str">
        <f>IPO監視一覧!B32</f>
        <v>ビーブレイクシステムズ</v>
      </c>
      <c r="C173" s="92">
        <f>IPO監視一覧!G32</f>
        <v>1670</v>
      </c>
      <c r="D173" s="93">
        <v>250000</v>
      </c>
      <c r="E173" s="93">
        <v>62000</v>
      </c>
      <c r="F173" s="94">
        <f>IPO監視一覧!T32</f>
        <v>42901</v>
      </c>
      <c r="G173" s="92">
        <f>IPO監視一覧!U32</f>
        <v>7700</v>
      </c>
      <c r="H173" s="92">
        <f>終値履歴!C40</f>
        <v>5950</v>
      </c>
      <c r="I173" s="85">
        <f>参加条件計算!C40</f>
        <v>14900</v>
      </c>
      <c r="J173" s="95">
        <f t="shared" si="110"/>
        <v>480500.55</v>
      </c>
      <c r="K173" s="95">
        <f t="shared" si="77"/>
        <v>-175000</v>
      </c>
      <c r="L173" s="96">
        <f ca="1">NETWORKDAYS(F173,TODAY())</f>
        <v>22</v>
      </c>
      <c r="M173" s="68" t="s">
        <v>138</v>
      </c>
      <c r="N173" s="69">
        <v>7160</v>
      </c>
      <c r="O173" s="69">
        <v>100</v>
      </c>
      <c r="P173" s="69">
        <v>6770</v>
      </c>
      <c r="Q173" s="69">
        <f t="shared" ref="Q173" si="132">U173+W173</f>
        <v>974</v>
      </c>
      <c r="R173" s="69">
        <f t="shared" ref="R173" si="133">V173+X173</f>
        <v>76</v>
      </c>
      <c r="S173" s="71">
        <f t="shared" si="131"/>
        <v>-40050</v>
      </c>
      <c r="T173" s="21">
        <v>42905</v>
      </c>
      <c r="U173" s="15">
        <v>487</v>
      </c>
      <c r="V173" s="15">
        <v>38</v>
      </c>
      <c r="W173" s="15">
        <v>487</v>
      </c>
      <c r="X173" s="15">
        <v>38</v>
      </c>
    </row>
    <row r="174" spans="1:24" x14ac:dyDescent="0.25">
      <c r="A174" s="91" t="str">
        <f>IPO監視一覧!H33</f>
        <v>A</v>
      </c>
      <c r="B174" s="91" t="str">
        <f>IPO監視一覧!B33</f>
        <v>ディーエムソリューションズ</v>
      </c>
      <c r="C174" s="92">
        <f>IPO監視一覧!G33</f>
        <v>2500</v>
      </c>
      <c r="D174" s="93">
        <v>100000</v>
      </c>
      <c r="E174" s="93">
        <v>97000</v>
      </c>
      <c r="F174" s="94">
        <f>IPO監視一覧!T33</f>
        <v>42906</v>
      </c>
      <c r="G174" s="92">
        <f>IPO監視一覧!U33</f>
        <v>7100</v>
      </c>
      <c r="H174" s="92">
        <f>終値履歴!C41</f>
        <v>5920</v>
      </c>
      <c r="I174" s="85">
        <f>参加条件計算!C41</f>
        <v>9600</v>
      </c>
      <c r="J174" s="95">
        <f t="shared" si="110"/>
        <v>366551</v>
      </c>
      <c r="K174" s="95">
        <f t="shared" si="77"/>
        <v>-118000</v>
      </c>
      <c r="L174" s="96">
        <f ca="1">NETWORKDAYS(F174,TODAY())</f>
        <v>19</v>
      </c>
      <c r="M174" s="96"/>
      <c r="N174" s="113"/>
      <c r="O174" s="113"/>
      <c r="P174" s="113"/>
      <c r="Q174" s="113"/>
      <c r="R174" s="113"/>
      <c r="S174" s="98">
        <f>(P174-N174)*O174-R174-Q174</f>
        <v>0</v>
      </c>
    </row>
    <row r="175" spans="1:24" x14ac:dyDescent="0.25">
      <c r="A175" s="91" t="str">
        <f>IPO監視一覧!H34</f>
        <v>A</v>
      </c>
      <c r="B175" s="91" t="str">
        <f>IPO監視一覧!B34</f>
        <v>エコモット</v>
      </c>
      <c r="C175" s="92">
        <f>IPO監視一覧!G34</f>
        <v>2730</v>
      </c>
      <c r="D175" s="93">
        <v>12000</v>
      </c>
      <c r="E175" s="360">
        <v>150000</v>
      </c>
      <c r="F175" s="94">
        <f>IPO監視一覧!T34</f>
        <v>42907</v>
      </c>
      <c r="G175" s="92">
        <f>IPO監視一覧!U34</f>
        <v>4195</v>
      </c>
      <c r="H175" s="92">
        <f>終値履歴!C42</f>
        <v>3750</v>
      </c>
      <c r="I175" s="85">
        <f>参加条件計算!C42</f>
        <v>2600</v>
      </c>
      <c r="J175" s="95">
        <f t="shared" si="110"/>
        <v>116738.52499999999</v>
      </c>
      <c r="K175" s="95">
        <f t="shared" si="77"/>
        <v>-44500</v>
      </c>
      <c r="L175" s="96">
        <f ca="1">NETWORKDAYS(F175,TODAY())</f>
        <v>18</v>
      </c>
      <c r="M175" s="96"/>
      <c r="N175" s="113"/>
      <c r="O175" s="113"/>
      <c r="P175" s="113"/>
      <c r="Q175" s="113"/>
      <c r="R175" s="113"/>
      <c r="S175" s="98">
        <f>(P175-N175)*O175-R175-Q175</f>
        <v>0</v>
      </c>
      <c r="T175" s="60"/>
      <c r="U175" s="60"/>
      <c r="V175" s="60"/>
      <c r="W175" s="60"/>
      <c r="X175" s="60"/>
    </row>
    <row r="176" spans="1:24" x14ac:dyDescent="0.25">
      <c r="A176" s="91" t="str">
        <f>IPO監視一覧!H35</f>
        <v>B</v>
      </c>
      <c r="B176" s="91" t="str">
        <f>IPO監視一覧!B35</f>
        <v>Fringe81</v>
      </c>
      <c r="C176" s="92">
        <f>IPO監視一覧!G35</f>
        <v>2600</v>
      </c>
      <c r="D176" s="93">
        <v>108800</v>
      </c>
      <c r="E176" s="93">
        <v>151300</v>
      </c>
      <c r="F176" s="94">
        <f>IPO監視一覧!T35</f>
        <v>42913</v>
      </c>
      <c r="G176" s="92">
        <f>IPO監視一覧!U35</f>
        <v>6060</v>
      </c>
      <c r="H176" s="92">
        <f>終値履歴!C43</f>
        <v>5470</v>
      </c>
      <c r="I176" s="85">
        <f>参加条件計算!C43</f>
        <v>54600</v>
      </c>
      <c r="J176" s="95">
        <f t="shared" ref="J176:J177" si="134">IF((G176-C176)&gt;0,(G176-C176)*100*0.79685,(G176-C176)*100)</f>
        <v>275710.09999999998</v>
      </c>
      <c r="K176" s="95">
        <f t="shared" ref="K176:K177" si="135">IF((H176-G176)&gt;0,(H176-G176)*100*0.79685,(H176-G176)*100)</f>
        <v>-59000</v>
      </c>
      <c r="L176" s="96">
        <f t="shared" ref="L176:L177" ca="1" si="136">NETWORKDAYS(F176,TODAY())</f>
        <v>14</v>
      </c>
      <c r="M176" s="96"/>
      <c r="N176" s="113"/>
      <c r="O176" s="113"/>
      <c r="P176" s="113"/>
      <c r="Q176" s="113"/>
      <c r="R176" s="113"/>
      <c r="S176" s="98">
        <f t="shared" ref="S176:S177" si="137">(P176-N176)*O176-R176-Q176</f>
        <v>0</v>
      </c>
      <c r="T176" s="60"/>
      <c r="U176" s="60"/>
      <c r="V176" s="60"/>
      <c r="W176" s="60"/>
      <c r="X176" s="60"/>
    </row>
    <row r="177" spans="1:24" x14ac:dyDescent="0.25">
      <c r="A177" s="91" t="str">
        <f>IPO監視一覧!H36</f>
        <v>B</v>
      </c>
      <c r="B177" s="91" t="str">
        <f>IPO監視一覧!B36</f>
        <v>ツナグ・ソリューションズ</v>
      </c>
      <c r="C177" s="92">
        <f>IPO監視一覧!G36</f>
        <v>2130</v>
      </c>
      <c r="D177" s="93">
        <v>270000</v>
      </c>
      <c r="E177" s="93">
        <v>180000</v>
      </c>
      <c r="F177" s="94">
        <f>IPO監視一覧!T36</f>
        <v>42916</v>
      </c>
      <c r="G177" s="92">
        <f>IPO監視一覧!U36</f>
        <v>4515</v>
      </c>
      <c r="H177" s="92">
        <f>終値履歴!C46</f>
        <v>5250</v>
      </c>
      <c r="I177" s="85">
        <f>参加条件計算!C46</f>
        <v>130500</v>
      </c>
      <c r="J177" s="95">
        <f t="shared" si="134"/>
        <v>190048.72499999998</v>
      </c>
      <c r="K177" s="95">
        <f t="shared" si="135"/>
        <v>58568.474999999999</v>
      </c>
      <c r="L177" s="96">
        <f t="shared" ca="1" si="136"/>
        <v>11</v>
      </c>
      <c r="M177" s="96"/>
      <c r="N177" s="113"/>
      <c r="O177" s="113"/>
      <c r="P177" s="113"/>
      <c r="Q177" s="113"/>
      <c r="R177" s="113"/>
      <c r="S177" s="98">
        <f t="shared" si="137"/>
        <v>0</v>
      </c>
      <c r="T177" s="60"/>
      <c r="U177" s="60"/>
      <c r="V177" s="60"/>
      <c r="W177" s="60"/>
      <c r="X177" s="60"/>
    </row>
    <row r="178" spans="1:24" x14ac:dyDescent="0.25">
      <c r="A178" s="91" t="str">
        <f>IPO監視一覧!H37</f>
        <v>B</v>
      </c>
      <c r="B178" s="91" t="str">
        <f>IPO監視一覧!B37</f>
        <v>ＳＹＳホールディングス</v>
      </c>
      <c r="C178" s="92">
        <f>IPO監視一覧!G37</f>
        <v>2560</v>
      </c>
      <c r="D178" s="93">
        <v>200000</v>
      </c>
      <c r="E178" s="93">
        <v>100000</v>
      </c>
      <c r="F178" s="94">
        <f>IPO監視一覧!T37</f>
        <v>42916</v>
      </c>
      <c r="G178" s="92">
        <f>IPO監視一覧!U37</f>
        <v>5530</v>
      </c>
      <c r="H178" s="92">
        <f>終値履歴!C47</f>
        <v>4115</v>
      </c>
      <c r="I178" s="85">
        <f>参加条件計算!C47</f>
        <v>19700</v>
      </c>
      <c r="J178" s="95">
        <f t="shared" ref="J178:J181" si="138">IF((G178-C178)&gt;0,(G178-C178)*100*0.79685,(G178-C178)*100)</f>
        <v>236664.44999999998</v>
      </c>
      <c r="K178" s="95">
        <f t="shared" ref="K178:K181" si="139">IF((H178-G178)&gt;0,(H178-G178)*100*0.79685,(H178-G178)*100)</f>
        <v>-141500</v>
      </c>
      <c r="L178" s="96">
        <f t="shared" ref="L178:L181" ca="1" si="140">NETWORKDAYS(F178,TODAY())</f>
        <v>11</v>
      </c>
      <c r="M178" s="96"/>
      <c r="N178" s="113"/>
      <c r="O178" s="113"/>
      <c r="P178" s="113"/>
      <c r="Q178" s="113"/>
      <c r="R178" s="113"/>
      <c r="S178" s="98">
        <f t="shared" ref="S178:S181" si="141">(P178-N178)*O178-R178-Q178</f>
        <v>0</v>
      </c>
      <c r="T178" s="60"/>
      <c r="U178" s="60"/>
      <c r="V178" s="60"/>
      <c r="W178" s="60"/>
      <c r="X178" s="60"/>
    </row>
    <row r="179" spans="1:24" x14ac:dyDescent="0.25">
      <c r="A179" s="91" t="str">
        <f>IPO監視一覧!H38</f>
        <v>B</v>
      </c>
      <c r="B179" s="91" t="str">
        <f>IPO監視一覧!B38</f>
        <v>GameWith</v>
      </c>
      <c r="C179" s="92">
        <f>IPO監視一覧!G38</f>
        <v>1920</v>
      </c>
      <c r="D179" s="93">
        <v>50000</v>
      </c>
      <c r="E179" s="93">
        <v>683400</v>
      </c>
      <c r="F179" s="94">
        <f>IPO監視一覧!T38</f>
        <v>42916</v>
      </c>
      <c r="G179" s="92">
        <f>IPO監視一覧!U38</f>
        <v>4490</v>
      </c>
      <c r="H179" s="92">
        <f>終値履歴!C48</f>
        <v>3595</v>
      </c>
      <c r="I179" s="85">
        <f>参加条件計算!C48</f>
        <v>194800</v>
      </c>
      <c r="J179" s="95">
        <f t="shared" si="138"/>
        <v>204790.44999999998</v>
      </c>
      <c r="K179" s="95">
        <f t="shared" si="139"/>
        <v>-89500</v>
      </c>
      <c r="L179" s="96">
        <f t="shared" ca="1" si="140"/>
        <v>11</v>
      </c>
      <c r="M179" s="96"/>
      <c r="N179" s="113"/>
      <c r="O179" s="113"/>
      <c r="P179" s="113"/>
      <c r="Q179" s="113"/>
      <c r="R179" s="113"/>
      <c r="S179" s="98">
        <f t="shared" si="141"/>
        <v>0</v>
      </c>
      <c r="T179" s="60"/>
      <c r="U179" s="60"/>
      <c r="V179" s="60"/>
      <c r="W179" s="60"/>
      <c r="X179" s="60"/>
    </row>
    <row r="180" spans="1:24" x14ac:dyDescent="0.25">
      <c r="A180" s="91" t="str">
        <f>IPO監視一覧!H39</f>
        <v>B</v>
      </c>
      <c r="B180" s="91" t="str">
        <f>IPO監視一覧!B39</f>
        <v>ソウルドアウト</v>
      </c>
      <c r="C180" s="92">
        <f>IPO監視一覧!G39</f>
        <v>1200</v>
      </c>
      <c r="D180" s="93">
        <v>410000</v>
      </c>
      <c r="E180" s="93">
        <v>1914000</v>
      </c>
      <c r="F180" s="94">
        <f>IPO監視一覧!T39</f>
        <v>42928</v>
      </c>
      <c r="G180" s="92">
        <f>IPO監視一覧!U39</f>
        <v>2123</v>
      </c>
      <c r="H180" s="92">
        <f>終値履歴!C51</f>
        <v>2713</v>
      </c>
      <c r="I180" s="85">
        <f>参加条件計算!C51</f>
        <v>12149000</v>
      </c>
      <c r="J180" s="95">
        <f t="shared" si="138"/>
        <v>73549.25499999999</v>
      </c>
      <c r="K180" s="95">
        <f t="shared" si="139"/>
        <v>47014.149999999994</v>
      </c>
      <c r="L180" s="96">
        <f t="shared" ca="1" si="140"/>
        <v>3</v>
      </c>
      <c r="M180" s="96"/>
      <c r="N180" s="113"/>
      <c r="O180" s="113"/>
      <c r="P180" s="113"/>
      <c r="Q180" s="113"/>
      <c r="R180" s="113"/>
      <c r="S180" s="98">
        <f t="shared" si="141"/>
        <v>0</v>
      </c>
      <c r="T180" s="60"/>
      <c r="U180" s="60"/>
      <c r="V180" s="60"/>
      <c r="W180" s="60"/>
      <c r="X180" s="60"/>
    </row>
    <row r="181" spans="1:24" x14ac:dyDescent="0.25">
      <c r="A181" s="91" t="str">
        <f>IPO監視一覧!H40</f>
        <v>B</v>
      </c>
      <c r="B181" s="114" t="str">
        <f>IPO監視一覧!B40</f>
        <v>ユニフォームネクスト</v>
      </c>
      <c r="C181" s="115">
        <f>IPO監視一覧!G40</f>
        <v>2800</v>
      </c>
      <c r="D181" s="116">
        <v>200000</v>
      </c>
      <c r="E181" s="116">
        <v>0</v>
      </c>
      <c r="F181" s="117">
        <f>IPO監視一覧!T40</f>
        <v>42935</v>
      </c>
      <c r="G181" s="115">
        <f>IPO監視一覧!U40</f>
        <v>0</v>
      </c>
      <c r="H181" s="115"/>
      <c r="I181" s="115"/>
      <c r="J181" s="118">
        <f t="shared" si="138"/>
        <v>-280000</v>
      </c>
      <c r="K181" s="118">
        <f t="shared" si="139"/>
        <v>0</v>
      </c>
      <c r="L181" s="119">
        <f t="shared" ca="1" si="140"/>
        <v>-4</v>
      </c>
      <c r="M181" s="119"/>
      <c r="N181" s="120"/>
      <c r="O181" s="120"/>
      <c r="P181" s="120"/>
      <c r="Q181" s="120"/>
      <c r="R181" s="120"/>
      <c r="S181" s="98">
        <f t="shared" si="141"/>
        <v>0</v>
      </c>
      <c r="T181" s="60"/>
      <c r="U181" s="60"/>
      <c r="V181" s="60"/>
      <c r="W181" s="60"/>
      <c r="X181" s="60"/>
    </row>
    <row r="182" spans="1:24" x14ac:dyDescent="0.25">
      <c r="A182" s="91" t="str">
        <f>IPO監視一覧!H41</f>
        <v>D</v>
      </c>
      <c r="B182" s="114" t="str">
        <f>IPO監視一覧!B41</f>
        <v>ジェイ・エス・ビー</v>
      </c>
      <c r="C182" s="115">
        <f>IPO監視一覧!G41</f>
        <v>3200</v>
      </c>
      <c r="D182" s="116">
        <v>333500</v>
      </c>
      <c r="E182" s="116">
        <v>117200</v>
      </c>
      <c r="F182" s="117">
        <f>IPO監視一覧!T41</f>
        <v>42936</v>
      </c>
      <c r="G182" s="115">
        <f>IPO監視一覧!U41</f>
        <v>0</v>
      </c>
      <c r="H182" s="115"/>
      <c r="I182" s="115"/>
      <c r="J182" s="118">
        <f t="shared" ref="J182:J185" si="142">IF((G182-C182)&gt;0,(G182-C182)*100*0.79685,(G182-C182)*100)</f>
        <v>-320000</v>
      </c>
      <c r="K182" s="118">
        <f t="shared" ref="K182:K185" si="143">IF((H182-G182)&gt;0,(H182-G182)*100*0.79685,(H182-G182)*100)</f>
        <v>0</v>
      </c>
      <c r="L182" s="119">
        <f t="shared" ref="L182:L185" ca="1" si="144">NETWORKDAYS(F182,TODAY())</f>
        <v>-5</v>
      </c>
      <c r="M182" s="119"/>
      <c r="N182" s="120"/>
      <c r="O182" s="120"/>
      <c r="P182" s="120"/>
      <c r="Q182" s="120"/>
      <c r="R182" s="120"/>
      <c r="S182" s="98">
        <f t="shared" ref="S182:S185" si="145">(P182-N182)*O182-R182-Q182</f>
        <v>0</v>
      </c>
      <c r="T182" s="60"/>
      <c r="U182" s="60"/>
      <c r="V182" s="60"/>
      <c r="W182" s="60"/>
      <c r="X182" s="60"/>
    </row>
    <row r="183" spans="1:24" x14ac:dyDescent="0.25">
      <c r="A183" s="91" t="str">
        <f>IPO監視一覧!H42</f>
        <v>C</v>
      </c>
      <c r="B183" s="114" t="str">
        <f>IPO監視一覧!B42</f>
        <v>クロスフォー</v>
      </c>
      <c r="C183" s="115">
        <f>IPO監視一覧!G42</f>
        <v>730</v>
      </c>
      <c r="D183" s="116">
        <v>1500000</v>
      </c>
      <c r="E183" s="116">
        <v>0</v>
      </c>
      <c r="F183" s="117">
        <f>IPO監視一覧!T42</f>
        <v>42936</v>
      </c>
      <c r="G183" s="115">
        <f>IPO監視一覧!U42</f>
        <v>0</v>
      </c>
      <c r="H183" s="115"/>
      <c r="I183" s="115"/>
      <c r="J183" s="118">
        <f t="shared" si="142"/>
        <v>-73000</v>
      </c>
      <c r="K183" s="118">
        <f t="shared" si="143"/>
        <v>0</v>
      </c>
      <c r="L183" s="119">
        <f t="shared" ca="1" si="144"/>
        <v>-5</v>
      </c>
      <c r="M183" s="119"/>
      <c r="N183" s="120"/>
      <c r="O183" s="120"/>
      <c r="P183" s="120"/>
      <c r="Q183" s="120"/>
      <c r="R183" s="120"/>
      <c r="S183" s="98">
        <f t="shared" si="145"/>
        <v>0</v>
      </c>
      <c r="T183" s="60"/>
      <c r="U183" s="60"/>
      <c r="V183" s="60"/>
      <c r="W183" s="60"/>
      <c r="X183" s="60"/>
    </row>
    <row r="184" spans="1:24" x14ac:dyDescent="0.25">
      <c r="A184" s="91" t="str">
        <f>IPO監視一覧!H43</f>
        <v>A</v>
      </c>
      <c r="B184" s="114" t="str">
        <f>IPO監視一覧!B43</f>
        <v>シェアリングテクノロジー</v>
      </c>
      <c r="C184" s="115">
        <f>IPO監視一覧!G43</f>
        <v>0</v>
      </c>
      <c r="D184" s="116">
        <v>600000</v>
      </c>
      <c r="E184" s="116">
        <v>600000</v>
      </c>
      <c r="F184" s="117">
        <f>IPO監視一覧!T43</f>
        <v>42950</v>
      </c>
      <c r="G184" s="115">
        <f>IPO監視一覧!U43</f>
        <v>0</v>
      </c>
      <c r="H184" s="115"/>
      <c r="I184" s="115"/>
      <c r="J184" s="118">
        <f t="shared" si="142"/>
        <v>0</v>
      </c>
      <c r="K184" s="118">
        <f t="shared" si="143"/>
        <v>0</v>
      </c>
      <c r="L184" s="119">
        <f t="shared" ca="1" si="144"/>
        <v>-15</v>
      </c>
      <c r="M184" s="119"/>
      <c r="N184" s="120"/>
      <c r="O184" s="120"/>
      <c r="P184" s="120"/>
      <c r="Q184" s="120"/>
      <c r="R184" s="120"/>
      <c r="S184" s="98">
        <f t="shared" si="145"/>
        <v>0</v>
      </c>
      <c r="T184" s="60"/>
      <c r="U184" s="60"/>
      <c r="V184" s="60"/>
      <c r="W184" s="60"/>
      <c r="X184" s="60"/>
    </row>
    <row r="185" spans="1:24" x14ac:dyDescent="0.25">
      <c r="A185" s="91" t="str">
        <f>IPO監視一覧!H44</f>
        <v>A</v>
      </c>
      <c r="B185" s="114" t="str">
        <f>IPO監視一覧!B44</f>
        <v>トランザス</v>
      </c>
      <c r="C185" s="115">
        <f>IPO監視一覧!G44</f>
        <v>0</v>
      </c>
      <c r="D185" s="116">
        <v>380000</v>
      </c>
      <c r="E185" s="116">
        <v>360000</v>
      </c>
      <c r="F185" s="117">
        <f>IPO監視一覧!T44</f>
        <v>42956</v>
      </c>
      <c r="G185" s="115">
        <f>IPO監視一覧!U44</f>
        <v>0</v>
      </c>
      <c r="H185" s="115"/>
      <c r="I185" s="115"/>
      <c r="J185" s="118">
        <f t="shared" si="142"/>
        <v>0</v>
      </c>
      <c r="K185" s="118">
        <f t="shared" si="143"/>
        <v>0</v>
      </c>
      <c r="L185" s="119">
        <f t="shared" ca="1" si="144"/>
        <v>-19</v>
      </c>
      <c r="M185" s="119"/>
      <c r="N185" s="120"/>
      <c r="O185" s="120"/>
      <c r="P185" s="120"/>
      <c r="Q185" s="120"/>
      <c r="R185" s="120"/>
      <c r="S185" s="98">
        <f t="shared" si="145"/>
        <v>0</v>
      </c>
      <c r="T185" s="60"/>
      <c r="U185" s="60"/>
      <c r="V185" s="60"/>
      <c r="W185" s="60"/>
      <c r="X185" s="60"/>
    </row>
    <row r="186" spans="1:24" x14ac:dyDescent="0.25">
      <c r="A186" s="91">
        <f>IPO監視一覧!H45</f>
        <v>0</v>
      </c>
      <c r="B186" s="114">
        <f>IPO監視一覧!B45</f>
        <v>0</v>
      </c>
      <c r="C186" s="115">
        <f>IPO監視一覧!G45</f>
        <v>0</v>
      </c>
      <c r="D186" s="116"/>
      <c r="E186" s="116"/>
      <c r="F186" s="117">
        <f>IPO監視一覧!T45</f>
        <v>0</v>
      </c>
      <c r="G186" s="115">
        <f>IPO監視一覧!U45</f>
        <v>0</v>
      </c>
      <c r="H186" s="115"/>
      <c r="I186" s="115"/>
      <c r="J186" s="118">
        <f t="shared" ref="J186:J192" si="146">IF((G186-C186)&gt;0,(G186-C186)*100*0.79685,(G186-C186)*100)</f>
        <v>0</v>
      </c>
      <c r="K186" s="118">
        <f t="shared" ref="K186:K192" si="147">IF((H186-G186)&gt;0,(H186-G186)*100*0.79685,(H186-G186)*100)</f>
        <v>0</v>
      </c>
      <c r="L186" s="119">
        <f t="shared" ref="L186:L192" ca="1" si="148">NETWORKDAYS(F186,TODAY())</f>
        <v>30665</v>
      </c>
      <c r="M186" s="119"/>
      <c r="N186" s="120"/>
      <c r="O186" s="120"/>
      <c r="P186" s="120"/>
      <c r="Q186" s="120"/>
      <c r="R186" s="120"/>
      <c r="S186" s="98">
        <f t="shared" ref="S186:S192" si="149">(P186-N186)*O186-R186-Q186</f>
        <v>0</v>
      </c>
      <c r="T186" s="60"/>
      <c r="U186" s="60"/>
      <c r="V186" s="60"/>
      <c r="W186" s="60"/>
      <c r="X186" s="60"/>
    </row>
    <row r="187" spans="1:24" x14ac:dyDescent="0.25">
      <c r="A187" s="91">
        <f>IPO監視一覧!H46</f>
        <v>0</v>
      </c>
      <c r="B187" s="114">
        <f>IPO監視一覧!B46</f>
        <v>0</v>
      </c>
      <c r="C187" s="115">
        <f>IPO監視一覧!G46</f>
        <v>0</v>
      </c>
      <c r="D187" s="116"/>
      <c r="E187" s="116"/>
      <c r="F187" s="117">
        <f>IPO監視一覧!T46</f>
        <v>0</v>
      </c>
      <c r="G187" s="115">
        <f>IPO監視一覧!U46</f>
        <v>0</v>
      </c>
      <c r="H187" s="115"/>
      <c r="I187" s="115"/>
      <c r="J187" s="118">
        <f t="shared" si="146"/>
        <v>0</v>
      </c>
      <c r="K187" s="118">
        <f t="shared" si="147"/>
        <v>0</v>
      </c>
      <c r="L187" s="119">
        <f t="shared" ca="1" si="148"/>
        <v>30665</v>
      </c>
      <c r="M187" s="119"/>
      <c r="N187" s="120"/>
      <c r="O187" s="120"/>
      <c r="P187" s="120"/>
      <c r="Q187" s="120"/>
      <c r="R187" s="120"/>
      <c r="S187" s="98">
        <f t="shared" si="149"/>
        <v>0</v>
      </c>
      <c r="T187" s="60"/>
      <c r="U187" s="60"/>
      <c r="V187" s="60"/>
      <c r="W187" s="60"/>
      <c r="X187" s="60"/>
    </row>
    <row r="188" spans="1:24" x14ac:dyDescent="0.25">
      <c r="A188" s="91">
        <f>IPO監視一覧!H47</f>
        <v>0</v>
      </c>
      <c r="B188" s="114">
        <f>IPO監視一覧!B47</f>
        <v>0</v>
      </c>
      <c r="C188" s="115">
        <f>IPO監視一覧!G47</f>
        <v>0</v>
      </c>
      <c r="D188" s="116"/>
      <c r="E188" s="116"/>
      <c r="F188" s="117">
        <f>IPO監視一覧!T47</f>
        <v>0</v>
      </c>
      <c r="G188" s="115">
        <f>IPO監視一覧!U47</f>
        <v>0</v>
      </c>
      <c r="H188" s="115"/>
      <c r="I188" s="115"/>
      <c r="J188" s="118">
        <f t="shared" si="146"/>
        <v>0</v>
      </c>
      <c r="K188" s="118">
        <f t="shared" si="147"/>
        <v>0</v>
      </c>
      <c r="L188" s="119">
        <f t="shared" ca="1" si="148"/>
        <v>30665</v>
      </c>
      <c r="M188" s="119"/>
      <c r="N188" s="120"/>
      <c r="O188" s="120"/>
      <c r="P188" s="120"/>
      <c r="Q188" s="120"/>
      <c r="R188" s="120"/>
      <c r="S188" s="98">
        <f t="shared" si="149"/>
        <v>0</v>
      </c>
      <c r="T188" s="60"/>
      <c r="U188" s="60"/>
      <c r="V188" s="60"/>
      <c r="W188" s="60"/>
      <c r="X188" s="60"/>
    </row>
    <row r="189" spans="1:24" x14ac:dyDescent="0.25">
      <c r="A189" s="91">
        <f>IPO監視一覧!H48</f>
        <v>0</v>
      </c>
      <c r="B189" s="114">
        <f>IPO監視一覧!B48</f>
        <v>0</v>
      </c>
      <c r="C189" s="115">
        <f>IPO監視一覧!G48</f>
        <v>0</v>
      </c>
      <c r="D189" s="116"/>
      <c r="E189" s="116"/>
      <c r="F189" s="117">
        <f>IPO監視一覧!T48</f>
        <v>0</v>
      </c>
      <c r="G189" s="115">
        <f>IPO監視一覧!U48</f>
        <v>0</v>
      </c>
      <c r="H189" s="115"/>
      <c r="I189" s="115"/>
      <c r="J189" s="118">
        <f t="shared" si="146"/>
        <v>0</v>
      </c>
      <c r="K189" s="118">
        <f t="shared" si="147"/>
        <v>0</v>
      </c>
      <c r="L189" s="119">
        <f t="shared" ca="1" si="148"/>
        <v>30665</v>
      </c>
      <c r="M189" s="119"/>
      <c r="N189" s="120"/>
      <c r="O189" s="120"/>
      <c r="P189" s="120"/>
      <c r="Q189" s="120"/>
      <c r="R189" s="120"/>
      <c r="S189" s="98">
        <f t="shared" si="149"/>
        <v>0</v>
      </c>
      <c r="T189" s="60"/>
      <c r="U189" s="60"/>
      <c r="V189" s="60"/>
      <c r="W189" s="60"/>
      <c r="X189" s="60"/>
    </row>
    <row r="190" spans="1:24" x14ac:dyDescent="0.25">
      <c r="A190" s="91">
        <f>IPO監視一覧!H49</f>
        <v>0</v>
      </c>
      <c r="B190" s="114">
        <f>IPO監視一覧!B49</f>
        <v>0</v>
      </c>
      <c r="C190" s="115">
        <f>IPO監視一覧!G49</f>
        <v>0</v>
      </c>
      <c r="D190" s="116"/>
      <c r="E190" s="116"/>
      <c r="F190" s="117">
        <f>IPO監視一覧!T49</f>
        <v>0</v>
      </c>
      <c r="G190" s="115">
        <f>IPO監視一覧!U49</f>
        <v>0</v>
      </c>
      <c r="H190" s="115"/>
      <c r="I190" s="115"/>
      <c r="J190" s="118">
        <f t="shared" si="146"/>
        <v>0</v>
      </c>
      <c r="K190" s="118">
        <f t="shared" si="147"/>
        <v>0</v>
      </c>
      <c r="L190" s="119">
        <f t="shared" ca="1" si="148"/>
        <v>30665</v>
      </c>
      <c r="M190" s="119"/>
      <c r="N190" s="120"/>
      <c r="O190" s="120"/>
      <c r="P190" s="120"/>
      <c r="Q190" s="120"/>
      <c r="R190" s="120"/>
      <c r="S190" s="98">
        <f t="shared" si="149"/>
        <v>0</v>
      </c>
      <c r="T190" s="60"/>
      <c r="U190" s="60"/>
      <c r="V190" s="60"/>
      <c r="W190" s="60"/>
      <c r="X190" s="60"/>
    </row>
    <row r="191" spans="1:24" x14ac:dyDescent="0.25">
      <c r="A191" s="91">
        <f>IPO監視一覧!H50</f>
        <v>0</v>
      </c>
      <c r="B191" s="114">
        <f>IPO監視一覧!B50</f>
        <v>0</v>
      </c>
      <c r="C191" s="115">
        <f>IPO監視一覧!G50</f>
        <v>0</v>
      </c>
      <c r="D191" s="116"/>
      <c r="E191" s="116"/>
      <c r="F191" s="117">
        <f>IPO監視一覧!T50</f>
        <v>0</v>
      </c>
      <c r="G191" s="115">
        <f>IPO監視一覧!U50</f>
        <v>0</v>
      </c>
      <c r="H191" s="115"/>
      <c r="I191" s="115"/>
      <c r="J191" s="118">
        <f t="shared" si="146"/>
        <v>0</v>
      </c>
      <c r="K191" s="118">
        <f t="shared" si="147"/>
        <v>0</v>
      </c>
      <c r="L191" s="119">
        <f t="shared" ca="1" si="148"/>
        <v>30665</v>
      </c>
      <c r="M191" s="119"/>
      <c r="N191" s="120"/>
      <c r="O191" s="120"/>
      <c r="P191" s="120"/>
      <c r="Q191" s="120"/>
      <c r="R191" s="120"/>
      <c r="S191" s="98">
        <f t="shared" si="149"/>
        <v>0</v>
      </c>
      <c r="T191" s="60"/>
      <c r="U191" s="60"/>
      <c r="V191" s="60"/>
      <c r="W191" s="60"/>
      <c r="X191" s="60"/>
    </row>
    <row r="192" spans="1:24" x14ac:dyDescent="0.25">
      <c r="A192" s="91">
        <f>IPO監視一覧!H51</f>
        <v>0</v>
      </c>
      <c r="B192" s="114">
        <f>IPO監視一覧!B51</f>
        <v>0</v>
      </c>
      <c r="C192" s="115">
        <f>IPO監視一覧!G51</f>
        <v>0</v>
      </c>
      <c r="D192" s="116"/>
      <c r="E192" s="116"/>
      <c r="F192" s="117">
        <f>IPO監視一覧!T51</f>
        <v>0</v>
      </c>
      <c r="G192" s="115">
        <f>IPO監視一覧!U51</f>
        <v>0</v>
      </c>
      <c r="H192" s="115"/>
      <c r="I192" s="115"/>
      <c r="J192" s="118">
        <f t="shared" si="146"/>
        <v>0</v>
      </c>
      <c r="K192" s="118">
        <f t="shared" si="147"/>
        <v>0</v>
      </c>
      <c r="L192" s="119">
        <f t="shared" ca="1" si="148"/>
        <v>30665</v>
      </c>
      <c r="M192" s="119"/>
      <c r="N192" s="120"/>
      <c r="O192" s="120"/>
      <c r="P192" s="120"/>
      <c r="Q192" s="120"/>
      <c r="R192" s="120"/>
      <c r="S192" s="98">
        <f t="shared" si="149"/>
        <v>0</v>
      </c>
      <c r="T192" s="60"/>
      <c r="U192" s="60"/>
      <c r="V192" s="60"/>
      <c r="W192" s="60"/>
      <c r="X192" s="60"/>
    </row>
  </sheetData>
  <mergeCells count="2">
    <mergeCell ref="A1:B1"/>
    <mergeCell ref="J1:K1"/>
  </mergeCells>
  <phoneticPr fontId="2"/>
  <conditionalFormatting sqref="I193:I1048576 I2:I3 I5:I8 I33:I172">
    <cfRule type="cellIs" dxfId="123" priority="20" operator="lessThan">
      <formula>1000000</formula>
    </cfRule>
  </conditionalFormatting>
  <conditionalFormatting sqref="I181:I192">
    <cfRule type="cellIs" dxfId="122" priority="14" operator="lessThan">
      <formula>1000000</formula>
    </cfRule>
  </conditionalFormatting>
  <conditionalFormatting sqref="I4">
    <cfRule type="cellIs" dxfId="121" priority="13" operator="lessThan">
      <formula>1000000</formula>
    </cfRule>
  </conditionalFormatting>
  <conditionalFormatting sqref="I14:I19 I21:I22">
    <cfRule type="cellIs" dxfId="120" priority="12" operator="lessThan">
      <formula>1000000</formula>
    </cfRule>
  </conditionalFormatting>
  <conditionalFormatting sqref="I7:I8">
    <cfRule type="cellIs" dxfId="119" priority="11" operator="lessThan">
      <formula>1000000</formula>
    </cfRule>
  </conditionalFormatting>
  <conditionalFormatting sqref="I9">
    <cfRule type="cellIs" dxfId="118" priority="10" operator="lessThan">
      <formula>1000000</formula>
    </cfRule>
  </conditionalFormatting>
  <conditionalFormatting sqref="I10:I11">
    <cfRule type="cellIs" dxfId="117" priority="9" operator="lessThan">
      <formula>1000000</formula>
    </cfRule>
  </conditionalFormatting>
  <conditionalFormatting sqref="I12:I13">
    <cfRule type="cellIs" dxfId="116" priority="8" operator="lessThan">
      <formula>1000000</formula>
    </cfRule>
  </conditionalFormatting>
  <conditionalFormatting sqref="I23:I30">
    <cfRule type="cellIs" dxfId="115" priority="7" operator="lessThan">
      <formula>1000000</formula>
    </cfRule>
  </conditionalFormatting>
  <conditionalFormatting sqref="I31">
    <cfRule type="cellIs" dxfId="114" priority="6" operator="lessThan">
      <formula>1000000</formula>
    </cfRule>
  </conditionalFormatting>
  <conditionalFormatting sqref="I32">
    <cfRule type="cellIs" dxfId="113" priority="5" operator="lessThan">
      <formula>1000000</formula>
    </cfRule>
  </conditionalFormatting>
  <conditionalFormatting sqref="I20">
    <cfRule type="cellIs" dxfId="112" priority="4" operator="lessThan">
      <formula>1000000</formula>
    </cfRule>
  </conditionalFormatting>
  <conditionalFormatting sqref="I173:I179">
    <cfRule type="cellIs" dxfId="111" priority="3" operator="lessThan">
      <formula>1000000</formula>
    </cfRule>
  </conditionalFormatting>
  <conditionalFormatting sqref="I180">
    <cfRule type="cellIs" dxfId="110" priority="1" operator="lessThan">
      <formula>1000000</formula>
    </cfRule>
  </conditionalFormatting>
  <pageMargins left="0.7" right="0.7" top="0.75" bottom="0.75" header="0.3" footer="0.3"/>
  <pageSetup paperSize="9"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IPO監視一覧!$AC$3:$AC$6</xm:f>
          </x14:formula1>
          <xm:sqref>M48:M192 M37 M39</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X58"/>
  <sheetViews>
    <sheetView tabSelected="1" zoomScale="85" zoomScaleNormal="85" workbookViewId="0">
      <pane ySplit="2" topLeftCell="A21" activePane="bottomLeft" state="frozen"/>
      <selection activeCell="A20" sqref="A20"/>
      <selection pane="bottomLeft" activeCell="D36" sqref="D36"/>
    </sheetView>
  </sheetViews>
  <sheetFormatPr defaultColWidth="8" defaultRowHeight="15.75" x14ac:dyDescent="0.25"/>
  <cols>
    <col min="1" max="1" width="3.21875" style="60" customWidth="1"/>
    <col min="2" max="2" width="26.21875" style="60" bestFit="1" customWidth="1"/>
    <col min="3" max="3" width="12.6640625" style="124" bestFit="1" customWidth="1"/>
    <col min="4" max="7" width="8.109375" style="15" bestFit="1" customWidth="1"/>
    <col min="8" max="8" width="1.77734375" style="60" customWidth="1"/>
    <col min="9" max="10" width="8.88671875" style="125" bestFit="1" customWidth="1"/>
    <col min="11" max="11" width="8.88671875" style="126" bestFit="1" customWidth="1"/>
    <col min="12" max="12" width="1.77734375" style="12" customWidth="1"/>
    <col min="13" max="14" width="9.77734375" style="12" hidden="1" customWidth="1"/>
    <col min="15" max="15" width="8" style="60" hidden="1" customWidth="1"/>
    <col min="16" max="16" width="8" style="12" hidden="1" customWidth="1"/>
    <col min="17" max="17" width="8.33203125" style="12" bestFit="1" customWidth="1"/>
    <col min="18" max="18" width="11.109375" style="12" bestFit="1" customWidth="1"/>
    <col min="19" max="19" width="8" style="12" customWidth="1"/>
    <col min="20" max="20" width="12.33203125" style="12" bestFit="1" customWidth="1"/>
    <col min="21" max="21" width="8.77734375" style="12" bestFit="1" customWidth="1"/>
    <col min="22" max="22" width="1.77734375" style="60" customWidth="1"/>
    <col min="23" max="23" width="8" style="60"/>
    <col min="24" max="24" width="8.77734375" style="12" bestFit="1" customWidth="1"/>
    <col min="25" max="16384" width="8" style="60"/>
  </cols>
  <sheetData>
    <row r="1" spans="1:24" x14ac:dyDescent="0.25">
      <c r="A1" s="60" t="s">
        <v>146</v>
      </c>
      <c r="F1" s="15" t="s">
        <v>147</v>
      </c>
      <c r="I1" s="393" t="s">
        <v>148</v>
      </c>
      <c r="J1" s="393"/>
      <c r="K1" s="393"/>
      <c r="M1" s="394" t="s">
        <v>149</v>
      </c>
      <c r="N1" s="394"/>
      <c r="P1" s="61" t="s">
        <v>150</v>
      </c>
    </row>
    <row r="2" spans="1:24" ht="16.5" thickBot="1" x14ac:dyDescent="0.3">
      <c r="B2" s="315" t="s">
        <v>18</v>
      </c>
      <c r="C2" s="317" t="s">
        <v>122</v>
      </c>
      <c r="D2" s="323" t="s">
        <v>151</v>
      </c>
      <c r="E2" s="323" t="s">
        <v>152</v>
      </c>
      <c r="F2" s="323" t="s">
        <v>153</v>
      </c>
      <c r="G2" s="323" t="s">
        <v>154</v>
      </c>
      <c r="I2" s="324" t="s">
        <v>150</v>
      </c>
      <c r="J2" s="324" t="s">
        <v>155</v>
      </c>
      <c r="K2" s="325" t="s">
        <v>156</v>
      </c>
      <c r="M2" s="324" t="s">
        <v>150</v>
      </c>
      <c r="N2" s="324" t="s">
        <v>155</v>
      </c>
      <c r="O2" s="126"/>
      <c r="Q2" s="353" t="s">
        <v>456</v>
      </c>
      <c r="R2" s="353" t="s">
        <v>457</v>
      </c>
      <c r="T2" s="353" t="s">
        <v>458</v>
      </c>
      <c r="W2" s="353" t="s">
        <v>453</v>
      </c>
    </row>
    <row r="3" spans="1:24" ht="16.5" thickTop="1" x14ac:dyDescent="0.25">
      <c r="B3" s="299" t="str">
        <f>IPO監視一覧!B3</f>
        <v>日宣</v>
      </c>
      <c r="C3" s="300">
        <f>株価一覧!H2</f>
        <v>4600</v>
      </c>
      <c r="D3" s="301">
        <f ca="1">OFFSET(終値履歴!A3,0,COUNTA(終値履歴!G3:'終値履歴'!XFD3)+2,1,-1)</f>
        <v>2497</v>
      </c>
      <c r="E3" s="301">
        <f ca="1">OFFSET(終値履歴!A3,0,COUNTA(終値履歴!G3:'終値履歴'!XFD3)+3,1,-1)</f>
        <v>2488</v>
      </c>
      <c r="F3" s="301">
        <f ca="1">OFFSET(終値履歴!A3,0,COUNTA(終値履歴!G3:'終値履歴'!XFD3)+4,1,-1)</f>
        <v>2495</v>
      </c>
      <c r="G3" s="301">
        <f ca="1">OFFSET(終値履歴!A3,0,COUNTA(終値履歴!G3:'終値履歴'!XFD3)+5,1,-1)</f>
        <v>2519</v>
      </c>
      <c r="I3" s="125">
        <f ca="1">(G3-F3)/F3</f>
        <v>9.6192384769539074E-3</v>
      </c>
      <c r="J3" s="125">
        <f ca="1">(G3-E3)/E3</f>
        <v>1.2459807073954984E-2</v>
      </c>
      <c r="K3" s="125">
        <f ca="1">(G3-D3)/D3</f>
        <v>8.8105726872246704E-3</v>
      </c>
      <c r="M3" s="125">
        <f ca="1">(F3-E3)/E3</f>
        <v>2.8135048231511255E-3</v>
      </c>
      <c r="N3" s="125">
        <f ca="1">(F3-D3)/D3</f>
        <v>-8.0096115338406087E-4</v>
      </c>
      <c r="P3" s="122" t="str">
        <f ca="1">IF(G3-F3 &gt; 0,CONCATENATE("＋",G3-F3),G3-F3)</f>
        <v>＋24</v>
      </c>
      <c r="Q3" s="12" t="str">
        <f t="shared" ref="Q3:Q9" ca="1" si="0">IF(AND(G3&lt;=T3,G3&lt;=R3),"割安",IF(AND(G3&gt;T3,G3&lt;=R3),"普通",IF(AND(G3&lt;=T3,G3&gt;R3),"普通","割高")))</f>
        <v>割高</v>
      </c>
      <c r="R3" s="331">
        <f ca="1">終値履歴!D3</f>
        <v>2499.1999999999998</v>
      </c>
      <c r="S3" s="334">
        <f t="shared" ref="S3:S5" ca="1" si="1">(G3-R3)/E3</f>
        <v>7.9581993569132568E-3</v>
      </c>
      <c r="T3" s="331">
        <f ca="1">終値履歴!E3</f>
        <v>2495.9</v>
      </c>
      <c r="U3" s="334">
        <f t="shared" ref="U3:U42" ca="1" si="2">(G3-T3)/G3</f>
        <v>9.1703056768558597E-3</v>
      </c>
      <c r="W3" s="333">
        <f ca="1">終値履歴!F3</f>
        <v>2450</v>
      </c>
      <c r="X3" s="334">
        <f t="shared" ref="X3:X42" ca="1" si="3">(G3-W3)/G3</f>
        <v>2.7391822151647479E-2</v>
      </c>
    </row>
    <row r="4" spans="1:24" x14ac:dyDescent="0.25">
      <c r="B4" s="91" t="str">
        <f>IPO監視一覧!B4</f>
        <v>レノバ </v>
      </c>
      <c r="C4" s="127">
        <f>株価一覧!H3</f>
        <v>179200</v>
      </c>
      <c r="D4" s="128">
        <f ca="1">OFFSET(終値履歴!A4,0,COUNTA(終値履歴!G4:'終値履歴'!XFD4)+2,1,-1)</f>
        <v>1249</v>
      </c>
      <c r="E4" s="128">
        <f ca="1">OFFSET(終値履歴!A4,0,COUNTA(終値履歴!G4:'終値履歴'!XFD4)+3,1,-1)</f>
        <v>1257</v>
      </c>
      <c r="F4" s="128">
        <f ca="1">OFFSET(終値履歴!A4,0,COUNTA(終値履歴!G4:'終値履歴'!XFD4)+4,1,-1)</f>
        <v>1252</v>
      </c>
      <c r="G4" s="128">
        <f ca="1">OFFSET(終値履歴!A4,0,COUNTA(終値履歴!G4:'終値履歴'!XFD4)+5,1,-1)</f>
        <v>1263</v>
      </c>
      <c r="I4" s="125">
        <f t="shared" ref="I4:I41" ca="1" si="4">(G4-F4)/F4</f>
        <v>8.7859424920127792E-3</v>
      </c>
      <c r="J4" s="125">
        <f t="shared" ref="J4:J42" ca="1" si="5">(G4-E4)/E4</f>
        <v>4.7732696897374704E-3</v>
      </c>
      <c r="K4" s="125">
        <f t="shared" ref="K4:K42" ca="1" si="6">(G4-D4)/D4</f>
        <v>1.120896717373899E-2</v>
      </c>
      <c r="M4" s="125">
        <f t="shared" ref="M4:M42" ca="1" si="7">(F4-E4)/E4</f>
        <v>-3.977724741447892E-3</v>
      </c>
      <c r="N4" s="125">
        <f t="shared" ref="N4:N42" ca="1" si="8">(F4-D4)/D4</f>
        <v>2.4019215372297837E-3</v>
      </c>
      <c r="P4" s="122" t="str">
        <f t="shared" ref="P4:P42" ca="1" si="9">IF(G4-F4 &gt; 0,CONCATENATE("＋",G4-F4),G4-F4)</f>
        <v>＋11</v>
      </c>
      <c r="Q4" s="12" t="str">
        <f t="shared" ca="1" si="0"/>
        <v>割高</v>
      </c>
      <c r="R4" s="331">
        <f ca="1">終値履歴!D4</f>
        <v>1248.5999999999999</v>
      </c>
      <c r="S4" s="334">
        <f t="shared" ca="1" si="1"/>
        <v>1.1455847255370001E-2</v>
      </c>
      <c r="T4" s="331">
        <f ca="1">終値履歴!E4</f>
        <v>1229.0999999999999</v>
      </c>
      <c r="U4" s="334">
        <f t="shared" ca="1" si="2"/>
        <v>2.6840855106888432E-2</v>
      </c>
      <c r="W4" s="333">
        <f ca="1">終値履歴!F4</f>
        <v>1201</v>
      </c>
      <c r="X4" s="334">
        <f t="shared" ca="1" si="3"/>
        <v>4.9089469517022963E-2</v>
      </c>
    </row>
    <row r="5" spans="1:24" x14ac:dyDescent="0.25">
      <c r="B5" s="302" t="str">
        <f>IPO監視一覧!B5</f>
        <v>ユナイテッド＆コレクティブ</v>
      </c>
      <c r="C5" s="303">
        <f>株価一覧!H4</f>
        <v>8000</v>
      </c>
      <c r="D5" s="304">
        <f ca="1">OFFSET(終値履歴!A5,0,COUNTA(終値履歴!G5:'終値履歴'!XFD5)+2,1,-1)</f>
        <v>4150</v>
      </c>
      <c r="E5" s="304">
        <f ca="1">OFFSET(終値履歴!A5,0,COUNTA(終値履歴!G5:'終値履歴'!XFD5)+3,1,-1)</f>
        <v>4250</v>
      </c>
      <c r="F5" s="304">
        <f ca="1">OFFSET(終値履歴!A5,0,COUNTA(終値履歴!G5:'終値履歴'!XFD5)+4,1,-1)</f>
        <v>4260</v>
      </c>
      <c r="G5" s="304">
        <f ca="1">OFFSET(終値履歴!A5,0,COUNTA(終値履歴!G5:'終値履歴'!XFD5)+5,1,-1)</f>
        <v>4410</v>
      </c>
      <c r="I5" s="125">
        <f t="shared" ca="1" si="4"/>
        <v>3.5211267605633804E-2</v>
      </c>
      <c r="J5" s="125">
        <f t="shared" ca="1" si="5"/>
        <v>3.7647058823529408E-2</v>
      </c>
      <c r="K5" s="125">
        <f t="shared" ca="1" si="6"/>
        <v>6.2650602409638559E-2</v>
      </c>
      <c r="M5" s="125">
        <f t="shared" ca="1" si="7"/>
        <v>2.352941176470588E-3</v>
      </c>
      <c r="N5" s="125">
        <f t="shared" ca="1" si="8"/>
        <v>2.6506024096385541E-2</v>
      </c>
      <c r="P5" s="122" t="str">
        <f t="shared" ca="1" si="9"/>
        <v>＋150</v>
      </c>
      <c r="Q5" s="12" t="str">
        <f t="shared" ca="1" si="0"/>
        <v>割高</v>
      </c>
      <c r="R5" s="331">
        <f ca="1">終値履歴!D5</f>
        <v>4222</v>
      </c>
      <c r="S5" s="334">
        <f t="shared" ca="1" si="1"/>
        <v>4.423529411764706E-2</v>
      </c>
      <c r="T5" s="331">
        <f ca="1">終値履歴!E5</f>
        <v>4111</v>
      </c>
      <c r="U5" s="334">
        <f t="shared" ca="1" si="2"/>
        <v>6.7800453514739234E-2</v>
      </c>
      <c r="W5" s="333">
        <f ca="1">終値履歴!F5</f>
        <v>3965</v>
      </c>
      <c r="X5" s="334">
        <f t="shared" ca="1" si="3"/>
        <v>0.10090702947845805</v>
      </c>
    </row>
    <row r="6" spans="1:24" x14ac:dyDescent="0.25">
      <c r="B6" s="302" t="str">
        <f>IPO監視一覧!B6</f>
        <v>ロコンド</v>
      </c>
      <c r="C6" s="303">
        <f>株価一覧!H5</f>
        <v>226000</v>
      </c>
      <c r="D6" s="304">
        <f ca="1">OFFSET(終値履歴!A6,0,COUNTA(終値履歴!G6:'終値履歴'!XFD6)+2,1,-1)</f>
        <v>1979</v>
      </c>
      <c r="E6" s="304">
        <f ca="1">OFFSET(終値履歴!A6,0,COUNTA(終値履歴!G6:'終値履歴'!XFD6)+3,1,-1)</f>
        <v>1989</v>
      </c>
      <c r="F6" s="304">
        <f ca="1">OFFSET(終値履歴!A6,0,COUNTA(終値履歴!G6:'終値履歴'!XFD6)+4,1,-1)</f>
        <v>1980</v>
      </c>
      <c r="G6" s="304">
        <f ca="1">OFFSET(終値履歴!A6,0,COUNTA(終値履歴!G6:'終値履歴'!XFD6)+5,1,-1)</f>
        <v>2140</v>
      </c>
      <c r="I6" s="125">
        <f t="shared" ca="1" si="4"/>
        <v>8.0808080808080815E-2</v>
      </c>
      <c r="J6" s="125">
        <f t="shared" ca="1" si="5"/>
        <v>7.5917546505781794E-2</v>
      </c>
      <c r="K6" s="125">
        <f t="shared" ca="1" si="6"/>
        <v>8.1354219302678124E-2</v>
      </c>
      <c r="M6" s="125">
        <f t="shared" ca="1" si="7"/>
        <v>-4.5248868778280547E-3</v>
      </c>
      <c r="N6" s="125">
        <f t="shared" ca="1" si="8"/>
        <v>5.0530570995452253E-4</v>
      </c>
      <c r="P6" s="122" t="str">
        <f t="shared" ca="1" si="9"/>
        <v>＋160</v>
      </c>
      <c r="Q6" s="12" t="str">
        <f t="shared" ca="1" si="0"/>
        <v>割高</v>
      </c>
      <c r="R6" s="331">
        <f ca="1">終値履歴!D6</f>
        <v>2011</v>
      </c>
      <c r="S6" s="334">
        <f ca="1">(G6-R6)/E6</f>
        <v>6.485671191553545E-2</v>
      </c>
      <c r="T6" s="331">
        <f ca="1">終値履歴!E6</f>
        <v>1997</v>
      </c>
      <c r="U6" s="334">
        <f t="shared" ca="1" si="2"/>
        <v>6.6822429906542052E-2</v>
      </c>
      <c r="W6" s="333">
        <f ca="1">終値履歴!F6</f>
        <v>1946</v>
      </c>
      <c r="X6" s="334">
        <f t="shared" ca="1" si="3"/>
        <v>9.065420560747664E-2</v>
      </c>
    </row>
    <row r="7" spans="1:24" x14ac:dyDescent="0.25">
      <c r="B7" s="302" t="str">
        <f>IPO監視一覧!B7</f>
        <v>ピーバンドットコム</v>
      </c>
      <c r="C7" s="303">
        <f>株価一覧!H6</f>
        <v>25700</v>
      </c>
      <c r="D7" s="304">
        <f ca="1">OFFSET(終値履歴!A7,0,COUNTA(終値履歴!G7:'終値履歴'!XFD7)+2,1,-1)</f>
        <v>2158</v>
      </c>
      <c r="E7" s="304">
        <f ca="1">OFFSET(終値履歴!A7,0,COUNTA(終値履歴!G7:'終値履歴'!XFD7)+3,1,-1)</f>
        <v>2144</v>
      </c>
      <c r="F7" s="304">
        <f ca="1">OFFSET(終値履歴!A7,0,COUNTA(終値履歴!G7:'終値履歴'!XFD7)+4,1,-1)</f>
        <v>2111</v>
      </c>
      <c r="G7" s="304">
        <f ca="1">OFFSET(終値履歴!A7,0,COUNTA(終値履歴!G7:'終値履歴'!XFD7)+5,1,-1)</f>
        <v>2076</v>
      </c>
      <c r="I7" s="125">
        <f t="shared" ca="1" si="4"/>
        <v>-1.6579819990525817E-2</v>
      </c>
      <c r="J7" s="125">
        <f t="shared" ca="1" si="5"/>
        <v>-3.1716417910447763E-2</v>
      </c>
      <c r="K7" s="125">
        <f t="shared" ca="1" si="6"/>
        <v>-3.7998146431881374E-2</v>
      </c>
      <c r="M7" s="125">
        <f t="shared" ca="1" si="7"/>
        <v>-1.5391791044776119E-2</v>
      </c>
      <c r="N7" s="125">
        <f t="shared" ca="1" si="8"/>
        <v>-2.1779425393883226E-2</v>
      </c>
      <c r="P7" s="122">
        <f t="shared" ca="1" si="9"/>
        <v>-35</v>
      </c>
      <c r="Q7" s="12" t="str">
        <f t="shared" ca="1" si="0"/>
        <v>割安</v>
      </c>
      <c r="R7" s="331">
        <f ca="1">終値履歴!D7</f>
        <v>2129</v>
      </c>
      <c r="S7" s="334">
        <f t="shared" ref="S7:S43" ca="1" si="10">(G7-R7)/E7</f>
        <v>-2.4720149253731342E-2</v>
      </c>
      <c r="T7" s="331">
        <f ca="1">終値履歴!E7</f>
        <v>2160.6</v>
      </c>
      <c r="U7" s="334">
        <f t="shared" ca="1" si="2"/>
        <v>-4.0751445086705161E-2</v>
      </c>
      <c r="W7" s="333">
        <f ca="1">終値履歴!F7</f>
        <v>2076</v>
      </c>
      <c r="X7" s="334">
        <f t="shared" ca="1" si="3"/>
        <v>0</v>
      </c>
    </row>
    <row r="8" spans="1:24" x14ac:dyDescent="0.25">
      <c r="B8" s="52" t="str">
        <f>IPO監視一覧!B8</f>
        <v>ファイズ</v>
      </c>
      <c r="C8" s="354">
        <f>株価一覧!H7</f>
        <v>13600</v>
      </c>
      <c r="D8" s="356">
        <f ca="1">OFFSET(終値履歴!A8,0,COUNTA(終値履歴!G8:'終値履歴'!XFD8)+2,1,-1)</f>
        <v>6910</v>
      </c>
      <c r="E8" s="356">
        <f ca="1">OFFSET(終値履歴!A8,0,COUNTA(終値履歴!G8:'終値履歴'!XFD8)+3,1,-1)</f>
        <v>6880</v>
      </c>
      <c r="F8" s="356">
        <f ca="1">OFFSET(終値履歴!A8,0,COUNTA(終値履歴!G8:'終値履歴'!XFD8)+4,1,-1)</f>
        <v>6820</v>
      </c>
      <c r="G8" s="356">
        <f ca="1">OFFSET(終値履歴!A8,0,COUNTA(終値履歴!G8:'終値履歴'!XFD8)+5,1,-1)</f>
        <v>6700</v>
      </c>
      <c r="I8" s="125">
        <f t="shared" ca="1" si="4"/>
        <v>-1.7595307917888565E-2</v>
      </c>
      <c r="J8" s="125">
        <f t="shared" ca="1" si="5"/>
        <v>-2.616279069767442E-2</v>
      </c>
      <c r="K8" s="125">
        <f t="shared" ca="1" si="6"/>
        <v>-3.0390738060781478E-2</v>
      </c>
      <c r="M8" s="125">
        <f t="shared" ca="1" si="7"/>
        <v>-8.7209302325581394E-3</v>
      </c>
      <c r="N8" s="125">
        <f t="shared" ca="1" si="8"/>
        <v>-1.3024602026049204E-2</v>
      </c>
      <c r="P8" s="122">
        <f t="shared" ca="1" si="9"/>
        <v>-120</v>
      </c>
      <c r="Q8" s="12" t="str">
        <f t="shared" ca="1" si="0"/>
        <v>割安</v>
      </c>
      <c r="R8" s="331">
        <f ca="1">終値履歴!D8</f>
        <v>6824</v>
      </c>
      <c r="S8" s="334">
        <f t="shared" ca="1" si="10"/>
        <v>-1.802325581395349E-2</v>
      </c>
      <c r="T8" s="331">
        <f ca="1">終値履歴!E8</f>
        <v>6786</v>
      </c>
      <c r="U8" s="334">
        <f t="shared" ca="1" si="2"/>
        <v>-1.2835820895522388E-2</v>
      </c>
      <c r="W8" s="333">
        <f ca="1">終値履歴!F8</f>
        <v>6580</v>
      </c>
      <c r="X8" s="334">
        <f t="shared" ca="1" si="3"/>
        <v>1.7910447761194031E-2</v>
      </c>
    </row>
    <row r="9" spans="1:24" x14ac:dyDescent="0.25">
      <c r="B9" s="52" t="str">
        <f>IPO監視一覧!B9</f>
        <v>うるる</v>
      </c>
      <c r="C9" s="354">
        <f>株価一覧!H8</f>
        <v>85300</v>
      </c>
      <c r="D9" s="356">
        <f ca="1">OFFSET(終値履歴!A9,0,COUNTA(終値履歴!G9:'終値履歴'!XFD9)+2,1,-1)</f>
        <v>5190</v>
      </c>
      <c r="E9" s="356">
        <f ca="1">OFFSET(終値履歴!A9,0,COUNTA(終値履歴!G9:'終値履歴'!XFD9)+3,1,-1)</f>
        <v>5030</v>
      </c>
      <c r="F9" s="356">
        <f ca="1">OFFSET(終値履歴!A9,0,COUNTA(終値履歴!G9:'終値履歴'!XFD9)+4,1,-1)</f>
        <v>5000</v>
      </c>
      <c r="G9" s="356">
        <f ca="1">OFFSET(終値履歴!A9,0,COUNTA(終値履歴!G9:'終値履歴'!XFD9)+5,1,-1)</f>
        <v>5230</v>
      </c>
      <c r="I9" s="125">
        <f t="shared" ca="1" si="4"/>
        <v>4.5999999999999999E-2</v>
      </c>
      <c r="J9" s="125">
        <f t="shared" ca="1" si="5"/>
        <v>3.9761431411530816E-2</v>
      </c>
      <c r="K9" s="125">
        <f t="shared" ca="1" si="6"/>
        <v>7.7071290944123313E-3</v>
      </c>
      <c r="M9" s="125">
        <f t="shared" ca="1" si="7"/>
        <v>-5.9642147117296221E-3</v>
      </c>
      <c r="N9" s="125">
        <f t="shared" ca="1" si="8"/>
        <v>-3.6608863198458574E-2</v>
      </c>
      <c r="P9" s="122" t="str">
        <f t="shared" ca="1" si="9"/>
        <v>＋230</v>
      </c>
      <c r="Q9" s="12" t="str">
        <f t="shared" ca="1" si="0"/>
        <v>割高</v>
      </c>
      <c r="R9" s="331">
        <f ca="1">終値履歴!D9</f>
        <v>5089</v>
      </c>
      <c r="S9" s="334">
        <f t="shared" ca="1" si="10"/>
        <v>2.8031809145129226E-2</v>
      </c>
      <c r="T9" s="331">
        <f ca="1">終値履歴!E9</f>
        <v>4995</v>
      </c>
      <c r="U9" s="334">
        <f t="shared" ca="1" si="2"/>
        <v>4.4933078393881457E-2</v>
      </c>
      <c r="W9" s="333">
        <f ca="1">終値履歴!F9</f>
        <v>4885</v>
      </c>
      <c r="X9" s="334">
        <f t="shared" ca="1" si="3"/>
        <v>6.5965583173996173E-2</v>
      </c>
    </row>
    <row r="10" spans="1:24" x14ac:dyDescent="0.25">
      <c r="B10" s="302" t="str">
        <f>IPO監視一覧!B10</f>
        <v>ほぼ日</v>
      </c>
      <c r="C10" s="303">
        <f>株価一覧!H9</f>
        <v>29000</v>
      </c>
      <c r="D10" s="304">
        <f ca="1">OFFSET(終値履歴!A10,0,COUNTA(終値履歴!G10:'終値履歴'!XFD10)+2,1,-1)</f>
        <v>5270</v>
      </c>
      <c r="E10" s="304">
        <f ca="1">OFFSET(終値履歴!A10,0,COUNTA(終値履歴!G10:'終値履歴'!XFD10)+3,1,-1)</f>
        <v>5270</v>
      </c>
      <c r="F10" s="304">
        <f ca="1">OFFSET(終値履歴!A10,0,COUNTA(終値履歴!G10:'終値履歴'!XFD10)+4,1,-1)</f>
        <v>5480</v>
      </c>
      <c r="G10" s="304">
        <f ca="1">OFFSET(終値履歴!A10,0,COUNTA(終値履歴!G10:'終値履歴'!XFD10)+5,1,-1)</f>
        <v>5300</v>
      </c>
      <c r="I10" s="125">
        <f t="shared" ca="1" si="4"/>
        <v>-3.2846715328467155E-2</v>
      </c>
      <c r="J10" s="125">
        <f t="shared" ca="1" si="5"/>
        <v>5.6925996204933585E-3</v>
      </c>
      <c r="K10" s="125">
        <f t="shared" ca="1" si="6"/>
        <v>5.6925996204933585E-3</v>
      </c>
      <c r="M10" s="125">
        <f t="shared" ca="1" si="7"/>
        <v>3.9848197343453511E-2</v>
      </c>
      <c r="N10" s="125">
        <f t="shared" ca="1" si="8"/>
        <v>3.9848197343453511E-2</v>
      </c>
      <c r="P10" s="122">
        <f t="shared" ca="1" si="9"/>
        <v>-180</v>
      </c>
      <c r="Q10" s="12" t="str">
        <f ca="1">IF(AND(G10&lt;=T10,G10&lt;=R10),"割安",IF(AND(G10&gt;T10,G10&lt;=R10),"普通",IF(AND(G10&lt;=T10,G10&gt;R10),"普通","割高")))</f>
        <v>普通</v>
      </c>
      <c r="R10" s="331">
        <f ca="1">終値履歴!D10</f>
        <v>5318</v>
      </c>
      <c r="S10" s="334">
        <f t="shared" ca="1" si="10"/>
        <v>-3.4155597722960152E-3</v>
      </c>
      <c r="T10" s="331">
        <f ca="1">終値履歴!E10</f>
        <v>5295</v>
      </c>
      <c r="U10" s="334">
        <f t="shared" ca="1" si="2"/>
        <v>9.4339622641509435E-4</v>
      </c>
      <c r="W10" s="333">
        <f ca="1">終値履歴!F10</f>
        <v>5250</v>
      </c>
      <c r="X10" s="334">
        <f t="shared" ca="1" si="3"/>
        <v>9.433962264150943E-3</v>
      </c>
    </row>
    <row r="11" spans="1:24" x14ac:dyDescent="0.25">
      <c r="B11" s="91" t="str">
        <f>IPO監視一覧!B11</f>
        <v>ジャパンエレベーターサービスHD</v>
      </c>
      <c r="C11" s="127">
        <f>株価一覧!H10</f>
        <v>28400</v>
      </c>
      <c r="D11" s="129">
        <f ca="1">OFFSET(終値履歴!A11,0,COUNTA(終値履歴!G11:'終値履歴'!XFD11)+2,1,-1)</f>
        <v>1668</v>
      </c>
      <c r="E11" s="129">
        <f ca="1">OFFSET(終値履歴!A11,0,COUNTA(終値履歴!G11:'終値履歴'!XFD11)+3,1,-1)</f>
        <v>1626</v>
      </c>
      <c r="F11" s="129">
        <f ca="1">OFFSET(終値履歴!A11,0,COUNTA(終値履歴!G11:'終値履歴'!XFD11)+4,1,-1)</f>
        <v>1625</v>
      </c>
      <c r="G11" s="129">
        <f ca="1">OFFSET(終値履歴!A11,0,COUNTA(終値履歴!G11:'終値履歴'!XFD11)+5,1,-1)</f>
        <v>1629</v>
      </c>
      <c r="I11" s="125">
        <f t="shared" ca="1" si="4"/>
        <v>2.4615384615384616E-3</v>
      </c>
      <c r="J11" s="125">
        <f t="shared" ca="1" si="5"/>
        <v>1.8450184501845018E-3</v>
      </c>
      <c r="K11" s="125">
        <f t="shared" ca="1" si="6"/>
        <v>-2.3381294964028777E-2</v>
      </c>
      <c r="M11" s="125">
        <f t="shared" ca="1" si="7"/>
        <v>-6.1500615006150063E-4</v>
      </c>
      <c r="N11" s="125">
        <f t="shared" ca="1" si="8"/>
        <v>-2.5779376498800959E-2</v>
      </c>
      <c r="P11" s="122" t="str">
        <f t="shared" ca="1" si="9"/>
        <v>＋4</v>
      </c>
      <c r="Q11" s="12" t="str">
        <f t="shared" ref="Q11:Q42" ca="1" si="11">IF(AND(G11&lt;=T11,G11&lt;=R11),"割安",IF(AND(G11&gt;T11,G11&lt;=R11),"普通",IF(AND(G11&lt;=T11,G11&gt;R11),"普通","割高")))</f>
        <v>割安</v>
      </c>
      <c r="R11" s="331">
        <f ca="1">終値履歴!D11</f>
        <v>1658.6</v>
      </c>
      <c r="S11" s="334">
        <f t="shared" ca="1" si="10"/>
        <v>-1.8204182041820362E-2</v>
      </c>
      <c r="T11" s="331">
        <f ca="1">終値履歴!E11</f>
        <v>1653.7</v>
      </c>
      <c r="U11" s="334">
        <f t="shared" ca="1" si="2"/>
        <v>-1.5162676488643367E-2</v>
      </c>
      <c r="W11" s="333">
        <f ca="1">終値履歴!F11</f>
        <v>1552</v>
      </c>
      <c r="X11" s="334">
        <f t="shared" ca="1" si="3"/>
        <v>4.7268262737875995E-2</v>
      </c>
    </row>
    <row r="12" spans="1:24" x14ac:dyDescent="0.25">
      <c r="B12" s="52" t="str">
        <f>IPO監視一覧!B12</f>
        <v>ビーグリー</v>
      </c>
      <c r="C12" s="354">
        <f>株価一覧!H11</f>
        <v>115600</v>
      </c>
      <c r="D12" s="356">
        <f ca="1">OFFSET(終値履歴!A12,0,COUNTA(終値履歴!G12:'終値履歴'!XFD12)+2,1,-1)</f>
        <v>2130</v>
      </c>
      <c r="E12" s="356">
        <f ca="1">OFFSET(終値履歴!A12,0,COUNTA(終値履歴!G12:'終値履歴'!XFD12)+3,1,-1)</f>
        <v>2091</v>
      </c>
      <c r="F12" s="356">
        <f ca="1">OFFSET(終値履歴!A12,0,COUNTA(終値履歴!G12:'終値履歴'!XFD12)+4,1,-1)</f>
        <v>2133</v>
      </c>
      <c r="G12" s="356">
        <f ca="1">OFFSET(終値履歴!A12,0,COUNTA(終値履歴!G12:'終値履歴'!XFD12)+5,1,-1)</f>
        <v>2150</v>
      </c>
      <c r="I12" s="125">
        <f t="shared" ca="1" si="4"/>
        <v>7.9699953117674631E-3</v>
      </c>
      <c r="J12" s="125">
        <f t="shared" ca="1" si="5"/>
        <v>2.8216164514586323E-2</v>
      </c>
      <c r="K12" s="125">
        <f t="shared" ca="1" si="6"/>
        <v>9.3896713615023476E-3</v>
      </c>
      <c r="M12" s="125">
        <f t="shared" ca="1" si="7"/>
        <v>2.0086083213773313E-2</v>
      </c>
      <c r="N12" s="125">
        <f t="shared" ca="1" si="8"/>
        <v>1.4084507042253522E-3</v>
      </c>
      <c r="P12" s="122" t="str">
        <f t="shared" ca="1" si="9"/>
        <v>＋17</v>
      </c>
      <c r="Q12" s="12" t="str">
        <f t="shared" ca="1" si="11"/>
        <v>割高</v>
      </c>
      <c r="R12" s="331">
        <f ca="1">終値履歴!D12</f>
        <v>2134.8000000000002</v>
      </c>
      <c r="S12" s="334">
        <f t="shared" ca="1" si="10"/>
        <v>7.269249163079779E-3</v>
      </c>
      <c r="T12" s="331">
        <f ca="1">終値履歴!E12</f>
        <v>2090.8000000000002</v>
      </c>
      <c r="U12" s="334">
        <f t="shared" ca="1" si="2"/>
        <v>2.7534883720930148E-2</v>
      </c>
      <c r="W12" s="333">
        <f ca="1">終値履歴!F12</f>
        <v>2008</v>
      </c>
      <c r="X12" s="334">
        <f t="shared" ca="1" si="3"/>
        <v>6.6046511627906979E-2</v>
      </c>
    </row>
    <row r="13" spans="1:24" x14ac:dyDescent="0.25">
      <c r="B13" s="302" t="str">
        <f>IPO監視一覧!B13</f>
        <v>力の源HD</v>
      </c>
      <c r="C13" s="303">
        <f>株価一覧!H12</f>
        <v>46400</v>
      </c>
      <c r="D13" s="304">
        <f ca="1">OFFSET(終値履歴!A13,0,COUNTA(終値履歴!G13:'終値履歴'!XFD13)+2,1,-1)</f>
        <v>1986</v>
      </c>
      <c r="E13" s="304">
        <f ca="1">OFFSET(終値履歴!A13,0,COUNTA(終値履歴!G13:'終値履歴'!XFD13)+3,1,-1)</f>
        <v>1989</v>
      </c>
      <c r="F13" s="304">
        <f ca="1">OFFSET(終値履歴!A13,0,COUNTA(終値履歴!G13:'終値履歴'!XFD13)+4,1,-1)</f>
        <v>2054</v>
      </c>
      <c r="G13" s="304">
        <f ca="1">OFFSET(終値履歴!A13,0,COUNTA(終値履歴!G13:'終値履歴'!XFD13)+5,1,-1)</f>
        <v>2031</v>
      </c>
      <c r="I13" s="125">
        <f t="shared" ca="1" si="4"/>
        <v>-1.1197663096397274E-2</v>
      </c>
      <c r="J13" s="125">
        <f t="shared" ca="1" si="5"/>
        <v>2.1116138763197588E-2</v>
      </c>
      <c r="K13" s="125">
        <f t="shared" ca="1" si="6"/>
        <v>2.2658610271903322E-2</v>
      </c>
      <c r="M13" s="125">
        <f t="shared" ca="1" si="7"/>
        <v>3.2679738562091505E-2</v>
      </c>
      <c r="N13" s="125">
        <f t="shared" ca="1" si="8"/>
        <v>3.4239677744209468E-2</v>
      </c>
      <c r="P13" s="122">
        <f t="shared" ca="1" si="9"/>
        <v>-23</v>
      </c>
      <c r="Q13" s="12" t="str">
        <f t="shared" ca="1" si="11"/>
        <v>割高</v>
      </c>
      <c r="R13" s="331">
        <f ca="1">終値履歴!D13</f>
        <v>2008.4</v>
      </c>
      <c r="S13" s="334">
        <f t="shared" ca="1" si="10"/>
        <v>1.1362493715434846E-2</v>
      </c>
      <c r="T13" s="331">
        <f ca="1">終値履歴!E13</f>
        <v>1995.1</v>
      </c>
      <c r="U13" s="334">
        <f t="shared" ca="1" si="2"/>
        <v>1.7676021664204868E-2</v>
      </c>
      <c r="W13" s="333">
        <f ca="1">終値履歴!F13</f>
        <v>1967</v>
      </c>
      <c r="X13" s="334">
        <f t="shared" ca="1" si="3"/>
        <v>3.151157065484983E-2</v>
      </c>
    </row>
    <row r="14" spans="1:24" x14ac:dyDescent="0.25">
      <c r="B14" s="52" t="str">
        <f>IPO監視一覧!B14</f>
        <v>インターネットインフィニティー</v>
      </c>
      <c r="C14" s="354">
        <f>株価一覧!H13</f>
        <v>110300</v>
      </c>
      <c r="D14" s="356">
        <f ca="1">OFFSET(終値履歴!A14,0,COUNTA(終値履歴!G14:'終値履歴'!XFD14)+2,1,-1)</f>
        <v>8800</v>
      </c>
      <c r="E14" s="356">
        <f ca="1">OFFSET(終値履歴!A14,0,COUNTA(終値履歴!G14:'終値履歴'!XFD14)+3,1,-1)</f>
        <v>8590</v>
      </c>
      <c r="F14" s="356">
        <f ca="1">OFFSET(終値履歴!A14,0,COUNTA(終値履歴!G14:'終値履歴'!XFD14)+4,1,-1)</f>
        <v>8020</v>
      </c>
      <c r="G14" s="356">
        <f ca="1">OFFSET(終値履歴!A14,0,COUNTA(終値履歴!G14:'終値履歴'!XFD14)+5,1,-1)</f>
        <v>8170</v>
      </c>
      <c r="I14" s="125">
        <f t="shared" ca="1" si="4"/>
        <v>1.8703241895261846E-2</v>
      </c>
      <c r="J14" s="125">
        <f t="shared" ca="1" si="5"/>
        <v>-4.8894062863795114E-2</v>
      </c>
      <c r="K14" s="125">
        <f t="shared" ca="1" si="6"/>
        <v>-7.1590909090909094E-2</v>
      </c>
      <c r="M14" s="125">
        <f t="shared" ca="1" si="7"/>
        <v>-6.6356228172293363E-2</v>
      </c>
      <c r="N14" s="125">
        <f t="shared" ca="1" si="8"/>
        <v>-8.8636363636363638E-2</v>
      </c>
      <c r="P14" s="122" t="str">
        <f t="shared" ca="1" si="9"/>
        <v>＋150</v>
      </c>
      <c r="Q14" s="12" t="str">
        <f t="shared" ca="1" si="11"/>
        <v>割安</v>
      </c>
      <c r="R14" s="331">
        <f ca="1">終値履歴!D14</f>
        <v>8542</v>
      </c>
      <c r="S14" s="334">
        <f t="shared" ca="1" si="10"/>
        <v>-4.3306169965075671E-2</v>
      </c>
      <c r="T14" s="331">
        <f ca="1">終値履歴!E14</f>
        <v>8591</v>
      </c>
      <c r="U14" s="334">
        <f t="shared" ca="1" si="2"/>
        <v>-5.1529987760097921E-2</v>
      </c>
      <c r="W14" s="333">
        <f ca="1">終値履歴!F14</f>
        <v>8020</v>
      </c>
      <c r="X14" s="334">
        <f t="shared" ca="1" si="3"/>
        <v>1.8359853121175031E-2</v>
      </c>
    </row>
    <row r="15" spans="1:24" x14ac:dyDescent="0.25">
      <c r="B15" s="305" t="str">
        <f>IPO監視一覧!B15</f>
        <v>フルテック</v>
      </c>
      <c r="C15" s="306">
        <f>株価一覧!H14</f>
        <v>15900</v>
      </c>
      <c r="D15" s="307">
        <f ca="1">OFFSET(終値履歴!A15,0,COUNTA(終値履歴!G15:'終値履歴'!XFD15)+2,1,-1)</f>
        <v>1045</v>
      </c>
      <c r="E15" s="307">
        <f ca="1">OFFSET(終値履歴!A15,0,COUNTA(終値履歴!G15:'終値履歴'!XFD15)+3,1,-1)</f>
        <v>1051</v>
      </c>
      <c r="F15" s="307">
        <f ca="1">OFFSET(終値履歴!A15,0,COUNTA(終値履歴!G15:'終値履歴'!XFD15)+4,1,-1)</f>
        <v>1045</v>
      </c>
      <c r="G15" s="307">
        <f ca="1">OFFSET(終値履歴!A15,0,COUNTA(終値履歴!G15:'終値履歴'!XFD15)+5,1,-1)</f>
        <v>1047</v>
      </c>
      <c r="I15" s="125">
        <f t="shared" ca="1" si="4"/>
        <v>1.9138755980861245E-3</v>
      </c>
      <c r="J15" s="125">
        <f t="shared" ca="1" si="5"/>
        <v>-3.8058991436726928E-3</v>
      </c>
      <c r="K15" s="125">
        <f t="shared" ca="1" si="6"/>
        <v>1.9138755980861245E-3</v>
      </c>
      <c r="M15" s="125">
        <f t="shared" ca="1" si="7"/>
        <v>-5.708848715509039E-3</v>
      </c>
      <c r="N15" s="125">
        <f t="shared" ca="1" si="8"/>
        <v>0</v>
      </c>
      <c r="P15" s="122" t="str">
        <f t="shared" ca="1" si="9"/>
        <v>＋2</v>
      </c>
      <c r="Q15" s="12" t="str">
        <f t="shared" ca="1" si="11"/>
        <v>割高</v>
      </c>
      <c r="R15" s="331">
        <f ca="1">終値履歴!D15</f>
        <v>1045.8</v>
      </c>
      <c r="S15" s="334">
        <f t="shared" ca="1" si="10"/>
        <v>1.141769743101851E-3</v>
      </c>
      <c r="T15" s="331">
        <f ca="1">終値履歴!E15</f>
        <v>1038.9000000000001</v>
      </c>
      <c r="U15" s="334">
        <f t="shared" ca="1" si="2"/>
        <v>7.7363896848136665E-3</v>
      </c>
      <c r="W15" s="333">
        <f ca="1">終値履歴!F15</f>
        <v>1027</v>
      </c>
      <c r="X15" s="334">
        <f t="shared" ca="1" si="3"/>
        <v>1.9102196752626553E-2</v>
      </c>
    </row>
    <row r="16" spans="1:24" x14ac:dyDescent="0.25">
      <c r="B16" s="305" t="str">
        <f>IPO監視一覧!B16</f>
        <v>マクロミル</v>
      </c>
      <c r="C16" s="306">
        <f>株価一覧!H15</f>
        <v>111000</v>
      </c>
      <c r="D16" s="307">
        <f ca="1">OFFSET(終値履歴!A16,0,COUNTA(終値履歴!G16:'終値履歴'!XFD16)+2,1,-1)</f>
        <v>2616</v>
      </c>
      <c r="E16" s="307">
        <f ca="1">OFFSET(終値履歴!A16,0,COUNTA(終値履歴!G16:'終値履歴'!XFD16)+3,1,-1)</f>
        <v>2643</v>
      </c>
      <c r="F16" s="307">
        <f ca="1">OFFSET(終値履歴!A16,0,COUNTA(終値履歴!G16:'終値履歴'!XFD16)+4,1,-1)</f>
        <v>2675</v>
      </c>
      <c r="G16" s="307">
        <f ca="1">OFFSET(終値履歴!A16,0,COUNTA(終値履歴!G16:'終値履歴'!XFD16)+5,1,-1)</f>
        <v>2692</v>
      </c>
      <c r="I16" s="125">
        <f t="shared" ca="1" si="4"/>
        <v>6.3551401869158877E-3</v>
      </c>
      <c r="J16" s="125">
        <f t="shared" ca="1" si="5"/>
        <v>1.8539538403329548E-2</v>
      </c>
      <c r="K16" s="125">
        <f t="shared" ca="1" si="6"/>
        <v>2.9051987767584098E-2</v>
      </c>
      <c r="M16" s="125">
        <f t="shared" ca="1" si="7"/>
        <v>1.2107453651153992E-2</v>
      </c>
      <c r="N16" s="125">
        <f t="shared" ca="1" si="8"/>
        <v>2.2553516819571864E-2</v>
      </c>
      <c r="P16" s="122" t="str">
        <f t="shared" ca="1" si="9"/>
        <v>＋17</v>
      </c>
      <c r="Q16" s="12" t="str">
        <f t="shared" ca="1" si="11"/>
        <v>割高</v>
      </c>
      <c r="R16" s="331">
        <f ca="1">終値履歴!D16</f>
        <v>2668.8</v>
      </c>
      <c r="S16" s="334">
        <f t="shared" ca="1" si="10"/>
        <v>8.7779038970865753E-3</v>
      </c>
      <c r="T16" s="331">
        <f ca="1">終値履歴!E16</f>
        <v>2575.4</v>
      </c>
      <c r="U16" s="334">
        <f t="shared" ca="1" si="2"/>
        <v>4.3313521545319429E-2</v>
      </c>
      <c r="W16" s="333">
        <f ca="1">終値履歴!F16</f>
        <v>2457</v>
      </c>
      <c r="X16" s="334">
        <f t="shared" ca="1" si="3"/>
        <v>8.7295690936106979E-2</v>
      </c>
    </row>
    <row r="17" spans="1:24" x14ac:dyDescent="0.25">
      <c r="B17" s="305" t="str">
        <f>IPO監視一覧!B17</f>
        <v>グリーンズ</v>
      </c>
      <c r="C17" s="306">
        <f>株価一覧!H16</f>
        <v>22600</v>
      </c>
      <c r="D17" s="307">
        <f ca="1">OFFSET(終値履歴!A17,0,COUNTA(終値履歴!G17:'終値履歴'!XFD17)+2,1,-1)</f>
        <v>1444</v>
      </c>
      <c r="E17" s="307">
        <f ca="1">OFFSET(終値履歴!A17,0,COUNTA(終値履歴!G17:'終値履歴'!XFD17)+3,1,-1)</f>
        <v>1425</v>
      </c>
      <c r="F17" s="307">
        <f ca="1">OFFSET(終値履歴!A17,0,COUNTA(終値履歴!G17:'終値履歴'!XFD17)+4,1,-1)</f>
        <v>1428</v>
      </c>
      <c r="G17" s="307">
        <f ca="1">OFFSET(終値履歴!A17,0,COUNTA(終値履歴!G17:'終値履歴'!XFD17)+5,1,-1)</f>
        <v>1437</v>
      </c>
      <c r="I17" s="125">
        <f t="shared" ca="1" si="4"/>
        <v>6.3025210084033615E-3</v>
      </c>
      <c r="J17" s="125">
        <f t="shared" ca="1" si="5"/>
        <v>8.4210526315789472E-3</v>
      </c>
      <c r="K17" s="125">
        <f t="shared" ca="1" si="6"/>
        <v>-4.8476454293628806E-3</v>
      </c>
      <c r="M17" s="125">
        <f t="shared" ca="1" si="7"/>
        <v>2.1052631578947368E-3</v>
      </c>
      <c r="N17" s="125">
        <f t="shared" ca="1" si="8"/>
        <v>-1.1080332409972299E-2</v>
      </c>
      <c r="P17" s="122" t="str">
        <f t="shared" ca="1" si="9"/>
        <v>＋9</v>
      </c>
      <c r="Q17" s="12" t="str">
        <f t="shared" ca="1" si="11"/>
        <v>割高</v>
      </c>
      <c r="R17" s="331">
        <f ca="1">終値履歴!D17</f>
        <v>1432</v>
      </c>
      <c r="S17" s="334">
        <f t="shared" ca="1" si="10"/>
        <v>3.5087719298245615E-3</v>
      </c>
      <c r="T17" s="331">
        <f ca="1">終値履歴!E17</f>
        <v>1421.7</v>
      </c>
      <c r="U17" s="334">
        <f t="shared" ca="1" si="2"/>
        <v>1.0647181628392453E-2</v>
      </c>
      <c r="W17" s="333">
        <f ca="1">終値履歴!F17</f>
        <v>1405</v>
      </c>
      <c r="X17" s="334">
        <f t="shared" ca="1" si="3"/>
        <v>2.2268615170494086E-2</v>
      </c>
    </row>
    <row r="18" spans="1:24" x14ac:dyDescent="0.25">
      <c r="B18" s="302" t="str">
        <f>IPO監視一覧!B18</f>
        <v>オロ</v>
      </c>
      <c r="C18" s="303">
        <f>株価一覧!H17</f>
        <v>4800</v>
      </c>
      <c r="D18" s="304">
        <f ca="1">OFFSET(終値履歴!A18,0,COUNTA(終値履歴!G18:'終値履歴'!XFD18)+2,1,-1)</f>
        <v>3260</v>
      </c>
      <c r="E18" s="304">
        <f ca="1">OFFSET(終値履歴!A18,0,COUNTA(終値履歴!G18:'終値履歴'!XFD18)+3,1,-1)</f>
        <v>3195</v>
      </c>
      <c r="F18" s="304">
        <f ca="1">OFFSET(終値履歴!A18,0,COUNTA(終値履歴!G18:'終値履歴'!XFD18)+4,1,-1)</f>
        <v>3195</v>
      </c>
      <c r="G18" s="304">
        <f ca="1">OFFSET(終値履歴!A18,0,COUNTA(終値履歴!G18:'終値履歴'!XFD18)+5,1,-1)</f>
        <v>3185</v>
      </c>
      <c r="I18" s="125">
        <f t="shared" ca="1" si="4"/>
        <v>-3.1298904538341159E-3</v>
      </c>
      <c r="J18" s="125">
        <f t="shared" ca="1" si="5"/>
        <v>-3.1298904538341159E-3</v>
      </c>
      <c r="K18" s="125">
        <f t="shared" ca="1" si="6"/>
        <v>-2.3006134969325152E-2</v>
      </c>
      <c r="M18" s="125">
        <f t="shared" ca="1" si="7"/>
        <v>0</v>
      </c>
      <c r="N18" s="125">
        <f t="shared" ca="1" si="8"/>
        <v>-1.9938650306748466E-2</v>
      </c>
      <c r="P18" s="122">
        <f t="shared" ca="1" si="9"/>
        <v>-10</v>
      </c>
      <c r="Q18" s="12" t="str">
        <f t="shared" ca="1" si="11"/>
        <v>普通</v>
      </c>
      <c r="R18" s="331">
        <f ca="1">終値履歴!D18</f>
        <v>3196</v>
      </c>
      <c r="S18" s="334">
        <f t="shared" ca="1" si="10"/>
        <v>-3.4428794992175274E-3</v>
      </c>
      <c r="T18" s="331">
        <f ca="1">終値履歴!E18</f>
        <v>3163</v>
      </c>
      <c r="U18" s="334">
        <f t="shared" ca="1" si="2"/>
        <v>6.9073783359497641E-3</v>
      </c>
      <c r="W18" s="333">
        <f ca="1">終値履歴!F18</f>
        <v>3110</v>
      </c>
      <c r="X18" s="334">
        <f t="shared" ca="1" si="3"/>
        <v>2.3547880690737835E-2</v>
      </c>
    </row>
    <row r="19" spans="1:24" x14ac:dyDescent="0.25">
      <c r="B19" s="91" t="str">
        <f>IPO監視一覧!B19</f>
        <v>ソレイジア・ファーマ</v>
      </c>
      <c r="C19" s="127">
        <f>株価一覧!H18</f>
        <v>4787400</v>
      </c>
      <c r="D19" s="128">
        <f ca="1">OFFSET(終値履歴!A19,0,COUNTA(終値履歴!G19:'終値履歴'!XFD19)+2,1,-1)</f>
        <v>398</v>
      </c>
      <c r="E19" s="128">
        <f ca="1">OFFSET(終値履歴!A19,0,COUNTA(終値履歴!G19:'終値履歴'!XFD19)+3,1,-1)</f>
        <v>423</v>
      </c>
      <c r="F19" s="128">
        <f ca="1">OFFSET(終値履歴!A19,0,COUNTA(終値履歴!G19:'終値履歴'!XFD19)+4,1,-1)</f>
        <v>421</v>
      </c>
      <c r="G19" s="128">
        <f ca="1">OFFSET(終値履歴!A19,0,COUNTA(終値履歴!G19:'終値履歴'!XFD19)+5,1,-1)</f>
        <v>409</v>
      </c>
      <c r="I19" s="125">
        <f t="shared" ca="1" si="4"/>
        <v>-2.8503562945368172E-2</v>
      </c>
      <c r="J19" s="125">
        <f t="shared" ca="1" si="5"/>
        <v>-3.309692671394799E-2</v>
      </c>
      <c r="K19" s="125">
        <f t="shared" ca="1" si="6"/>
        <v>2.7638190954773871E-2</v>
      </c>
      <c r="M19" s="125">
        <f t="shared" ca="1" si="7"/>
        <v>-4.7281323877068557E-3</v>
      </c>
      <c r="N19" s="125">
        <f t="shared" ca="1" si="8"/>
        <v>5.7788944723618091E-2</v>
      </c>
      <c r="P19" s="122">
        <f t="shared" ca="1" si="9"/>
        <v>-12</v>
      </c>
      <c r="Q19" s="12" t="str">
        <f t="shared" ca="1" si="11"/>
        <v>普通</v>
      </c>
      <c r="R19" s="331">
        <f ca="1">終値履歴!D19</f>
        <v>410.4</v>
      </c>
      <c r="S19" s="334">
        <f t="shared" ca="1" si="10"/>
        <v>-3.3096926713947453E-3</v>
      </c>
      <c r="T19" s="331">
        <f ca="1">終値履歴!E19</f>
        <v>398.1</v>
      </c>
      <c r="U19" s="334">
        <f t="shared" ca="1" si="2"/>
        <v>2.6650366748166204E-2</v>
      </c>
      <c r="W19" s="333">
        <f ca="1">終値履歴!F19</f>
        <v>343</v>
      </c>
      <c r="X19" s="334">
        <f t="shared" ca="1" si="3"/>
        <v>0.16136919315403422</v>
      </c>
    </row>
    <row r="20" spans="1:24" x14ac:dyDescent="0.25">
      <c r="B20" s="52" t="str">
        <f>IPO監視一覧!B20</f>
        <v>ティーケーピー</v>
      </c>
      <c r="C20" s="354">
        <f>株価一覧!H19</f>
        <v>76700</v>
      </c>
      <c r="D20" s="356">
        <f ca="1">OFFSET(終値履歴!A20,0,COUNTA(終値履歴!G20:'終値履歴'!XFD20)+2,1,-1)</f>
        <v>14740</v>
      </c>
      <c r="E20" s="356">
        <f ca="1">OFFSET(終値履歴!A20,0,COUNTA(終値履歴!G20:'終値履歴'!XFD20)+3,1,-1)</f>
        <v>14650</v>
      </c>
      <c r="F20" s="356">
        <f ca="1">OFFSET(終値履歴!A20,0,COUNTA(終値履歴!G20:'終値履歴'!XFD20)+4,1,-1)</f>
        <v>14130</v>
      </c>
      <c r="G20" s="356">
        <f ca="1">OFFSET(終値履歴!A20,0,COUNTA(終値履歴!G20:'終値履歴'!XFD20)+5,1,-1)</f>
        <v>13710</v>
      </c>
      <c r="I20" s="125">
        <f t="shared" ca="1" si="4"/>
        <v>-2.9723991507430998E-2</v>
      </c>
      <c r="J20" s="125">
        <f t="shared" ca="1" si="5"/>
        <v>-6.4163822525597269E-2</v>
      </c>
      <c r="K20" s="125">
        <f t="shared" ca="1" si="6"/>
        <v>-6.9877883310719133E-2</v>
      </c>
      <c r="M20" s="125">
        <f t="shared" ca="1" si="7"/>
        <v>-3.5494880546075087E-2</v>
      </c>
      <c r="N20" s="125">
        <f t="shared" ca="1" si="8"/>
        <v>-4.1383989145183174E-2</v>
      </c>
      <c r="P20" s="122">
        <f t="shared" ca="1" si="9"/>
        <v>-420</v>
      </c>
      <c r="Q20" s="12" t="str">
        <f t="shared" ca="1" si="11"/>
        <v>割安</v>
      </c>
      <c r="R20" s="331">
        <f ca="1">終値履歴!D20</f>
        <v>14448</v>
      </c>
      <c r="S20" s="334">
        <f t="shared" ca="1" si="10"/>
        <v>-5.0375426621160409E-2</v>
      </c>
      <c r="T20" s="331">
        <f ca="1">終値履歴!E20</f>
        <v>14465</v>
      </c>
      <c r="U20" s="334">
        <f t="shared" ca="1" si="2"/>
        <v>-5.5069292487235591E-2</v>
      </c>
      <c r="W20" s="333">
        <f ca="1">終値履歴!F20</f>
        <v>13710</v>
      </c>
      <c r="X20" s="334">
        <f t="shared" ca="1" si="3"/>
        <v>0</v>
      </c>
    </row>
    <row r="21" spans="1:24" x14ac:dyDescent="0.25">
      <c r="B21" s="302" t="str">
        <f>IPO監視一覧!B21</f>
        <v>ズーム</v>
      </c>
      <c r="C21" s="303">
        <f>株価一覧!H20</f>
        <v>6000</v>
      </c>
      <c r="D21" s="304">
        <f ca="1">OFFSET(終値履歴!A21,0,COUNTA(終値履歴!G21:'終値履歴'!XFD21)+2,1,-1)</f>
        <v>1830</v>
      </c>
      <c r="E21" s="304">
        <f ca="1">OFFSET(終値履歴!A21,0,COUNTA(終値履歴!G21:'終値履歴'!XFD21)+3,1,-1)</f>
        <v>1808</v>
      </c>
      <c r="F21" s="304">
        <f ca="1">OFFSET(終値履歴!A21,0,COUNTA(終値履歴!G21:'終値履歴'!XFD21)+4,1,-1)</f>
        <v>1806</v>
      </c>
      <c r="G21" s="304">
        <f ca="1">OFFSET(終値履歴!A21,0,COUNTA(終値履歴!G21:'終値履歴'!XFD21)+5,1,-1)</f>
        <v>1802</v>
      </c>
      <c r="I21" s="125">
        <f t="shared" ca="1" si="4"/>
        <v>-2.2148394241417496E-3</v>
      </c>
      <c r="J21" s="125">
        <f t="shared" ca="1" si="5"/>
        <v>-3.3185840707964601E-3</v>
      </c>
      <c r="K21" s="125">
        <f t="shared" ca="1" si="6"/>
        <v>-1.5300546448087432E-2</v>
      </c>
      <c r="M21" s="125">
        <f t="shared" ca="1" si="7"/>
        <v>-1.1061946902654867E-3</v>
      </c>
      <c r="N21" s="125">
        <f t="shared" ca="1" si="8"/>
        <v>-1.3114754098360656E-2</v>
      </c>
      <c r="P21" s="122">
        <f t="shared" ca="1" si="9"/>
        <v>-4</v>
      </c>
      <c r="Q21" s="12" t="str">
        <f t="shared" ca="1" si="11"/>
        <v>普通</v>
      </c>
      <c r="R21" s="331">
        <f ca="1">終値履歴!D21</f>
        <v>1810.6</v>
      </c>
      <c r="S21" s="334">
        <f t="shared" ca="1" si="10"/>
        <v>-4.7566371681415425E-3</v>
      </c>
      <c r="T21" s="331">
        <f ca="1">終値履歴!E21</f>
        <v>1781.3</v>
      </c>
      <c r="U21" s="334">
        <f t="shared" ca="1" si="2"/>
        <v>1.1487236403995585E-2</v>
      </c>
      <c r="W21" s="333">
        <f ca="1">終値履歴!F21</f>
        <v>1710</v>
      </c>
      <c r="X21" s="334">
        <f t="shared" ca="1" si="3"/>
        <v>5.1054384017758046E-2</v>
      </c>
    </row>
    <row r="22" spans="1:24" x14ac:dyDescent="0.25">
      <c r="B22" s="302" t="str">
        <f>IPO監視一覧!B22</f>
        <v>Ｎｏ．１</v>
      </c>
      <c r="C22" s="303">
        <f>株価一覧!H21</f>
        <v>31500</v>
      </c>
      <c r="D22" s="304">
        <f ca="1">OFFSET(終値履歴!A22,0,COUNTA(終値履歴!G22:'終値履歴'!XFD22)+2,1,-1)</f>
        <v>2715</v>
      </c>
      <c r="E22" s="304">
        <f ca="1">OFFSET(終値履歴!A22,0,COUNTA(終値履歴!G22:'終値履歴'!XFD22)+3,1,-1)</f>
        <v>2687</v>
      </c>
      <c r="F22" s="304">
        <f ca="1">OFFSET(終値履歴!A22,0,COUNTA(終値履歴!G22:'終値履歴'!XFD22)+4,1,-1)</f>
        <v>2788</v>
      </c>
      <c r="G22" s="304">
        <f ca="1">OFFSET(終値履歴!A22,0,COUNTA(終値履歴!G22:'終値履歴'!XFD22)+5,1,-1)</f>
        <v>2603</v>
      </c>
      <c r="I22" s="125">
        <f t="shared" ca="1" si="4"/>
        <v>-6.6355810616929703E-2</v>
      </c>
      <c r="J22" s="125">
        <f t="shared" ca="1" si="5"/>
        <v>-3.1261630070710832E-2</v>
      </c>
      <c r="K22" s="125">
        <f t="shared" ca="1" si="6"/>
        <v>-4.1252302025782686E-2</v>
      </c>
      <c r="M22" s="125">
        <f t="shared" ca="1" si="7"/>
        <v>3.7588388537402311E-2</v>
      </c>
      <c r="N22" s="125">
        <f t="shared" ca="1" si="8"/>
        <v>2.6887661141804787E-2</v>
      </c>
      <c r="P22" s="122">
        <f t="shared" ca="1" si="9"/>
        <v>-185</v>
      </c>
      <c r="Q22" s="12" t="str">
        <f t="shared" ca="1" si="11"/>
        <v>割安</v>
      </c>
      <c r="R22" s="331">
        <f ca="1">終値履歴!D22</f>
        <v>2708.6</v>
      </c>
      <c r="S22" s="334">
        <f t="shared" ca="1" si="10"/>
        <v>-3.9300334946036436E-2</v>
      </c>
      <c r="T22" s="331">
        <f ca="1">終値履歴!E22</f>
        <v>2710.9</v>
      </c>
      <c r="U22" s="334">
        <f t="shared" ca="1" si="2"/>
        <v>-4.1452170572416479E-2</v>
      </c>
      <c r="W22" s="333">
        <f ca="1">終値履歴!F22</f>
        <v>2603</v>
      </c>
      <c r="X22" s="334">
        <f t="shared" ca="1" si="3"/>
        <v>0</v>
      </c>
    </row>
    <row r="23" spans="1:24" x14ac:dyDescent="0.25">
      <c r="B23" s="305" t="str">
        <f>IPO監視一覧!B23</f>
        <v>オークネット</v>
      </c>
      <c r="C23" s="306">
        <f>株価一覧!H22</f>
        <v>30300</v>
      </c>
      <c r="D23" s="307">
        <f ca="1">OFFSET(終値履歴!A23,0,COUNTA(終値履歴!G23:'終値履歴'!XFD23)+2,1,-1)</f>
        <v>1402</v>
      </c>
      <c r="E23" s="307">
        <f ca="1">OFFSET(終値履歴!A23,0,COUNTA(終値履歴!G23:'終値履歴'!XFD23)+3,1,-1)</f>
        <v>1390</v>
      </c>
      <c r="F23" s="307">
        <f ca="1">OFFSET(終値履歴!A23,0,COUNTA(終値履歴!G23:'終値履歴'!XFD23)+4,1,-1)</f>
        <v>1401</v>
      </c>
      <c r="G23" s="307">
        <f ca="1">OFFSET(終値履歴!A23,0,COUNTA(終値履歴!G23:'終値履歴'!XFD23)+5,1,-1)</f>
        <v>1387</v>
      </c>
      <c r="I23" s="125">
        <f t="shared" ca="1" si="4"/>
        <v>-9.9928622412562458E-3</v>
      </c>
      <c r="J23" s="125">
        <f t="shared" ca="1" si="5"/>
        <v>-2.158273381294964E-3</v>
      </c>
      <c r="K23" s="125">
        <f t="shared" ca="1" si="6"/>
        <v>-1.0699001426533523E-2</v>
      </c>
      <c r="M23" s="125">
        <f t="shared" ca="1" si="7"/>
        <v>7.9136690647482015E-3</v>
      </c>
      <c r="N23" s="125">
        <f t="shared" ca="1" si="8"/>
        <v>-7.1326676176890159E-4</v>
      </c>
      <c r="P23" s="122">
        <f t="shared" ca="1" si="9"/>
        <v>-14</v>
      </c>
      <c r="Q23" s="12" t="str">
        <f t="shared" ca="1" si="11"/>
        <v>割安</v>
      </c>
      <c r="R23" s="331">
        <f ca="1">終値履歴!D23</f>
        <v>1398.8</v>
      </c>
      <c r="S23" s="334">
        <f t="shared" ca="1" si="10"/>
        <v>-8.4892086330934924E-3</v>
      </c>
      <c r="T23" s="331">
        <f ca="1">終値履歴!E23</f>
        <v>1395.9</v>
      </c>
      <c r="U23" s="334">
        <f t="shared" ca="1" si="2"/>
        <v>-6.416726748377859E-3</v>
      </c>
      <c r="W23" s="333">
        <f ca="1">終値履歴!F23</f>
        <v>1384</v>
      </c>
      <c r="X23" s="334">
        <f t="shared" ca="1" si="3"/>
        <v>2.1629416005767843E-3</v>
      </c>
    </row>
    <row r="24" spans="1:24" x14ac:dyDescent="0.25">
      <c r="B24" s="305" t="str">
        <f>IPO監視一覧!B24</f>
        <v>スシローグローバルHD</v>
      </c>
      <c r="C24" s="306">
        <f>株価一覧!H23</f>
        <v>51900</v>
      </c>
      <c r="D24" s="307">
        <f ca="1">OFFSET(終値履歴!A24,0,COUNTA(終値履歴!G24:'終値履歴'!XFD24)+2,1,-1)</f>
        <v>3395</v>
      </c>
      <c r="E24" s="307">
        <f ca="1">OFFSET(終値履歴!A24,0,COUNTA(終値履歴!G24:'終値履歴'!XFD24)+3,1,-1)</f>
        <v>3340</v>
      </c>
      <c r="F24" s="307">
        <f ca="1">OFFSET(終値履歴!A24,0,COUNTA(終値履歴!G24:'終値履歴'!XFD24)+4,1,-1)</f>
        <v>3340</v>
      </c>
      <c r="G24" s="307">
        <f ca="1">OFFSET(終値履歴!A24,0,COUNTA(終値履歴!G24:'終値履歴'!XFD24)+5,1,-1)</f>
        <v>3320</v>
      </c>
      <c r="I24" s="125">
        <f t="shared" ca="1" si="4"/>
        <v>-5.9880239520958087E-3</v>
      </c>
      <c r="J24" s="125">
        <f t="shared" ca="1" si="5"/>
        <v>-5.9880239520958087E-3</v>
      </c>
      <c r="K24" s="125">
        <f t="shared" ca="1" si="6"/>
        <v>-2.2091310751104567E-2</v>
      </c>
      <c r="M24" s="125">
        <f t="shared" ca="1" si="7"/>
        <v>0</v>
      </c>
      <c r="N24" s="125">
        <f t="shared" ca="1" si="8"/>
        <v>-1.6200294550810016E-2</v>
      </c>
      <c r="P24" s="122">
        <f t="shared" ca="1" si="9"/>
        <v>-20</v>
      </c>
      <c r="Q24" s="12" t="str">
        <f t="shared" ca="1" si="11"/>
        <v>割安</v>
      </c>
      <c r="R24" s="331">
        <f ca="1">終値履歴!D24</f>
        <v>3348</v>
      </c>
      <c r="S24" s="334">
        <f t="shared" ca="1" si="10"/>
        <v>-8.3832335329341312E-3</v>
      </c>
      <c r="T24" s="331">
        <f ca="1">終値履歴!E24</f>
        <v>3330</v>
      </c>
      <c r="U24" s="334">
        <f t="shared" ca="1" si="2"/>
        <v>-3.0120481927710845E-3</v>
      </c>
      <c r="W24" s="333">
        <f ca="1">終値履歴!F24</f>
        <v>3295</v>
      </c>
      <c r="X24" s="334">
        <f t="shared" ca="1" si="3"/>
        <v>7.5301204819277108E-3</v>
      </c>
    </row>
    <row r="25" spans="1:24" x14ac:dyDescent="0.25">
      <c r="B25" s="302" t="str">
        <f>IPO監視一覧!B25</f>
        <v>ユーザーローカル</v>
      </c>
      <c r="C25" s="303">
        <f>株価一覧!H24</f>
        <v>3000</v>
      </c>
      <c r="D25" s="304">
        <f ca="1">OFFSET(終値履歴!A25,0,COUNTA(終値履歴!G25:'終値履歴'!XFD25)+2,1,-1)</f>
        <v>8430</v>
      </c>
      <c r="E25" s="304">
        <f ca="1">OFFSET(終値履歴!A25,0,COUNTA(終値履歴!G25:'終値履歴'!XFD25)+3,1,-1)</f>
        <v>8370</v>
      </c>
      <c r="F25" s="304">
        <f ca="1">OFFSET(終値履歴!A25,0,COUNTA(終値履歴!G25:'終値履歴'!XFD25)+4,1,-1)</f>
        <v>8370</v>
      </c>
      <c r="G25" s="304">
        <f ca="1">OFFSET(終値履歴!A25,0,COUNTA(終値履歴!G25:'終値履歴'!XFD25)+5,1,-1)</f>
        <v>8410</v>
      </c>
      <c r="I25" s="125">
        <f t="shared" ca="1" si="4"/>
        <v>4.7789725209080045E-3</v>
      </c>
      <c r="J25" s="125">
        <f t="shared" ca="1" si="5"/>
        <v>4.7789725209080045E-3</v>
      </c>
      <c r="K25" s="125">
        <f t="shared" ca="1" si="6"/>
        <v>-2.3724792408066431E-3</v>
      </c>
      <c r="M25" s="125">
        <f t="shared" ca="1" si="7"/>
        <v>0</v>
      </c>
      <c r="N25" s="125">
        <f t="shared" ca="1" si="8"/>
        <v>-7.1174377224199285E-3</v>
      </c>
      <c r="P25" s="122" t="str">
        <f t="shared" ca="1" si="9"/>
        <v>＋40</v>
      </c>
      <c r="Q25" s="12" t="str">
        <f t="shared" ca="1" si="11"/>
        <v>普通</v>
      </c>
      <c r="R25" s="331">
        <f ca="1">終値履歴!D25</f>
        <v>8406</v>
      </c>
      <c r="S25" s="334">
        <f t="shared" ca="1" si="10"/>
        <v>4.7789725209080046E-4</v>
      </c>
      <c r="T25" s="331">
        <f ca="1">終値履歴!E25</f>
        <v>8449</v>
      </c>
      <c r="U25" s="334">
        <f t="shared" ca="1" si="2"/>
        <v>-4.6373365041617121E-3</v>
      </c>
      <c r="W25" s="333">
        <f ca="1">終値履歴!F25</f>
        <v>8370</v>
      </c>
      <c r="X25" s="334">
        <f t="shared" ca="1" si="3"/>
        <v>4.7562425683709865E-3</v>
      </c>
    </row>
    <row r="26" spans="1:24" x14ac:dyDescent="0.25">
      <c r="B26" s="302" t="str">
        <f>IPO監視一覧!B26</f>
        <v>ネットマーケティング</v>
      </c>
      <c r="C26" s="303">
        <f>株価一覧!H25</f>
        <v>68100</v>
      </c>
      <c r="D26" s="304">
        <f ca="1">OFFSET(終値履歴!A26,0,COUNTA(終値履歴!G26:'終値履歴'!XFD26)+2,1,-1)</f>
        <v>1230</v>
      </c>
      <c r="E26" s="304">
        <f ca="1">OFFSET(終値履歴!A26,0,COUNTA(終値履歴!G26:'終値履歴'!XFD26)+3,1,-1)</f>
        <v>1280</v>
      </c>
      <c r="F26" s="304">
        <f ca="1">OFFSET(終値履歴!A26,0,COUNTA(終値履歴!G26:'終値履歴'!XFD26)+4,1,-1)</f>
        <v>1262</v>
      </c>
      <c r="G26" s="304">
        <f ca="1">OFFSET(終値履歴!A26,0,COUNTA(終値履歴!G26:'終値履歴'!XFD26)+5,1,-1)</f>
        <v>1230</v>
      </c>
      <c r="I26" s="125">
        <f ca="1">(G26-F26)/F26</f>
        <v>-2.5356576862123614E-2</v>
      </c>
      <c r="J26" s="125">
        <f ca="1">(G26-E26)/E26</f>
        <v>-3.90625E-2</v>
      </c>
      <c r="K26" s="125">
        <f ca="1">(G26-D26)/D26</f>
        <v>0</v>
      </c>
      <c r="M26" s="125">
        <f ca="1">(F26-E26)/E26</f>
        <v>-1.40625E-2</v>
      </c>
      <c r="N26" s="125">
        <f ca="1">(F26-D26)/D26</f>
        <v>2.6016260162601626E-2</v>
      </c>
      <c r="P26" s="122">
        <f t="shared" ca="1" si="9"/>
        <v>-32</v>
      </c>
      <c r="Q26" s="12" t="str">
        <f t="shared" ca="1" si="11"/>
        <v>普通</v>
      </c>
      <c r="R26" s="331">
        <f ca="1">終値履歴!D26</f>
        <v>1249.2</v>
      </c>
      <c r="S26" s="334">
        <f t="shared" ca="1" si="10"/>
        <v>-1.5000000000000036E-2</v>
      </c>
      <c r="T26" s="331">
        <f ca="1">終値履歴!E26</f>
        <v>1220.5999999999999</v>
      </c>
      <c r="U26" s="334">
        <f t="shared" ca="1" si="2"/>
        <v>7.6422764227643018E-3</v>
      </c>
      <c r="W26" s="333">
        <f ca="1">終値履歴!F26</f>
        <v>1163</v>
      </c>
      <c r="X26" s="334">
        <f t="shared" ca="1" si="3"/>
        <v>5.4471544715447157E-2</v>
      </c>
    </row>
    <row r="27" spans="1:24" x14ac:dyDescent="0.25">
      <c r="B27" s="302" t="str">
        <f>IPO監視一覧!B27</f>
        <v>テモナ</v>
      </c>
      <c r="C27" s="303">
        <f>株価一覧!H26</f>
        <v>26200</v>
      </c>
      <c r="D27" s="304">
        <f ca="1">OFFSET(終値履歴!A27,0,COUNTA(終値履歴!G27:'終値履歴'!XFD27)+2,1,-1)</f>
        <v>6590</v>
      </c>
      <c r="E27" s="304">
        <f ca="1">OFFSET(終値履歴!A27,0,COUNTA(終値履歴!G27:'終値履歴'!XFD27)+3,1,-1)</f>
        <v>6640</v>
      </c>
      <c r="F27" s="304">
        <f ca="1">OFFSET(終値履歴!A27,0,COUNTA(終値履歴!G27:'終値履歴'!XFD27)+4,1,-1)</f>
        <v>6950</v>
      </c>
      <c r="G27" s="304">
        <f ca="1">OFFSET(終値履歴!A27,0,COUNTA(終値履歴!G27:'終値履歴'!XFD27)+5,1,-1)</f>
        <v>7280</v>
      </c>
      <c r="I27" s="125">
        <f t="shared" ca="1" si="4"/>
        <v>4.7482014388489209E-2</v>
      </c>
      <c r="J27" s="125">
        <f t="shared" ca="1" si="5"/>
        <v>9.6385542168674704E-2</v>
      </c>
      <c r="K27" s="125">
        <f t="shared" ca="1" si="6"/>
        <v>0.1047040971168437</v>
      </c>
      <c r="M27" s="125">
        <f t="shared" ca="1" si="7"/>
        <v>4.6686746987951805E-2</v>
      </c>
      <c r="N27" s="125">
        <f t="shared" ca="1" si="8"/>
        <v>5.4628224582701064E-2</v>
      </c>
      <c r="P27" s="122" t="str">
        <f t="shared" ca="1" si="9"/>
        <v>＋330</v>
      </c>
      <c r="Q27" s="12" t="str">
        <f t="shared" ca="1" si="11"/>
        <v>割高</v>
      </c>
      <c r="R27" s="331">
        <f ca="1">終値履歴!D27</f>
        <v>6792</v>
      </c>
      <c r="S27" s="334">
        <f t="shared" ca="1" si="10"/>
        <v>7.3493975903614464E-2</v>
      </c>
      <c r="T27" s="331">
        <f ca="1">終値履歴!E27</f>
        <v>6671</v>
      </c>
      <c r="U27" s="334">
        <f t="shared" ca="1" si="2"/>
        <v>8.3653846153846148E-2</v>
      </c>
      <c r="W27" s="333">
        <f ca="1">終値履歴!F27</f>
        <v>6410</v>
      </c>
      <c r="X27" s="334">
        <f t="shared" ca="1" si="3"/>
        <v>0.11950549450549451</v>
      </c>
    </row>
    <row r="28" spans="1:24" x14ac:dyDescent="0.25">
      <c r="B28" s="305" t="str">
        <f>IPO監視一覧!B28</f>
        <v>ウェーブロックHD</v>
      </c>
      <c r="C28" s="306">
        <f>株価一覧!H27</f>
        <v>242300</v>
      </c>
      <c r="D28" s="307">
        <f ca="1">OFFSET(終値履歴!A28,0,COUNTA(終値履歴!G28:'終値履歴'!XFD28)+2,1,-1)</f>
        <v>1233</v>
      </c>
      <c r="E28" s="307">
        <f ca="1">OFFSET(終値履歴!A28,0,COUNTA(終値履歴!G28:'終値履歴'!XFD28)+3,1,-1)</f>
        <v>1227</v>
      </c>
      <c r="F28" s="307">
        <f ca="1">OFFSET(終値履歴!A28,0,COUNTA(終値履歴!G28:'終値履歴'!XFD28)+4,1,-1)</f>
        <v>1206</v>
      </c>
      <c r="G28" s="307">
        <f ca="1">OFFSET(終値履歴!A28,0,COUNTA(終値履歴!G28:'終値履歴'!XFD28)+5,1,-1)</f>
        <v>1215</v>
      </c>
      <c r="I28" s="125">
        <f t="shared" ca="1" si="4"/>
        <v>7.462686567164179E-3</v>
      </c>
      <c r="J28" s="125">
        <f t="shared" ca="1" si="5"/>
        <v>-9.7799511002444987E-3</v>
      </c>
      <c r="K28" s="125">
        <f t="shared" ca="1" si="6"/>
        <v>-1.4598540145985401E-2</v>
      </c>
      <c r="M28" s="125">
        <f t="shared" ca="1" si="7"/>
        <v>-1.7114914425427872E-2</v>
      </c>
      <c r="N28" s="125">
        <f t="shared" ca="1" si="8"/>
        <v>-2.1897810218978103E-2</v>
      </c>
      <c r="P28" s="122" t="str">
        <f t="shared" ca="1" si="9"/>
        <v>＋9</v>
      </c>
      <c r="Q28" s="12" t="str">
        <f t="shared" ca="1" si="11"/>
        <v>割高</v>
      </c>
      <c r="R28" s="331">
        <f ca="1">終値履歴!D28</f>
        <v>1203</v>
      </c>
      <c r="S28" s="334">
        <f t="shared" ca="1" si="10"/>
        <v>9.7799511002444987E-3</v>
      </c>
      <c r="T28" s="331">
        <f ca="1">終値履歴!E28</f>
        <v>1180.2</v>
      </c>
      <c r="U28" s="334">
        <f t="shared" ca="1" si="2"/>
        <v>2.8641975308641938E-2</v>
      </c>
      <c r="W28" s="333">
        <f ca="1">終値履歴!F28</f>
        <v>1134</v>
      </c>
      <c r="X28" s="334">
        <f t="shared" ca="1" si="3"/>
        <v>6.6666666666666666E-2</v>
      </c>
    </row>
    <row r="29" spans="1:24" x14ac:dyDescent="0.25">
      <c r="B29" s="305" t="str">
        <f>IPO監視一覧!B29</f>
        <v>LIXILビバ</v>
      </c>
      <c r="C29" s="306">
        <f>株価一覧!H28</f>
        <v>119800</v>
      </c>
      <c r="D29" s="307">
        <f ca="1">OFFSET(終値履歴!A29,0,COUNTA(終値履歴!G29:'終値履歴'!XFD29)+2,1,-1)</f>
        <v>2004</v>
      </c>
      <c r="E29" s="307">
        <f ca="1">OFFSET(終値履歴!A29,0,COUNTA(終値履歴!G29:'終値履歴'!XFD29)+3,1,-1)</f>
        <v>1989</v>
      </c>
      <c r="F29" s="307">
        <f ca="1">OFFSET(終値履歴!A29,0,COUNTA(終値履歴!G29:'終値履歴'!XFD29)+4,1,-1)</f>
        <v>1979</v>
      </c>
      <c r="G29" s="307">
        <f ca="1">OFFSET(終値履歴!A29,0,COUNTA(終値履歴!G29:'終値履歴'!XFD29)+5,1,-1)</f>
        <v>1964</v>
      </c>
      <c r="I29" s="125">
        <f t="shared" ca="1" si="4"/>
        <v>-7.5795856493178371E-3</v>
      </c>
      <c r="J29" s="125">
        <f t="shared" ca="1" si="5"/>
        <v>-1.256913021618904E-2</v>
      </c>
      <c r="K29" s="125">
        <f t="shared" ca="1" si="6"/>
        <v>-1.9960079840319361E-2</v>
      </c>
      <c r="M29" s="125">
        <f t="shared" ca="1" si="7"/>
        <v>-5.0276520864756162E-3</v>
      </c>
      <c r="N29" s="125">
        <f t="shared" ca="1" si="8"/>
        <v>-1.2475049900199601E-2</v>
      </c>
      <c r="P29" s="122">
        <f t="shared" ca="1" si="9"/>
        <v>-15</v>
      </c>
      <c r="Q29" s="12" t="str">
        <f t="shared" ca="1" si="11"/>
        <v>割安</v>
      </c>
      <c r="R29" s="331">
        <f ca="1">終値履歴!D29</f>
        <v>1987.8</v>
      </c>
      <c r="S29" s="334">
        <f t="shared" ca="1" si="10"/>
        <v>-1.1965811965811942E-2</v>
      </c>
      <c r="T29" s="331">
        <f ca="1">終値履歴!E29</f>
        <v>1999.8</v>
      </c>
      <c r="U29" s="334">
        <f t="shared" ca="1" si="2"/>
        <v>-1.8228105906313623E-2</v>
      </c>
      <c r="W29" s="333">
        <f ca="1">終値履歴!F29</f>
        <v>1964</v>
      </c>
      <c r="X29" s="334">
        <f t="shared" ca="1" si="3"/>
        <v>0</v>
      </c>
    </row>
    <row r="30" spans="1:24" x14ac:dyDescent="0.25">
      <c r="B30" s="302" t="str">
        <f>IPO監視一覧!B30</f>
        <v>旅工房</v>
      </c>
      <c r="C30" s="303">
        <f>株価一覧!H29</f>
        <v>7100</v>
      </c>
      <c r="D30" s="304">
        <f ca="1">OFFSET(終値履歴!A30,0,COUNTA(終値履歴!G30:'終値履歴'!XFD30)+2,1,-1)</f>
        <v>3530</v>
      </c>
      <c r="E30" s="304">
        <f ca="1">OFFSET(終値履歴!A30,0,COUNTA(終値履歴!G30:'終値履歴'!XFD30)+3,1,-1)</f>
        <v>3610</v>
      </c>
      <c r="F30" s="304">
        <f ca="1">OFFSET(終値履歴!A30,0,COUNTA(終値履歴!G30:'終値履歴'!XFD30)+4,1,-1)</f>
        <v>3580</v>
      </c>
      <c r="G30" s="304">
        <f ca="1">OFFSET(終値履歴!A30,0,COUNTA(終値履歴!G30:'終値履歴'!XFD30)+5,1,-1)</f>
        <v>3560</v>
      </c>
      <c r="I30" s="125">
        <f t="shared" ca="1" si="4"/>
        <v>-5.5865921787709499E-3</v>
      </c>
      <c r="J30" s="125">
        <f t="shared" ca="1" si="5"/>
        <v>-1.3850415512465374E-2</v>
      </c>
      <c r="K30" s="125">
        <f t="shared" ca="1" si="6"/>
        <v>8.4985835694051E-3</v>
      </c>
      <c r="M30" s="125">
        <f t="shared" ca="1" si="7"/>
        <v>-8.3102493074792248E-3</v>
      </c>
      <c r="N30" s="125">
        <f t="shared" ca="1" si="8"/>
        <v>1.4164305949008499E-2</v>
      </c>
      <c r="P30" s="122">
        <f t="shared" ca="1" si="9"/>
        <v>-20</v>
      </c>
      <c r="Q30" s="12" t="str">
        <f t="shared" ca="1" si="11"/>
        <v>割安</v>
      </c>
      <c r="R30" s="331">
        <f ca="1">終値履歴!D30</f>
        <v>3567</v>
      </c>
      <c r="S30" s="334">
        <f t="shared" ca="1" si="10"/>
        <v>-1.9390581717451524E-3</v>
      </c>
      <c r="T30" s="331">
        <f ca="1">終値履歴!E30</f>
        <v>3615.5</v>
      </c>
      <c r="U30" s="334">
        <f t="shared" ca="1" si="2"/>
        <v>-1.5589887640449438E-2</v>
      </c>
      <c r="W30" s="333">
        <f ca="1">終値履歴!F30</f>
        <v>3530</v>
      </c>
      <c r="X30" s="334">
        <f t="shared" ca="1" si="3"/>
        <v>8.4269662921348312E-3</v>
      </c>
    </row>
    <row r="31" spans="1:24" x14ac:dyDescent="0.25">
      <c r="B31" s="52" t="str">
        <f>IPO監視一覧!B31</f>
        <v>アセンテック</v>
      </c>
      <c r="C31" s="354">
        <f>株価一覧!H30</f>
        <v>18200</v>
      </c>
      <c r="D31" s="355">
        <f ca="1">OFFSET(終値履歴!A31,0,COUNTA(終値履歴!G31:'終値履歴'!XFD31)+2,1,-1)</f>
        <v>5670</v>
      </c>
      <c r="E31" s="355">
        <f ca="1">OFFSET(終値履歴!A31,0,COUNTA(終値履歴!G31:'終値履歴'!XFD31)+3,1,-1)</f>
        <v>5740</v>
      </c>
      <c r="F31" s="355">
        <f ca="1">OFFSET(終値履歴!A31,0,COUNTA(終値履歴!G31:'終値履歴'!XFD31)+4,1,-1)</f>
        <v>5680</v>
      </c>
      <c r="G31" s="355">
        <f ca="1">OFFSET(終値履歴!A31,0,COUNTA(終値履歴!G31:'終値履歴'!XFD31)+5,1,-1)</f>
        <v>5670</v>
      </c>
      <c r="I31" s="125">
        <f t="shared" ca="1" si="4"/>
        <v>-1.7605633802816902E-3</v>
      </c>
      <c r="J31" s="125">
        <f t="shared" ca="1" si="5"/>
        <v>-1.2195121951219513E-2</v>
      </c>
      <c r="K31" s="125">
        <f t="shared" ca="1" si="6"/>
        <v>0</v>
      </c>
      <c r="M31" s="125">
        <f t="shared" ca="1" si="7"/>
        <v>-1.0452961672473868E-2</v>
      </c>
      <c r="N31" s="125">
        <f t="shared" ca="1" si="8"/>
        <v>1.7636684303350969E-3</v>
      </c>
      <c r="P31" s="122">
        <f t="shared" ca="1" si="9"/>
        <v>-10</v>
      </c>
      <c r="Q31" s="12" t="str">
        <f t="shared" ca="1" si="11"/>
        <v>割安</v>
      </c>
      <c r="R31" s="331">
        <f ca="1">終値履歴!D31</f>
        <v>5702</v>
      </c>
      <c r="S31" s="334">
        <f t="shared" ca="1" si="10"/>
        <v>-5.5749128919860627E-3</v>
      </c>
      <c r="T31" s="331">
        <f ca="1">終値履歴!E31</f>
        <v>5822</v>
      </c>
      <c r="U31" s="334">
        <f t="shared" ca="1" si="2"/>
        <v>-2.6807760141093474E-2</v>
      </c>
      <c r="W31" s="333">
        <f ca="1">終値履歴!F31</f>
        <v>5670</v>
      </c>
      <c r="X31" s="334">
        <f t="shared" ca="1" si="3"/>
        <v>0</v>
      </c>
    </row>
    <row r="32" spans="1:24" x14ac:dyDescent="0.25">
      <c r="A32" s="12" t="s">
        <v>472</v>
      </c>
      <c r="B32" s="91" t="str">
        <f>'セカンダリ投資分析(SBI証券)'!B6</f>
        <v>アエリア</v>
      </c>
      <c r="C32" s="130">
        <f>株価一覧!H31</f>
        <v>615500</v>
      </c>
      <c r="D32" s="329">
        <f ca="1">OFFSET(終値履歴!A32,0,COUNTA(終値履歴!G32:'終値履歴'!XFD32)+2,1,-1)</f>
        <v>3310</v>
      </c>
      <c r="E32" s="329">
        <f ca="1">OFFSET(終値履歴!A32,0,COUNTA(終値履歴!G32:'終値履歴'!XFD32)+3,1,-1)</f>
        <v>3270</v>
      </c>
      <c r="F32" s="329">
        <f ca="1">OFFSET(終値履歴!A32,0,COUNTA(終値履歴!G32:'終値履歴'!XFD32)+4,1,-1)</f>
        <v>3390</v>
      </c>
      <c r="G32" s="329">
        <f ca="1">OFFSET(終値履歴!A32,0,COUNTA(終値履歴!G32:'終値履歴'!XFD32)+5,1,-1)</f>
        <v>3340</v>
      </c>
      <c r="I32" s="125">
        <f t="shared" ref="I32:I35" ca="1" si="12">(G32-F32)/F32</f>
        <v>-1.4749262536873156E-2</v>
      </c>
      <c r="J32" s="125">
        <f t="shared" ref="J32:J35" ca="1" si="13">(G32-E32)/E32</f>
        <v>2.1406727828746176E-2</v>
      </c>
      <c r="K32" s="125">
        <f t="shared" ref="K32:K35" ca="1" si="14">(G32-D32)/D32</f>
        <v>9.0634441087613302E-3</v>
      </c>
      <c r="M32" s="125">
        <f ca="1">(F32-E32)/E32</f>
        <v>3.669724770642202E-2</v>
      </c>
      <c r="N32" s="125">
        <f t="shared" ref="N32:N35" ca="1" si="15">(F32-D32)/D32</f>
        <v>2.4169184290030211E-2</v>
      </c>
      <c r="P32" s="122">
        <f t="shared" ref="P32:P35" ca="1" si="16">IF(G32-F32 &gt; 0,CONCATENATE("＋",G32-F32),G32-F32)</f>
        <v>-50</v>
      </c>
      <c r="Q32" s="12" t="str">
        <f t="shared" ca="1" si="11"/>
        <v>割高</v>
      </c>
      <c r="R32" s="331">
        <f ca="1">終値履歴!D32</f>
        <v>3307</v>
      </c>
      <c r="S32" s="334">
        <f t="shared" ca="1" si="10"/>
        <v>1.0091743119266056E-2</v>
      </c>
      <c r="T32" s="331">
        <f ca="1">終値履歴!E32</f>
        <v>3334.5</v>
      </c>
      <c r="U32" s="334">
        <f t="shared" ca="1" si="2"/>
        <v>1.6467065868263472E-3</v>
      </c>
      <c r="W32" s="331">
        <f ca="1">終値履歴!F32</f>
        <v>3225</v>
      </c>
      <c r="X32" s="334">
        <f t="shared" ca="1" si="3"/>
        <v>3.4431137724550899E-2</v>
      </c>
    </row>
    <row r="33" spans="1:24" x14ac:dyDescent="0.25">
      <c r="A33" s="12" t="s">
        <v>472</v>
      </c>
      <c r="B33" s="91" t="str">
        <f>'セカンダリ投資分析(SBI証券)'!B10</f>
        <v>アカツキ</v>
      </c>
      <c r="C33" s="130">
        <f>株価一覧!H32</f>
        <v>192600</v>
      </c>
      <c r="D33" s="329">
        <f ca="1">OFFSET(終値履歴!A33,0,COUNTA(終値履歴!G33:'終値履歴'!XFD33)+2,1,-1)</f>
        <v>8710</v>
      </c>
      <c r="E33" s="329">
        <f ca="1">OFFSET(終値履歴!A33,0,COUNTA(終値履歴!G33:'終値履歴'!XFD33)+3,1,-1)</f>
        <v>8670</v>
      </c>
      <c r="F33" s="329">
        <f ca="1">OFFSET(終値履歴!A33,0,COUNTA(終値履歴!G33:'終値履歴'!XFD33)+4,1,-1)</f>
        <v>8840</v>
      </c>
      <c r="G33" s="329">
        <f ca="1">OFFSET(終値履歴!A33,0,COUNTA(終値履歴!G33:'終値履歴'!XFD33)+5,1,-1)</f>
        <v>8730</v>
      </c>
      <c r="I33" s="125">
        <f t="shared" ca="1" si="12"/>
        <v>-1.2443438914027148E-2</v>
      </c>
      <c r="J33" s="125">
        <f t="shared" ca="1" si="13"/>
        <v>6.920415224913495E-3</v>
      </c>
      <c r="K33" s="125">
        <f t="shared" ca="1" si="14"/>
        <v>2.2962112514351321E-3</v>
      </c>
      <c r="M33" s="125">
        <f t="shared" ref="M33:M35" ca="1" si="17">(F33-E33)/E33</f>
        <v>1.9607843137254902E-2</v>
      </c>
      <c r="N33" s="125">
        <f t="shared" ca="1" si="15"/>
        <v>1.4925373134328358E-2</v>
      </c>
      <c r="P33" s="122">
        <f t="shared" ca="1" si="16"/>
        <v>-110</v>
      </c>
      <c r="Q33" s="12" t="str">
        <f t="shared" ca="1" si="11"/>
        <v>普通</v>
      </c>
      <c r="R33" s="331">
        <f ca="1">終値履歴!D33</f>
        <v>8752</v>
      </c>
      <c r="S33" s="334">
        <f t="shared" ca="1" si="10"/>
        <v>-2.5374855824682814E-3</v>
      </c>
      <c r="T33" s="331">
        <f ca="1">終値履歴!E33</f>
        <v>8604</v>
      </c>
      <c r="U33" s="334">
        <f t="shared" ca="1" si="2"/>
        <v>1.443298969072165E-2</v>
      </c>
      <c r="W33" s="331">
        <f ca="1">終値履歴!F33</f>
        <v>8350</v>
      </c>
      <c r="X33" s="334">
        <f t="shared" ca="1" si="3"/>
        <v>4.3528064146620846E-2</v>
      </c>
    </row>
    <row r="34" spans="1:24" x14ac:dyDescent="0.25">
      <c r="A34" s="12" t="s">
        <v>472</v>
      </c>
      <c r="B34" s="91" t="str">
        <f>'セカンダリ投資分析(SBI証券)'!B14</f>
        <v>メイコー</v>
      </c>
      <c r="C34" s="130">
        <f>株価一覧!H33</f>
        <v>645200</v>
      </c>
      <c r="D34" s="329">
        <f ca="1">OFFSET(終値履歴!A34,0,COUNTA(終値履歴!G34:'終値履歴'!XFD34)+2,1,-1)</f>
        <v>1496</v>
      </c>
      <c r="E34" s="329">
        <f ca="1">OFFSET(終値履歴!A34,0,COUNTA(終値履歴!G34:'終値履歴'!XFD34)+3,1,-1)</f>
        <v>1467</v>
      </c>
      <c r="F34" s="329">
        <f ca="1">OFFSET(終値履歴!A34,0,COUNTA(終値履歴!G34:'終値履歴'!XFD34)+4,1,-1)</f>
        <v>1535</v>
      </c>
      <c r="G34" s="329">
        <f ca="1">OFFSET(終値履歴!A34,0,COUNTA(終値履歴!G34:'終値履歴'!XFD34)+5,1,-1)</f>
        <v>1501</v>
      </c>
      <c r="I34" s="125">
        <f t="shared" ca="1" si="12"/>
        <v>-2.2149837133550489E-2</v>
      </c>
      <c r="J34" s="125">
        <f t="shared" ca="1" si="13"/>
        <v>2.3176550783912748E-2</v>
      </c>
      <c r="K34" s="125">
        <f t="shared" ca="1" si="14"/>
        <v>3.3422459893048127E-3</v>
      </c>
      <c r="M34" s="125">
        <f t="shared" ca="1" si="17"/>
        <v>4.6353101567825496E-2</v>
      </c>
      <c r="N34" s="125">
        <f t="shared" ca="1" si="15"/>
        <v>2.606951871657754E-2</v>
      </c>
      <c r="P34" s="122">
        <f t="shared" ca="1" si="16"/>
        <v>-34</v>
      </c>
      <c r="Q34" s="12" t="str">
        <f t="shared" ca="1" si="11"/>
        <v>割高</v>
      </c>
      <c r="R34" s="331">
        <f ca="1">終値履歴!D34</f>
        <v>1494</v>
      </c>
      <c r="S34" s="334">
        <f t="shared" ca="1" si="10"/>
        <v>4.7716428084526247E-3</v>
      </c>
      <c r="T34" s="331">
        <f ca="1">終値履歴!E34</f>
        <v>1474.4</v>
      </c>
      <c r="U34" s="334">
        <f t="shared" ca="1" si="2"/>
        <v>1.772151898734171E-2</v>
      </c>
      <c r="W34" s="331">
        <f ca="1">終値履歴!F34</f>
        <v>1397</v>
      </c>
      <c r="X34" s="334">
        <f t="shared" ca="1" si="3"/>
        <v>6.9287141905396407E-2</v>
      </c>
    </row>
    <row r="35" spans="1:24" x14ac:dyDescent="0.25">
      <c r="A35" s="12" t="s">
        <v>472</v>
      </c>
      <c r="B35" s="52" t="str">
        <f>'セカンダリ投資分析(SBI証券)'!B9</f>
        <v>クルーズ</v>
      </c>
      <c r="C35" s="374">
        <f>株価一覧!H34</f>
        <v>180700</v>
      </c>
      <c r="D35" s="374">
        <f ca="1">OFFSET(終値履歴!A35,0,COUNTA(終値履歴!G35:'終値履歴'!XFD35)+2,1,-1)</f>
        <v>2956</v>
      </c>
      <c r="E35" s="374">
        <f ca="1">OFFSET(終値履歴!A35,0,COUNTA(終値履歴!G35:'終値履歴'!XFD35)+3,1,-1)</f>
        <v>2910</v>
      </c>
      <c r="F35" s="374">
        <f ca="1">OFFSET(終値履歴!A35,0,COUNTA(終値履歴!G35:'終値履歴'!XFD35)+4,1,-1)</f>
        <v>3040</v>
      </c>
      <c r="G35" s="374">
        <f ca="1">OFFSET(終値履歴!A35,0,COUNTA(終値履歴!G35:'終値履歴'!XFD35)+5,1,-1)</f>
        <v>2998</v>
      </c>
      <c r="I35" s="125">
        <f t="shared" ca="1" si="12"/>
        <v>-1.381578947368421E-2</v>
      </c>
      <c r="J35" s="125">
        <f t="shared" ca="1" si="13"/>
        <v>3.0240549828178694E-2</v>
      </c>
      <c r="K35" s="125">
        <f t="shared" ca="1" si="14"/>
        <v>1.4208389715832206E-2</v>
      </c>
      <c r="M35" s="125">
        <f t="shared" ca="1" si="17"/>
        <v>4.4673539518900345E-2</v>
      </c>
      <c r="N35" s="125">
        <f t="shared" ca="1" si="15"/>
        <v>2.8416779431664412E-2</v>
      </c>
      <c r="P35" s="122">
        <f t="shared" ca="1" si="16"/>
        <v>-42</v>
      </c>
      <c r="Q35" s="12" t="str">
        <f t="shared" ca="1" si="11"/>
        <v>割高</v>
      </c>
      <c r="R35" s="331">
        <f ca="1">終値履歴!D35</f>
        <v>2965.8</v>
      </c>
      <c r="S35" s="334">
        <f t="shared" ca="1" si="10"/>
        <v>1.1065292096219868E-2</v>
      </c>
      <c r="T35" s="331">
        <f ca="1">終値履歴!E35</f>
        <v>2860.1</v>
      </c>
      <c r="U35" s="334">
        <f t="shared" ca="1" si="2"/>
        <v>4.5997331554369608E-2</v>
      </c>
      <c r="W35" s="331">
        <f ca="1">終値履歴!F35</f>
        <v>2725</v>
      </c>
      <c r="X35" s="334">
        <f t="shared" ca="1" si="3"/>
        <v>9.1060707138092056E-2</v>
      </c>
    </row>
    <row r="36" spans="1:24" x14ac:dyDescent="0.25">
      <c r="A36" s="12" t="s">
        <v>472</v>
      </c>
      <c r="B36" s="91" t="str">
        <f>'セカンダリ投資分析(SBI証券)'!B22</f>
        <v>サイバーステップ</v>
      </c>
      <c r="C36" s="130">
        <f>株価一覧!H35</f>
        <v>368000</v>
      </c>
      <c r="D36" s="329">
        <f ca="1">OFFSET(終値履歴!A36,0,COUNTA(終値履歴!G36:'終値履歴'!XFD36)+2,1,-1)</f>
        <v>6910</v>
      </c>
      <c r="E36" s="329">
        <f ca="1">OFFSET(終値履歴!A36,0,COUNTA(終値履歴!G36:'終値履歴'!XFD36)+3,1,-1)</f>
        <v>6910</v>
      </c>
      <c r="F36" s="329">
        <f ca="1">OFFSET(終値履歴!A36,0,COUNTA(終値履歴!G36:'終値履歴'!XFD36)+4,1,-1)</f>
        <v>6390</v>
      </c>
      <c r="G36" s="329">
        <f ca="1">OFFSET(終値履歴!A36,0,COUNTA(終値履歴!G36:'終値履歴'!XFD36)+5,1,-1)</f>
        <v>6390</v>
      </c>
      <c r="I36" s="125">
        <f t="shared" ref="I36" ca="1" si="18">(G36-F36)/F36</f>
        <v>0</v>
      </c>
      <c r="J36" s="125">
        <f t="shared" ref="J36" ca="1" si="19">(G36-E36)/E36</f>
        <v>-7.5253256150506515E-2</v>
      </c>
      <c r="K36" s="125">
        <f t="shared" ref="K36" ca="1" si="20">(G36-D36)/D36</f>
        <v>-7.5253256150506515E-2</v>
      </c>
      <c r="M36" s="125">
        <f t="shared" ref="M36" ca="1" si="21">(F36-E36)/E36</f>
        <v>-7.5253256150506515E-2</v>
      </c>
      <c r="N36" s="125">
        <f t="shared" ref="N36" ca="1" si="22">(F36-D36)/D36</f>
        <v>-7.5253256150506515E-2</v>
      </c>
      <c r="P36" s="122">
        <f t="shared" ref="P36" ca="1" si="23">IF(G36-F36 &gt; 0,CONCATENATE("＋",G36-F36),G36-F36)</f>
        <v>0</v>
      </c>
      <c r="Q36" s="12" t="str">
        <f t="shared" ca="1" si="11"/>
        <v>割安</v>
      </c>
      <c r="R36" s="331">
        <f ca="1">終値履歴!D36</f>
        <v>6730</v>
      </c>
      <c r="S36" s="334">
        <f t="shared" ca="1" si="10"/>
        <v>-4.9204052098408106E-2</v>
      </c>
      <c r="T36" s="331">
        <f ca="1">終値履歴!E36</f>
        <v>6848</v>
      </c>
      <c r="U36" s="334">
        <f t="shared" ca="1" si="2"/>
        <v>-7.1674491392801257E-2</v>
      </c>
      <c r="W36" s="331">
        <f ca="1">終値履歴!F36</f>
        <v>6370</v>
      </c>
      <c r="X36" s="334">
        <f t="shared" ca="1" si="3"/>
        <v>3.1298904538341159E-3</v>
      </c>
    </row>
    <row r="37" spans="1:24" x14ac:dyDescent="0.25">
      <c r="A37" s="12" t="s">
        <v>472</v>
      </c>
      <c r="B37" s="91" t="str">
        <f>'セカンダリ投資分析(SBI証券)'!B28</f>
        <v>アズジェント</v>
      </c>
      <c r="C37" s="130">
        <f>株価一覧!H36</f>
        <v>150300</v>
      </c>
      <c r="D37" s="329">
        <f ca="1">OFFSET(終値履歴!A37,0,COUNTA(終値履歴!G37:'終値履歴'!XFD37)+2,1,-1)</f>
        <v>4000</v>
      </c>
      <c r="E37" s="329">
        <f ca="1">OFFSET(終値履歴!A37,0,COUNTA(終値履歴!G37:'終値履歴'!XFD37)+3,1,-1)</f>
        <v>4060</v>
      </c>
      <c r="F37" s="329">
        <f ca="1">OFFSET(終値履歴!A37,0,COUNTA(終値履歴!G37:'終値履歴'!XFD37)+4,1,-1)</f>
        <v>4030</v>
      </c>
      <c r="G37" s="329">
        <f ca="1">OFFSET(終値履歴!A37,0,COUNTA(終値履歴!G37:'終値履歴'!XFD37)+5,1,-1)</f>
        <v>4035</v>
      </c>
      <c r="I37" s="125">
        <f t="shared" ref="I37" ca="1" si="24">(G37-F37)/F37</f>
        <v>1.2406947890818859E-3</v>
      </c>
      <c r="J37" s="125">
        <f t="shared" ref="J37" ca="1" si="25">(G37-E37)/E37</f>
        <v>-6.1576354679802959E-3</v>
      </c>
      <c r="K37" s="125">
        <f t="shared" ref="K37" ca="1" si="26">(G37-D37)/D37</f>
        <v>8.7500000000000008E-3</v>
      </c>
      <c r="M37" s="125">
        <f t="shared" ref="M37" ca="1" si="27">(F37-E37)/E37</f>
        <v>-7.3891625615763543E-3</v>
      </c>
      <c r="N37" s="125">
        <f t="shared" ref="N37" ca="1" si="28">(F37-D37)/D37</f>
        <v>7.4999999999999997E-3</v>
      </c>
      <c r="P37" s="122" t="str">
        <f t="shared" ref="P37" ca="1" si="29">IF(G37-F37 &gt; 0,CONCATENATE("＋",G37-F37),G37-F37)</f>
        <v>＋5</v>
      </c>
      <c r="Q37" s="12" t="str">
        <f t="shared" ref="Q37" ca="1" si="30">IF(AND(G37&lt;=T37,G37&lt;=R37),"割安",IF(AND(G37&gt;T37,G37&lt;=R37),"普通",IF(AND(G37&lt;=T37,G37&gt;R37),"普通","割高")))</f>
        <v>普通</v>
      </c>
      <c r="R37" s="331">
        <f ca="1">終値履歴!D37</f>
        <v>4071</v>
      </c>
      <c r="S37" s="334">
        <f t="shared" ref="S37" ca="1" si="31">(G37-R37)/E37</f>
        <v>-8.8669950738916262E-3</v>
      </c>
      <c r="T37" s="331">
        <f ca="1">終値履歴!E37</f>
        <v>4023</v>
      </c>
      <c r="U37" s="334">
        <f t="shared" ref="U37" ca="1" si="32">(G37-T37)/G37</f>
        <v>2.9739776951672862E-3</v>
      </c>
      <c r="W37" s="331">
        <f ca="1">終値履歴!F37</f>
        <v>3900</v>
      </c>
      <c r="X37" s="334">
        <f t="shared" ref="X37" ca="1" si="33">(G37-W37)/G37</f>
        <v>3.3457249070631967E-2</v>
      </c>
    </row>
    <row r="38" spans="1:24" x14ac:dyDescent="0.25">
      <c r="A38" s="12" t="s">
        <v>472</v>
      </c>
      <c r="B38" s="91" t="str">
        <f>'セカンダリ投資分析(SBI証券)'!B30</f>
        <v>リミックスポイント</v>
      </c>
      <c r="C38" s="130">
        <f>株価一覧!H37</f>
        <v>4145600</v>
      </c>
      <c r="D38" s="329">
        <f ca="1">OFFSET(終値履歴!A38,0,COUNTA(終値履歴!G38:'終値履歴'!XFD38)+2,1,-1)</f>
        <v>1440</v>
      </c>
      <c r="E38" s="329">
        <f ca="1">OFFSET(終値履歴!A38,0,COUNTA(終値履歴!G38:'終値履歴'!XFD38)+3,1,-1)</f>
        <v>1303</v>
      </c>
      <c r="F38" s="329">
        <f ca="1">OFFSET(終値履歴!A38,0,COUNTA(終値履歴!G38:'終値履歴'!XFD38)+4,1,-1)</f>
        <v>1175</v>
      </c>
      <c r="G38" s="329">
        <f ca="1">OFFSET(終値履歴!A38,0,COUNTA(終値履歴!G38:'終値履歴'!XFD38)+5,1,-1)</f>
        <v>1200</v>
      </c>
      <c r="I38" s="125">
        <f t="shared" ref="I38" ca="1" si="34">(G38-F38)/F38</f>
        <v>2.1276595744680851E-2</v>
      </c>
      <c r="J38" s="125">
        <f t="shared" ref="J38" ca="1" si="35">(G38-E38)/E38</f>
        <v>-7.9048349961627018E-2</v>
      </c>
      <c r="K38" s="125">
        <f t="shared" ref="K38" ca="1" si="36">(G38-D38)/D38</f>
        <v>-0.16666666666666666</v>
      </c>
      <c r="M38" s="125">
        <f t="shared" ref="M38" ca="1" si="37">(F38-E38)/E38</f>
        <v>-9.8234842670759784E-2</v>
      </c>
      <c r="N38" s="125">
        <f t="shared" ref="N38" ca="1" si="38">(F38-D38)/D38</f>
        <v>-0.18402777777777779</v>
      </c>
      <c r="P38" s="122" t="str">
        <f t="shared" ref="P38" ca="1" si="39">IF(G38-F38 &gt; 0,CONCATENATE("＋",G38-F38),G38-F38)</f>
        <v>＋25</v>
      </c>
      <c r="Q38" s="12" t="str">
        <f t="shared" ref="Q38" ca="1" si="40">IF(AND(G38&lt;=T38,G38&lt;=R38),"割安",IF(AND(G38&gt;T38,G38&lt;=R38),"普通",IF(AND(G38&lt;=T38,G38&gt;R38),"普通","割高")))</f>
        <v>割安</v>
      </c>
      <c r="R38" s="331">
        <f ca="1">終値履歴!D38</f>
        <v>1251.5999999999999</v>
      </c>
      <c r="S38" s="334">
        <f t="shared" ref="S38" ca="1" si="41">(G38-R38)/E38</f>
        <v>-3.9600920951649972E-2</v>
      </c>
      <c r="T38" s="331">
        <f ca="1">終値履歴!E38</f>
        <v>1249</v>
      </c>
      <c r="U38" s="334">
        <f t="shared" ref="U38" ca="1" si="42">(G38-T38)/G38</f>
        <v>-4.0833333333333333E-2</v>
      </c>
      <c r="W38" s="331">
        <f ca="1">終値履歴!F38</f>
        <v>1123</v>
      </c>
      <c r="X38" s="334">
        <f t="shared" ref="X38" ca="1" si="43">(G38-W38)/G38</f>
        <v>6.4166666666666664E-2</v>
      </c>
    </row>
    <row r="39" spans="1:24" x14ac:dyDescent="0.25">
      <c r="A39" s="12" t="s">
        <v>472</v>
      </c>
      <c r="B39" s="91" t="str">
        <f>'セカンダリ投資分析(SBI証券)'!B40</f>
        <v>エムアップ</v>
      </c>
      <c r="C39" s="130">
        <f>株価一覧!H38</f>
        <v>354800</v>
      </c>
      <c r="D39" s="329">
        <f ca="1">OFFSET(終値履歴!A39,0,COUNTA(終値履歴!G39:'終値履歴'!XFD39)+2,1,-1)</f>
        <v>1833</v>
      </c>
      <c r="E39" s="329">
        <f ca="1">OFFSET(終値履歴!A39,0,COUNTA(終値履歴!G39:'終値履歴'!XFD39)+3,1,-1)</f>
        <v>1860</v>
      </c>
      <c r="F39" s="329">
        <f ca="1">OFFSET(終値履歴!A39,0,COUNTA(終値履歴!G39:'終値履歴'!XFD39)+4,1,-1)</f>
        <v>1833</v>
      </c>
      <c r="G39" s="329">
        <f ca="1">OFFSET(終値履歴!A39,0,COUNTA(終値履歴!G39:'終値履歴'!XFD39)+5,1,-1)</f>
        <v>1803</v>
      </c>
      <c r="I39" s="125">
        <f t="shared" ref="I39" ca="1" si="44">(G39-F39)/F39</f>
        <v>-1.6366612111292964E-2</v>
      </c>
      <c r="J39" s="125">
        <f t="shared" ref="J39" ca="1" si="45">(G39-E39)/E39</f>
        <v>-3.0645161290322579E-2</v>
      </c>
      <c r="K39" s="125">
        <f t="shared" ref="K39" ca="1" si="46">(G39-D39)/D39</f>
        <v>-1.6366612111292964E-2</v>
      </c>
      <c r="M39" s="125">
        <f t="shared" ref="M39" ca="1" si="47">(F39-E39)/E39</f>
        <v>-1.4516129032258065E-2</v>
      </c>
      <c r="N39" s="125">
        <f t="shared" ref="N39" ca="1" si="48">(F39-D39)/D39</f>
        <v>0</v>
      </c>
      <c r="P39" s="122">
        <f t="shared" ref="P39" ca="1" si="49">IF(G39-F39 &gt; 0,CONCATENATE("＋",G39-F39),G39-F39)</f>
        <v>-30</v>
      </c>
      <c r="Q39" s="12" t="str">
        <f t="shared" ref="Q39" ca="1" si="50">IF(AND(G39&lt;=T39,G39&lt;=R39),"割安",IF(AND(G39&gt;T39,G39&lt;=R39),"普通",IF(AND(G39&lt;=T39,G39&gt;R39),"普通","割高")))</f>
        <v>割安</v>
      </c>
      <c r="R39" s="331">
        <f ca="1">終値履歴!D39</f>
        <v>1838.8</v>
      </c>
      <c r="S39" s="334">
        <f t="shared" ref="S39" ca="1" si="51">(G39-R39)/E39</f>
        <v>-1.9247311827956966E-2</v>
      </c>
      <c r="T39" s="331">
        <f ca="1">終値履歴!E39</f>
        <v>1837.9</v>
      </c>
      <c r="U39" s="334">
        <f t="shared" ref="U39" ca="1" si="52">(G39-T39)/G39</f>
        <v>-1.9356627842484798E-2</v>
      </c>
      <c r="W39" s="331">
        <f ca="1">終値履歴!F39</f>
        <v>1803</v>
      </c>
      <c r="X39" s="334">
        <f t="shared" ref="X39" ca="1" si="53">(G39-W39)/G39</f>
        <v>0</v>
      </c>
    </row>
    <row r="40" spans="1:24" x14ac:dyDescent="0.25">
      <c r="B40" s="52" t="str">
        <f>IPO監視一覧!B32</f>
        <v>ビーブレイクシステムズ</v>
      </c>
      <c r="C40" s="374">
        <f>株価一覧!H39</f>
        <v>14900</v>
      </c>
      <c r="D40" s="375">
        <f ca="1">OFFSET(終値履歴!A40,0,COUNTA(終値履歴!G40:'終値履歴'!XFD40)+2,1,-1)</f>
        <v>6160</v>
      </c>
      <c r="E40" s="375">
        <f ca="1">OFFSET(終値履歴!A40,0,COUNTA(終値履歴!G40:'終値履歴'!XFD40)+3,1,-1)</f>
        <v>5990</v>
      </c>
      <c r="F40" s="375">
        <f ca="1">OFFSET(終値履歴!A40,0,COUNTA(終値履歴!G40:'終値履歴'!XFD40)+4,1,-1)</f>
        <v>6070</v>
      </c>
      <c r="G40" s="375">
        <f ca="1">OFFSET(終値履歴!A40,0,COUNTA(終値履歴!G40:'終値履歴'!XFD40)+5,1,-1)</f>
        <v>5950</v>
      </c>
      <c r="I40" s="125">
        <f t="shared" ca="1" si="4"/>
        <v>-1.9769357495881382E-2</v>
      </c>
      <c r="J40" s="125">
        <f t="shared" ca="1" si="5"/>
        <v>-6.6777963272120202E-3</v>
      </c>
      <c r="K40" s="125">
        <f t="shared" ca="1" si="6"/>
        <v>-3.4090909090909088E-2</v>
      </c>
      <c r="M40" s="125">
        <f t="shared" ca="1" si="7"/>
        <v>1.335559265442404E-2</v>
      </c>
      <c r="N40" s="125">
        <f t="shared" ca="1" si="8"/>
        <v>-1.461038961038961E-2</v>
      </c>
      <c r="P40" s="122">
        <f t="shared" ca="1" si="9"/>
        <v>-120</v>
      </c>
      <c r="Q40" s="12" t="str">
        <f t="shared" ca="1" si="11"/>
        <v>割安</v>
      </c>
      <c r="R40" s="331">
        <f ca="1">終値履歴!D40</f>
        <v>6022</v>
      </c>
      <c r="S40" s="334">
        <f t="shared" ca="1" si="10"/>
        <v>-1.2020033388981636E-2</v>
      </c>
      <c r="T40" s="331">
        <f ca="1">終値履歴!E40</f>
        <v>6071</v>
      </c>
      <c r="U40" s="334">
        <f t="shared" ca="1" si="2"/>
        <v>-2.0336134453781511E-2</v>
      </c>
      <c r="W40" s="331">
        <f ca="1">終値履歴!F40</f>
        <v>5840</v>
      </c>
      <c r="X40" s="334">
        <f t="shared" ca="1" si="3"/>
        <v>1.8487394957983194E-2</v>
      </c>
    </row>
    <row r="41" spans="1:24" x14ac:dyDescent="0.25">
      <c r="B41" s="52" t="str">
        <f>IPO監視一覧!B33</f>
        <v>ディーエムソリューションズ</v>
      </c>
      <c r="C41" s="374">
        <f>株価一覧!H40</f>
        <v>9600</v>
      </c>
      <c r="D41" s="375">
        <f ca="1">OFFSET(終値履歴!A41,0,COUNTA(終値履歴!G41:'終値履歴'!XFD41)+2,1,-1)</f>
        <v>6020</v>
      </c>
      <c r="E41" s="375">
        <f ca="1">OFFSET(終値履歴!A41,0,COUNTA(終値履歴!G41:'終値履歴'!XFD41)+3,1,-1)</f>
        <v>5960</v>
      </c>
      <c r="F41" s="375">
        <f ca="1">OFFSET(終値履歴!A41,0,COUNTA(終値履歴!G41:'終値履歴'!XFD41)+4,1,-1)</f>
        <v>5930</v>
      </c>
      <c r="G41" s="375">
        <f ca="1">OFFSET(終値履歴!A41,0,COUNTA(終値履歴!G41:'終値履歴'!XFD41)+5,1,-1)</f>
        <v>5920</v>
      </c>
      <c r="I41" s="125">
        <f t="shared" ca="1" si="4"/>
        <v>-1.6863406408094434E-3</v>
      </c>
      <c r="J41" s="125">
        <f t="shared" ca="1" si="5"/>
        <v>-6.7114093959731542E-3</v>
      </c>
      <c r="K41" s="125">
        <f t="shared" ca="1" si="6"/>
        <v>-1.6611295681063124E-2</v>
      </c>
      <c r="M41" s="125">
        <f t="shared" ca="1" si="7"/>
        <v>-5.0335570469798654E-3</v>
      </c>
      <c r="N41" s="125">
        <f t="shared" ca="1" si="8"/>
        <v>-1.4950166112956811E-2</v>
      </c>
      <c r="P41" s="122">
        <f t="shared" ca="1" si="9"/>
        <v>-10</v>
      </c>
      <c r="Q41" s="12" t="str">
        <f t="shared" ca="1" si="11"/>
        <v>普通</v>
      </c>
      <c r="R41" s="331">
        <f ca="1">終値履歴!D41</f>
        <v>5918</v>
      </c>
      <c r="S41" s="334">
        <f t="shared" ca="1" si="10"/>
        <v>3.355704697986577E-4</v>
      </c>
      <c r="T41" s="331">
        <f ca="1">終値履歴!E41</f>
        <v>6023</v>
      </c>
      <c r="U41" s="334">
        <f t="shared" ca="1" si="2"/>
        <v>-1.7398648648648648E-2</v>
      </c>
      <c r="W41" s="331">
        <f ca="1">終値履歴!F41</f>
        <v>5760</v>
      </c>
      <c r="X41" s="334">
        <f t="shared" ca="1" si="3"/>
        <v>2.7027027027027029E-2</v>
      </c>
    </row>
    <row r="42" spans="1:24" x14ac:dyDescent="0.25">
      <c r="B42" s="52" t="str">
        <f>IPO監視一覧!B34</f>
        <v>エコモット</v>
      </c>
      <c r="C42" s="374">
        <f>株価一覧!H41</f>
        <v>2600</v>
      </c>
      <c r="D42" s="375">
        <f ca="1">OFFSET(終値履歴!A42,0,COUNTA(終値履歴!G42:'終値履歴'!XFD42)+2,1,-1)</f>
        <v>3765</v>
      </c>
      <c r="E42" s="375">
        <f ca="1">OFFSET(終値履歴!A42,0,COUNTA(終値履歴!G42:'終値履歴'!XFD42)+3,1,-1)</f>
        <v>3720</v>
      </c>
      <c r="F42" s="375">
        <f ca="1">OFFSET(終値履歴!A42,0,COUNTA(終値履歴!G42:'終値履歴'!XFD42)+4,1,-1)</f>
        <v>3735</v>
      </c>
      <c r="G42" s="375">
        <f ca="1">OFFSET(終値履歴!A42,0,COUNTA(終値履歴!G42:'終値履歴'!XFD42)+5,1,-1)</f>
        <v>3750</v>
      </c>
      <c r="I42" s="125">
        <f ca="1">(G42-F42)/F42</f>
        <v>4.0160642570281121E-3</v>
      </c>
      <c r="J42" s="125">
        <f t="shared" ca="1" si="5"/>
        <v>8.0645161290322578E-3</v>
      </c>
      <c r="K42" s="125">
        <f t="shared" ca="1" si="6"/>
        <v>-3.9840637450199202E-3</v>
      </c>
      <c r="M42" s="125">
        <f t="shared" ca="1" si="7"/>
        <v>4.0322580645161289E-3</v>
      </c>
      <c r="N42" s="125">
        <f t="shared" ca="1" si="8"/>
        <v>-7.9681274900398405E-3</v>
      </c>
      <c r="P42" s="122" t="str">
        <f t="shared" ca="1" si="9"/>
        <v>＋15</v>
      </c>
      <c r="Q42" s="12" t="str">
        <f t="shared" ca="1" si="11"/>
        <v>割安</v>
      </c>
      <c r="R42" s="331">
        <f ca="1">終値履歴!D42</f>
        <v>3756</v>
      </c>
      <c r="S42" s="334">
        <f t="shared" ca="1" si="10"/>
        <v>-1.6129032258064516E-3</v>
      </c>
      <c r="T42" s="331">
        <f ca="1">終値履歴!E42</f>
        <v>3784</v>
      </c>
      <c r="U42" s="334">
        <f t="shared" ca="1" si="2"/>
        <v>-9.0666666666666673E-3</v>
      </c>
      <c r="W42" s="331">
        <f ca="1">終値履歴!F42</f>
        <v>3720</v>
      </c>
      <c r="X42" s="334">
        <f t="shared" ca="1" si="3"/>
        <v>8.0000000000000002E-3</v>
      </c>
    </row>
    <row r="43" spans="1:24" x14ac:dyDescent="0.25">
      <c r="B43" s="52" t="str">
        <f>IPO監視一覧!B35</f>
        <v>Fringe81</v>
      </c>
      <c r="C43" s="374">
        <f>株価一覧!H42</f>
        <v>54600</v>
      </c>
      <c r="D43" s="375">
        <f ca="1">OFFSET(終値履歴!A43,0,COUNTA(終値履歴!G43:'終値履歴'!XFD43)+2,1,-1)</f>
        <v>6160</v>
      </c>
      <c r="E43" s="375">
        <f ca="1">OFFSET(終値履歴!A43,0,COUNTA(終値履歴!G43:'終値履歴'!XFD43)+3,1,-1)</f>
        <v>5660</v>
      </c>
      <c r="F43" s="375">
        <f ca="1">OFFSET(終値履歴!A43,0,COUNTA(終値履歴!G43:'終値履歴'!XFD43)+4,1,-1)</f>
        <v>5290</v>
      </c>
      <c r="G43" s="375">
        <f ca="1">OFFSET(終値履歴!A43,0,COUNTA(終値履歴!G43:'終値履歴'!XFD43)+5,1,-1)</f>
        <v>5470</v>
      </c>
      <c r="I43" s="125">
        <f ca="1">(G43-F43)/F43</f>
        <v>3.4026465028355386E-2</v>
      </c>
      <c r="J43" s="125">
        <f t="shared" ref="J43" ca="1" si="54">(G43-E43)/E43</f>
        <v>-3.3568904593639579E-2</v>
      </c>
      <c r="K43" s="125">
        <f t="shared" ref="K43" ca="1" si="55">(G43-D43)/D43</f>
        <v>-0.11201298701298701</v>
      </c>
      <c r="M43" s="125">
        <f t="shared" ref="M43" ca="1" si="56">(F43-E43)/E43</f>
        <v>-6.5371024734982339E-2</v>
      </c>
      <c r="N43" s="125">
        <f t="shared" ref="N43" ca="1" si="57">(F43-D43)/D43</f>
        <v>-0.14123376623376624</v>
      </c>
      <c r="P43" s="122" t="str">
        <f t="shared" ref="P43" ca="1" si="58">IF(G43-F43 &gt; 0,CONCATENATE("＋",G43-F43),G43-F43)</f>
        <v>＋180</v>
      </c>
      <c r="Q43" s="12" t="str">
        <f t="shared" ref="Q43:Q48" ca="1" si="59">IF(AND(G43&lt;=T43,G43&lt;=R43),"割安",IF(AND(G43&gt;T43,G43&lt;=R43),"普通",IF(AND(G43&lt;=T43,G43&gt;R43),"普通","割高")))</f>
        <v>割安</v>
      </c>
      <c r="R43" s="331">
        <f ca="1">終値履歴!D43</f>
        <v>5696</v>
      </c>
      <c r="S43" s="334">
        <f t="shared" ca="1" si="10"/>
        <v>-3.9929328621908129E-2</v>
      </c>
      <c r="T43" s="331">
        <f ca="1">終値履歴!E43</f>
        <v>5618</v>
      </c>
      <c r="U43" s="334">
        <f t="shared" ref="U43" ca="1" si="60">(G43-T43)/G43</f>
        <v>-2.7056672760511883E-2</v>
      </c>
      <c r="W43" s="331">
        <f ca="1">終値履歴!F43</f>
        <v>5290</v>
      </c>
      <c r="X43" s="334">
        <f t="shared" ref="X43" ca="1" si="61">(G43-W43)/G43</f>
        <v>3.2906764168190127E-2</v>
      </c>
    </row>
    <row r="44" spans="1:24" x14ac:dyDescent="0.25">
      <c r="A44" s="12" t="s">
        <v>472</v>
      </c>
      <c r="B44" s="91" t="str">
        <f>'セカンダリ投資分析(SBI証券)'!B42</f>
        <v>インフォテリア</v>
      </c>
      <c r="C44" s="130">
        <f>株価一覧!H43</f>
        <v>3163300</v>
      </c>
      <c r="D44" s="15">
        <f ca="1">OFFSET(終値履歴!A44,0,COUNTA(終値履歴!G44:'終値履歴'!XFD44)+2,1,-1)</f>
        <v>1417</v>
      </c>
      <c r="E44" s="15">
        <f ca="1">OFFSET(終値履歴!A44,0,COUNTA(終値履歴!G44:'終値履歴'!XFD44)+3,1,-1)</f>
        <v>1400</v>
      </c>
      <c r="F44" s="15">
        <f ca="1">OFFSET(終値履歴!A44,0,COUNTA(終値履歴!G44:'終値履歴'!XFD44)+4,1,-1)</f>
        <v>1376</v>
      </c>
      <c r="G44" s="15">
        <f ca="1">OFFSET(終値履歴!A44,0,COUNTA(終値履歴!G44:'終値履歴'!XFD44)+5,1,-1)</f>
        <v>1340</v>
      </c>
      <c r="I44" s="125">
        <f t="shared" ref="I44:I48" ca="1" si="62">(G44-F44)/F44</f>
        <v>-2.616279069767442E-2</v>
      </c>
      <c r="J44" s="125">
        <f t="shared" ref="J44:J48" ca="1" si="63">(G44-E44)/E44</f>
        <v>-4.2857142857142858E-2</v>
      </c>
      <c r="K44" s="125">
        <f t="shared" ref="K44:K48" ca="1" si="64">(G44-D44)/D44</f>
        <v>-5.4340155257586453E-2</v>
      </c>
      <c r="M44" s="125"/>
      <c r="N44" s="125"/>
      <c r="P44" s="122"/>
      <c r="Q44" s="12" t="str">
        <f t="shared" ca="1" si="59"/>
        <v>割安</v>
      </c>
      <c r="R44" s="331">
        <f ca="1">終値履歴!D44</f>
        <v>1394.6</v>
      </c>
      <c r="S44" s="334">
        <f t="shared" ref="S44:S48" ca="1" si="65">(G44-R44)/E44</f>
        <v>-3.8999999999999937E-2</v>
      </c>
      <c r="T44" s="331">
        <f ca="1">終値履歴!E44</f>
        <v>1392.6</v>
      </c>
      <c r="U44" s="334">
        <f t="shared" ref="U44:U48" ca="1" si="66">(G44-T44)/G44</f>
        <v>-3.9253731343283513E-2</v>
      </c>
      <c r="W44" s="331">
        <f ca="1">終値履歴!F44</f>
        <v>1220</v>
      </c>
      <c r="X44" s="334">
        <f t="shared" ref="X44:X48" ca="1" si="67">(G44-W44)/G44</f>
        <v>8.9552238805970144E-2</v>
      </c>
    </row>
    <row r="45" spans="1:24" x14ac:dyDescent="0.25">
      <c r="A45" s="12" t="s">
        <v>472</v>
      </c>
      <c r="B45" s="91" t="str">
        <f>'セカンダリ投資分析(SBI証券)'!B44</f>
        <v>GNIグループ</v>
      </c>
      <c r="C45" s="130">
        <f>株価一覧!H44</f>
        <v>2492000</v>
      </c>
      <c r="D45" s="15">
        <f ca="1">OFFSET(終値履歴!A45,0,COUNTA(終値履歴!G45:'終値履歴'!XFD45)+2,1,-1)</f>
        <v>642</v>
      </c>
      <c r="E45" s="15">
        <f ca="1">OFFSET(終値履歴!A45,0,COUNTA(終値履歴!G45:'終値履歴'!XFD45)+3,1,-1)</f>
        <v>634</v>
      </c>
      <c r="F45" s="15">
        <f ca="1">OFFSET(終値履歴!A45,0,COUNTA(終値履歴!G45:'終値履歴'!XFD45)+4,1,-1)</f>
        <v>637</v>
      </c>
      <c r="G45" s="15">
        <f ca="1">OFFSET(終値履歴!A45,0,COUNTA(終値履歴!G45:'終値履歴'!XFD45)+5,1,-1)</f>
        <v>623</v>
      </c>
      <c r="I45" s="125">
        <f t="shared" ca="1" si="62"/>
        <v>-2.197802197802198E-2</v>
      </c>
      <c r="J45" s="125">
        <f t="shared" ca="1" si="63"/>
        <v>-1.7350157728706624E-2</v>
      </c>
      <c r="K45" s="125">
        <f t="shared" ca="1" si="64"/>
        <v>-2.9595015576323987E-2</v>
      </c>
      <c r="M45" s="125"/>
      <c r="N45" s="125"/>
      <c r="P45" s="122"/>
      <c r="Q45" s="12" t="str">
        <f t="shared" ca="1" si="59"/>
        <v>割安</v>
      </c>
      <c r="R45" s="331">
        <f ca="1">終値履歴!D45</f>
        <v>635.4</v>
      </c>
      <c r="S45" s="334">
        <f t="shared" ca="1" si="65"/>
        <v>-1.9558359621451069E-2</v>
      </c>
      <c r="T45" s="331">
        <f ca="1">終値履歴!E45</f>
        <v>636</v>
      </c>
      <c r="U45" s="334">
        <f t="shared" ca="1" si="66"/>
        <v>-2.0866773675762441E-2</v>
      </c>
      <c r="W45" s="331">
        <f ca="1">終値履歴!F45</f>
        <v>616</v>
      </c>
      <c r="X45" s="334">
        <f t="shared" ca="1" si="67"/>
        <v>1.1235955056179775E-2</v>
      </c>
    </row>
    <row r="46" spans="1:24" x14ac:dyDescent="0.25">
      <c r="B46" s="52" t="str">
        <f>IPO監視一覧!B36</f>
        <v>ツナグ・ソリューションズ</v>
      </c>
      <c r="C46" s="374">
        <f>株価一覧!H45</f>
        <v>130500</v>
      </c>
      <c r="D46" s="375">
        <f ca="1">OFFSET(終値履歴!A46,0,COUNTA(終値履歴!G46:'終値履歴'!XFD46)+2,1,-1)</f>
        <v>5350</v>
      </c>
      <c r="E46" s="375">
        <f ca="1">OFFSET(終値履歴!A46,0,COUNTA(終値履歴!G46:'終値履歴'!XFD46)+3,1,-1)</f>
        <v>4950</v>
      </c>
      <c r="F46" s="375">
        <f ca="1">OFFSET(終値履歴!A46,0,COUNTA(終値履歴!G46:'終値履歴'!XFD46)+4,1,-1)</f>
        <v>4845</v>
      </c>
      <c r="G46" s="375">
        <f ca="1">OFFSET(終値履歴!A46,0,COUNTA(終値履歴!G46:'終値履歴'!XFD46)+5,1,-1)</f>
        <v>5250</v>
      </c>
      <c r="I46" s="125">
        <f t="shared" ca="1" si="62"/>
        <v>8.3591331269349839E-2</v>
      </c>
      <c r="J46" s="125">
        <f t="shared" ca="1" si="63"/>
        <v>6.0606060606060608E-2</v>
      </c>
      <c r="K46" s="125">
        <f t="shared" ca="1" si="64"/>
        <v>-1.8691588785046728E-2</v>
      </c>
      <c r="M46" s="125">
        <f t="shared" ref="M46:M48" ca="1" si="68">(F46-E46)/E46</f>
        <v>-2.1212121212121213E-2</v>
      </c>
      <c r="N46" s="125">
        <f t="shared" ref="N46:N48" ca="1" si="69">(F46-D46)/D46</f>
        <v>-9.4392523364485975E-2</v>
      </c>
      <c r="P46" s="122" t="str">
        <f t="shared" ref="P46:P48" ca="1" si="70">IF(G46-F46 &gt; 0,CONCATENATE("＋",G46-F46),G46-F46)</f>
        <v>＋405</v>
      </c>
      <c r="Q46" s="12" t="str">
        <f t="shared" ca="1" si="59"/>
        <v>普通</v>
      </c>
      <c r="R46" s="331">
        <f ca="1">終値履歴!D46</f>
        <v>5187</v>
      </c>
      <c r="S46" s="334">
        <f t="shared" ca="1" si="65"/>
        <v>1.2727272727272728E-2</v>
      </c>
      <c r="T46" s="331">
        <f ca="1">終値履歴!E46</f>
        <v>5422.5</v>
      </c>
      <c r="U46" s="334">
        <f t="shared" ca="1" si="66"/>
        <v>-3.2857142857142856E-2</v>
      </c>
      <c r="W46" s="331">
        <f ca="1">終値履歴!F46</f>
        <v>4845</v>
      </c>
      <c r="X46" s="334">
        <f t="shared" ca="1" si="67"/>
        <v>7.7142857142857138E-2</v>
      </c>
    </row>
    <row r="47" spans="1:24" x14ac:dyDescent="0.25">
      <c r="B47" s="52" t="str">
        <f>IPO監視一覧!B37</f>
        <v>ＳＹＳホールディングス</v>
      </c>
      <c r="C47" s="374">
        <f>株価一覧!H46</f>
        <v>19700</v>
      </c>
      <c r="D47" s="375">
        <f ca="1">OFFSET(終値履歴!A47,0,COUNTA(終値履歴!G47:'終値履歴'!XFD47)+2,1,-1)</f>
        <v>4150</v>
      </c>
      <c r="E47" s="375">
        <f ca="1">OFFSET(終値履歴!A47,0,COUNTA(終値履歴!G47:'終値履歴'!XFD47)+3,1,-1)</f>
        <v>4030</v>
      </c>
      <c r="F47" s="375">
        <f ca="1">OFFSET(終値履歴!A47,0,COUNTA(終値履歴!G47:'終値履歴'!XFD47)+4,1,-1)</f>
        <v>4000</v>
      </c>
      <c r="G47" s="375">
        <f ca="1">OFFSET(終値履歴!A47,0,COUNTA(終値履歴!G47:'終値履歴'!XFD47)+5,1,-1)</f>
        <v>4115</v>
      </c>
      <c r="I47" s="125">
        <f t="shared" ca="1" si="62"/>
        <v>2.8750000000000001E-2</v>
      </c>
      <c r="J47" s="125">
        <f t="shared" ca="1" si="63"/>
        <v>2.1091811414392061E-2</v>
      </c>
      <c r="K47" s="125">
        <f t="shared" ca="1" si="64"/>
        <v>-8.4337349397590362E-3</v>
      </c>
      <c r="M47" s="125">
        <f t="shared" ca="1" si="68"/>
        <v>-7.4441687344913151E-3</v>
      </c>
      <c r="N47" s="125">
        <f t="shared" ca="1" si="69"/>
        <v>-3.614457831325301E-2</v>
      </c>
      <c r="P47" s="122" t="str">
        <f t="shared" ca="1" si="70"/>
        <v>＋115</v>
      </c>
      <c r="Q47" s="12" t="str">
        <f t="shared" ca="1" si="59"/>
        <v>普通</v>
      </c>
      <c r="R47" s="331">
        <f ca="1">終値履歴!D47</f>
        <v>4107</v>
      </c>
      <c r="S47" s="334">
        <f t="shared" ca="1" si="65"/>
        <v>1.9851116625310174E-3</v>
      </c>
      <c r="T47" s="331">
        <f ca="1">終値履歴!E47</f>
        <v>4195</v>
      </c>
      <c r="U47" s="334">
        <f t="shared" ca="1" si="66"/>
        <v>-1.9441069258809233E-2</v>
      </c>
      <c r="W47" s="331">
        <f ca="1">終値履歴!F47</f>
        <v>4000</v>
      </c>
      <c r="X47" s="334">
        <f t="shared" ca="1" si="67"/>
        <v>2.7946537059538274E-2</v>
      </c>
    </row>
    <row r="48" spans="1:24" x14ac:dyDescent="0.25">
      <c r="B48" s="52" t="str">
        <f>IPO監視一覧!B38</f>
        <v>GameWith</v>
      </c>
      <c r="C48" s="374">
        <f>株価一覧!H47</f>
        <v>194800</v>
      </c>
      <c r="D48" s="375">
        <f ca="1">OFFSET(終値履歴!A48,0,COUNTA(終値履歴!G48:'終値履歴'!XFD48)+2,1,-1)</f>
        <v>4020</v>
      </c>
      <c r="E48" s="375">
        <f ca="1">OFFSET(終値履歴!A48,0,COUNTA(終値履歴!G48:'終値履歴'!XFD48)+3,1,-1)</f>
        <v>4010</v>
      </c>
      <c r="F48" s="375">
        <f ca="1">OFFSET(終値履歴!A48,0,COUNTA(終値履歴!G48:'終値履歴'!XFD48)+4,1,-1)</f>
        <v>3630</v>
      </c>
      <c r="G48" s="375">
        <f ca="1">OFFSET(終値履歴!A48,0,COUNTA(終値履歴!G48:'終値履歴'!XFD48)+5,1,-1)</f>
        <v>3595</v>
      </c>
      <c r="I48" s="125">
        <f t="shared" ca="1" si="62"/>
        <v>-9.6418732782369149E-3</v>
      </c>
      <c r="J48" s="125">
        <f t="shared" ca="1" si="63"/>
        <v>-0.10349127182044887</v>
      </c>
      <c r="K48" s="125">
        <f t="shared" ca="1" si="64"/>
        <v>-0.10572139303482588</v>
      </c>
      <c r="M48" s="125">
        <f t="shared" ca="1" si="68"/>
        <v>-9.4763092269326679E-2</v>
      </c>
      <c r="N48" s="125">
        <f t="shared" ca="1" si="69"/>
        <v>-9.7014925373134331E-2</v>
      </c>
      <c r="P48" s="122">
        <f t="shared" ca="1" si="70"/>
        <v>-35</v>
      </c>
      <c r="Q48" s="12" t="str">
        <f t="shared" ca="1" si="59"/>
        <v>割安</v>
      </c>
      <c r="R48" s="331">
        <f ca="1">終値履歴!D48</f>
        <v>3851</v>
      </c>
      <c r="S48" s="334">
        <f t="shared" ca="1" si="65"/>
        <v>-6.3840399002493761E-2</v>
      </c>
      <c r="T48" s="331">
        <f ca="1">終値履歴!E48</f>
        <v>4024.5</v>
      </c>
      <c r="U48" s="334">
        <f t="shared" ca="1" si="66"/>
        <v>-0.11947148817802504</v>
      </c>
      <c r="W48" s="331">
        <f ca="1">終値履歴!F48</f>
        <v>3595</v>
      </c>
      <c r="X48" s="334">
        <f t="shared" ca="1" si="67"/>
        <v>0</v>
      </c>
    </row>
    <row r="49" spans="1:24" x14ac:dyDescent="0.25">
      <c r="A49" s="12" t="s">
        <v>472</v>
      </c>
      <c r="B49" s="91" t="str">
        <f>'セカンダリ投資分析(SBI証券)'!B45</f>
        <v>アンジェス</v>
      </c>
      <c r="C49" s="130">
        <f>株価一覧!H48</f>
        <v>7144000</v>
      </c>
      <c r="D49" s="15">
        <f ca="1">OFFSET(終値履歴!A49,0,COUNTA(終値履歴!G49:'終値履歴'!XFD49)+2,1,-1)</f>
        <v>725</v>
      </c>
      <c r="E49" s="15">
        <f ca="1">OFFSET(終値履歴!A49,0,COUNTA(終値履歴!G49:'終値履歴'!XFD49)+3,1,-1)</f>
        <v>768</v>
      </c>
      <c r="F49" s="15">
        <f ca="1">OFFSET(終値履歴!A49,0,COUNTA(終値履歴!G49:'終値履歴'!XFD49)+4,1,-1)</f>
        <v>671</v>
      </c>
      <c r="G49" s="15">
        <f ca="1">OFFSET(終値履歴!A49,0,COUNTA(終値履歴!G49:'終値履歴'!XFD49)+5,1,-1)</f>
        <v>656</v>
      </c>
      <c r="I49" s="125">
        <f t="shared" ref="I49" ca="1" si="71">(G49-F49)/F49</f>
        <v>-2.2354694485842028E-2</v>
      </c>
      <c r="J49" s="125">
        <f t="shared" ref="J49" ca="1" si="72">(G49-E49)/E49</f>
        <v>-0.14583333333333334</v>
      </c>
      <c r="K49" s="125">
        <f t="shared" ref="K49" ca="1" si="73">(G49-D49)/D49</f>
        <v>-9.5172413793103441E-2</v>
      </c>
      <c r="M49" s="125">
        <f t="shared" ref="M49" ca="1" si="74">(F49-E49)/E49</f>
        <v>-0.12630208333333334</v>
      </c>
      <c r="N49" s="125">
        <f t="shared" ref="N49" ca="1" si="75">(F49-D49)/D49</f>
        <v>-7.4482758620689649E-2</v>
      </c>
      <c r="P49" s="122">
        <f t="shared" ref="P49" ca="1" si="76">IF(G49-F49 &gt; 0,CONCATENATE("＋",G49-F49),G49-F49)</f>
        <v>-15</v>
      </c>
      <c r="Q49" s="12" t="str">
        <f t="shared" ref="Q49" ca="1" si="77">IF(AND(G49&lt;=T49,G49&lt;=R49),"割安",IF(AND(G49&gt;T49,G49&lt;=R49),"普通",IF(AND(G49&lt;=T49,G49&gt;R49),"普通","割高")))</f>
        <v>普通</v>
      </c>
      <c r="R49" s="25">
        <f ca="1">終値履歴!D49</f>
        <v>702.4</v>
      </c>
      <c r="S49" s="334">
        <f t="shared" ref="S49" ca="1" si="78">(G49-R49)/E49</f>
        <v>-6.0416666666666639E-2</v>
      </c>
      <c r="T49" s="25">
        <f ca="1">終値履歴!E49</f>
        <v>483.9</v>
      </c>
      <c r="U49" s="334">
        <f t="shared" ref="U49" ca="1" si="79">(G49-T49)/G49</f>
        <v>0.26234756097560979</v>
      </c>
      <c r="W49" s="25">
        <f ca="1">終値履歴!F49</f>
        <v>0</v>
      </c>
      <c r="X49" s="334">
        <f t="shared" ref="X49" ca="1" si="80">(G49-W49)/G49</f>
        <v>1</v>
      </c>
    </row>
    <row r="50" spans="1:24" x14ac:dyDescent="0.25">
      <c r="A50" s="12" t="s">
        <v>472</v>
      </c>
      <c r="B50" s="91" t="str">
        <f>'セカンダリ投資分析(SBI証券)'!B46</f>
        <v>トレイダーズHD</v>
      </c>
      <c r="C50" s="130">
        <f>株価一覧!H49</f>
        <v>13668100</v>
      </c>
      <c r="D50" s="15">
        <f ca="1">OFFSET(終値履歴!A50,0,COUNTA(終値履歴!G50:'終値履歴'!XFD50)+2,1,-1)</f>
        <v>307</v>
      </c>
      <c r="E50" s="15">
        <f ca="1">OFFSET(終値履歴!A50,0,COUNTA(終値履歴!G50:'終値履歴'!XFD50)+3,1,-1)</f>
        <v>305</v>
      </c>
      <c r="F50" s="15">
        <f ca="1">OFFSET(終値履歴!A50,0,COUNTA(終値履歴!G50:'終値履歴'!XFD50)+4,1,-1)</f>
        <v>278</v>
      </c>
      <c r="G50" s="15">
        <f ca="1">OFFSET(終値履歴!A50,0,COUNTA(終値履歴!G50:'終値履歴'!XFD50)+5,1,-1)</f>
        <v>260</v>
      </c>
      <c r="I50" s="125">
        <f t="shared" ref="I50:I58" ca="1" si="81">(G50-F50)/F50</f>
        <v>-6.4748201438848921E-2</v>
      </c>
      <c r="J50" s="125">
        <f t="shared" ref="J50:J58" ca="1" si="82">(G50-E50)/E50</f>
        <v>-0.14754098360655737</v>
      </c>
      <c r="K50" s="125">
        <f t="shared" ref="K50:K58" ca="1" si="83">(G50-D50)/D50</f>
        <v>-0.15309446254071662</v>
      </c>
      <c r="M50" s="125">
        <f t="shared" ref="M50:M58" ca="1" si="84">(F50-E50)/E50</f>
        <v>-8.8524590163934422E-2</v>
      </c>
      <c r="N50" s="125">
        <f t="shared" ref="N50:N58" ca="1" si="85">(F50-D50)/D50</f>
        <v>-9.4462540716612378E-2</v>
      </c>
      <c r="P50" s="122">
        <f t="shared" ref="P50:P58" ca="1" si="86">IF(G50-F50 &gt; 0,CONCATENATE("＋",G50-F50),G50-F50)</f>
        <v>-18</v>
      </c>
      <c r="Q50" s="12" t="str">
        <f t="shared" ref="Q50:Q58" ca="1" si="87">IF(AND(G50&lt;=T50,G50&lt;=R50),"割安",IF(AND(G50&gt;T50,G50&lt;=R50),"普通",IF(AND(G50&lt;=T50,G50&gt;R50),"普通","割高")))</f>
        <v>普通</v>
      </c>
      <c r="R50" s="25">
        <f ca="1">終値履歴!D50</f>
        <v>296.60000000000002</v>
      </c>
      <c r="S50" s="334">
        <f t="shared" ref="S50:S58" ca="1" si="88">(G50-R50)/E50</f>
        <v>-0.12000000000000008</v>
      </c>
      <c r="T50" s="25">
        <f ca="1">終値履歴!E50</f>
        <v>214.1</v>
      </c>
      <c r="U50" s="334">
        <f t="shared" ref="U50:U58" ca="1" si="89">(G50-T50)/G50</f>
        <v>0.17653846153846156</v>
      </c>
      <c r="W50" s="25">
        <f ca="1">終値履歴!F50</f>
        <v>0</v>
      </c>
      <c r="X50" s="334">
        <f t="shared" ref="X50:X58" ca="1" si="90">(G50-W50)/G50</f>
        <v>1</v>
      </c>
    </row>
    <row r="51" spans="1:24" x14ac:dyDescent="0.25">
      <c r="B51" s="114" t="str">
        <f>IPO監視一覧!B39</f>
        <v>ソウルドアウト</v>
      </c>
      <c r="C51" s="130">
        <f>株価一覧!H50</f>
        <v>12149000</v>
      </c>
      <c r="D51" s="15">
        <f ca="1">OFFSET(終値履歴!A51,0,COUNTA(終値履歴!G51:'終値履歴'!XFD51)+2,1,-1)</f>
        <v>0</v>
      </c>
      <c r="E51" s="15">
        <f ca="1">OFFSET(終値履歴!A51,0,COUNTA(終値履歴!G51:'終値履歴'!XFD51)+3,1,-1)</f>
        <v>2143</v>
      </c>
      <c r="F51" s="15">
        <f ca="1">OFFSET(終値履歴!A51,0,COUNTA(終値履歴!G51:'終値履歴'!XFD51)+4,1,-1)</f>
        <v>2213</v>
      </c>
      <c r="G51" s="15">
        <f ca="1">OFFSET(終値履歴!A51,0,COUNTA(終値履歴!G51:'終値履歴'!XFD51)+5,1,-1)</f>
        <v>2713</v>
      </c>
      <c r="I51" s="125">
        <f t="shared" ca="1" si="81"/>
        <v>0.22593764121102575</v>
      </c>
      <c r="J51" s="125">
        <f t="shared" ca="1" si="82"/>
        <v>0.26598226784881007</v>
      </c>
      <c r="K51" s="125" t="e">
        <f t="shared" ca="1" si="83"/>
        <v>#DIV/0!</v>
      </c>
      <c r="M51" s="125">
        <f t="shared" ca="1" si="84"/>
        <v>3.2664489034064395E-2</v>
      </c>
      <c r="N51" s="125" t="e">
        <f t="shared" ca="1" si="85"/>
        <v>#DIV/0!</v>
      </c>
      <c r="P51" s="122" t="str">
        <f t="shared" ca="1" si="86"/>
        <v>＋500</v>
      </c>
      <c r="Q51" s="12" t="str">
        <f t="shared" ca="1" si="87"/>
        <v>割高</v>
      </c>
      <c r="R51" s="25">
        <f ca="1">終値履歴!D51</f>
        <v>1413.8</v>
      </c>
      <c r="S51" s="334">
        <f t="shared" ca="1" si="88"/>
        <v>0.60625291647223523</v>
      </c>
      <c r="T51" s="25">
        <f ca="1">終値履歴!E51</f>
        <v>706.9</v>
      </c>
      <c r="U51" s="334">
        <f t="shared" ca="1" si="89"/>
        <v>0.73943973461113155</v>
      </c>
      <c r="W51" s="25">
        <f ca="1">終値履歴!F51</f>
        <v>0</v>
      </c>
      <c r="X51" s="334">
        <f t="shared" ca="1" si="90"/>
        <v>1</v>
      </c>
    </row>
    <row r="52" spans="1:24" x14ac:dyDescent="0.25">
      <c r="B52" s="114" t="str">
        <f>IPO監視一覧!B40</f>
        <v>ユニフォームネクスト</v>
      </c>
      <c r="C52" s="130">
        <f>株価一覧!H51</f>
        <v>0</v>
      </c>
      <c r="D52" s="15">
        <f ca="1">OFFSET(終値履歴!A52,0,COUNTA(終値履歴!G52:'終値履歴'!XFD52)+2,1,-1)</f>
        <v>0</v>
      </c>
      <c r="E52" s="15">
        <f ca="1">OFFSET(終値履歴!A52,0,COUNTA(終値履歴!G52:'終値履歴'!XFD52)+3,1,-1)</f>
        <v>0</v>
      </c>
      <c r="F52" s="15">
        <f ca="1">OFFSET(終値履歴!A52,0,COUNTA(終値履歴!G52:'終値履歴'!XFD52)+4,1,-1)</f>
        <v>0</v>
      </c>
      <c r="G52" s="15">
        <f ca="1">OFFSET(終値履歴!A52,0,COUNTA(終値履歴!G52:'終値履歴'!XFD52)+5,1,-1)</f>
        <v>0</v>
      </c>
      <c r="I52" s="125" t="e">
        <f t="shared" ca="1" si="81"/>
        <v>#DIV/0!</v>
      </c>
      <c r="J52" s="125" t="e">
        <f t="shared" ca="1" si="82"/>
        <v>#DIV/0!</v>
      </c>
      <c r="K52" s="125" t="e">
        <f t="shared" ca="1" si="83"/>
        <v>#DIV/0!</v>
      </c>
      <c r="M52" s="125" t="e">
        <f t="shared" ca="1" si="84"/>
        <v>#DIV/0!</v>
      </c>
      <c r="N52" s="125" t="e">
        <f t="shared" ca="1" si="85"/>
        <v>#DIV/0!</v>
      </c>
      <c r="P52" s="122">
        <f t="shared" ca="1" si="86"/>
        <v>0</v>
      </c>
      <c r="Q52" s="12" t="str">
        <f t="shared" ca="1" si="87"/>
        <v>割安</v>
      </c>
      <c r="R52" s="25">
        <f ca="1">終値履歴!D52</f>
        <v>0</v>
      </c>
      <c r="S52" s="334" t="e">
        <f t="shared" ca="1" si="88"/>
        <v>#DIV/0!</v>
      </c>
      <c r="T52" s="25">
        <f ca="1">終値履歴!E52</f>
        <v>0</v>
      </c>
      <c r="U52" s="334" t="e">
        <f t="shared" ca="1" si="89"/>
        <v>#DIV/0!</v>
      </c>
      <c r="W52" s="25">
        <f ca="1">終値履歴!F52</f>
        <v>0</v>
      </c>
      <c r="X52" s="334" t="e">
        <f t="shared" ca="1" si="90"/>
        <v>#DIV/0!</v>
      </c>
    </row>
    <row r="53" spans="1:24" x14ac:dyDescent="0.25">
      <c r="B53" s="114" t="str">
        <f>IPO監視一覧!B41</f>
        <v>ジェイ・エス・ビー</v>
      </c>
      <c r="C53" s="130">
        <f>株価一覧!H52</f>
        <v>0</v>
      </c>
      <c r="D53" s="15">
        <f ca="1">OFFSET(終値履歴!A53,0,COUNTA(終値履歴!G53:'終値履歴'!XFD53)+2,1,-1)</f>
        <v>0</v>
      </c>
      <c r="E53" s="15">
        <f ca="1">OFFSET(終値履歴!A53,0,COUNTA(終値履歴!G53:'終値履歴'!XFD53)+3,1,-1)</f>
        <v>0</v>
      </c>
      <c r="F53" s="15">
        <f ca="1">OFFSET(終値履歴!A53,0,COUNTA(終値履歴!G53:'終値履歴'!XFD53)+4,1,-1)</f>
        <v>0</v>
      </c>
      <c r="G53" s="15">
        <f ca="1">OFFSET(終値履歴!A53,0,COUNTA(終値履歴!G53:'終値履歴'!XFD53)+5,1,-1)</f>
        <v>0</v>
      </c>
      <c r="I53" s="125" t="e">
        <f t="shared" ca="1" si="81"/>
        <v>#DIV/0!</v>
      </c>
      <c r="J53" s="125" t="e">
        <f t="shared" ca="1" si="82"/>
        <v>#DIV/0!</v>
      </c>
      <c r="K53" s="125" t="e">
        <f t="shared" ca="1" si="83"/>
        <v>#DIV/0!</v>
      </c>
      <c r="M53" s="125" t="e">
        <f t="shared" ca="1" si="84"/>
        <v>#DIV/0!</v>
      </c>
      <c r="N53" s="125" t="e">
        <f t="shared" ca="1" si="85"/>
        <v>#DIV/0!</v>
      </c>
      <c r="P53" s="122">
        <f t="shared" ca="1" si="86"/>
        <v>0</v>
      </c>
      <c r="Q53" s="12" t="str">
        <f t="shared" ca="1" si="87"/>
        <v>割安</v>
      </c>
      <c r="R53" s="25">
        <f ca="1">終値履歴!D53</f>
        <v>0</v>
      </c>
      <c r="S53" s="334" t="e">
        <f t="shared" ca="1" si="88"/>
        <v>#DIV/0!</v>
      </c>
      <c r="T53" s="25">
        <f ca="1">終値履歴!E53</f>
        <v>0</v>
      </c>
      <c r="U53" s="334" t="e">
        <f t="shared" ca="1" si="89"/>
        <v>#DIV/0!</v>
      </c>
      <c r="W53" s="25">
        <f ca="1">終値履歴!F53</f>
        <v>0</v>
      </c>
      <c r="X53" s="334" t="e">
        <f t="shared" ca="1" si="90"/>
        <v>#DIV/0!</v>
      </c>
    </row>
    <row r="54" spans="1:24" x14ac:dyDescent="0.25">
      <c r="B54" s="114" t="str">
        <f>IPO監視一覧!B42</f>
        <v>クロスフォー</v>
      </c>
      <c r="C54" s="130">
        <f>株価一覧!H53</f>
        <v>0</v>
      </c>
      <c r="D54" s="15">
        <f ca="1">OFFSET(終値履歴!A54,0,COUNTA(終値履歴!G54:'終値履歴'!XFD54)+2,1,-1)</f>
        <v>0</v>
      </c>
      <c r="E54" s="15">
        <f ca="1">OFFSET(終値履歴!A54,0,COUNTA(終値履歴!G54:'終値履歴'!XFD54)+3,1,-1)</f>
        <v>0</v>
      </c>
      <c r="F54" s="15">
        <f ca="1">OFFSET(終値履歴!A54,0,COUNTA(終値履歴!G54:'終値履歴'!XFD54)+4,1,-1)</f>
        <v>0</v>
      </c>
      <c r="G54" s="15">
        <f ca="1">OFFSET(終値履歴!A54,0,COUNTA(終値履歴!G54:'終値履歴'!XFD54)+5,1,-1)</f>
        <v>0</v>
      </c>
      <c r="I54" s="125" t="e">
        <f t="shared" ca="1" si="81"/>
        <v>#DIV/0!</v>
      </c>
      <c r="J54" s="125" t="e">
        <f t="shared" ca="1" si="82"/>
        <v>#DIV/0!</v>
      </c>
      <c r="K54" s="125" t="e">
        <f t="shared" ca="1" si="83"/>
        <v>#DIV/0!</v>
      </c>
      <c r="M54" s="125" t="e">
        <f t="shared" ca="1" si="84"/>
        <v>#DIV/0!</v>
      </c>
      <c r="N54" s="125" t="e">
        <f t="shared" ca="1" si="85"/>
        <v>#DIV/0!</v>
      </c>
      <c r="P54" s="122">
        <f t="shared" ca="1" si="86"/>
        <v>0</v>
      </c>
      <c r="Q54" s="12" t="str">
        <f t="shared" ca="1" si="87"/>
        <v>割安</v>
      </c>
      <c r="R54" s="25">
        <f ca="1">終値履歴!D54</f>
        <v>0</v>
      </c>
      <c r="S54" s="334" t="e">
        <f t="shared" ca="1" si="88"/>
        <v>#DIV/0!</v>
      </c>
      <c r="T54" s="25">
        <f ca="1">終値履歴!E54</f>
        <v>0</v>
      </c>
      <c r="U54" s="334" t="e">
        <f t="shared" ca="1" si="89"/>
        <v>#DIV/0!</v>
      </c>
      <c r="W54" s="25">
        <f ca="1">終値履歴!F54</f>
        <v>0</v>
      </c>
      <c r="X54" s="334" t="e">
        <f t="shared" ca="1" si="90"/>
        <v>#DIV/0!</v>
      </c>
    </row>
    <row r="55" spans="1:24" x14ac:dyDescent="0.25">
      <c r="B55" s="114" t="str">
        <f>IPO監視一覧!B43</f>
        <v>シェアリングテクノロジー</v>
      </c>
      <c r="C55" s="130">
        <f>株価一覧!H54</f>
        <v>0</v>
      </c>
      <c r="D55" s="15">
        <f ca="1">OFFSET(終値履歴!A55,0,COUNTA(終値履歴!G55:'終値履歴'!XFD55)+2,1,-1)</f>
        <v>0</v>
      </c>
      <c r="E55" s="15">
        <f ca="1">OFFSET(終値履歴!A55,0,COUNTA(終値履歴!G55:'終値履歴'!XFD55)+3,1,-1)</f>
        <v>0</v>
      </c>
      <c r="F55" s="15">
        <f ca="1">OFFSET(終値履歴!A55,0,COUNTA(終値履歴!G55:'終値履歴'!XFD55)+4,1,-1)</f>
        <v>0</v>
      </c>
      <c r="G55" s="15">
        <f ca="1">OFFSET(終値履歴!A55,0,COUNTA(終値履歴!G55:'終値履歴'!XFD55)+5,1,-1)</f>
        <v>0</v>
      </c>
      <c r="I55" s="125" t="e">
        <f t="shared" ca="1" si="81"/>
        <v>#DIV/0!</v>
      </c>
      <c r="J55" s="125" t="e">
        <f t="shared" ca="1" si="82"/>
        <v>#DIV/0!</v>
      </c>
      <c r="K55" s="125" t="e">
        <f t="shared" ca="1" si="83"/>
        <v>#DIV/0!</v>
      </c>
      <c r="M55" s="125" t="e">
        <f t="shared" ca="1" si="84"/>
        <v>#DIV/0!</v>
      </c>
      <c r="N55" s="125" t="e">
        <f t="shared" ca="1" si="85"/>
        <v>#DIV/0!</v>
      </c>
      <c r="P55" s="122">
        <f t="shared" ca="1" si="86"/>
        <v>0</v>
      </c>
      <c r="Q55" s="12" t="str">
        <f t="shared" ca="1" si="87"/>
        <v>割安</v>
      </c>
      <c r="R55" s="25">
        <f ca="1">終値履歴!D55</f>
        <v>0</v>
      </c>
      <c r="S55" s="334" t="e">
        <f t="shared" ca="1" si="88"/>
        <v>#DIV/0!</v>
      </c>
      <c r="T55" s="25">
        <f ca="1">終値履歴!E55</f>
        <v>0</v>
      </c>
      <c r="U55" s="334" t="e">
        <f t="shared" ca="1" si="89"/>
        <v>#DIV/0!</v>
      </c>
      <c r="W55" s="25">
        <f ca="1">終値履歴!F55</f>
        <v>0</v>
      </c>
      <c r="X55" s="334" t="e">
        <f t="shared" ca="1" si="90"/>
        <v>#DIV/0!</v>
      </c>
    </row>
    <row r="56" spans="1:24" x14ac:dyDescent="0.25">
      <c r="B56" s="114" t="str">
        <f>IPO監視一覧!B44</f>
        <v>トランザス</v>
      </c>
      <c r="C56" s="130">
        <f>株価一覧!H55</f>
        <v>0</v>
      </c>
      <c r="D56" s="15">
        <f ca="1">OFFSET(終値履歴!A56,0,COUNTA(終値履歴!G56:'終値履歴'!XFD56)+2,1,-1)</f>
        <v>0</v>
      </c>
      <c r="E56" s="15">
        <f ca="1">OFFSET(終値履歴!A56,0,COUNTA(終値履歴!G56:'終値履歴'!XFD56)+3,1,-1)</f>
        <v>0</v>
      </c>
      <c r="F56" s="15">
        <f ca="1">OFFSET(終値履歴!A56,0,COUNTA(終値履歴!G56:'終値履歴'!XFD56)+4,1,-1)</f>
        <v>0</v>
      </c>
      <c r="G56" s="15">
        <f ca="1">OFFSET(終値履歴!A56,0,COUNTA(終値履歴!G56:'終値履歴'!XFD56)+5,1,-1)</f>
        <v>0</v>
      </c>
      <c r="I56" s="125" t="e">
        <f t="shared" ca="1" si="81"/>
        <v>#DIV/0!</v>
      </c>
      <c r="J56" s="125" t="e">
        <f t="shared" ca="1" si="82"/>
        <v>#DIV/0!</v>
      </c>
      <c r="K56" s="125" t="e">
        <f t="shared" ca="1" si="83"/>
        <v>#DIV/0!</v>
      </c>
      <c r="M56" s="125" t="e">
        <f t="shared" ca="1" si="84"/>
        <v>#DIV/0!</v>
      </c>
      <c r="N56" s="125" t="e">
        <f t="shared" ca="1" si="85"/>
        <v>#DIV/0!</v>
      </c>
      <c r="P56" s="122">
        <f t="shared" ca="1" si="86"/>
        <v>0</v>
      </c>
      <c r="Q56" s="12" t="str">
        <f t="shared" ca="1" si="87"/>
        <v>割安</v>
      </c>
      <c r="R56" s="25">
        <f ca="1">終値履歴!D56</f>
        <v>0</v>
      </c>
      <c r="S56" s="334" t="e">
        <f t="shared" ca="1" si="88"/>
        <v>#DIV/0!</v>
      </c>
      <c r="T56" s="25">
        <f ca="1">終値履歴!E56</f>
        <v>0</v>
      </c>
      <c r="U56" s="334" t="e">
        <f t="shared" ca="1" si="89"/>
        <v>#DIV/0!</v>
      </c>
      <c r="W56" s="25">
        <f ca="1">終値履歴!F56</f>
        <v>0</v>
      </c>
      <c r="X56" s="334" t="e">
        <f t="shared" ca="1" si="90"/>
        <v>#DIV/0!</v>
      </c>
    </row>
    <row r="57" spans="1:24" x14ac:dyDescent="0.25">
      <c r="B57" s="114">
        <f>IPO監視一覧!B45</f>
        <v>0</v>
      </c>
      <c r="C57" s="130">
        <f>株価一覧!H56</f>
        <v>0</v>
      </c>
      <c r="D57" s="15">
        <f ca="1">OFFSET(終値履歴!A57,0,COUNTA(終値履歴!G57:'終値履歴'!XFD57)+2,1,-1)</f>
        <v>0</v>
      </c>
      <c r="E57" s="15">
        <f ca="1">OFFSET(終値履歴!A57,0,COUNTA(終値履歴!G57:'終値履歴'!XFD57)+3,1,-1)</f>
        <v>0</v>
      </c>
      <c r="F57" s="15">
        <f ca="1">OFFSET(終値履歴!A57,0,COUNTA(終値履歴!G57:'終値履歴'!XFD57)+4,1,-1)</f>
        <v>0</v>
      </c>
      <c r="G57" s="15">
        <f ca="1">OFFSET(終値履歴!A57,0,COUNTA(終値履歴!G57:'終値履歴'!XFD57)+5,1,-1)</f>
        <v>0</v>
      </c>
      <c r="I57" s="125" t="e">
        <f t="shared" ca="1" si="81"/>
        <v>#DIV/0!</v>
      </c>
      <c r="J57" s="125" t="e">
        <f t="shared" ca="1" si="82"/>
        <v>#DIV/0!</v>
      </c>
      <c r="K57" s="125" t="e">
        <f t="shared" ca="1" si="83"/>
        <v>#DIV/0!</v>
      </c>
      <c r="M57" s="125" t="e">
        <f t="shared" ca="1" si="84"/>
        <v>#DIV/0!</v>
      </c>
      <c r="N57" s="125" t="e">
        <f t="shared" ca="1" si="85"/>
        <v>#DIV/0!</v>
      </c>
      <c r="P57" s="122">
        <f t="shared" ca="1" si="86"/>
        <v>0</v>
      </c>
      <c r="Q57" s="12" t="str">
        <f t="shared" ca="1" si="87"/>
        <v>割安</v>
      </c>
      <c r="R57" s="25">
        <f ca="1">終値履歴!D57</f>
        <v>0</v>
      </c>
      <c r="S57" s="334" t="e">
        <f t="shared" ca="1" si="88"/>
        <v>#DIV/0!</v>
      </c>
      <c r="T57" s="25">
        <f ca="1">終値履歴!E57</f>
        <v>0</v>
      </c>
      <c r="U57" s="334" t="e">
        <f t="shared" ca="1" si="89"/>
        <v>#DIV/0!</v>
      </c>
      <c r="W57" s="25">
        <f ca="1">終値履歴!F57</f>
        <v>0</v>
      </c>
      <c r="X57" s="334" t="e">
        <f t="shared" ca="1" si="90"/>
        <v>#DIV/0!</v>
      </c>
    </row>
    <row r="58" spans="1:24" x14ac:dyDescent="0.25">
      <c r="B58" s="114">
        <f>IPO監視一覧!B46</f>
        <v>0</v>
      </c>
      <c r="C58" s="130">
        <f>株価一覧!H57</f>
        <v>0</v>
      </c>
      <c r="D58" s="15">
        <f ca="1">OFFSET(終値履歴!A58,0,COUNTA(終値履歴!G58:'終値履歴'!XFD58)+2,1,-1)</f>
        <v>0</v>
      </c>
      <c r="E58" s="15">
        <f ca="1">OFFSET(終値履歴!A58,0,COUNTA(終値履歴!G58:'終値履歴'!XFD58)+3,1,-1)</f>
        <v>0</v>
      </c>
      <c r="F58" s="15">
        <f ca="1">OFFSET(終値履歴!A58,0,COUNTA(終値履歴!G58:'終値履歴'!XFD58)+4,1,-1)</f>
        <v>0</v>
      </c>
      <c r="G58" s="15">
        <f ca="1">OFFSET(終値履歴!A58,0,COUNTA(終値履歴!G58:'終値履歴'!XFD58)+5,1,-1)</f>
        <v>0</v>
      </c>
      <c r="I58" s="125" t="e">
        <f t="shared" ca="1" si="81"/>
        <v>#DIV/0!</v>
      </c>
      <c r="J58" s="125" t="e">
        <f t="shared" ca="1" si="82"/>
        <v>#DIV/0!</v>
      </c>
      <c r="K58" s="125" t="e">
        <f t="shared" ca="1" si="83"/>
        <v>#DIV/0!</v>
      </c>
      <c r="M58" s="125" t="e">
        <f t="shared" ca="1" si="84"/>
        <v>#DIV/0!</v>
      </c>
      <c r="N58" s="125" t="e">
        <f t="shared" ca="1" si="85"/>
        <v>#DIV/0!</v>
      </c>
      <c r="P58" s="122">
        <f t="shared" ca="1" si="86"/>
        <v>0</v>
      </c>
      <c r="Q58" s="12" t="str">
        <f t="shared" ca="1" si="87"/>
        <v>割安</v>
      </c>
      <c r="R58" s="25">
        <f>終値履歴!D58</f>
        <v>0</v>
      </c>
      <c r="S58" s="334" t="e">
        <f t="shared" ca="1" si="88"/>
        <v>#DIV/0!</v>
      </c>
      <c r="T58" s="25">
        <f>終値履歴!E58</f>
        <v>0</v>
      </c>
      <c r="U58" s="334" t="e">
        <f t="shared" ca="1" si="89"/>
        <v>#DIV/0!</v>
      </c>
      <c r="W58" s="25">
        <f>終値履歴!F58</f>
        <v>0</v>
      </c>
      <c r="X58" s="334" t="e">
        <f t="shared" ca="1" si="90"/>
        <v>#DIV/0!</v>
      </c>
    </row>
  </sheetData>
  <mergeCells count="2">
    <mergeCell ref="I1:K1"/>
    <mergeCell ref="M1:N1"/>
  </mergeCells>
  <phoneticPr fontId="2"/>
  <conditionalFormatting sqref="O2">
    <cfRule type="cellIs" dxfId="109" priority="121" operator="lessThan">
      <formula>-0.1</formula>
    </cfRule>
  </conditionalFormatting>
  <conditionalFormatting sqref="O2">
    <cfRule type="cellIs" dxfId="108" priority="120" operator="lessThan">
      <formula>-0.1</formula>
    </cfRule>
  </conditionalFormatting>
  <conditionalFormatting sqref="I3:N35 I40:N1048576">
    <cfRule type="cellIs" dxfId="107" priority="119" operator="lessThan">
      <formula>-0.07</formula>
    </cfRule>
  </conditionalFormatting>
  <conditionalFormatting sqref="I3:N35 I40:N1048576">
    <cfRule type="cellIs" dxfId="106" priority="118" operator="greaterThan">
      <formula>0</formula>
    </cfRule>
  </conditionalFormatting>
  <conditionalFormatting sqref="C2:C35 C59:C1048576">
    <cfRule type="cellIs" dxfId="105" priority="116" operator="lessThan">
      <formula>100000</formula>
    </cfRule>
    <cfRule type="cellIs" dxfId="104" priority="117" operator="lessThan">
      <formula>1000000</formula>
    </cfRule>
  </conditionalFormatting>
  <conditionalFormatting sqref="P3:P35 P40:P1048576">
    <cfRule type="cellIs" dxfId="103" priority="115" operator="greaterThan">
      <formula>0</formula>
    </cfRule>
  </conditionalFormatting>
  <conditionalFormatting sqref="P1:P35 P40:P1048576">
    <cfRule type="cellIs" dxfId="102" priority="114" operator="lessThan">
      <formula>0</formula>
    </cfRule>
  </conditionalFormatting>
  <conditionalFormatting sqref="U1:U35 U40:U1048576">
    <cfRule type="cellIs" dxfId="101" priority="112" operator="greaterThan">
      <formula>0.04</formula>
    </cfRule>
    <cfRule type="cellIs" dxfId="100" priority="113" operator="lessThan">
      <formula>0</formula>
    </cfRule>
  </conditionalFormatting>
  <conditionalFormatting sqref="B3:B35 B40:B49 B51:B1048576">
    <cfRule type="expression" dxfId="99" priority="110">
      <formula>$U3&gt;=0.1</formula>
    </cfRule>
    <cfRule type="expression" dxfId="98" priority="111">
      <formula>$G3&gt;$T3</formula>
    </cfRule>
  </conditionalFormatting>
  <conditionalFormatting sqref="X3:X35 X40:X1048576">
    <cfRule type="cellIs" dxfId="97" priority="108" operator="greaterThan">
      <formula>0.1</formula>
    </cfRule>
  </conditionalFormatting>
  <conditionalFormatting sqref="I36:N36">
    <cfRule type="cellIs" dxfId="96" priority="107" operator="lessThan">
      <formula>-0.07</formula>
    </cfRule>
  </conditionalFormatting>
  <conditionalFormatting sqref="I36:N36">
    <cfRule type="cellIs" dxfId="95" priority="106" operator="greaterThan">
      <formula>0</formula>
    </cfRule>
  </conditionalFormatting>
  <conditionalFormatting sqref="C36">
    <cfRule type="cellIs" dxfId="94" priority="104" operator="lessThan">
      <formula>100000</formula>
    </cfRule>
    <cfRule type="cellIs" dxfId="93" priority="105" operator="lessThan">
      <formula>1000000</formula>
    </cfRule>
  </conditionalFormatting>
  <conditionalFormatting sqref="P36">
    <cfRule type="cellIs" dxfId="92" priority="103" operator="greaterThan">
      <formula>0</formula>
    </cfRule>
  </conditionalFormatting>
  <conditionalFormatting sqref="P36">
    <cfRule type="cellIs" dxfId="91" priority="102" operator="lessThan">
      <formula>0</formula>
    </cfRule>
  </conditionalFormatting>
  <conditionalFormatting sqref="U36">
    <cfRule type="cellIs" dxfId="90" priority="100" operator="greaterThan">
      <formula>0.04</formula>
    </cfRule>
    <cfRule type="cellIs" dxfId="89" priority="101" operator="lessThan">
      <formula>0</formula>
    </cfRule>
  </conditionalFormatting>
  <conditionalFormatting sqref="B36">
    <cfRule type="expression" dxfId="88" priority="98">
      <formula>$U36&gt;=0.1</formula>
    </cfRule>
    <cfRule type="expression" dxfId="87" priority="99">
      <formula>$G36&gt;$T36</formula>
    </cfRule>
  </conditionalFormatting>
  <conditionalFormatting sqref="X36">
    <cfRule type="cellIs" dxfId="86" priority="97" operator="greaterThan">
      <formula>0.1</formula>
    </cfRule>
  </conditionalFormatting>
  <conditionalFormatting sqref="B3:Q36 T3:XFD36 B59:Q1048576 B40:B49 D40:Q49 T40:XFD49 T59:XFD1048576 H51:H58 B51:B58 D50:G58 Y51:XFD58 I50:Q58 T50:X58">
    <cfRule type="expression" dxfId="85" priority="96">
      <formula>CELL("ROW")=ROW()</formula>
    </cfRule>
  </conditionalFormatting>
  <conditionalFormatting sqref="D11 H1:H36 L1:L36 O1:O36 V1:V36 Y1:Y36 Q1:Q36 A1:A36 A40:A43 Y40:Y49 A46:A48 H40:H49 A51:A1048576 H51:H1048576 Y51:Y1048576 O40:O1048576 L40:L1048576 Q40:Q1048576 V40:V1048576">
    <cfRule type="expression" dxfId="84" priority="95">
      <formula>CELL("ROW")=ROW()</formula>
    </cfRule>
  </conditionalFormatting>
  <conditionalFormatting sqref="S1:S36 S40:S1048576">
    <cfRule type="cellIs" dxfId="83" priority="93" operator="greaterThan">
      <formula>0.04</formula>
    </cfRule>
    <cfRule type="cellIs" dxfId="82" priority="94" operator="lessThan">
      <formula>0</formula>
    </cfRule>
  </conditionalFormatting>
  <conditionalFormatting sqref="S36">
    <cfRule type="cellIs" dxfId="81" priority="91" operator="greaterThan">
      <formula>0.04</formula>
    </cfRule>
    <cfRule type="cellIs" dxfId="80" priority="92" operator="lessThan">
      <formula>0</formula>
    </cfRule>
  </conditionalFormatting>
  <conditionalFormatting sqref="R3:S36 R40:S1048576">
    <cfRule type="expression" dxfId="79" priority="90">
      <formula>CELL("ROW")=ROW()</formula>
    </cfRule>
  </conditionalFormatting>
  <conditionalFormatting sqref="Q1:Q36 Q40:Q1048576">
    <cfRule type="cellIs" dxfId="78" priority="88" operator="equal">
      <formula>"割安"</formula>
    </cfRule>
    <cfRule type="cellIs" dxfId="77" priority="89" operator="equal">
      <formula>"普通"</formula>
    </cfRule>
  </conditionalFormatting>
  <conditionalFormatting sqref="I37:N37">
    <cfRule type="cellIs" dxfId="76" priority="87" operator="lessThan">
      <formula>-0.07</formula>
    </cfRule>
  </conditionalFormatting>
  <conditionalFormatting sqref="I37:N37">
    <cfRule type="cellIs" dxfId="75" priority="86" operator="greaterThan">
      <formula>0</formula>
    </cfRule>
  </conditionalFormatting>
  <conditionalFormatting sqref="C37">
    <cfRule type="cellIs" dxfId="74" priority="84" operator="lessThan">
      <formula>100000</formula>
    </cfRule>
    <cfRule type="cellIs" dxfId="73" priority="85" operator="lessThan">
      <formula>1000000</formula>
    </cfRule>
  </conditionalFormatting>
  <conditionalFormatting sqref="P37">
    <cfRule type="cellIs" dxfId="72" priority="83" operator="greaterThan">
      <formula>0</formula>
    </cfRule>
  </conditionalFormatting>
  <conditionalFormatting sqref="P37">
    <cfRule type="cellIs" dxfId="71" priority="82" operator="lessThan">
      <formula>0</formula>
    </cfRule>
  </conditionalFormatting>
  <conditionalFormatting sqref="U37">
    <cfRule type="cellIs" dxfId="70" priority="80" operator="greaterThan">
      <formula>0.04</formula>
    </cfRule>
    <cfRule type="cellIs" dxfId="69" priority="81" operator="lessThan">
      <formula>0</formula>
    </cfRule>
  </conditionalFormatting>
  <conditionalFormatting sqref="B37">
    <cfRule type="expression" dxfId="68" priority="78">
      <formula>$U37&gt;=0.1</formula>
    </cfRule>
    <cfRule type="expression" dxfId="67" priority="79">
      <formula>$G37&gt;$T37</formula>
    </cfRule>
  </conditionalFormatting>
  <conditionalFormatting sqref="X37">
    <cfRule type="cellIs" dxfId="66" priority="77" operator="greaterThan">
      <formula>0.1</formula>
    </cfRule>
  </conditionalFormatting>
  <conditionalFormatting sqref="B37:Q37 T37:XFD37">
    <cfRule type="expression" dxfId="65" priority="76">
      <formula>CELL("ROW")=ROW()</formula>
    </cfRule>
  </conditionalFormatting>
  <conditionalFormatting sqref="H37 L37 O37 V37 Y37 Q37">
    <cfRule type="expression" dxfId="64" priority="75">
      <formula>CELL("ROW")=ROW()</formula>
    </cfRule>
  </conditionalFormatting>
  <conditionalFormatting sqref="S37">
    <cfRule type="cellIs" dxfId="63" priority="73" operator="greaterThan">
      <formula>0.04</formula>
    </cfRule>
    <cfRule type="cellIs" dxfId="62" priority="74" operator="lessThan">
      <formula>0</formula>
    </cfRule>
  </conditionalFormatting>
  <conditionalFormatting sqref="S37">
    <cfRule type="cellIs" dxfId="61" priority="71" operator="greaterThan">
      <formula>0.04</formula>
    </cfRule>
    <cfRule type="cellIs" dxfId="60" priority="72" operator="lessThan">
      <formula>0</formula>
    </cfRule>
  </conditionalFormatting>
  <conditionalFormatting sqref="R37:S37">
    <cfRule type="expression" dxfId="59" priority="70">
      <formula>CELL("ROW")=ROW()</formula>
    </cfRule>
  </conditionalFormatting>
  <conditionalFormatting sqref="Q37">
    <cfRule type="cellIs" dxfId="58" priority="68" operator="equal">
      <formula>"割安"</formula>
    </cfRule>
    <cfRule type="cellIs" dxfId="57" priority="69" operator="equal">
      <formula>"普通"</formula>
    </cfRule>
  </conditionalFormatting>
  <conditionalFormatting sqref="I38:N38">
    <cfRule type="cellIs" dxfId="56" priority="67" operator="lessThan">
      <formula>-0.07</formula>
    </cfRule>
  </conditionalFormatting>
  <conditionalFormatting sqref="I38:N38">
    <cfRule type="cellIs" dxfId="55" priority="66" operator="greaterThan">
      <formula>0</formula>
    </cfRule>
  </conditionalFormatting>
  <conditionalFormatting sqref="C38">
    <cfRule type="cellIs" dxfId="54" priority="64" operator="lessThan">
      <formula>100000</formula>
    </cfRule>
    <cfRule type="cellIs" dxfId="53" priority="65" operator="lessThan">
      <formula>1000000</formula>
    </cfRule>
  </conditionalFormatting>
  <conditionalFormatting sqref="P38">
    <cfRule type="cellIs" dxfId="52" priority="63" operator="greaterThan">
      <formula>0</formula>
    </cfRule>
  </conditionalFormatting>
  <conditionalFormatting sqref="P38">
    <cfRule type="cellIs" dxfId="51" priority="62" operator="lessThan">
      <formula>0</formula>
    </cfRule>
  </conditionalFormatting>
  <conditionalFormatting sqref="U38">
    <cfRule type="cellIs" dxfId="50" priority="60" operator="greaterThan">
      <formula>0.04</formula>
    </cfRule>
    <cfRule type="cellIs" dxfId="49" priority="61" operator="lessThan">
      <formula>0</formula>
    </cfRule>
  </conditionalFormatting>
  <conditionalFormatting sqref="B38">
    <cfRule type="expression" dxfId="48" priority="58">
      <formula>$U38&gt;=0.1</formula>
    </cfRule>
    <cfRule type="expression" dxfId="47" priority="59">
      <formula>$G38&gt;$T38</formula>
    </cfRule>
  </conditionalFormatting>
  <conditionalFormatting sqref="X38">
    <cfRule type="cellIs" dxfId="46" priority="57" operator="greaterThan">
      <formula>0.1</formula>
    </cfRule>
  </conditionalFormatting>
  <conditionalFormatting sqref="B38:Q38 T38:XFD38">
    <cfRule type="expression" dxfId="45" priority="56">
      <formula>CELL("ROW")=ROW()</formula>
    </cfRule>
  </conditionalFormatting>
  <conditionalFormatting sqref="H38 L38 O38 V38 Y38 Q38">
    <cfRule type="expression" dxfId="44" priority="55">
      <formula>CELL("ROW")=ROW()</formula>
    </cfRule>
  </conditionalFormatting>
  <conditionalFormatting sqref="S38">
    <cfRule type="cellIs" dxfId="43" priority="53" operator="greaterThan">
      <formula>0.04</formula>
    </cfRule>
    <cfRule type="cellIs" dxfId="42" priority="54" operator="lessThan">
      <formula>0</formula>
    </cfRule>
  </conditionalFormatting>
  <conditionalFormatting sqref="S38">
    <cfRule type="cellIs" dxfId="41" priority="51" operator="greaterThan">
      <formula>0.04</formula>
    </cfRule>
    <cfRule type="cellIs" dxfId="40" priority="52" operator="lessThan">
      <formula>0</formula>
    </cfRule>
  </conditionalFormatting>
  <conditionalFormatting sqref="R38:S38">
    <cfRule type="expression" dxfId="39" priority="50">
      <formula>CELL("ROW")=ROW()</formula>
    </cfRule>
  </conditionalFormatting>
  <conditionalFormatting sqref="Q38">
    <cfRule type="cellIs" dxfId="38" priority="48" operator="equal">
      <formula>"割安"</formula>
    </cfRule>
    <cfRule type="cellIs" dxfId="37" priority="49" operator="equal">
      <formula>"普通"</formula>
    </cfRule>
  </conditionalFormatting>
  <conditionalFormatting sqref="A37">
    <cfRule type="expression" dxfId="36" priority="47">
      <formula>CELL("ROW")=ROW()</formula>
    </cfRule>
  </conditionalFormatting>
  <conditionalFormatting sqref="A38">
    <cfRule type="expression" dxfId="35" priority="46">
      <formula>CELL("ROW")=ROW()</formula>
    </cfRule>
  </conditionalFormatting>
  <conditionalFormatting sqref="I39:N39">
    <cfRule type="cellIs" dxfId="34" priority="45" operator="lessThan">
      <formula>-0.07</formula>
    </cfRule>
  </conditionalFormatting>
  <conditionalFormatting sqref="I39:N39">
    <cfRule type="cellIs" dxfId="33" priority="44" operator="greaterThan">
      <formula>0</formula>
    </cfRule>
  </conditionalFormatting>
  <conditionalFormatting sqref="C39:C49">
    <cfRule type="cellIs" dxfId="32" priority="42" operator="lessThan">
      <formula>100000</formula>
    </cfRule>
    <cfRule type="cellIs" dxfId="31" priority="43" operator="lessThan">
      <formula>1000000</formula>
    </cfRule>
  </conditionalFormatting>
  <conditionalFormatting sqref="P39">
    <cfRule type="cellIs" dxfId="30" priority="41" operator="greaterThan">
      <formula>0</formula>
    </cfRule>
  </conditionalFormatting>
  <conditionalFormatting sqref="P39">
    <cfRule type="cellIs" dxfId="29" priority="40" operator="lessThan">
      <formula>0</formula>
    </cfRule>
  </conditionalFormatting>
  <conditionalFormatting sqref="U39">
    <cfRule type="cellIs" dxfId="28" priority="38" operator="greaterThan">
      <formula>0.04</formula>
    </cfRule>
    <cfRule type="cellIs" dxfId="27" priority="39" operator="lessThan">
      <formula>0</formula>
    </cfRule>
  </conditionalFormatting>
  <conditionalFormatting sqref="B39">
    <cfRule type="expression" dxfId="26" priority="36">
      <formula>$U39&gt;=0.1</formula>
    </cfRule>
    <cfRule type="expression" dxfId="25" priority="37">
      <formula>$G39&gt;$T39</formula>
    </cfRule>
  </conditionalFormatting>
  <conditionalFormatting sqref="X39">
    <cfRule type="cellIs" dxfId="24" priority="35" operator="greaterThan">
      <formula>0.1</formula>
    </cfRule>
  </conditionalFormatting>
  <conditionalFormatting sqref="B39:Q39 T39:XFD39 C40:C49">
    <cfRule type="expression" dxfId="23" priority="34">
      <formula>CELL("ROW")=ROW()</formula>
    </cfRule>
  </conditionalFormatting>
  <conditionalFormatting sqref="H39 L39 O39 V39 Y39 Q39">
    <cfRule type="expression" dxfId="22" priority="33">
      <formula>CELL("ROW")=ROW()</formula>
    </cfRule>
  </conditionalFormatting>
  <conditionalFormatting sqref="S39">
    <cfRule type="cellIs" dxfId="21" priority="31" operator="greaterThan">
      <formula>0.04</formula>
    </cfRule>
    <cfRule type="cellIs" dxfId="20" priority="32" operator="lessThan">
      <formula>0</formula>
    </cfRule>
  </conditionalFormatting>
  <conditionalFormatting sqref="S39">
    <cfRule type="cellIs" dxfId="19" priority="29" operator="greaterThan">
      <formula>0.04</formula>
    </cfRule>
    <cfRule type="cellIs" dxfId="18" priority="30" operator="lessThan">
      <formula>0</formula>
    </cfRule>
  </conditionalFormatting>
  <conditionalFormatting sqref="R39:S39">
    <cfRule type="expression" dxfId="17" priority="28">
      <formula>CELL("ROW")=ROW()</formula>
    </cfRule>
  </conditionalFormatting>
  <conditionalFormatting sqref="Q39">
    <cfRule type="cellIs" dxfId="16" priority="26" operator="equal">
      <formula>"割安"</formula>
    </cfRule>
    <cfRule type="cellIs" dxfId="15" priority="27" operator="equal">
      <formula>"普通"</formula>
    </cfRule>
  </conditionalFormatting>
  <conditionalFormatting sqref="A39">
    <cfRule type="expression" dxfId="14" priority="25">
      <formula>CELL("ROW")=ROW()</formula>
    </cfRule>
  </conditionalFormatting>
  <conditionalFormatting sqref="A44">
    <cfRule type="expression" dxfId="13" priority="24">
      <formula>CELL("ROW")=ROW()</formula>
    </cfRule>
  </conditionalFormatting>
  <conditionalFormatting sqref="A45">
    <cfRule type="expression" dxfId="12" priority="23">
      <formula>CELL("ROW")=ROW()</formula>
    </cfRule>
  </conditionalFormatting>
  <conditionalFormatting sqref="A49">
    <cfRule type="expression" dxfId="11" priority="21">
      <formula>CELL("ROW")=ROW()</formula>
    </cfRule>
  </conditionalFormatting>
  <conditionalFormatting sqref="B50">
    <cfRule type="expression" dxfId="10" priority="13">
      <formula>$U50&gt;=0.1</formula>
    </cfRule>
    <cfRule type="expression" dxfId="9" priority="14">
      <formula>$G50&gt;$T50</formula>
    </cfRule>
  </conditionalFormatting>
  <conditionalFormatting sqref="B50 H50 Y50:XFD50">
    <cfRule type="expression" dxfId="8" priority="11">
      <formula>CELL("ROW")=ROW()</formula>
    </cfRule>
  </conditionalFormatting>
  <conditionalFormatting sqref="Y50 H50">
    <cfRule type="expression" dxfId="7" priority="10">
      <formula>CELL("ROW")=ROW()</formula>
    </cfRule>
  </conditionalFormatting>
  <conditionalFormatting sqref="C50:C58">
    <cfRule type="cellIs" dxfId="6" priority="3" operator="lessThan">
      <formula>100000</formula>
    </cfRule>
    <cfRule type="cellIs" dxfId="5" priority="4" operator="lessThan">
      <formula>1000000</formula>
    </cfRule>
  </conditionalFormatting>
  <conditionalFormatting sqref="C50:C58">
    <cfRule type="expression" dxfId="4" priority="2">
      <formula>CELL("ROW")=ROW()</formula>
    </cfRule>
  </conditionalFormatting>
  <conditionalFormatting sqref="A50">
    <cfRule type="expression" dxfId="3" priority="1">
      <formula>CELL("ROW")=ROW()</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V77"/>
  <sheetViews>
    <sheetView zoomScale="85" zoomScaleNormal="85" workbookViewId="0">
      <pane xSplit="6" ySplit="2" topLeftCell="CO3" activePane="bottomRight" state="frozen"/>
      <selection pane="topRight" activeCell="E1" sqref="E1"/>
      <selection pane="bottomLeft" activeCell="A3" sqref="A3"/>
      <selection pane="bottomRight" activeCell="CV3" sqref="CV3:CV51"/>
    </sheetView>
  </sheetViews>
  <sheetFormatPr defaultColWidth="8" defaultRowHeight="15.75" x14ac:dyDescent="0.25"/>
  <cols>
    <col min="1" max="1" width="4.33203125" style="372" customWidth="1"/>
    <col min="2" max="2" width="26.21875" style="36" bestFit="1" customWidth="1"/>
    <col min="3" max="3" width="15" style="344" customWidth="1"/>
    <col min="4" max="4" width="15" style="345" customWidth="1"/>
    <col min="5" max="5" width="13.77734375" style="345" customWidth="1"/>
    <col min="6" max="6" width="13.77734375" style="346" customWidth="1"/>
    <col min="7" max="8" width="13.21875" style="137" hidden="1" customWidth="1"/>
    <col min="9" max="15" width="11.88671875" style="137" hidden="1" customWidth="1"/>
    <col min="16" max="20" width="13.21875" style="137" hidden="1" customWidth="1"/>
    <col min="21" max="23" width="12.21875" style="137" hidden="1" customWidth="1"/>
    <col min="24" max="30" width="13.21875" style="137" hidden="1" customWidth="1"/>
    <col min="31" max="33" width="11.88671875" style="137" hidden="1" customWidth="1"/>
    <col min="34" max="43" width="13.21875" style="137" hidden="1" customWidth="1"/>
    <col min="44" max="48" width="13.33203125" style="137" hidden="1" customWidth="1"/>
    <col min="49" max="50" width="10.88671875" style="137" hidden="1" customWidth="1"/>
    <col min="51" max="51" width="12" style="137" hidden="1" customWidth="1"/>
    <col min="52" max="52" width="10.77734375" style="137" hidden="1" customWidth="1"/>
    <col min="53" max="54" width="12" style="137" hidden="1" customWidth="1"/>
    <col min="55" max="68" width="11.5546875" style="137" hidden="1" customWidth="1"/>
    <col min="69" max="75" width="10.21875" style="137" hidden="1" customWidth="1"/>
    <col min="76" max="92" width="11.44140625" style="137" hidden="1" customWidth="1"/>
    <col min="93" max="95" width="11.44140625" style="137" customWidth="1"/>
    <col min="96" max="100" width="11.44140625" style="137" bestFit="1" customWidth="1"/>
    <col min="101" max="16384" width="8" style="137"/>
  </cols>
  <sheetData>
    <row r="1" spans="1:100" s="60" customFormat="1" x14ac:dyDescent="0.25">
      <c r="A1" s="12" t="s">
        <v>157</v>
      </c>
      <c r="B1" s="254" t="s">
        <v>158</v>
      </c>
      <c r="C1" s="361"/>
      <c r="D1" s="362"/>
      <c r="E1" s="362"/>
      <c r="F1" s="363"/>
      <c r="G1" s="12">
        <v>0</v>
      </c>
      <c r="H1" s="60">
        <v>0</v>
      </c>
      <c r="I1" s="60">
        <v>0</v>
      </c>
      <c r="J1" s="131">
        <v>0</v>
      </c>
      <c r="K1" s="60">
        <v>0</v>
      </c>
      <c r="L1" s="60">
        <v>0</v>
      </c>
      <c r="M1" s="132" t="s">
        <v>30</v>
      </c>
      <c r="N1" s="60">
        <v>0</v>
      </c>
      <c r="O1" s="132" t="s">
        <v>30</v>
      </c>
      <c r="P1" s="60">
        <v>0</v>
      </c>
      <c r="Q1" s="60">
        <v>0</v>
      </c>
      <c r="R1" s="60">
        <v>0</v>
      </c>
      <c r="S1" s="60">
        <v>0</v>
      </c>
      <c r="T1" s="132" t="s">
        <v>30</v>
      </c>
      <c r="U1" s="132" t="s">
        <v>30</v>
      </c>
      <c r="V1" s="132" t="s">
        <v>30</v>
      </c>
      <c r="W1" s="132" t="s">
        <v>30</v>
      </c>
      <c r="X1" s="132" t="s">
        <v>30</v>
      </c>
      <c r="Y1" s="132" t="s">
        <v>30</v>
      </c>
      <c r="Z1" s="132" t="s">
        <v>30</v>
      </c>
      <c r="AA1" s="132" t="s">
        <v>30</v>
      </c>
      <c r="AB1" s="132" t="s">
        <v>30</v>
      </c>
      <c r="AC1" s="132" t="s">
        <v>30</v>
      </c>
      <c r="AD1" s="132" t="s">
        <v>30</v>
      </c>
      <c r="AE1" s="60">
        <v>0</v>
      </c>
      <c r="AF1" s="60">
        <v>0</v>
      </c>
      <c r="AG1" s="132" t="s">
        <v>30</v>
      </c>
      <c r="AH1" s="132" t="s">
        <v>30</v>
      </c>
      <c r="AI1" s="60">
        <v>0</v>
      </c>
      <c r="AJ1" s="132" t="s">
        <v>30</v>
      </c>
      <c r="AK1" s="60">
        <v>0</v>
      </c>
      <c r="AL1" s="60">
        <v>0</v>
      </c>
      <c r="AM1" s="60">
        <v>0</v>
      </c>
      <c r="AN1" s="60">
        <v>0</v>
      </c>
      <c r="AO1" s="132" t="s">
        <v>30</v>
      </c>
      <c r="AP1" s="60">
        <v>0</v>
      </c>
      <c r="AQ1" s="60">
        <v>0</v>
      </c>
      <c r="AR1" s="60">
        <v>0</v>
      </c>
      <c r="AS1" s="60">
        <v>0</v>
      </c>
      <c r="AT1" s="132" t="s">
        <v>30</v>
      </c>
      <c r="AU1" s="60">
        <v>0</v>
      </c>
      <c r="AV1" s="60">
        <v>0</v>
      </c>
    </row>
    <row r="2" spans="1:100" s="328" customFormat="1" ht="16.5" thickBot="1" x14ac:dyDescent="0.3">
      <c r="A2" s="365" t="s">
        <v>24</v>
      </c>
      <c r="B2" s="315" t="s">
        <v>18</v>
      </c>
      <c r="C2" s="368" t="s">
        <v>159</v>
      </c>
      <c r="D2" s="315" t="s">
        <v>455</v>
      </c>
      <c r="E2" s="315" t="s">
        <v>451</v>
      </c>
      <c r="F2" s="315" t="s">
        <v>452</v>
      </c>
      <c r="G2" s="326">
        <v>42793</v>
      </c>
      <c r="H2" s="326">
        <v>42794</v>
      </c>
      <c r="I2" s="326">
        <v>42795</v>
      </c>
      <c r="J2" s="326">
        <v>42796</v>
      </c>
      <c r="K2" s="326">
        <v>42797</v>
      </c>
      <c r="L2" s="326">
        <v>42800</v>
      </c>
      <c r="M2" s="327">
        <v>42801</v>
      </c>
      <c r="N2" s="327">
        <v>42802</v>
      </c>
      <c r="O2" s="327">
        <v>42803</v>
      </c>
      <c r="P2" s="327">
        <v>42804</v>
      </c>
      <c r="Q2" s="327">
        <v>42807</v>
      </c>
      <c r="R2" s="327">
        <v>42808</v>
      </c>
      <c r="S2" s="327">
        <v>42809</v>
      </c>
      <c r="T2" s="327">
        <v>42810</v>
      </c>
      <c r="U2" s="327">
        <v>42811</v>
      </c>
      <c r="V2" s="326">
        <v>42815</v>
      </c>
      <c r="W2" s="326">
        <v>42816</v>
      </c>
      <c r="X2" s="326">
        <v>42817</v>
      </c>
      <c r="Y2" s="326">
        <v>42818</v>
      </c>
      <c r="Z2" s="326">
        <v>42821</v>
      </c>
      <c r="AA2" s="326">
        <v>42822</v>
      </c>
      <c r="AB2" s="326">
        <v>42823</v>
      </c>
      <c r="AC2" s="326">
        <v>42824</v>
      </c>
      <c r="AD2" s="326">
        <v>42825</v>
      </c>
      <c r="AE2" s="326">
        <v>42828</v>
      </c>
      <c r="AF2" s="326">
        <v>42831</v>
      </c>
      <c r="AG2" s="326">
        <v>42832</v>
      </c>
      <c r="AH2" s="326">
        <v>42835</v>
      </c>
      <c r="AI2" s="326">
        <v>42836</v>
      </c>
      <c r="AJ2" s="326">
        <v>42837</v>
      </c>
      <c r="AK2" s="326">
        <v>42838</v>
      </c>
      <c r="AL2" s="326">
        <v>42839</v>
      </c>
      <c r="AM2" s="326">
        <v>42842</v>
      </c>
      <c r="AN2" s="326">
        <v>42843</v>
      </c>
      <c r="AO2" s="326">
        <v>42844</v>
      </c>
      <c r="AP2" s="326">
        <v>42845</v>
      </c>
      <c r="AQ2" s="326">
        <v>42846</v>
      </c>
      <c r="AR2" s="326">
        <v>42849</v>
      </c>
      <c r="AS2" s="326">
        <v>42850</v>
      </c>
      <c r="AT2" s="326">
        <v>42851</v>
      </c>
      <c r="AU2" s="326">
        <v>42852</v>
      </c>
      <c r="AV2" s="326">
        <v>42853</v>
      </c>
      <c r="AW2" s="326">
        <v>42856</v>
      </c>
      <c r="AX2" s="326">
        <v>42857</v>
      </c>
      <c r="AY2" s="326">
        <v>42863</v>
      </c>
      <c r="AZ2" s="326">
        <v>42864</v>
      </c>
      <c r="BA2" s="326">
        <v>42865</v>
      </c>
      <c r="BB2" s="326">
        <v>42866</v>
      </c>
      <c r="BC2" s="326">
        <v>42867</v>
      </c>
      <c r="BD2" s="326">
        <v>42870</v>
      </c>
      <c r="BE2" s="326">
        <v>42871</v>
      </c>
      <c r="BF2" s="326">
        <v>42872</v>
      </c>
      <c r="BG2" s="326">
        <v>42873</v>
      </c>
      <c r="BH2" s="326">
        <v>42874</v>
      </c>
      <c r="BI2" s="326">
        <v>42877</v>
      </c>
      <c r="BJ2" s="326">
        <v>42878</v>
      </c>
      <c r="BK2" s="326">
        <v>42879</v>
      </c>
      <c r="BL2" s="326">
        <v>42880</v>
      </c>
      <c r="BM2" s="326">
        <v>42881</v>
      </c>
      <c r="BN2" s="326">
        <v>42884</v>
      </c>
      <c r="BO2" s="326">
        <v>42885</v>
      </c>
      <c r="BP2" s="326">
        <v>42886</v>
      </c>
      <c r="BQ2" s="326">
        <v>42887</v>
      </c>
      <c r="BR2" s="326">
        <v>42888</v>
      </c>
      <c r="BS2" s="326">
        <v>42891</v>
      </c>
      <c r="BT2" s="326">
        <v>42892</v>
      </c>
      <c r="BU2" s="326">
        <v>42893</v>
      </c>
      <c r="BV2" s="326">
        <v>42894</v>
      </c>
      <c r="BW2" s="326">
        <v>42895</v>
      </c>
      <c r="BX2" s="326">
        <v>42898</v>
      </c>
      <c r="BY2" s="326">
        <v>42899</v>
      </c>
      <c r="BZ2" s="326">
        <v>42900</v>
      </c>
      <c r="CA2" s="326">
        <v>42901</v>
      </c>
      <c r="CB2" s="326">
        <v>42902</v>
      </c>
      <c r="CC2" s="326">
        <v>42905</v>
      </c>
      <c r="CD2" s="326">
        <v>42906</v>
      </c>
      <c r="CE2" s="326">
        <v>42907</v>
      </c>
      <c r="CF2" s="326">
        <v>42908</v>
      </c>
      <c r="CG2" s="326">
        <v>42909</v>
      </c>
      <c r="CH2" s="326">
        <v>42912</v>
      </c>
      <c r="CI2" s="326">
        <v>42913</v>
      </c>
      <c r="CJ2" s="326">
        <v>42914</v>
      </c>
      <c r="CK2" s="326">
        <v>42915</v>
      </c>
      <c r="CL2" s="326">
        <v>42916</v>
      </c>
      <c r="CM2" s="326">
        <v>42919</v>
      </c>
      <c r="CN2" s="326">
        <v>42920</v>
      </c>
      <c r="CO2" s="326">
        <v>42921</v>
      </c>
      <c r="CP2" s="326">
        <v>42922</v>
      </c>
      <c r="CQ2" s="326">
        <v>42923</v>
      </c>
      <c r="CR2" s="326">
        <v>42926</v>
      </c>
      <c r="CS2" s="326">
        <v>42927</v>
      </c>
      <c r="CT2" s="326">
        <v>42928</v>
      </c>
      <c r="CU2" s="326">
        <v>42929</v>
      </c>
      <c r="CV2" s="326">
        <v>42930</v>
      </c>
    </row>
    <row r="3" spans="1:100" s="136" customFormat="1" ht="16.5" thickTop="1" x14ac:dyDescent="0.25">
      <c r="A3" s="366"/>
      <c r="B3" s="84" t="str">
        <f>IPO監視一覧!B3</f>
        <v>日宣</v>
      </c>
      <c r="C3" s="369">
        <f>株価一覧!E2</f>
        <v>2519</v>
      </c>
      <c r="D3" s="337">
        <f t="shared" ref="D3:D42" ca="1" si="0">AVERAGE(OFFSET(A3,0,COUNTA(G3:XFD3)+5,1,-5))</f>
        <v>2499.1999999999998</v>
      </c>
      <c r="E3" s="337">
        <f t="shared" ref="E3:E42" ca="1" si="1">AVERAGE(OFFSET(A3,0,COUNTA(G3:XFD3)+5,1,-10))</f>
        <v>2495.9</v>
      </c>
      <c r="F3" s="338">
        <f t="shared" ref="F3:F42" ca="1" si="2">MIN(OFFSET(B3,0,COUNTA(G3:XFD3)+5,1,-10))</f>
        <v>2450</v>
      </c>
      <c r="G3" s="134">
        <v>2645</v>
      </c>
      <c r="H3" s="134">
        <v>2593</v>
      </c>
      <c r="I3" s="134">
        <v>2617</v>
      </c>
      <c r="J3" s="134">
        <v>2599</v>
      </c>
      <c r="K3" s="134">
        <v>2579</v>
      </c>
      <c r="L3" s="134">
        <v>2571</v>
      </c>
      <c r="M3" s="135">
        <v>2519</v>
      </c>
      <c r="N3" s="135">
        <v>2603</v>
      </c>
      <c r="O3" s="135">
        <v>2592</v>
      </c>
      <c r="P3" s="135">
        <v>2632</v>
      </c>
      <c r="Q3" s="135">
        <v>2648</v>
      </c>
      <c r="R3" s="135">
        <v>2550</v>
      </c>
      <c r="S3" s="135">
        <v>2530</v>
      </c>
      <c r="T3" s="135">
        <v>2497</v>
      </c>
      <c r="U3" s="135">
        <v>2383</v>
      </c>
      <c r="V3" s="134">
        <v>2390</v>
      </c>
      <c r="W3" s="134">
        <v>2392</v>
      </c>
      <c r="X3" s="134">
        <v>2399</v>
      </c>
      <c r="Y3" s="136">
        <v>2408</v>
      </c>
      <c r="Z3" s="134">
        <v>2393</v>
      </c>
      <c r="AA3" s="134">
        <v>2365</v>
      </c>
      <c r="AB3" s="136">
        <v>2440</v>
      </c>
      <c r="AC3" s="136">
        <v>2460</v>
      </c>
      <c r="AD3" s="136">
        <v>2480</v>
      </c>
      <c r="AE3" s="136">
        <v>2440</v>
      </c>
      <c r="AF3" s="136">
        <v>2350</v>
      </c>
      <c r="AG3" s="134">
        <v>2347</v>
      </c>
      <c r="AH3" s="134">
        <v>2389</v>
      </c>
      <c r="AI3" s="134">
        <v>2447</v>
      </c>
      <c r="AJ3" s="134">
        <v>2343</v>
      </c>
      <c r="AK3" s="134">
        <v>2335</v>
      </c>
      <c r="AL3" s="134">
        <v>2310</v>
      </c>
      <c r="AM3" s="134">
        <v>2310</v>
      </c>
      <c r="AN3" s="134">
        <v>2353</v>
      </c>
      <c r="AO3" s="134">
        <v>2400</v>
      </c>
      <c r="AP3" s="134">
        <v>2379</v>
      </c>
      <c r="AQ3" s="134">
        <v>2494</v>
      </c>
      <c r="AR3" s="134">
        <v>2490</v>
      </c>
      <c r="AS3" s="134">
        <v>2462</v>
      </c>
      <c r="AT3" s="134">
        <v>2500</v>
      </c>
      <c r="AU3" s="134">
        <v>2488</v>
      </c>
      <c r="AV3" s="134">
        <v>2494</v>
      </c>
      <c r="AW3" s="134">
        <v>2509</v>
      </c>
      <c r="AX3" s="134">
        <v>2502</v>
      </c>
      <c r="AY3" s="134">
        <v>2570</v>
      </c>
      <c r="AZ3" s="134">
        <v>2539</v>
      </c>
      <c r="BA3" s="134">
        <v>2515</v>
      </c>
      <c r="BB3" s="134">
        <v>2482</v>
      </c>
      <c r="BC3" s="134">
        <v>2510</v>
      </c>
      <c r="BD3" s="134">
        <v>2498</v>
      </c>
      <c r="BE3" s="134">
        <v>2486</v>
      </c>
      <c r="BF3" s="134">
        <v>2440</v>
      </c>
      <c r="BG3" s="134">
        <v>2413</v>
      </c>
      <c r="BH3" s="134">
        <v>2408</v>
      </c>
      <c r="BI3" s="134">
        <v>2409</v>
      </c>
      <c r="BJ3" s="134">
        <v>2403</v>
      </c>
      <c r="BK3" s="134">
        <v>2417</v>
      </c>
      <c r="BL3" s="134">
        <v>2411</v>
      </c>
      <c r="BM3" s="134">
        <v>2388</v>
      </c>
      <c r="BN3" s="134">
        <v>2360</v>
      </c>
      <c r="BO3" s="134">
        <v>2376</v>
      </c>
      <c r="BP3" s="134">
        <v>2376</v>
      </c>
      <c r="BQ3" s="136">
        <v>2400</v>
      </c>
      <c r="BR3" s="136">
        <v>2405</v>
      </c>
      <c r="BS3" s="136">
        <v>2422</v>
      </c>
      <c r="BT3" s="136">
        <v>2414</v>
      </c>
      <c r="BU3" s="136">
        <v>2414</v>
      </c>
      <c r="BV3" s="136">
        <v>2411</v>
      </c>
      <c r="BW3" s="136">
        <v>2402</v>
      </c>
      <c r="BX3" s="136">
        <v>2403</v>
      </c>
      <c r="BY3" s="136">
        <v>2463</v>
      </c>
      <c r="BZ3" s="136">
        <v>2525</v>
      </c>
      <c r="CA3" s="136">
        <v>2485</v>
      </c>
      <c r="CB3" s="136">
        <v>2460</v>
      </c>
      <c r="CC3" s="136">
        <v>2415</v>
      </c>
      <c r="CD3" s="136">
        <v>2441</v>
      </c>
      <c r="CE3" s="136">
        <v>2435</v>
      </c>
      <c r="CF3" s="136">
        <v>2424</v>
      </c>
      <c r="CG3" s="136">
        <v>2495</v>
      </c>
      <c r="CH3" s="136">
        <v>2500</v>
      </c>
      <c r="CI3" s="136">
        <v>2506</v>
      </c>
      <c r="CJ3" s="136">
        <v>2460</v>
      </c>
      <c r="CK3" s="136">
        <v>2479</v>
      </c>
      <c r="CL3" s="136">
        <v>2479</v>
      </c>
      <c r="CM3" s="136">
        <v>2530</v>
      </c>
      <c r="CN3" s="136">
        <v>2507</v>
      </c>
      <c r="CO3" s="136">
        <v>2450</v>
      </c>
      <c r="CP3" s="136">
        <v>2481</v>
      </c>
      <c r="CQ3" s="136">
        <v>2495</v>
      </c>
      <c r="CR3" s="136">
        <v>2497</v>
      </c>
      <c r="CS3" s="136">
        <v>2497</v>
      </c>
      <c r="CT3" s="136">
        <v>2488</v>
      </c>
      <c r="CU3" s="136">
        <v>2495</v>
      </c>
      <c r="CV3" s="136">
        <v>2519</v>
      </c>
    </row>
    <row r="4" spans="1:100" x14ac:dyDescent="0.25">
      <c r="A4" s="367" t="str">
        <f>IPO監視一覧!H4</f>
        <v>C</v>
      </c>
      <c r="B4" s="91" t="str">
        <f>IPO監視一覧!B4</f>
        <v>レノバ </v>
      </c>
      <c r="C4" s="341">
        <f>株価一覧!E3</f>
        <v>1263</v>
      </c>
      <c r="D4" s="364">
        <f t="shared" ca="1" si="0"/>
        <v>1248.5999999999999</v>
      </c>
      <c r="E4" s="339">
        <f t="shared" ca="1" si="1"/>
        <v>1229.0999999999999</v>
      </c>
      <c r="F4" s="340">
        <f t="shared" ca="1" si="2"/>
        <v>1201</v>
      </c>
      <c r="G4" s="135">
        <v>1825</v>
      </c>
      <c r="H4" s="135">
        <v>2135</v>
      </c>
      <c r="I4" s="135">
        <v>2004</v>
      </c>
      <c r="J4" s="135">
        <v>2138</v>
      </c>
      <c r="K4" s="135">
        <v>2145</v>
      </c>
      <c r="L4" s="135">
        <v>2060</v>
      </c>
      <c r="M4" s="135">
        <v>1990</v>
      </c>
      <c r="N4" s="135">
        <v>1915</v>
      </c>
      <c r="O4" s="135">
        <v>1872</v>
      </c>
      <c r="P4" s="135">
        <v>2073</v>
      </c>
      <c r="Q4" s="135">
        <v>1880</v>
      </c>
      <c r="R4" s="135">
        <v>1900</v>
      </c>
      <c r="S4" s="135">
        <v>1930</v>
      </c>
      <c r="T4" s="135">
        <v>1890</v>
      </c>
      <c r="U4" s="135">
        <v>1750</v>
      </c>
      <c r="V4" s="135">
        <v>1611</v>
      </c>
      <c r="W4" s="135">
        <v>1657</v>
      </c>
      <c r="X4" s="135">
        <v>1670</v>
      </c>
      <c r="Y4" s="137">
        <v>1699</v>
      </c>
      <c r="Z4" s="135">
        <v>1710</v>
      </c>
      <c r="AA4" s="135">
        <v>1680</v>
      </c>
      <c r="AB4" s="137">
        <v>1685</v>
      </c>
      <c r="AC4" s="137">
        <v>1680</v>
      </c>
      <c r="AD4" s="137">
        <v>1710</v>
      </c>
      <c r="AE4" s="137">
        <v>1718</v>
      </c>
      <c r="AF4" s="137">
        <v>1560</v>
      </c>
      <c r="AG4" s="135">
        <v>1660</v>
      </c>
      <c r="AH4" s="135">
        <v>1505</v>
      </c>
      <c r="AI4" s="135">
        <v>1370</v>
      </c>
      <c r="AJ4" s="135">
        <v>1239</v>
      </c>
      <c r="AK4" s="135">
        <v>1301</v>
      </c>
      <c r="AL4" s="135">
        <v>1258</v>
      </c>
      <c r="AM4" s="135">
        <v>1279</v>
      </c>
      <c r="AN4" s="135">
        <v>1273</v>
      </c>
      <c r="AO4" s="135">
        <v>1282</v>
      </c>
      <c r="AP4" s="135">
        <v>1305</v>
      </c>
      <c r="AQ4" s="135">
        <v>1390</v>
      </c>
      <c r="AR4" s="135">
        <v>1310</v>
      </c>
      <c r="AS4" s="135">
        <v>1324</v>
      </c>
      <c r="AT4" s="135">
        <v>1343</v>
      </c>
      <c r="AU4" s="135">
        <v>1359</v>
      </c>
      <c r="AV4" s="135">
        <v>1308</v>
      </c>
      <c r="AW4" s="135">
        <v>1280</v>
      </c>
      <c r="AX4" s="135">
        <v>1291</v>
      </c>
      <c r="AY4" s="135">
        <v>1302</v>
      </c>
      <c r="AZ4" s="135">
        <v>1389</v>
      </c>
      <c r="BA4" s="135">
        <v>1383</v>
      </c>
      <c r="BB4" s="135">
        <v>1369</v>
      </c>
      <c r="BC4" s="135">
        <v>1322</v>
      </c>
      <c r="BD4" s="135">
        <v>1292</v>
      </c>
      <c r="BE4" s="135">
        <v>1292</v>
      </c>
      <c r="BF4" s="135">
        <v>1263</v>
      </c>
      <c r="BG4" s="135">
        <v>1295</v>
      </c>
      <c r="BH4" s="135">
        <v>1356</v>
      </c>
      <c r="BI4" s="135">
        <v>1359</v>
      </c>
      <c r="BJ4" s="135">
        <v>1325</v>
      </c>
      <c r="BK4" s="135">
        <v>1341</v>
      </c>
      <c r="BL4" s="135">
        <v>1335</v>
      </c>
      <c r="BM4" s="135">
        <v>1296</v>
      </c>
      <c r="BN4" s="135">
        <v>1282</v>
      </c>
      <c r="BO4" s="135">
        <v>1273</v>
      </c>
      <c r="BP4" s="135">
        <v>1251</v>
      </c>
      <c r="BQ4" s="137">
        <v>1248</v>
      </c>
      <c r="BR4" s="137">
        <v>1244</v>
      </c>
      <c r="BS4" s="137">
        <v>1250</v>
      </c>
      <c r="BT4" s="137">
        <v>1239</v>
      </c>
      <c r="BU4" s="137">
        <v>1227</v>
      </c>
      <c r="BV4" s="137">
        <v>1222</v>
      </c>
      <c r="BW4" s="137">
        <v>1228</v>
      </c>
      <c r="BX4" s="137">
        <v>1187</v>
      </c>
      <c r="BY4" s="137">
        <v>1159</v>
      </c>
      <c r="BZ4" s="137">
        <v>1153</v>
      </c>
      <c r="CA4" s="137">
        <v>1134</v>
      </c>
      <c r="CB4" s="137">
        <v>1155</v>
      </c>
      <c r="CC4" s="137">
        <v>1227</v>
      </c>
      <c r="CD4" s="137">
        <v>1198</v>
      </c>
      <c r="CE4" s="137">
        <v>1185</v>
      </c>
      <c r="CF4" s="137">
        <v>1161</v>
      </c>
      <c r="CG4" s="137">
        <v>1151</v>
      </c>
      <c r="CH4" s="137">
        <v>1152</v>
      </c>
      <c r="CI4" s="137">
        <v>1149</v>
      </c>
      <c r="CJ4" s="137">
        <v>1107</v>
      </c>
      <c r="CK4" s="137">
        <v>1083</v>
      </c>
      <c r="CL4" s="137">
        <v>1102</v>
      </c>
      <c r="CM4" s="137">
        <v>1144</v>
      </c>
      <c r="CN4" s="137">
        <v>1218</v>
      </c>
      <c r="CO4" s="137">
        <v>1260</v>
      </c>
      <c r="CP4" s="137">
        <v>1201</v>
      </c>
      <c r="CQ4" s="137">
        <v>1225</v>
      </c>
      <c r="CR4" s="137">
        <v>1222</v>
      </c>
      <c r="CS4" s="137">
        <v>1249</v>
      </c>
      <c r="CT4" s="137">
        <v>1257</v>
      </c>
      <c r="CU4" s="137">
        <v>1252</v>
      </c>
      <c r="CV4" s="137">
        <v>1263</v>
      </c>
    </row>
    <row r="5" spans="1:100" x14ac:dyDescent="0.25">
      <c r="A5" s="367" t="str">
        <f>IPO監視一覧!H5</f>
        <v>B</v>
      </c>
      <c r="B5" s="91" t="str">
        <f>IPO監視一覧!B5</f>
        <v>ユナイテッド＆コレクティブ</v>
      </c>
      <c r="C5" s="341">
        <f>株価一覧!E4</f>
        <v>4410</v>
      </c>
      <c r="D5" s="364">
        <f t="shared" ca="1" si="0"/>
        <v>4222</v>
      </c>
      <c r="E5" s="339">
        <f t="shared" ca="1" si="1"/>
        <v>4111</v>
      </c>
      <c r="F5" s="340">
        <f t="shared" ca="1" si="2"/>
        <v>3965</v>
      </c>
      <c r="G5" s="135">
        <v>6200</v>
      </c>
      <c r="H5" s="135">
        <v>6520</v>
      </c>
      <c r="I5" s="135">
        <v>6290</v>
      </c>
      <c r="J5" s="135">
        <v>6540</v>
      </c>
      <c r="K5" s="135">
        <v>6190</v>
      </c>
      <c r="L5" s="135">
        <v>5640</v>
      </c>
      <c r="M5" s="135">
        <v>5600</v>
      </c>
      <c r="N5" s="135">
        <v>5380</v>
      </c>
      <c r="O5" s="135">
        <v>5550</v>
      </c>
      <c r="P5" s="135">
        <v>5320</v>
      </c>
      <c r="Q5" s="135">
        <v>5320</v>
      </c>
      <c r="R5" s="138">
        <v>5890</v>
      </c>
      <c r="S5" s="135">
        <v>5450</v>
      </c>
      <c r="T5" s="135">
        <v>5460</v>
      </c>
      <c r="U5" s="135">
        <v>5140</v>
      </c>
      <c r="V5" s="135">
        <v>4860</v>
      </c>
      <c r="W5" s="135">
        <v>4850</v>
      </c>
      <c r="X5" s="135">
        <v>4995</v>
      </c>
      <c r="Y5" s="137">
        <v>5000</v>
      </c>
      <c r="Z5" s="135">
        <v>4880</v>
      </c>
      <c r="AA5" s="135">
        <v>4940</v>
      </c>
      <c r="AB5" s="137">
        <v>5030</v>
      </c>
      <c r="AC5" s="137">
        <v>5190</v>
      </c>
      <c r="AD5" s="137">
        <v>5300</v>
      </c>
      <c r="AE5" s="137">
        <v>5430</v>
      </c>
      <c r="AF5" s="137">
        <v>4995</v>
      </c>
      <c r="AG5" s="135">
        <v>5050</v>
      </c>
      <c r="AH5" s="135">
        <v>4975</v>
      </c>
      <c r="AI5" s="135">
        <v>4900</v>
      </c>
      <c r="AJ5" s="135">
        <v>4515</v>
      </c>
      <c r="AK5" s="135">
        <v>4400</v>
      </c>
      <c r="AL5" s="135">
        <v>4300</v>
      </c>
      <c r="AM5" s="135">
        <v>3900</v>
      </c>
      <c r="AN5" s="135">
        <v>3935</v>
      </c>
      <c r="AO5" s="135">
        <v>3900</v>
      </c>
      <c r="AP5" s="135">
        <v>4120</v>
      </c>
      <c r="AQ5" s="135">
        <v>4265</v>
      </c>
      <c r="AR5" s="135">
        <v>4000</v>
      </c>
      <c r="AS5" s="135">
        <v>4050</v>
      </c>
      <c r="AT5" s="135">
        <v>4535</v>
      </c>
      <c r="AU5" s="135">
        <v>4570</v>
      </c>
      <c r="AV5" s="135">
        <v>4375</v>
      </c>
      <c r="AW5" s="135">
        <v>4335</v>
      </c>
      <c r="AX5" s="135">
        <v>4285</v>
      </c>
      <c r="AY5" s="135">
        <v>4355</v>
      </c>
      <c r="AZ5" s="135">
        <v>4410</v>
      </c>
      <c r="BA5" s="135">
        <v>4765</v>
      </c>
      <c r="BB5" s="135">
        <v>4810</v>
      </c>
      <c r="BC5" s="135">
        <v>4710</v>
      </c>
      <c r="BD5" s="135">
        <v>4715</v>
      </c>
      <c r="BE5" s="135">
        <v>4715</v>
      </c>
      <c r="BF5" s="135">
        <v>4535</v>
      </c>
      <c r="BG5" s="135">
        <v>4365</v>
      </c>
      <c r="BH5" s="135">
        <v>4500</v>
      </c>
      <c r="BI5" s="135">
        <v>4560</v>
      </c>
      <c r="BJ5" s="135">
        <v>4490</v>
      </c>
      <c r="BK5" s="135">
        <v>4550</v>
      </c>
      <c r="BL5" s="135">
        <v>4470</v>
      </c>
      <c r="BM5" s="135">
        <v>4440</v>
      </c>
      <c r="BN5" s="135">
        <v>4455</v>
      </c>
      <c r="BO5" s="135">
        <v>4500</v>
      </c>
      <c r="BP5" s="135">
        <v>4430</v>
      </c>
      <c r="BQ5" s="137">
        <v>4475</v>
      </c>
      <c r="BR5" s="137">
        <v>4495</v>
      </c>
      <c r="BS5" s="137">
        <v>4630</v>
      </c>
      <c r="BT5" s="137">
        <v>4615</v>
      </c>
      <c r="BU5" s="137">
        <v>4610</v>
      </c>
      <c r="BV5" s="137">
        <v>4530</v>
      </c>
      <c r="BW5" s="137">
        <v>4450</v>
      </c>
      <c r="BX5" s="137">
        <v>4400</v>
      </c>
      <c r="BY5" s="137">
        <v>4335</v>
      </c>
      <c r="BZ5" s="137">
        <v>4215</v>
      </c>
      <c r="CA5" s="137">
        <v>4305</v>
      </c>
      <c r="CB5" s="137">
        <v>4210</v>
      </c>
      <c r="CC5" s="137">
        <v>4210</v>
      </c>
      <c r="CD5" s="137">
        <v>4200</v>
      </c>
      <c r="CE5" s="137">
        <v>4195</v>
      </c>
      <c r="CF5" s="137">
        <v>4180</v>
      </c>
      <c r="CG5" s="137">
        <v>4135</v>
      </c>
      <c r="CH5" s="137">
        <v>4145</v>
      </c>
      <c r="CI5" s="137">
        <v>4155</v>
      </c>
      <c r="CJ5" s="137">
        <v>4145</v>
      </c>
      <c r="CK5" s="137">
        <v>4100</v>
      </c>
      <c r="CL5" s="137">
        <v>4020</v>
      </c>
      <c r="CM5" s="137">
        <v>4045</v>
      </c>
      <c r="CN5" s="137">
        <v>4010</v>
      </c>
      <c r="CO5" s="137">
        <v>3995</v>
      </c>
      <c r="CP5" s="137">
        <v>3985</v>
      </c>
      <c r="CQ5" s="137">
        <v>3965</v>
      </c>
      <c r="CR5" s="137">
        <v>4040</v>
      </c>
      <c r="CS5" s="137">
        <v>4150</v>
      </c>
      <c r="CT5" s="137">
        <v>4250</v>
      </c>
      <c r="CU5" s="137">
        <v>4260</v>
      </c>
      <c r="CV5" s="137">
        <v>4410</v>
      </c>
    </row>
    <row r="6" spans="1:100" x14ac:dyDescent="0.25">
      <c r="A6" s="367" t="str">
        <f>IPO監視一覧!H6</f>
        <v>D</v>
      </c>
      <c r="B6" s="91" t="str">
        <f>IPO監視一覧!B6</f>
        <v>ロコンド</v>
      </c>
      <c r="C6" s="341">
        <f>株価一覧!E5</f>
        <v>2140</v>
      </c>
      <c r="D6" s="364">
        <f t="shared" ca="1" si="0"/>
        <v>2011</v>
      </c>
      <c r="E6" s="339">
        <f t="shared" ca="1" si="1"/>
        <v>1997</v>
      </c>
      <c r="F6" s="340">
        <f t="shared" ca="1" si="2"/>
        <v>1946</v>
      </c>
      <c r="G6" s="137">
        <v>0</v>
      </c>
      <c r="H6" s="137">
        <v>0</v>
      </c>
      <c r="I6" s="137">
        <v>0</v>
      </c>
      <c r="J6" s="137">
        <v>0</v>
      </c>
      <c r="K6" s="137">
        <v>0</v>
      </c>
      <c r="L6" s="137">
        <v>0</v>
      </c>
      <c r="M6" s="139">
        <v>2735</v>
      </c>
      <c r="N6" s="135">
        <v>2402</v>
      </c>
      <c r="O6" s="135">
        <v>2270</v>
      </c>
      <c r="P6" s="135">
        <v>2351</v>
      </c>
      <c r="Q6" s="135">
        <v>2409</v>
      </c>
      <c r="R6" s="138">
        <v>2316</v>
      </c>
      <c r="S6" s="135">
        <v>2295</v>
      </c>
      <c r="T6" s="135">
        <v>2349</v>
      </c>
      <c r="U6" s="135">
        <v>2268</v>
      </c>
      <c r="V6" s="135">
        <v>2264</v>
      </c>
      <c r="W6" s="135">
        <v>2190</v>
      </c>
      <c r="X6" s="135">
        <v>2214</v>
      </c>
      <c r="Y6" s="137">
        <v>2190</v>
      </c>
      <c r="Z6" s="135">
        <v>2155</v>
      </c>
      <c r="AA6" s="135">
        <v>2145</v>
      </c>
      <c r="AB6" s="137">
        <v>2171</v>
      </c>
      <c r="AC6" s="137">
        <v>2128</v>
      </c>
      <c r="AD6" s="137">
        <v>2151</v>
      </c>
      <c r="AE6" s="137">
        <v>2136</v>
      </c>
      <c r="AF6" s="137">
        <v>2079</v>
      </c>
      <c r="AG6" s="135">
        <v>2103</v>
      </c>
      <c r="AH6" s="135">
        <v>2296</v>
      </c>
      <c r="AI6" s="135">
        <v>1939</v>
      </c>
      <c r="AJ6" s="135">
        <v>1744</v>
      </c>
      <c r="AK6" s="135">
        <v>1681</v>
      </c>
      <c r="AL6" s="135">
        <v>1680</v>
      </c>
      <c r="AM6" s="135">
        <v>1749</v>
      </c>
      <c r="AN6" s="135">
        <v>1837</v>
      </c>
      <c r="AO6" s="135">
        <v>1878</v>
      </c>
      <c r="AP6" s="135">
        <v>1751</v>
      </c>
      <c r="AQ6" s="135">
        <v>1674</v>
      </c>
      <c r="AR6" s="135">
        <v>1630</v>
      </c>
      <c r="AS6" s="135">
        <v>1671</v>
      </c>
      <c r="AT6" s="135">
        <v>1727</v>
      </c>
      <c r="AU6" s="135">
        <v>1681</v>
      </c>
      <c r="AV6" s="135">
        <v>1728</v>
      </c>
      <c r="AW6" s="135">
        <v>1744</v>
      </c>
      <c r="AX6" s="135">
        <v>1736</v>
      </c>
      <c r="AY6" s="135">
        <v>1759</v>
      </c>
      <c r="AZ6" s="135">
        <v>1754</v>
      </c>
      <c r="BA6" s="135">
        <v>1750</v>
      </c>
      <c r="BB6" s="135">
        <v>1850</v>
      </c>
      <c r="BC6" s="135">
        <v>1921</v>
      </c>
      <c r="BD6" s="135">
        <v>2090</v>
      </c>
      <c r="BE6" s="135">
        <v>1969</v>
      </c>
      <c r="BF6" s="135">
        <v>1883</v>
      </c>
      <c r="BG6" s="135">
        <v>1790</v>
      </c>
      <c r="BH6" s="135">
        <v>1822</v>
      </c>
      <c r="BI6" s="135">
        <v>1843</v>
      </c>
      <c r="BJ6" s="135">
        <v>1980</v>
      </c>
      <c r="BK6" s="135">
        <v>1923</v>
      </c>
      <c r="BL6" s="135">
        <v>1953</v>
      </c>
      <c r="BM6" s="135">
        <v>1950</v>
      </c>
      <c r="BN6" s="135">
        <v>2226</v>
      </c>
      <c r="BO6" s="135">
        <v>2188</v>
      </c>
      <c r="BP6" s="135">
        <v>2227</v>
      </c>
      <c r="BQ6" s="137">
        <v>2296</v>
      </c>
      <c r="BR6" s="137">
        <v>2122</v>
      </c>
      <c r="BS6" s="137">
        <v>2000</v>
      </c>
      <c r="BT6" s="137">
        <v>1953</v>
      </c>
      <c r="BU6" s="137">
        <v>1962</v>
      </c>
      <c r="BV6" s="137">
        <v>2001</v>
      </c>
      <c r="BW6" s="137">
        <v>1963</v>
      </c>
      <c r="BX6" s="137">
        <v>1880</v>
      </c>
      <c r="BY6" s="137">
        <v>1886</v>
      </c>
      <c r="BZ6" s="137">
        <v>1970</v>
      </c>
      <c r="CA6" s="137">
        <v>1965</v>
      </c>
      <c r="CB6" s="137">
        <v>1942</v>
      </c>
      <c r="CC6" s="137">
        <v>1990</v>
      </c>
      <c r="CD6" s="137">
        <v>1995</v>
      </c>
      <c r="CE6" s="137">
        <v>2062</v>
      </c>
      <c r="CF6" s="137">
        <v>2089</v>
      </c>
      <c r="CG6" s="137">
        <v>2010</v>
      </c>
      <c r="CH6" s="137">
        <v>2068</v>
      </c>
      <c r="CI6" s="137">
        <v>2037</v>
      </c>
      <c r="CJ6" s="137">
        <v>1985</v>
      </c>
      <c r="CK6" s="137">
        <v>2000</v>
      </c>
      <c r="CL6" s="137">
        <v>1995</v>
      </c>
      <c r="CM6" s="137">
        <v>2008</v>
      </c>
      <c r="CN6" s="137">
        <v>1972</v>
      </c>
      <c r="CO6" s="137">
        <v>1999</v>
      </c>
      <c r="CP6" s="137">
        <v>1946</v>
      </c>
      <c r="CQ6" s="137">
        <v>1990</v>
      </c>
      <c r="CR6" s="137">
        <v>1967</v>
      </c>
      <c r="CS6" s="137">
        <v>1979</v>
      </c>
      <c r="CT6" s="137">
        <v>1989</v>
      </c>
      <c r="CU6" s="137">
        <v>1980</v>
      </c>
      <c r="CV6" s="137">
        <v>2140</v>
      </c>
    </row>
    <row r="7" spans="1:100" x14ac:dyDescent="0.25">
      <c r="A7" s="367" t="str">
        <f>IPO監視一覧!H7</f>
        <v>C</v>
      </c>
      <c r="B7" s="99" t="str">
        <f>IPO監視一覧!B7</f>
        <v>ピーバンドットコム</v>
      </c>
      <c r="C7" s="341">
        <f>株価一覧!E6</f>
        <v>2076</v>
      </c>
      <c r="D7" s="364">
        <f t="shared" ca="1" si="0"/>
        <v>2129</v>
      </c>
      <c r="E7" s="339">
        <f t="shared" ca="1" si="1"/>
        <v>2160.6</v>
      </c>
      <c r="F7" s="340">
        <f t="shared" ca="1" si="2"/>
        <v>2076</v>
      </c>
      <c r="G7" s="137">
        <v>0</v>
      </c>
      <c r="H7" s="137">
        <v>0</v>
      </c>
      <c r="I7" s="137">
        <v>0</v>
      </c>
      <c r="J7" s="137">
        <v>0</v>
      </c>
      <c r="K7" s="137">
        <v>0</v>
      </c>
      <c r="L7" s="137">
        <v>0</v>
      </c>
      <c r="M7" s="137">
        <v>0</v>
      </c>
      <c r="N7" s="137">
        <v>0</v>
      </c>
      <c r="O7" s="139">
        <v>2850</v>
      </c>
      <c r="P7" s="135">
        <v>3350</v>
      </c>
      <c r="Q7" s="135">
        <v>2866</v>
      </c>
      <c r="R7" s="138">
        <v>3050</v>
      </c>
      <c r="S7" s="135">
        <v>2825</v>
      </c>
      <c r="T7" s="135">
        <v>2883</v>
      </c>
      <c r="U7" s="135">
        <v>2720</v>
      </c>
      <c r="V7" s="135">
        <v>2560</v>
      </c>
      <c r="W7" s="135">
        <v>2472</v>
      </c>
      <c r="X7" s="135">
        <v>2660</v>
      </c>
      <c r="Y7" s="137">
        <v>2640</v>
      </c>
      <c r="Z7" s="135">
        <v>2488</v>
      </c>
      <c r="AA7" s="135">
        <v>2381</v>
      </c>
      <c r="AB7" s="137">
        <v>2414</v>
      </c>
      <c r="AC7" s="137">
        <v>2454</v>
      </c>
      <c r="AD7" s="137">
        <v>2525</v>
      </c>
      <c r="AE7" s="137">
        <v>2738</v>
      </c>
      <c r="AF7" s="137">
        <v>2468</v>
      </c>
      <c r="AG7" s="135">
        <v>2515</v>
      </c>
      <c r="AH7" s="135">
        <v>2489</v>
      </c>
      <c r="AI7" s="135">
        <v>2318</v>
      </c>
      <c r="AJ7" s="135">
        <v>2140</v>
      </c>
      <c r="AK7" s="135">
        <v>2150</v>
      </c>
      <c r="AL7" s="135">
        <v>2053</v>
      </c>
      <c r="AM7" s="135">
        <v>2158</v>
      </c>
      <c r="AN7" s="135">
        <v>2179</v>
      </c>
      <c r="AO7" s="135">
        <v>2175</v>
      </c>
      <c r="AP7" s="135">
        <v>2312</v>
      </c>
      <c r="AQ7" s="135">
        <v>2262</v>
      </c>
      <c r="AR7" s="135">
        <v>2217</v>
      </c>
      <c r="AS7" s="135">
        <v>2214</v>
      </c>
      <c r="AT7" s="135">
        <v>2260</v>
      </c>
      <c r="AU7" s="135">
        <v>2485</v>
      </c>
      <c r="AV7" s="135">
        <v>2415</v>
      </c>
      <c r="AW7" s="135">
        <v>2490</v>
      </c>
      <c r="AX7" s="135">
        <v>2473</v>
      </c>
      <c r="AY7" s="135">
        <v>2440</v>
      </c>
      <c r="AZ7" s="135">
        <v>2449</v>
      </c>
      <c r="BA7" s="135">
        <v>2460</v>
      </c>
      <c r="BB7" s="135">
        <v>2435</v>
      </c>
      <c r="BC7" s="135">
        <v>2418</v>
      </c>
      <c r="BD7" s="135">
        <v>2330</v>
      </c>
      <c r="BE7" s="135">
        <v>2255</v>
      </c>
      <c r="BF7" s="135">
        <v>2263</v>
      </c>
      <c r="BG7" s="135">
        <v>2212</v>
      </c>
      <c r="BH7" s="135">
        <v>2250</v>
      </c>
      <c r="BI7" s="135">
        <v>2298</v>
      </c>
      <c r="BJ7" s="135">
        <v>2340</v>
      </c>
      <c r="BK7" s="135">
        <v>2335</v>
      </c>
      <c r="BL7" s="135">
        <v>2307</v>
      </c>
      <c r="BM7" s="135">
        <v>2305</v>
      </c>
      <c r="BN7" s="135">
        <v>2470</v>
      </c>
      <c r="BO7" s="135">
        <v>2437</v>
      </c>
      <c r="BP7" s="135">
        <v>2410</v>
      </c>
      <c r="BQ7" s="137">
        <v>2370</v>
      </c>
      <c r="BR7" s="137">
        <v>2415</v>
      </c>
      <c r="BS7" s="137">
        <v>2390</v>
      </c>
      <c r="BT7" s="137">
        <v>2319</v>
      </c>
      <c r="BU7" s="137">
        <v>2318</v>
      </c>
      <c r="BV7" s="137">
        <v>2280</v>
      </c>
      <c r="BW7" s="137">
        <v>2262</v>
      </c>
      <c r="BX7" s="137">
        <v>2208</v>
      </c>
      <c r="BY7" s="137">
        <v>2242</v>
      </c>
      <c r="BZ7" s="137">
        <v>2245</v>
      </c>
      <c r="CA7" s="137">
        <v>2243</v>
      </c>
      <c r="CB7" s="137">
        <v>2208</v>
      </c>
      <c r="CC7" s="137">
        <v>2292</v>
      </c>
      <c r="CD7" s="137">
        <v>2283</v>
      </c>
      <c r="CE7" s="137">
        <v>2244</v>
      </c>
      <c r="CF7" s="137">
        <v>2204</v>
      </c>
      <c r="CG7" s="137">
        <v>2221</v>
      </c>
      <c r="CH7" s="137">
        <v>2177</v>
      </c>
      <c r="CI7" s="137">
        <v>2170</v>
      </c>
      <c r="CJ7" s="137">
        <v>2205</v>
      </c>
      <c r="CK7" s="137">
        <v>2230</v>
      </c>
      <c r="CL7" s="137">
        <v>2216</v>
      </c>
      <c r="CM7" s="137">
        <v>2167</v>
      </c>
      <c r="CN7" s="137">
        <v>2175</v>
      </c>
      <c r="CO7" s="137">
        <v>2217</v>
      </c>
      <c r="CP7" s="137">
        <v>2217</v>
      </c>
      <c r="CQ7" s="137">
        <v>2185</v>
      </c>
      <c r="CR7" s="137">
        <v>2156</v>
      </c>
      <c r="CS7" s="137">
        <v>2158</v>
      </c>
      <c r="CT7" s="137">
        <v>2144</v>
      </c>
      <c r="CU7" s="137">
        <v>2111</v>
      </c>
      <c r="CV7" s="137">
        <v>2076</v>
      </c>
    </row>
    <row r="8" spans="1:100" x14ac:dyDescent="0.25">
      <c r="A8" s="367" t="str">
        <f>IPO監視一覧!H8</f>
        <v>A</v>
      </c>
      <c r="B8" s="91" t="str">
        <f>IPO監視一覧!B8</f>
        <v>ファイズ</v>
      </c>
      <c r="C8" s="341">
        <f>株価一覧!E7</f>
        <v>6700</v>
      </c>
      <c r="D8" s="364">
        <f t="shared" ca="1" si="0"/>
        <v>6824</v>
      </c>
      <c r="E8" s="339">
        <f t="shared" ca="1" si="1"/>
        <v>6786</v>
      </c>
      <c r="F8" s="340">
        <f t="shared" ca="1" si="2"/>
        <v>6580</v>
      </c>
      <c r="G8" s="137">
        <v>0</v>
      </c>
      <c r="H8" s="137">
        <v>0</v>
      </c>
      <c r="I8" s="137">
        <v>0</v>
      </c>
      <c r="J8" s="137">
        <v>0</v>
      </c>
      <c r="K8" s="137">
        <v>0</v>
      </c>
      <c r="L8" s="137">
        <v>0</v>
      </c>
      <c r="M8" s="137">
        <v>0</v>
      </c>
      <c r="N8" s="137">
        <v>0</v>
      </c>
      <c r="O8" s="137">
        <v>0</v>
      </c>
      <c r="P8" s="137">
        <v>0</v>
      </c>
      <c r="Q8" s="137">
        <v>0</v>
      </c>
      <c r="R8" s="137">
        <v>0</v>
      </c>
      <c r="S8" s="137">
        <v>0</v>
      </c>
      <c r="T8" s="139">
        <v>3950</v>
      </c>
      <c r="U8" s="135">
        <v>3670</v>
      </c>
      <c r="V8" s="135">
        <v>3400</v>
      </c>
      <c r="W8" s="137">
        <v>4100</v>
      </c>
      <c r="X8" s="135">
        <v>4265</v>
      </c>
      <c r="Y8" s="137">
        <v>4165</v>
      </c>
      <c r="Z8" s="135">
        <v>4130</v>
      </c>
      <c r="AA8" s="135">
        <v>4165</v>
      </c>
      <c r="AB8" s="137">
        <v>4395</v>
      </c>
      <c r="AC8" s="137">
        <v>5100</v>
      </c>
      <c r="AD8" s="137">
        <v>6100</v>
      </c>
      <c r="AE8" s="137">
        <v>6200</v>
      </c>
      <c r="AF8" s="137">
        <v>6770</v>
      </c>
      <c r="AG8" s="135">
        <v>7450</v>
      </c>
      <c r="AH8" s="135">
        <v>8250</v>
      </c>
      <c r="AI8" s="135">
        <v>7550</v>
      </c>
      <c r="AJ8" s="135">
        <v>6360</v>
      </c>
      <c r="AK8" s="135">
        <v>6600</v>
      </c>
      <c r="AL8" s="135">
        <v>5600</v>
      </c>
      <c r="AM8" s="135">
        <v>5890</v>
      </c>
      <c r="AN8" s="135">
        <v>6760</v>
      </c>
      <c r="AO8" s="135">
        <v>7400</v>
      </c>
      <c r="AP8" s="135">
        <v>7280</v>
      </c>
      <c r="AQ8" s="135">
        <v>7000</v>
      </c>
      <c r="AR8" s="135">
        <v>6450</v>
      </c>
      <c r="AS8" s="135">
        <v>7150</v>
      </c>
      <c r="AT8" s="135">
        <v>7030</v>
      </c>
      <c r="AU8" s="135">
        <v>7030</v>
      </c>
      <c r="AV8" s="135">
        <v>7070</v>
      </c>
      <c r="AW8" s="135">
        <v>7780</v>
      </c>
      <c r="AX8" s="135">
        <v>7790</v>
      </c>
      <c r="AY8" s="135">
        <v>8090</v>
      </c>
      <c r="AZ8" s="135">
        <v>8450</v>
      </c>
      <c r="BA8" s="135">
        <v>8350</v>
      </c>
      <c r="BB8" s="135">
        <v>8180</v>
      </c>
      <c r="BC8" s="135">
        <v>8180</v>
      </c>
      <c r="BD8" s="135">
        <v>7970</v>
      </c>
      <c r="BE8" s="135">
        <v>7700</v>
      </c>
      <c r="BF8" s="135">
        <v>8150</v>
      </c>
      <c r="BG8" s="135">
        <v>8000</v>
      </c>
      <c r="BH8" s="135">
        <v>7980</v>
      </c>
      <c r="BI8" s="135">
        <v>7920</v>
      </c>
      <c r="BJ8" s="135">
        <v>7720</v>
      </c>
      <c r="BK8" s="135">
        <v>8080</v>
      </c>
      <c r="BL8" s="135">
        <v>7870</v>
      </c>
      <c r="BM8" s="135">
        <v>7750</v>
      </c>
      <c r="BN8" s="135">
        <v>7940</v>
      </c>
      <c r="BO8" s="135">
        <v>7960</v>
      </c>
      <c r="BP8" s="135">
        <v>7900</v>
      </c>
      <c r="BQ8" s="137">
        <v>7840</v>
      </c>
      <c r="BR8" s="137">
        <v>7400</v>
      </c>
      <c r="BS8" s="137">
        <v>7350</v>
      </c>
      <c r="BT8" s="137">
        <v>6920</v>
      </c>
      <c r="BU8" s="137">
        <v>7070</v>
      </c>
      <c r="BV8" s="137">
        <v>6810</v>
      </c>
      <c r="BW8" s="137">
        <v>6770</v>
      </c>
      <c r="BX8" s="137">
        <v>6610</v>
      </c>
      <c r="BY8" s="137">
        <v>6400</v>
      </c>
      <c r="BZ8" s="137">
        <v>6530</v>
      </c>
      <c r="CA8" s="137">
        <v>6490</v>
      </c>
      <c r="CB8" s="137">
        <v>6550</v>
      </c>
      <c r="CC8" s="137">
        <v>6520</v>
      </c>
      <c r="CD8" s="137">
        <v>6530</v>
      </c>
      <c r="CE8" s="137">
        <v>7130</v>
      </c>
      <c r="CF8" s="137">
        <v>8100</v>
      </c>
      <c r="CG8" s="137">
        <v>7620</v>
      </c>
      <c r="CH8" s="137">
        <v>7500</v>
      </c>
      <c r="CI8" s="137">
        <v>7450</v>
      </c>
      <c r="CJ8" s="137">
        <v>7010</v>
      </c>
      <c r="CK8" s="137">
        <v>7100</v>
      </c>
      <c r="CL8" s="137">
        <v>6950</v>
      </c>
      <c r="CM8" s="137">
        <v>6880</v>
      </c>
      <c r="CN8" s="137">
        <v>6630</v>
      </c>
      <c r="CO8" s="137">
        <v>6580</v>
      </c>
      <c r="CP8" s="137">
        <v>6750</v>
      </c>
      <c r="CQ8" s="137">
        <v>6900</v>
      </c>
      <c r="CR8" s="137">
        <v>6810</v>
      </c>
      <c r="CS8" s="137">
        <v>6910</v>
      </c>
      <c r="CT8" s="137">
        <v>6880</v>
      </c>
      <c r="CU8" s="137">
        <v>6820</v>
      </c>
      <c r="CV8" s="137">
        <v>6700</v>
      </c>
    </row>
    <row r="9" spans="1:100" x14ac:dyDescent="0.25">
      <c r="A9" s="367" t="str">
        <f>IPO監視一覧!H9</f>
        <v>D</v>
      </c>
      <c r="B9" s="91" t="str">
        <f>IPO監視一覧!B9</f>
        <v>うるる</v>
      </c>
      <c r="C9" s="341">
        <f>株価一覧!E8</f>
        <v>5230</v>
      </c>
      <c r="D9" s="364">
        <f t="shared" ca="1" si="0"/>
        <v>5089</v>
      </c>
      <c r="E9" s="339">
        <f t="shared" ca="1" si="1"/>
        <v>4995</v>
      </c>
      <c r="F9" s="340">
        <f t="shared" ca="1" si="2"/>
        <v>4885</v>
      </c>
      <c r="G9" s="137">
        <v>0</v>
      </c>
      <c r="H9" s="137">
        <v>0</v>
      </c>
      <c r="I9" s="137">
        <v>0</v>
      </c>
      <c r="J9" s="137">
        <v>0</v>
      </c>
      <c r="K9" s="137">
        <v>0</v>
      </c>
      <c r="L9" s="137">
        <v>0</v>
      </c>
      <c r="M9" s="137">
        <v>0</v>
      </c>
      <c r="N9" s="137">
        <v>0</v>
      </c>
      <c r="O9" s="137">
        <v>0</v>
      </c>
      <c r="P9" s="137">
        <v>0</v>
      </c>
      <c r="Q9" s="137">
        <v>0</v>
      </c>
      <c r="R9" s="137">
        <v>0</v>
      </c>
      <c r="S9" s="137">
        <v>0</v>
      </c>
      <c r="T9" s="139">
        <v>3480</v>
      </c>
      <c r="U9" s="135">
        <v>3690</v>
      </c>
      <c r="V9" s="135">
        <v>3510</v>
      </c>
      <c r="W9" s="137">
        <v>3630</v>
      </c>
      <c r="X9" s="135">
        <v>4020</v>
      </c>
      <c r="Y9" s="137">
        <v>3950</v>
      </c>
      <c r="Z9" s="135">
        <v>4075</v>
      </c>
      <c r="AA9" s="135">
        <v>3770</v>
      </c>
      <c r="AB9" s="137">
        <v>3790</v>
      </c>
      <c r="AC9" s="137">
        <v>3780</v>
      </c>
      <c r="AD9" s="137">
        <v>3995</v>
      </c>
      <c r="AE9" s="137">
        <v>3885</v>
      </c>
      <c r="AF9" s="137">
        <v>3400</v>
      </c>
      <c r="AG9" s="135">
        <v>3450</v>
      </c>
      <c r="AH9" s="135">
        <v>3525</v>
      </c>
      <c r="AI9" s="135">
        <v>3365</v>
      </c>
      <c r="AJ9" s="135">
        <v>3105</v>
      </c>
      <c r="AK9" s="135">
        <v>3115</v>
      </c>
      <c r="AL9" s="135">
        <v>3040</v>
      </c>
      <c r="AM9" s="135">
        <v>3440</v>
      </c>
      <c r="AN9" s="135">
        <v>3495</v>
      </c>
      <c r="AO9" s="135">
        <v>3610</v>
      </c>
      <c r="AP9" s="135">
        <v>3630</v>
      </c>
      <c r="AQ9" s="135">
        <v>3530</v>
      </c>
      <c r="AR9" s="135">
        <v>3535</v>
      </c>
      <c r="AS9" s="135">
        <v>3625</v>
      </c>
      <c r="AT9" s="135">
        <v>3910</v>
      </c>
      <c r="AU9" s="135">
        <v>3870</v>
      </c>
      <c r="AV9" s="135">
        <v>3940</v>
      </c>
      <c r="AW9" s="135">
        <v>3890</v>
      </c>
      <c r="AX9" s="135">
        <v>3755</v>
      </c>
      <c r="AY9" s="135">
        <v>3735</v>
      </c>
      <c r="AZ9" s="135">
        <v>3710</v>
      </c>
      <c r="BA9" s="135">
        <v>3795</v>
      </c>
      <c r="BB9" s="135">
        <v>4000</v>
      </c>
      <c r="BC9" s="135">
        <v>3950</v>
      </c>
      <c r="BD9" s="135">
        <v>3865</v>
      </c>
      <c r="BE9" s="135">
        <v>4080</v>
      </c>
      <c r="BF9" s="135">
        <v>4375</v>
      </c>
      <c r="BG9" s="135">
        <v>4265</v>
      </c>
      <c r="BH9" s="135">
        <v>4395</v>
      </c>
      <c r="BI9" s="135">
        <v>4715</v>
      </c>
      <c r="BJ9" s="135">
        <v>4560</v>
      </c>
      <c r="BK9" s="135">
        <v>4605</v>
      </c>
      <c r="BL9" s="135">
        <v>4915</v>
      </c>
      <c r="BM9" s="135">
        <v>4785</v>
      </c>
      <c r="BN9" s="135">
        <v>5050</v>
      </c>
      <c r="BO9" s="135">
        <v>5110</v>
      </c>
      <c r="BP9" s="135">
        <v>5210</v>
      </c>
      <c r="BQ9" s="137">
        <v>5450</v>
      </c>
      <c r="BR9" s="137">
        <v>5210</v>
      </c>
      <c r="BS9" s="137">
        <v>5280</v>
      </c>
      <c r="BT9" s="137">
        <v>4925</v>
      </c>
      <c r="BU9" s="137">
        <v>5050</v>
      </c>
      <c r="BV9" s="137">
        <v>5070</v>
      </c>
      <c r="BW9" s="137">
        <v>5270</v>
      </c>
      <c r="BX9" s="137">
        <v>5090</v>
      </c>
      <c r="BY9" s="137">
        <v>5030</v>
      </c>
      <c r="BZ9" s="137">
        <v>4845</v>
      </c>
      <c r="CA9" s="137">
        <v>4760</v>
      </c>
      <c r="CB9" s="137">
        <v>4595</v>
      </c>
      <c r="CC9" s="137">
        <v>4765</v>
      </c>
      <c r="CD9" s="137">
        <v>5020</v>
      </c>
      <c r="CE9" s="137">
        <v>4995</v>
      </c>
      <c r="CF9" s="137">
        <v>5290</v>
      </c>
      <c r="CG9" s="137">
        <v>5100</v>
      </c>
      <c r="CH9" s="137">
        <v>5190</v>
      </c>
      <c r="CI9" s="137">
        <v>5200</v>
      </c>
      <c r="CJ9" s="137">
        <v>4925</v>
      </c>
      <c r="CK9" s="137">
        <v>4820</v>
      </c>
      <c r="CL9" s="137">
        <v>4775</v>
      </c>
      <c r="CM9" s="137">
        <v>4895</v>
      </c>
      <c r="CN9" s="137">
        <v>4885</v>
      </c>
      <c r="CO9" s="137">
        <v>4935</v>
      </c>
      <c r="CP9" s="137">
        <v>4890</v>
      </c>
      <c r="CQ9" s="137">
        <v>4900</v>
      </c>
      <c r="CR9" s="137">
        <v>4995</v>
      </c>
      <c r="CS9" s="137">
        <v>5190</v>
      </c>
      <c r="CT9" s="137">
        <v>5030</v>
      </c>
      <c r="CU9" s="137">
        <v>5000</v>
      </c>
      <c r="CV9" s="137">
        <v>5230</v>
      </c>
    </row>
    <row r="10" spans="1:100" x14ac:dyDescent="0.25">
      <c r="A10" s="367" t="str">
        <f>IPO監視一覧!H10</f>
        <v>A</v>
      </c>
      <c r="B10" s="91" t="str">
        <f>IPO監視一覧!B10</f>
        <v>ほぼ日</v>
      </c>
      <c r="C10" s="341">
        <f>株価一覧!E9</f>
        <v>5300</v>
      </c>
      <c r="D10" s="364">
        <f t="shared" ca="1" si="0"/>
        <v>5318</v>
      </c>
      <c r="E10" s="339">
        <f t="shared" ca="1" si="1"/>
        <v>5295</v>
      </c>
      <c r="F10" s="340">
        <f t="shared" ca="1" si="2"/>
        <v>5250</v>
      </c>
      <c r="G10" s="137">
        <v>0</v>
      </c>
      <c r="H10" s="137">
        <v>0</v>
      </c>
      <c r="I10" s="137">
        <v>0</v>
      </c>
      <c r="J10" s="137">
        <v>0</v>
      </c>
      <c r="K10" s="137">
        <v>0</v>
      </c>
      <c r="L10" s="137">
        <v>0</v>
      </c>
      <c r="M10" s="137">
        <v>0</v>
      </c>
      <c r="N10" s="137">
        <v>0</v>
      </c>
      <c r="O10" s="137">
        <v>0</v>
      </c>
      <c r="P10" s="137">
        <v>0</v>
      </c>
      <c r="Q10" s="137">
        <v>0</v>
      </c>
      <c r="R10" s="137">
        <v>0</v>
      </c>
      <c r="S10" s="137">
        <v>0</v>
      </c>
      <c r="T10" s="137">
        <v>0</v>
      </c>
      <c r="U10" s="139">
        <v>5020</v>
      </c>
      <c r="V10" s="135">
        <v>4435</v>
      </c>
      <c r="W10" s="137">
        <v>4520</v>
      </c>
      <c r="X10" s="135">
        <v>4640</v>
      </c>
      <c r="Y10" s="137">
        <v>4415</v>
      </c>
      <c r="Z10" s="135">
        <v>4320</v>
      </c>
      <c r="AA10" s="135">
        <v>4430</v>
      </c>
      <c r="AB10" s="137">
        <v>4590</v>
      </c>
      <c r="AC10" s="137">
        <v>4440</v>
      </c>
      <c r="AD10" s="137">
        <v>4405</v>
      </c>
      <c r="AE10" s="137">
        <v>4480</v>
      </c>
      <c r="AF10" s="137">
        <v>4315</v>
      </c>
      <c r="AG10" s="135">
        <v>4260</v>
      </c>
      <c r="AH10" s="135">
        <v>4310</v>
      </c>
      <c r="AI10" s="135">
        <v>4300</v>
      </c>
      <c r="AJ10" s="135">
        <v>4245</v>
      </c>
      <c r="AK10" s="135">
        <v>4230</v>
      </c>
      <c r="AL10" s="135">
        <v>4235</v>
      </c>
      <c r="AM10" s="135">
        <v>4350</v>
      </c>
      <c r="AN10" s="135">
        <v>4415</v>
      </c>
      <c r="AO10" s="135">
        <v>4455</v>
      </c>
      <c r="AP10" s="135">
        <v>4540</v>
      </c>
      <c r="AQ10" s="135">
        <v>4405</v>
      </c>
      <c r="AR10" s="135">
        <v>4550</v>
      </c>
      <c r="AS10" s="135">
        <v>4795</v>
      </c>
      <c r="AT10" s="135">
        <v>4945</v>
      </c>
      <c r="AU10" s="135">
        <v>5010</v>
      </c>
      <c r="AV10" s="135">
        <v>5090</v>
      </c>
      <c r="AW10" s="135">
        <v>5050</v>
      </c>
      <c r="AX10" s="135">
        <v>4965</v>
      </c>
      <c r="AY10" s="135">
        <v>5670</v>
      </c>
      <c r="AZ10" s="135">
        <v>5670</v>
      </c>
      <c r="BA10" s="135">
        <v>6290</v>
      </c>
      <c r="BB10" s="135">
        <v>6160</v>
      </c>
      <c r="BC10" s="135">
        <v>5970</v>
      </c>
      <c r="BD10" s="135">
        <v>5850</v>
      </c>
      <c r="BE10" s="135">
        <v>5710</v>
      </c>
      <c r="BF10" s="135">
        <v>5560</v>
      </c>
      <c r="BG10" s="135">
        <v>5600</v>
      </c>
      <c r="BH10" s="135">
        <v>5710</v>
      </c>
      <c r="BI10" s="135">
        <v>5770</v>
      </c>
      <c r="BJ10" s="135">
        <v>5770</v>
      </c>
      <c r="BK10" s="135">
        <v>5830</v>
      </c>
      <c r="BL10" s="135">
        <v>5760</v>
      </c>
      <c r="BM10" s="135">
        <v>5610</v>
      </c>
      <c r="BN10" s="135">
        <v>5450</v>
      </c>
      <c r="BO10" s="135">
        <v>5290</v>
      </c>
      <c r="BP10" s="135">
        <v>5200</v>
      </c>
      <c r="BQ10" s="137">
        <v>5230</v>
      </c>
      <c r="BR10" s="137">
        <v>5300</v>
      </c>
      <c r="BS10" s="137">
        <v>5330</v>
      </c>
      <c r="BT10" s="137">
        <v>5250</v>
      </c>
      <c r="BU10" s="137">
        <v>5240</v>
      </c>
      <c r="BV10" s="137">
        <v>5180</v>
      </c>
      <c r="BW10" s="137">
        <v>5220</v>
      </c>
      <c r="BX10" s="137">
        <v>5120</v>
      </c>
      <c r="BY10" s="137">
        <v>5270</v>
      </c>
      <c r="BZ10" s="137">
        <v>5320</v>
      </c>
      <c r="CA10" s="137">
        <v>5200</v>
      </c>
      <c r="CB10" s="137">
        <v>5220</v>
      </c>
      <c r="CC10" s="137">
        <v>5250</v>
      </c>
      <c r="CD10" s="137">
        <v>5300</v>
      </c>
      <c r="CE10" s="137">
        <v>5230</v>
      </c>
      <c r="CF10" s="137">
        <v>5230</v>
      </c>
      <c r="CG10" s="137">
        <v>5270</v>
      </c>
      <c r="CH10" s="137">
        <v>5380</v>
      </c>
      <c r="CI10" s="137">
        <v>5280</v>
      </c>
      <c r="CJ10" s="137">
        <v>5260</v>
      </c>
      <c r="CK10" s="137">
        <v>5280</v>
      </c>
      <c r="CL10" s="137">
        <v>5200</v>
      </c>
      <c r="CM10" s="137">
        <v>5300</v>
      </c>
      <c r="CN10" s="137">
        <v>5290</v>
      </c>
      <c r="CO10" s="137">
        <v>5270</v>
      </c>
      <c r="CP10" s="137">
        <v>5250</v>
      </c>
      <c r="CQ10" s="137">
        <v>5250</v>
      </c>
      <c r="CR10" s="137">
        <v>5270</v>
      </c>
      <c r="CS10" s="137">
        <v>5270</v>
      </c>
      <c r="CT10" s="137">
        <v>5270</v>
      </c>
      <c r="CU10" s="137">
        <v>5480</v>
      </c>
      <c r="CV10" s="137">
        <v>5300</v>
      </c>
    </row>
    <row r="11" spans="1:100" x14ac:dyDescent="0.25">
      <c r="A11" s="367" t="str">
        <f>IPO監視一覧!H11</f>
        <v>C</v>
      </c>
      <c r="B11" s="91" t="str">
        <f>IPO監視一覧!B11</f>
        <v>ジャパンエレベーターサービスHD</v>
      </c>
      <c r="C11" s="341">
        <f>株価一覧!E10</f>
        <v>1629</v>
      </c>
      <c r="D11" s="364">
        <f t="shared" ca="1" si="0"/>
        <v>1658.6</v>
      </c>
      <c r="E11" s="339">
        <f t="shared" ca="1" si="1"/>
        <v>1653.7</v>
      </c>
      <c r="F11" s="340">
        <f t="shared" ca="1" si="2"/>
        <v>1552</v>
      </c>
      <c r="G11" s="137">
        <v>0</v>
      </c>
      <c r="H11" s="137">
        <v>0</v>
      </c>
      <c r="I11" s="137">
        <v>0</v>
      </c>
      <c r="J11" s="137">
        <v>0</v>
      </c>
      <c r="K11" s="137">
        <v>0</v>
      </c>
      <c r="L11" s="137">
        <v>0</v>
      </c>
      <c r="M11" s="137">
        <v>0</v>
      </c>
      <c r="N11" s="137">
        <v>0</v>
      </c>
      <c r="O11" s="137">
        <v>0</v>
      </c>
      <c r="P11" s="137">
        <v>0</v>
      </c>
      <c r="Q11" s="137">
        <v>0</v>
      </c>
      <c r="R11" s="137">
        <v>0</v>
      </c>
      <c r="S11" s="137">
        <v>0</v>
      </c>
      <c r="T11" s="137">
        <v>0</v>
      </c>
      <c r="U11" s="139">
        <v>1040</v>
      </c>
      <c r="V11" s="135">
        <v>1139</v>
      </c>
      <c r="W11" s="137">
        <v>1100</v>
      </c>
      <c r="X11" s="135">
        <v>1258</v>
      </c>
      <c r="Y11" s="137">
        <v>1150</v>
      </c>
      <c r="Z11" s="135">
        <v>1089</v>
      </c>
      <c r="AA11" s="135">
        <v>1040</v>
      </c>
      <c r="AB11" s="137">
        <v>1034</v>
      </c>
      <c r="AC11" s="137">
        <v>1119</v>
      </c>
      <c r="AD11" s="137">
        <v>1132</v>
      </c>
      <c r="AE11" s="137">
        <v>1079</v>
      </c>
      <c r="AF11" s="137">
        <v>1110</v>
      </c>
      <c r="AG11" s="135">
        <v>1124</v>
      </c>
      <c r="AH11" s="135">
        <v>1209</v>
      </c>
      <c r="AI11" s="135">
        <v>1112</v>
      </c>
      <c r="AJ11" s="135">
        <v>1057</v>
      </c>
      <c r="AK11" s="135">
        <v>1060</v>
      </c>
      <c r="AL11" s="135">
        <v>1021</v>
      </c>
      <c r="AM11" s="135">
        <v>1036</v>
      </c>
      <c r="AN11" s="135">
        <v>1040</v>
      </c>
      <c r="AO11" s="135">
        <v>1023</v>
      </c>
      <c r="AP11" s="135">
        <v>1060</v>
      </c>
      <c r="AQ11" s="135">
        <v>1088</v>
      </c>
      <c r="AR11" s="135">
        <v>1060</v>
      </c>
      <c r="AS11" s="135">
        <v>1096</v>
      </c>
      <c r="AT11" s="135">
        <v>1155</v>
      </c>
      <c r="AU11" s="135">
        <v>1175</v>
      </c>
      <c r="AV11" s="135">
        <v>1249</v>
      </c>
      <c r="AW11" s="135">
        <v>1243</v>
      </c>
      <c r="AX11" s="135">
        <v>1200</v>
      </c>
      <c r="AY11" s="135">
        <v>1149</v>
      </c>
      <c r="AZ11" s="135">
        <v>1150</v>
      </c>
      <c r="BA11" s="135">
        <v>1148</v>
      </c>
      <c r="BB11" s="135">
        <v>1210</v>
      </c>
      <c r="BC11" s="135">
        <v>1210</v>
      </c>
      <c r="BD11" s="135">
        <v>1393</v>
      </c>
      <c r="BE11" s="135">
        <v>1416</v>
      </c>
      <c r="BF11" s="135">
        <v>1401</v>
      </c>
      <c r="BG11" s="135">
        <v>1445</v>
      </c>
      <c r="BH11" s="135">
        <v>1650</v>
      </c>
      <c r="BI11" s="135">
        <v>1622</v>
      </c>
      <c r="BJ11" s="135">
        <v>1713</v>
      </c>
      <c r="BK11" s="135">
        <v>1748</v>
      </c>
      <c r="BL11" s="135">
        <v>1690</v>
      </c>
      <c r="BM11" s="135">
        <v>1587</v>
      </c>
      <c r="BN11" s="135">
        <v>1584</v>
      </c>
      <c r="BO11" s="135">
        <v>1583</v>
      </c>
      <c r="BP11" s="135">
        <v>1540</v>
      </c>
      <c r="BQ11" s="137">
        <v>1470</v>
      </c>
      <c r="BR11" s="137">
        <v>1455</v>
      </c>
      <c r="BS11" s="137">
        <v>1580</v>
      </c>
      <c r="BT11" s="137">
        <v>1514</v>
      </c>
      <c r="BU11" s="137">
        <v>1500</v>
      </c>
      <c r="BV11" s="137">
        <v>1489</v>
      </c>
      <c r="BW11" s="137">
        <v>1560</v>
      </c>
      <c r="BX11" s="137">
        <v>1560</v>
      </c>
      <c r="BY11" s="137">
        <v>1648</v>
      </c>
      <c r="BZ11" s="137">
        <v>1576</v>
      </c>
      <c r="CA11" s="137">
        <v>1500</v>
      </c>
      <c r="CB11" s="137">
        <v>1495</v>
      </c>
      <c r="CC11" s="137">
        <v>1510</v>
      </c>
      <c r="CD11" s="137">
        <v>1526</v>
      </c>
      <c r="CE11" s="137">
        <v>1500</v>
      </c>
      <c r="CF11" s="137">
        <v>1506</v>
      </c>
      <c r="CG11" s="137">
        <v>1506</v>
      </c>
      <c r="CH11" s="137">
        <v>1497</v>
      </c>
      <c r="CI11" s="137">
        <v>1609</v>
      </c>
      <c r="CJ11" s="137">
        <v>1528</v>
      </c>
      <c r="CK11" s="137">
        <v>1574</v>
      </c>
      <c r="CL11" s="137">
        <v>1575</v>
      </c>
      <c r="CM11" s="137">
        <v>1568</v>
      </c>
      <c r="CN11" s="137">
        <v>1552</v>
      </c>
      <c r="CO11" s="137">
        <v>1675</v>
      </c>
      <c r="CP11" s="137">
        <v>1748</v>
      </c>
      <c r="CQ11" s="137">
        <v>1701</v>
      </c>
      <c r="CR11" s="137">
        <v>1745</v>
      </c>
      <c r="CS11" s="137">
        <v>1668</v>
      </c>
      <c r="CT11" s="137">
        <v>1626</v>
      </c>
      <c r="CU11" s="137">
        <v>1625</v>
      </c>
      <c r="CV11" s="137">
        <v>1629</v>
      </c>
    </row>
    <row r="12" spans="1:100" x14ac:dyDescent="0.25">
      <c r="A12" s="367" t="str">
        <f>IPO監視一覧!H12</f>
        <v>D</v>
      </c>
      <c r="B12" s="91" t="str">
        <f>IPO監視一覧!B12</f>
        <v>ビーグリー</v>
      </c>
      <c r="C12" s="341">
        <f>株価一覧!E11</f>
        <v>2150</v>
      </c>
      <c r="D12" s="364">
        <f t="shared" ca="1" si="0"/>
        <v>2134.8000000000002</v>
      </c>
      <c r="E12" s="339">
        <f t="shared" ca="1" si="1"/>
        <v>2090.8000000000002</v>
      </c>
      <c r="F12" s="340">
        <f t="shared" ca="1" si="2"/>
        <v>2008</v>
      </c>
      <c r="G12" s="137">
        <v>0</v>
      </c>
      <c r="H12" s="137">
        <v>0</v>
      </c>
      <c r="I12" s="137">
        <v>0</v>
      </c>
      <c r="J12" s="137">
        <v>0</v>
      </c>
      <c r="K12" s="137">
        <v>0</v>
      </c>
      <c r="L12" s="137">
        <v>0</v>
      </c>
      <c r="M12" s="137">
        <v>0</v>
      </c>
      <c r="N12" s="137">
        <v>0</v>
      </c>
      <c r="O12" s="137">
        <v>0</v>
      </c>
      <c r="P12" s="137">
        <v>0</v>
      </c>
      <c r="Q12" s="137">
        <v>0</v>
      </c>
      <c r="R12" s="137">
        <v>0</v>
      </c>
      <c r="S12" s="137">
        <v>0</v>
      </c>
      <c r="T12" s="137">
        <v>0</v>
      </c>
      <c r="U12" s="139">
        <v>2078</v>
      </c>
      <c r="V12" s="135">
        <v>2100</v>
      </c>
      <c r="W12" s="137">
        <v>2500</v>
      </c>
      <c r="X12" s="135">
        <v>2317</v>
      </c>
      <c r="Y12" s="137">
        <v>2291</v>
      </c>
      <c r="Z12" s="135">
        <v>2410</v>
      </c>
      <c r="AA12" s="135">
        <v>2328</v>
      </c>
      <c r="AB12" s="137">
        <v>2350</v>
      </c>
      <c r="AC12" s="137">
        <v>2298</v>
      </c>
      <c r="AD12" s="137">
        <v>2350</v>
      </c>
      <c r="AE12" s="137">
        <v>2305</v>
      </c>
      <c r="AF12" s="137">
        <v>1998</v>
      </c>
      <c r="AG12" s="135">
        <v>1951</v>
      </c>
      <c r="AH12" s="135">
        <v>1906</v>
      </c>
      <c r="AI12" s="135">
        <v>1958</v>
      </c>
      <c r="AJ12" s="135">
        <v>1776</v>
      </c>
      <c r="AK12" s="135">
        <v>1819</v>
      </c>
      <c r="AL12" s="135">
        <v>1717</v>
      </c>
      <c r="AM12" s="135">
        <v>1743</v>
      </c>
      <c r="AN12" s="135">
        <v>1858</v>
      </c>
      <c r="AO12" s="135">
        <v>1950</v>
      </c>
      <c r="AP12" s="135">
        <v>1865</v>
      </c>
      <c r="AQ12" s="135">
        <v>1897</v>
      </c>
      <c r="AR12" s="135">
        <v>1870</v>
      </c>
      <c r="AS12" s="135">
        <v>1863</v>
      </c>
      <c r="AT12" s="135">
        <v>1949</v>
      </c>
      <c r="AU12" s="135">
        <v>1916</v>
      </c>
      <c r="AV12" s="135">
        <v>1873</v>
      </c>
      <c r="AW12" s="135">
        <v>1888</v>
      </c>
      <c r="AX12" s="135">
        <v>1880</v>
      </c>
      <c r="AY12" s="135">
        <v>2010</v>
      </c>
      <c r="AZ12" s="135">
        <v>2112</v>
      </c>
      <c r="BA12" s="135">
        <v>2044</v>
      </c>
      <c r="BB12" s="135">
        <v>1993</v>
      </c>
      <c r="BC12" s="135">
        <v>1990</v>
      </c>
      <c r="BD12" s="135">
        <v>2012</v>
      </c>
      <c r="BE12" s="135">
        <v>2170</v>
      </c>
      <c r="BF12" s="135">
        <v>2325</v>
      </c>
      <c r="BG12" s="135">
        <v>2315</v>
      </c>
      <c r="BH12" s="135">
        <v>2280</v>
      </c>
      <c r="BI12" s="135">
        <v>2424</v>
      </c>
      <c r="BJ12" s="135">
        <v>2375</v>
      </c>
      <c r="BK12" s="135">
        <v>2317</v>
      </c>
      <c r="BL12" s="135">
        <v>2282</v>
      </c>
      <c r="BM12" s="135">
        <v>2290</v>
      </c>
      <c r="BN12" s="135">
        <v>2480</v>
      </c>
      <c r="BO12" s="135">
        <v>2438</v>
      </c>
      <c r="BP12" s="135">
        <v>2381</v>
      </c>
      <c r="BQ12" s="137">
        <v>2366</v>
      </c>
      <c r="BR12" s="137">
        <v>2262</v>
      </c>
      <c r="BS12" s="137">
        <v>2238</v>
      </c>
      <c r="BT12" s="137">
        <v>2320</v>
      </c>
      <c r="BU12" s="137">
        <v>2349</v>
      </c>
      <c r="BV12" s="137">
        <v>2281</v>
      </c>
      <c r="BW12" s="137">
        <v>2302</v>
      </c>
      <c r="BX12" s="137">
        <v>2193</v>
      </c>
      <c r="BY12" s="137">
        <v>2116</v>
      </c>
      <c r="BZ12" s="137">
        <v>2198</v>
      </c>
      <c r="CA12" s="137">
        <v>2164</v>
      </c>
      <c r="CB12" s="137">
        <v>2110</v>
      </c>
      <c r="CC12" s="137">
        <v>2119</v>
      </c>
      <c r="CD12" s="137">
        <v>2092</v>
      </c>
      <c r="CE12" s="137">
        <v>2107</v>
      </c>
      <c r="CF12" s="137">
        <v>2174</v>
      </c>
      <c r="CG12" s="137">
        <v>2081</v>
      </c>
      <c r="CH12" s="137">
        <v>2119</v>
      </c>
      <c r="CI12" s="137">
        <v>2168</v>
      </c>
      <c r="CJ12" s="137">
        <v>2075</v>
      </c>
      <c r="CK12" s="137">
        <v>2071</v>
      </c>
      <c r="CL12" s="137">
        <v>2087</v>
      </c>
      <c r="CM12" s="137">
        <v>2057</v>
      </c>
      <c r="CN12" s="137">
        <v>2008</v>
      </c>
      <c r="CO12" s="137">
        <v>2018</v>
      </c>
      <c r="CP12" s="137">
        <v>2071</v>
      </c>
      <c r="CQ12" s="137">
        <v>2080</v>
      </c>
      <c r="CR12" s="137">
        <v>2170</v>
      </c>
      <c r="CS12" s="137">
        <v>2130</v>
      </c>
      <c r="CT12" s="137">
        <v>2091</v>
      </c>
      <c r="CU12" s="137">
        <v>2133</v>
      </c>
      <c r="CV12" s="137">
        <v>2150</v>
      </c>
    </row>
    <row r="13" spans="1:100" x14ac:dyDescent="0.25">
      <c r="A13" s="367" t="str">
        <f>IPO監視一覧!H13</f>
        <v>A</v>
      </c>
      <c r="B13" s="91" t="str">
        <f>IPO監視一覧!B13</f>
        <v>力の源HD</v>
      </c>
      <c r="C13" s="341">
        <f>株価一覧!E12</f>
        <v>2031</v>
      </c>
      <c r="D13" s="364">
        <f t="shared" ca="1" si="0"/>
        <v>2008.4</v>
      </c>
      <c r="E13" s="339">
        <f t="shared" ca="1" si="1"/>
        <v>1995.1</v>
      </c>
      <c r="F13" s="340">
        <f t="shared" ca="1" si="2"/>
        <v>1967</v>
      </c>
      <c r="G13" s="137">
        <v>0</v>
      </c>
      <c r="H13" s="137">
        <v>0</v>
      </c>
      <c r="I13" s="137">
        <v>0</v>
      </c>
      <c r="J13" s="137">
        <v>0</v>
      </c>
      <c r="K13" s="137">
        <v>0</v>
      </c>
      <c r="L13" s="137">
        <v>0</v>
      </c>
      <c r="M13" s="137">
        <v>0</v>
      </c>
      <c r="N13" s="137">
        <v>0</v>
      </c>
      <c r="O13" s="137">
        <v>0</v>
      </c>
      <c r="P13" s="137">
        <v>0</v>
      </c>
      <c r="Q13" s="137">
        <v>0</v>
      </c>
      <c r="R13" s="137">
        <v>0</v>
      </c>
      <c r="S13" s="137">
        <v>0</v>
      </c>
      <c r="T13" s="137">
        <v>0</v>
      </c>
      <c r="U13" s="135">
        <v>0</v>
      </c>
      <c r="V13" s="140">
        <v>0</v>
      </c>
      <c r="W13" s="141">
        <v>2630</v>
      </c>
      <c r="X13" s="135">
        <v>3130</v>
      </c>
      <c r="Y13" s="137">
        <v>3200</v>
      </c>
      <c r="Z13" s="135">
        <v>2900</v>
      </c>
      <c r="AA13" s="135">
        <v>2699</v>
      </c>
      <c r="AB13" s="137">
        <v>2730</v>
      </c>
      <c r="AC13" s="137">
        <v>2700</v>
      </c>
      <c r="AD13" s="137">
        <v>2639</v>
      </c>
      <c r="AE13" s="137">
        <v>2515</v>
      </c>
      <c r="AF13" s="137">
        <v>2310</v>
      </c>
      <c r="AG13" s="135">
        <v>2208</v>
      </c>
      <c r="AH13" s="135">
        <v>2079</v>
      </c>
      <c r="AI13" s="135">
        <v>2075</v>
      </c>
      <c r="AJ13" s="135">
        <v>1955</v>
      </c>
      <c r="AK13" s="135">
        <v>1945</v>
      </c>
      <c r="AL13" s="135">
        <v>1989</v>
      </c>
      <c r="AM13" s="135">
        <v>2315</v>
      </c>
      <c r="AN13" s="135">
        <v>2250</v>
      </c>
      <c r="AO13" s="135">
        <v>2250</v>
      </c>
      <c r="AP13" s="135">
        <v>2291</v>
      </c>
      <c r="AQ13" s="135">
        <v>2217</v>
      </c>
      <c r="AR13" s="135">
        <v>2148</v>
      </c>
      <c r="AS13" s="135">
        <v>2192</v>
      </c>
      <c r="AT13" s="135">
        <v>2208</v>
      </c>
      <c r="AU13" s="135">
        <v>2190</v>
      </c>
      <c r="AV13" s="135">
        <v>2211</v>
      </c>
      <c r="AW13" s="135">
        <v>2212</v>
      </c>
      <c r="AX13" s="135">
        <v>2180</v>
      </c>
      <c r="AY13" s="135">
        <v>2176</v>
      </c>
      <c r="AZ13" s="135">
        <v>2171</v>
      </c>
      <c r="BA13" s="135">
        <v>2141</v>
      </c>
      <c r="BB13" s="135">
        <v>2107</v>
      </c>
      <c r="BC13" s="135">
        <v>2351</v>
      </c>
      <c r="BD13" s="135">
        <v>2282</v>
      </c>
      <c r="BE13" s="135">
        <v>2249</v>
      </c>
      <c r="BF13" s="135">
        <v>2253</v>
      </c>
      <c r="BG13" s="135">
        <v>2180</v>
      </c>
      <c r="BH13" s="135">
        <v>2130</v>
      </c>
      <c r="BI13" s="135">
        <v>2154</v>
      </c>
      <c r="BJ13" s="135">
        <v>2130</v>
      </c>
      <c r="BK13" s="135">
        <v>2122</v>
      </c>
      <c r="BL13" s="135">
        <v>2205</v>
      </c>
      <c r="BM13" s="135">
        <v>2170</v>
      </c>
      <c r="BN13" s="135">
        <v>2178</v>
      </c>
      <c r="BO13" s="135">
        <v>2164</v>
      </c>
      <c r="BP13" s="135">
        <v>2140</v>
      </c>
      <c r="BQ13" s="137">
        <v>2131</v>
      </c>
      <c r="BR13" s="137">
        <v>2159</v>
      </c>
      <c r="BS13" s="137">
        <v>2185</v>
      </c>
      <c r="BT13" s="137">
        <v>2171</v>
      </c>
      <c r="BU13" s="137">
        <v>2179</v>
      </c>
      <c r="BV13" s="137">
        <v>2146</v>
      </c>
      <c r="BW13" s="137">
        <v>2152</v>
      </c>
      <c r="BX13" s="137">
        <v>2128</v>
      </c>
      <c r="BY13" s="137">
        <v>2101</v>
      </c>
      <c r="BZ13" s="137">
        <v>2114</v>
      </c>
      <c r="CA13" s="137">
        <v>2088</v>
      </c>
      <c r="CB13" s="137">
        <v>2052</v>
      </c>
      <c r="CC13" s="137">
        <v>2002</v>
      </c>
      <c r="CD13" s="137">
        <v>2011</v>
      </c>
      <c r="CE13" s="137">
        <v>1984</v>
      </c>
      <c r="CF13" s="137">
        <v>1956</v>
      </c>
      <c r="CG13" s="137">
        <v>1934</v>
      </c>
      <c r="CH13" s="137">
        <v>1955</v>
      </c>
      <c r="CI13" s="137">
        <v>2014</v>
      </c>
      <c r="CJ13" s="137">
        <v>2001</v>
      </c>
      <c r="CK13" s="137">
        <v>1987</v>
      </c>
      <c r="CL13" s="137">
        <v>1981</v>
      </c>
      <c r="CM13" s="137">
        <v>1988</v>
      </c>
      <c r="CN13" s="137">
        <v>1967</v>
      </c>
      <c r="CO13" s="137">
        <v>1992</v>
      </c>
      <c r="CP13" s="137">
        <v>1985</v>
      </c>
      <c r="CQ13" s="137">
        <v>1977</v>
      </c>
      <c r="CR13" s="137">
        <v>1982</v>
      </c>
      <c r="CS13" s="137">
        <v>1986</v>
      </c>
      <c r="CT13" s="137">
        <v>1989</v>
      </c>
      <c r="CU13" s="137">
        <v>2054</v>
      </c>
      <c r="CV13" s="137">
        <v>2031</v>
      </c>
    </row>
    <row r="14" spans="1:100" x14ac:dyDescent="0.25">
      <c r="A14" s="367" t="str">
        <f>IPO監視一覧!H14</f>
        <v>A</v>
      </c>
      <c r="B14" s="91" t="str">
        <f>IPO監視一覧!B14</f>
        <v>インターネットインフィニティー</v>
      </c>
      <c r="C14" s="341">
        <f>株価一覧!E13</f>
        <v>8170</v>
      </c>
      <c r="D14" s="364">
        <f t="shared" ca="1" si="0"/>
        <v>8542</v>
      </c>
      <c r="E14" s="339">
        <f t="shared" ca="1" si="1"/>
        <v>8591</v>
      </c>
      <c r="F14" s="340">
        <f t="shared" ca="1" si="2"/>
        <v>8020</v>
      </c>
      <c r="G14" s="137">
        <v>0</v>
      </c>
      <c r="H14" s="137">
        <v>0</v>
      </c>
      <c r="I14" s="137">
        <v>0</v>
      </c>
      <c r="J14" s="137">
        <v>0</v>
      </c>
      <c r="K14" s="137">
        <v>0</v>
      </c>
      <c r="L14" s="137">
        <v>0</v>
      </c>
      <c r="M14" s="137">
        <v>0</v>
      </c>
      <c r="N14" s="137">
        <v>0</v>
      </c>
      <c r="O14" s="137">
        <v>0</v>
      </c>
      <c r="P14" s="137">
        <v>0</v>
      </c>
      <c r="Q14" s="137">
        <v>0</v>
      </c>
      <c r="R14" s="137">
        <v>0</v>
      </c>
      <c r="S14" s="137">
        <v>0</v>
      </c>
      <c r="T14" s="137">
        <v>0</v>
      </c>
      <c r="U14" s="137">
        <v>0</v>
      </c>
      <c r="V14" s="140">
        <v>0</v>
      </c>
      <c r="W14" s="141">
        <v>4450</v>
      </c>
      <c r="X14" s="135">
        <v>5150</v>
      </c>
      <c r="Y14" s="137">
        <v>5000</v>
      </c>
      <c r="Z14" s="135">
        <v>4750</v>
      </c>
      <c r="AA14" s="135">
        <v>4495</v>
      </c>
      <c r="AB14" s="137">
        <v>4750</v>
      </c>
      <c r="AC14" s="137">
        <v>4695</v>
      </c>
      <c r="AD14" s="137">
        <v>5400</v>
      </c>
      <c r="AE14" s="137">
        <v>5450</v>
      </c>
      <c r="AF14" s="137">
        <v>5050</v>
      </c>
      <c r="AG14" s="135">
        <v>4985</v>
      </c>
      <c r="AH14" s="135">
        <v>4790</v>
      </c>
      <c r="AI14" s="135">
        <v>4465</v>
      </c>
      <c r="AJ14" s="135">
        <v>4105</v>
      </c>
      <c r="AK14" s="135">
        <v>4110</v>
      </c>
      <c r="AL14" s="135">
        <v>3930</v>
      </c>
      <c r="AM14" s="135">
        <v>4190</v>
      </c>
      <c r="AN14" s="135">
        <v>4260</v>
      </c>
      <c r="AO14" s="135">
        <v>4230</v>
      </c>
      <c r="AP14" s="135">
        <v>4410</v>
      </c>
      <c r="AQ14" s="135">
        <v>4350</v>
      </c>
      <c r="AR14" s="135">
        <v>4130</v>
      </c>
      <c r="AS14" s="135">
        <v>4830</v>
      </c>
      <c r="AT14" s="135">
        <v>5150</v>
      </c>
      <c r="AU14" s="135">
        <v>5050</v>
      </c>
      <c r="AV14" s="135">
        <v>5180</v>
      </c>
      <c r="AW14" s="135">
        <v>5080</v>
      </c>
      <c r="AX14" s="135">
        <v>4905</v>
      </c>
      <c r="AY14" s="135">
        <v>4940</v>
      </c>
      <c r="AZ14" s="135">
        <v>5020</v>
      </c>
      <c r="BA14" s="135">
        <v>4930</v>
      </c>
      <c r="BB14" s="135">
        <v>5000</v>
      </c>
      <c r="BC14" s="135">
        <v>4900</v>
      </c>
      <c r="BD14" s="135">
        <v>4690</v>
      </c>
      <c r="BE14" s="135">
        <v>5390</v>
      </c>
      <c r="BF14" s="135">
        <v>5160</v>
      </c>
      <c r="BG14" s="135">
        <v>5090</v>
      </c>
      <c r="BH14" s="135">
        <v>5070</v>
      </c>
      <c r="BI14" s="135">
        <v>5680</v>
      </c>
      <c r="BJ14" s="135">
        <v>5490</v>
      </c>
      <c r="BK14" s="135">
        <v>5880</v>
      </c>
      <c r="BL14" s="135">
        <v>6180</v>
      </c>
      <c r="BM14" s="135">
        <v>6200</v>
      </c>
      <c r="BN14" s="135">
        <v>5840</v>
      </c>
      <c r="BO14" s="135">
        <v>6140</v>
      </c>
      <c r="BP14" s="135">
        <v>5990</v>
      </c>
      <c r="BQ14" s="137">
        <v>5900</v>
      </c>
      <c r="BR14" s="137">
        <v>5790</v>
      </c>
      <c r="BS14" s="137">
        <v>5700</v>
      </c>
      <c r="BT14" s="137">
        <v>5550</v>
      </c>
      <c r="BU14" s="137">
        <v>5840</v>
      </c>
      <c r="BV14" s="137">
        <v>5650</v>
      </c>
      <c r="BW14" s="137">
        <v>5770</v>
      </c>
      <c r="BX14" s="137">
        <v>5670</v>
      </c>
      <c r="BY14" s="137">
        <v>5970</v>
      </c>
      <c r="BZ14" s="137">
        <v>5900</v>
      </c>
      <c r="CA14" s="137">
        <v>5830</v>
      </c>
      <c r="CB14" s="137">
        <v>6430</v>
      </c>
      <c r="CC14" s="137">
        <v>6400</v>
      </c>
      <c r="CD14" s="137">
        <v>6890</v>
      </c>
      <c r="CE14" s="137">
        <v>7800</v>
      </c>
      <c r="CF14" s="137">
        <v>8140</v>
      </c>
      <c r="CG14" s="137">
        <v>8600</v>
      </c>
      <c r="CH14" s="137">
        <v>8500</v>
      </c>
      <c r="CI14" s="137">
        <v>8070</v>
      </c>
      <c r="CJ14" s="137">
        <v>7530</v>
      </c>
      <c r="CK14" s="137">
        <v>7800</v>
      </c>
      <c r="CL14" s="137">
        <v>7760</v>
      </c>
      <c r="CM14" s="137">
        <v>8260</v>
      </c>
      <c r="CN14" s="137">
        <v>8160</v>
      </c>
      <c r="CO14" s="137">
        <v>8240</v>
      </c>
      <c r="CP14" s="137">
        <v>9110</v>
      </c>
      <c r="CQ14" s="137">
        <v>9430</v>
      </c>
      <c r="CR14" s="137">
        <v>9130</v>
      </c>
      <c r="CS14" s="137">
        <v>8800</v>
      </c>
      <c r="CT14" s="137">
        <v>8590</v>
      </c>
      <c r="CU14" s="137">
        <v>8020</v>
      </c>
      <c r="CV14" s="137">
        <v>8170</v>
      </c>
    </row>
    <row r="15" spans="1:100" x14ac:dyDescent="0.25">
      <c r="A15" s="367" t="str">
        <f>IPO監視一覧!H15</f>
        <v>D</v>
      </c>
      <c r="B15" s="91" t="str">
        <f>IPO監視一覧!B15</f>
        <v>フルテック</v>
      </c>
      <c r="C15" s="341">
        <f>株価一覧!E14</f>
        <v>1047</v>
      </c>
      <c r="D15" s="364">
        <f t="shared" ca="1" si="0"/>
        <v>1045.8</v>
      </c>
      <c r="E15" s="339">
        <f t="shared" ca="1" si="1"/>
        <v>1038.9000000000001</v>
      </c>
      <c r="F15" s="340">
        <f t="shared" ca="1" si="2"/>
        <v>1027</v>
      </c>
      <c r="G15" s="137">
        <v>0</v>
      </c>
      <c r="H15" s="137">
        <v>0</v>
      </c>
      <c r="I15" s="137">
        <v>0</v>
      </c>
      <c r="J15" s="137">
        <v>0</v>
      </c>
      <c r="K15" s="137">
        <v>0</v>
      </c>
      <c r="L15" s="137">
        <v>0</v>
      </c>
      <c r="M15" s="137">
        <v>0</v>
      </c>
      <c r="N15" s="137">
        <v>0</v>
      </c>
      <c r="O15" s="137">
        <v>0</v>
      </c>
      <c r="P15" s="137">
        <v>0</v>
      </c>
      <c r="Q15" s="137">
        <v>0</v>
      </c>
      <c r="R15" s="137">
        <v>0</v>
      </c>
      <c r="S15" s="137">
        <v>0</v>
      </c>
      <c r="T15" s="137">
        <v>0</v>
      </c>
      <c r="U15" s="137">
        <v>0</v>
      </c>
      <c r="V15" s="137">
        <v>0</v>
      </c>
      <c r="W15" s="141">
        <v>985</v>
      </c>
      <c r="X15" s="135">
        <v>1135</v>
      </c>
      <c r="Y15" s="137">
        <v>1029</v>
      </c>
      <c r="Z15" s="135">
        <v>980</v>
      </c>
      <c r="AA15" s="135">
        <v>919</v>
      </c>
      <c r="AB15" s="137">
        <v>928</v>
      </c>
      <c r="AC15" s="137">
        <v>941</v>
      </c>
      <c r="AD15" s="137">
        <v>964</v>
      </c>
      <c r="AE15" s="137">
        <v>1049</v>
      </c>
      <c r="AF15" s="137">
        <v>979</v>
      </c>
      <c r="AG15" s="135">
        <v>962</v>
      </c>
      <c r="AH15" s="135">
        <v>968</v>
      </c>
      <c r="AI15" s="135">
        <v>929</v>
      </c>
      <c r="AJ15" s="135">
        <v>887</v>
      </c>
      <c r="AK15" s="135">
        <v>860</v>
      </c>
      <c r="AL15" s="135">
        <v>853</v>
      </c>
      <c r="AM15" s="135">
        <v>872</v>
      </c>
      <c r="AN15" s="135">
        <v>878</v>
      </c>
      <c r="AO15" s="135">
        <v>910</v>
      </c>
      <c r="AP15" s="135">
        <v>909</v>
      </c>
      <c r="AQ15" s="135">
        <v>922</v>
      </c>
      <c r="AR15" s="135">
        <v>903</v>
      </c>
      <c r="AS15" s="135">
        <v>936</v>
      </c>
      <c r="AT15" s="135">
        <v>931</v>
      </c>
      <c r="AU15" s="135">
        <v>935</v>
      </c>
      <c r="AV15" s="135">
        <v>925</v>
      </c>
      <c r="AW15" s="135">
        <v>903</v>
      </c>
      <c r="AX15" s="135">
        <v>902</v>
      </c>
      <c r="AY15" s="135">
        <v>908</v>
      </c>
      <c r="AZ15" s="135">
        <v>905</v>
      </c>
      <c r="BA15" s="135">
        <v>878</v>
      </c>
      <c r="BB15" s="135">
        <v>885</v>
      </c>
      <c r="BC15" s="135">
        <v>890</v>
      </c>
      <c r="BD15" s="135">
        <v>877</v>
      </c>
      <c r="BE15" s="135">
        <v>925</v>
      </c>
      <c r="BF15" s="135">
        <v>965</v>
      </c>
      <c r="BG15" s="135">
        <v>930</v>
      </c>
      <c r="BH15" s="135">
        <v>922</v>
      </c>
      <c r="BI15" s="135">
        <v>937</v>
      </c>
      <c r="BJ15" s="135">
        <v>939</v>
      </c>
      <c r="BK15" s="135">
        <v>969</v>
      </c>
      <c r="BL15" s="135">
        <v>997</v>
      </c>
      <c r="BM15" s="135">
        <v>982</v>
      </c>
      <c r="BN15" s="135">
        <v>1079</v>
      </c>
      <c r="BO15" s="135">
        <v>1124</v>
      </c>
      <c r="BP15" s="135">
        <v>1088</v>
      </c>
      <c r="BQ15" s="137">
        <v>1086</v>
      </c>
      <c r="BR15" s="137">
        <v>1044</v>
      </c>
      <c r="BS15" s="137">
        <v>1062</v>
      </c>
      <c r="BT15" s="137">
        <v>1039</v>
      </c>
      <c r="BU15" s="137">
        <v>1058</v>
      </c>
      <c r="BV15" s="137">
        <v>1045</v>
      </c>
      <c r="BW15" s="137">
        <v>1045</v>
      </c>
      <c r="BX15" s="137">
        <v>1046</v>
      </c>
      <c r="BY15" s="137">
        <v>1052</v>
      </c>
      <c r="BZ15" s="137">
        <v>1049</v>
      </c>
      <c r="CA15" s="137">
        <v>1040</v>
      </c>
      <c r="CB15" s="137">
        <v>1034</v>
      </c>
      <c r="CC15" s="137">
        <v>1025</v>
      </c>
      <c r="CD15" s="137">
        <v>1033</v>
      </c>
      <c r="CE15" s="137">
        <v>1042</v>
      </c>
      <c r="CF15" s="137">
        <v>1060</v>
      </c>
      <c r="CG15" s="137">
        <v>1049</v>
      </c>
      <c r="CH15" s="137">
        <v>1044</v>
      </c>
      <c r="CI15" s="137">
        <v>1037</v>
      </c>
      <c r="CJ15" s="137">
        <v>1018</v>
      </c>
      <c r="CK15" s="137">
        <v>1021</v>
      </c>
      <c r="CL15" s="137">
        <v>1030</v>
      </c>
      <c r="CM15" s="137">
        <v>1035</v>
      </c>
      <c r="CN15" s="137">
        <v>1028</v>
      </c>
      <c r="CO15" s="137">
        <v>1027</v>
      </c>
      <c r="CP15" s="137">
        <v>1030</v>
      </c>
      <c r="CQ15" s="137">
        <v>1040</v>
      </c>
      <c r="CR15" s="137">
        <v>1041</v>
      </c>
      <c r="CS15" s="137">
        <v>1045</v>
      </c>
      <c r="CT15" s="137">
        <v>1051</v>
      </c>
      <c r="CU15" s="137">
        <v>1045</v>
      </c>
      <c r="CV15" s="137">
        <v>1047</v>
      </c>
    </row>
    <row r="16" spans="1:100" x14ac:dyDescent="0.25">
      <c r="A16" s="367" t="str">
        <f>IPO監視一覧!H16</f>
        <v>D</v>
      </c>
      <c r="B16" s="91" t="str">
        <f>IPO監視一覧!B16</f>
        <v>マクロミル</v>
      </c>
      <c r="C16" s="341">
        <f>株価一覧!E15</f>
        <v>2692</v>
      </c>
      <c r="D16" s="364">
        <f t="shared" ca="1" si="0"/>
        <v>2668.8</v>
      </c>
      <c r="E16" s="339">
        <f t="shared" ca="1" si="1"/>
        <v>2575.4</v>
      </c>
      <c r="F16" s="340">
        <f t="shared" ca="1" si="2"/>
        <v>2457</v>
      </c>
      <c r="G16" s="137">
        <v>0</v>
      </c>
      <c r="H16" s="137">
        <v>0</v>
      </c>
      <c r="I16" s="137">
        <v>0</v>
      </c>
      <c r="J16" s="137">
        <v>0</v>
      </c>
      <c r="K16" s="137">
        <v>0</v>
      </c>
      <c r="L16" s="137">
        <v>0</v>
      </c>
      <c r="M16" s="137">
        <v>0</v>
      </c>
      <c r="N16" s="137">
        <v>0</v>
      </c>
      <c r="O16" s="137">
        <v>0</v>
      </c>
      <c r="P16" s="137">
        <v>0</v>
      </c>
      <c r="Q16" s="137">
        <v>0</v>
      </c>
      <c r="R16" s="137">
        <v>0</v>
      </c>
      <c r="S16" s="137">
        <v>0</v>
      </c>
      <c r="T16" s="137">
        <v>0</v>
      </c>
      <c r="U16" s="137">
        <v>0</v>
      </c>
      <c r="V16" s="137">
        <v>0</v>
      </c>
      <c r="W16" s="141">
        <v>1680</v>
      </c>
      <c r="X16" s="135">
        <v>1805</v>
      </c>
      <c r="Y16" s="137">
        <v>1753</v>
      </c>
      <c r="Z16" s="135">
        <v>1735</v>
      </c>
      <c r="AA16" s="135">
        <v>1719</v>
      </c>
      <c r="AB16" s="137">
        <v>1750</v>
      </c>
      <c r="AC16" s="137">
        <v>1822</v>
      </c>
      <c r="AD16" s="137">
        <v>1892</v>
      </c>
      <c r="AE16" s="137">
        <v>1801</v>
      </c>
      <c r="AF16" s="137">
        <v>1910</v>
      </c>
      <c r="AG16" s="135">
        <v>1888</v>
      </c>
      <c r="AH16" s="135">
        <v>1892</v>
      </c>
      <c r="AI16" s="135">
        <v>1910</v>
      </c>
      <c r="AJ16" s="135">
        <v>1940</v>
      </c>
      <c r="AK16" s="135">
        <v>1939</v>
      </c>
      <c r="AL16" s="135">
        <v>1915</v>
      </c>
      <c r="AM16" s="135">
        <v>1905</v>
      </c>
      <c r="AN16" s="135">
        <v>1927</v>
      </c>
      <c r="AO16" s="135">
        <v>1926</v>
      </c>
      <c r="AP16" s="135">
        <v>1947</v>
      </c>
      <c r="AQ16" s="135">
        <v>1951</v>
      </c>
      <c r="AR16" s="135">
        <v>1962</v>
      </c>
      <c r="AS16" s="135">
        <v>1935</v>
      </c>
      <c r="AT16" s="135">
        <v>1915</v>
      </c>
      <c r="AU16" s="135">
        <v>1950</v>
      </c>
      <c r="AV16" s="135">
        <v>1954</v>
      </c>
      <c r="AW16" s="135">
        <v>1961</v>
      </c>
      <c r="AX16" s="135">
        <v>2000</v>
      </c>
      <c r="AY16" s="135">
        <v>1973</v>
      </c>
      <c r="AZ16" s="135">
        <v>1958</v>
      </c>
      <c r="BA16" s="135">
        <v>1975</v>
      </c>
      <c r="BB16" s="135">
        <v>1999</v>
      </c>
      <c r="BC16" s="135">
        <v>1995</v>
      </c>
      <c r="BD16" s="135">
        <v>1992</v>
      </c>
      <c r="BE16" s="135">
        <v>1965</v>
      </c>
      <c r="BF16" s="135">
        <v>1951</v>
      </c>
      <c r="BG16" s="135">
        <v>1911</v>
      </c>
      <c r="BH16" s="135">
        <v>1973</v>
      </c>
      <c r="BI16" s="135">
        <v>1950</v>
      </c>
      <c r="BJ16" s="135">
        <v>1968</v>
      </c>
      <c r="BK16" s="135">
        <v>1995</v>
      </c>
      <c r="BL16" s="135">
        <v>2081</v>
      </c>
      <c r="BM16" s="135">
        <v>2065</v>
      </c>
      <c r="BN16" s="135">
        <v>2044</v>
      </c>
      <c r="BO16" s="135">
        <v>2052</v>
      </c>
      <c r="BP16" s="135">
        <v>2015</v>
      </c>
      <c r="BQ16" s="137">
        <v>2027</v>
      </c>
      <c r="BR16" s="137">
        <v>2038</v>
      </c>
      <c r="BS16" s="137">
        <v>2070</v>
      </c>
      <c r="BT16" s="137">
        <v>2087</v>
      </c>
      <c r="BU16" s="137">
        <v>2171</v>
      </c>
      <c r="BV16" s="137">
        <v>2245</v>
      </c>
      <c r="BW16" s="137">
        <v>2363</v>
      </c>
      <c r="BX16" s="137">
        <v>2304</v>
      </c>
      <c r="BY16" s="137">
        <v>2295</v>
      </c>
      <c r="BZ16" s="137">
        <v>2222</v>
      </c>
      <c r="CA16" s="137">
        <v>2167</v>
      </c>
      <c r="CB16" s="137">
        <v>2182</v>
      </c>
      <c r="CC16" s="137">
        <v>2266</v>
      </c>
      <c r="CD16" s="137">
        <v>2447</v>
      </c>
      <c r="CE16" s="137">
        <v>2544</v>
      </c>
      <c r="CF16" s="137">
        <v>2596</v>
      </c>
      <c r="CG16" s="137">
        <v>2522</v>
      </c>
      <c r="CH16" s="137">
        <v>2560</v>
      </c>
      <c r="CI16" s="137">
        <v>2567</v>
      </c>
      <c r="CJ16" s="137">
        <v>2405</v>
      </c>
      <c r="CK16" s="137">
        <v>2380</v>
      </c>
      <c r="CL16" s="137">
        <v>2369</v>
      </c>
      <c r="CM16" s="137">
        <v>2465</v>
      </c>
      <c r="CN16" s="137">
        <v>2479</v>
      </c>
      <c r="CO16" s="137">
        <v>2457</v>
      </c>
      <c r="CP16" s="137">
        <v>2463</v>
      </c>
      <c r="CQ16" s="137">
        <v>2546</v>
      </c>
      <c r="CR16" s="137">
        <v>2718</v>
      </c>
      <c r="CS16" s="137">
        <v>2616</v>
      </c>
      <c r="CT16" s="137">
        <v>2643</v>
      </c>
      <c r="CU16" s="137">
        <v>2675</v>
      </c>
      <c r="CV16" s="137">
        <v>2692</v>
      </c>
    </row>
    <row r="17" spans="1:100" x14ac:dyDescent="0.25">
      <c r="A17" s="367" t="str">
        <f>IPO監視一覧!H17</f>
        <v>D</v>
      </c>
      <c r="B17" s="91" t="str">
        <f>IPO監視一覧!B17</f>
        <v>グリーンズ</v>
      </c>
      <c r="C17" s="341">
        <f>株価一覧!E16</f>
        <v>1437</v>
      </c>
      <c r="D17" s="364">
        <f t="shared" ca="1" si="0"/>
        <v>1432</v>
      </c>
      <c r="E17" s="339">
        <f t="shared" ca="1" si="1"/>
        <v>1421.7</v>
      </c>
      <c r="F17" s="340">
        <f t="shared" ca="1" si="2"/>
        <v>1405</v>
      </c>
      <c r="G17" s="137">
        <v>0</v>
      </c>
      <c r="H17" s="137">
        <v>0</v>
      </c>
      <c r="I17" s="137">
        <v>0</v>
      </c>
      <c r="J17" s="137">
        <v>0</v>
      </c>
      <c r="K17" s="137">
        <v>0</v>
      </c>
      <c r="L17" s="137">
        <v>0</v>
      </c>
      <c r="M17" s="137">
        <v>0</v>
      </c>
      <c r="N17" s="137">
        <v>0</v>
      </c>
      <c r="O17" s="137">
        <v>0</v>
      </c>
      <c r="P17" s="137">
        <v>0</v>
      </c>
      <c r="Q17" s="137">
        <v>0</v>
      </c>
      <c r="R17" s="137">
        <v>0</v>
      </c>
      <c r="S17" s="137">
        <v>0</v>
      </c>
      <c r="T17" s="137">
        <v>0</v>
      </c>
      <c r="U17" s="137">
        <v>0</v>
      </c>
      <c r="V17" s="137">
        <v>0</v>
      </c>
      <c r="W17" s="135">
        <v>0</v>
      </c>
      <c r="X17" s="139">
        <v>1579</v>
      </c>
      <c r="Y17" s="137">
        <v>1560</v>
      </c>
      <c r="Z17" s="135">
        <v>1502</v>
      </c>
      <c r="AA17" s="135">
        <v>1434</v>
      </c>
      <c r="AB17" s="137">
        <v>1489</v>
      </c>
      <c r="AC17" s="137">
        <v>1450</v>
      </c>
      <c r="AD17" s="137">
        <v>1453</v>
      </c>
      <c r="AE17" s="137">
        <v>1520</v>
      </c>
      <c r="AF17" s="137">
        <v>1382</v>
      </c>
      <c r="AG17" s="135">
        <v>1385</v>
      </c>
      <c r="AH17" s="135">
        <v>1352</v>
      </c>
      <c r="AI17" s="135">
        <v>1300</v>
      </c>
      <c r="AJ17" s="135">
        <v>1266</v>
      </c>
      <c r="AK17" s="135">
        <v>1295</v>
      </c>
      <c r="AL17" s="135">
        <v>1309</v>
      </c>
      <c r="AM17" s="135">
        <v>1297</v>
      </c>
      <c r="AN17" s="135">
        <v>1320</v>
      </c>
      <c r="AO17" s="135">
        <v>1355</v>
      </c>
      <c r="AP17" s="135">
        <v>1375</v>
      </c>
      <c r="AQ17" s="135">
        <v>1376</v>
      </c>
      <c r="AR17" s="135">
        <v>1380</v>
      </c>
      <c r="AS17" s="135">
        <v>1428</v>
      </c>
      <c r="AT17" s="135">
        <v>1405</v>
      </c>
      <c r="AU17" s="135">
        <v>1392</v>
      </c>
      <c r="AV17" s="135">
        <v>1403</v>
      </c>
      <c r="AW17" s="135">
        <v>1399</v>
      </c>
      <c r="AX17" s="135">
        <v>1403</v>
      </c>
      <c r="AY17" s="135">
        <v>1418</v>
      </c>
      <c r="AZ17" s="135">
        <v>1436</v>
      </c>
      <c r="BA17" s="135">
        <v>1449</v>
      </c>
      <c r="BB17" s="135">
        <v>1448</v>
      </c>
      <c r="BC17" s="135">
        <v>1424</v>
      </c>
      <c r="BD17" s="135">
        <v>1429</v>
      </c>
      <c r="BE17" s="135">
        <v>1406</v>
      </c>
      <c r="BF17" s="135">
        <v>1405</v>
      </c>
      <c r="BG17" s="135">
        <v>1370</v>
      </c>
      <c r="BH17" s="135">
        <v>1389</v>
      </c>
      <c r="BI17" s="135">
        <v>1420</v>
      </c>
      <c r="BJ17" s="135">
        <v>1478</v>
      </c>
      <c r="BK17" s="135">
        <v>1495</v>
      </c>
      <c r="BL17" s="135">
        <v>1455</v>
      </c>
      <c r="BM17" s="135">
        <v>1453</v>
      </c>
      <c r="BN17" s="135">
        <v>1438</v>
      </c>
      <c r="BO17" s="135">
        <v>1442</v>
      </c>
      <c r="BP17" s="135">
        <v>1437</v>
      </c>
      <c r="BQ17" s="137">
        <v>1450</v>
      </c>
      <c r="BR17" s="137">
        <v>1456</v>
      </c>
      <c r="BS17" s="137">
        <v>1435</v>
      </c>
      <c r="BT17" s="137">
        <v>1445</v>
      </c>
      <c r="BU17" s="137">
        <v>1438</v>
      </c>
      <c r="BV17" s="137">
        <v>1440</v>
      </c>
      <c r="BW17" s="137">
        <v>1437</v>
      </c>
      <c r="BX17" s="137">
        <v>1423</v>
      </c>
      <c r="BY17" s="137">
        <v>1397</v>
      </c>
      <c r="BZ17" s="137">
        <v>1398</v>
      </c>
      <c r="CA17" s="137">
        <v>1387</v>
      </c>
      <c r="CB17" s="137">
        <v>1408</v>
      </c>
      <c r="CC17" s="137">
        <v>1417</v>
      </c>
      <c r="CD17" s="137">
        <v>1403</v>
      </c>
      <c r="CE17" s="137">
        <v>1400</v>
      </c>
      <c r="CF17" s="137">
        <v>1408</v>
      </c>
      <c r="CG17" s="137">
        <v>1409</v>
      </c>
      <c r="CH17" s="137">
        <v>1434</v>
      </c>
      <c r="CI17" s="137">
        <v>1427</v>
      </c>
      <c r="CJ17" s="137">
        <v>1399</v>
      </c>
      <c r="CK17" s="137">
        <v>1404</v>
      </c>
      <c r="CL17" s="137">
        <v>1399</v>
      </c>
      <c r="CM17" s="137">
        <v>1409</v>
      </c>
      <c r="CN17" s="137">
        <v>1405</v>
      </c>
      <c r="CO17" s="137">
        <v>1412</v>
      </c>
      <c r="CP17" s="137">
        <v>1416</v>
      </c>
      <c r="CQ17" s="137">
        <v>1415</v>
      </c>
      <c r="CR17" s="137">
        <v>1426</v>
      </c>
      <c r="CS17" s="137">
        <v>1444</v>
      </c>
      <c r="CT17" s="137">
        <v>1425</v>
      </c>
      <c r="CU17" s="137">
        <v>1428</v>
      </c>
      <c r="CV17" s="137">
        <v>1437</v>
      </c>
    </row>
    <row r="18" spans="1:100" x14ac:dyDescent="0.25">
      <c r="A18" s="367" t="str">
        <f>IPO監視一覧!H18</f>
        <v>C</v>
      </c>
      <c r="B18" s="91" t="str">
        <f>IPO監視一覧!B18</f>
        <v>オロ</v>
      </c>
      <c r="C18" s="341">
        <f>株価一覧!E17</f>
        <v>3185</v>
      </c>
      <c r="D18" s="364">
        <f t="shared" ca="1" si="0"/>
        <v>3196</v>
      </c>
      <c r="E18" s="339">
        <f t="shared" ca="1" si="1"/>
        <v>3163</v>
      </c>
      <c r="F18" s="340">
        <f t="shared" ca="1" si="2"/>
        <v>3110</v>
      </c>
      <c r="G18" s="137">
        <v>0</v>
      </c>
      <c r="H18" s="137">
        <v>0</v>
      </c>
      <c r="I18" s="137">
        <v>0</v>
      </c>
      <c r="J18" s="137">
        <v>0</v>
      </c>
      <c r="K18" s="137">
        <v>0</v>
      </c>
      <c r="L18" s="137">
        <v>0</v>
      </c>
      <c r="M18" s="137">
        <v>0</v>
      </c>
      <c r="N18" s="137">
        <v>0</v>
      </c>
      <c r="O18" s="137">
        <v>0</v>
      </c>
      <c r="P18" s="137">
        <v>0</v>
      </c>
      <c r="Q18" s="137">
        <v>0</v>
      </c>
      <c r="R18" s="137">
        <v>0</v>
      </c>
      <c r="S18" s="137">
        <v>0</v>
      </c>
      <c r="T18" s="137">
        <v>0</v>
      </c>
      <c r="U18" s="137">
        <v>0</v>
      </c>
      <c r="V18" s="137">
        <v>0</v>
      </c>
      <c r="W18" s="137">
        <v>0</v>
      </c>
      <c r="X18" s="137">
        <v>0</v>
      </c>
      <c r="Y18" s="141">
        <v>4390</v>
      </c>
      <c r="Z18" s="135">
        <v>3830</v>
      </c>
      <c r="AA18" s="135">
        <v>3560</v>
      </c>
      <c r="AB18" s="137">
        <v>3770</v>
      </c>
      <c r="AC18" s="137">
        <v>3895</v>
      </c>
      <c r="AD18" s="137">
        <v>3890</v>
      </c>
      <c r="AE18" s="137">
        <v>3665</v>
      </c>
      <c r="AF18" s="137">
        <v>3475</v>
      </c>
      <c r="AG18" s="135">
        <v>3300</v>
      </c>
      <c r="AH18" s="135">
        <v>3210</v>
      </c>
      <c r="AI18" s="135">
        <v>2999</v>
      </c>
      <c r="AJ18" s="135">
        <v>2734</v>
      </c>
      <c r="AK18" s="135">
        <v>2750</v>
      </c>
      <c r="AL18" s="135">
        <v>2660</v>
      </c>
      <c r="AM18" s="135">
        <v>2920</v>
      </c>
      <c r="AN18" s="135">
        <v>2971</v>
      </c>
      <c r="AO18" s="135">
        <v>3080</v>
      </c>
      <c r="AP18" s="135">
        <v>3400</v>
      </c>
      <c r="AQ18" s="135">
        <v>3215</v>
      </c>
      <c r="AR18" s="135">
        <v>3035</v>
      </c>
      <c r="AS18" s="135">
        <v>3210</v>
      </c>
      <c r="AT18" s="135">
        <v>3295</v>
      </c>
      <c r="AU18" s="135">
        <v>3290</v>
      </c>
      <c r="AV18" s="135">
        <v>3265</v>
      </c>
      <c r="AW18" s="135">
        <v>3495</v>
      </c>
      <c r="AX18" s="135">
        <v>3410</v>
      </c>
      <c r="AY18" s="135">
        <v>3370</v>
      </c>
      <c r="AZ18" s="135">
        <v>3310</v>
      </c>
      <c r="BA18" s="135">
        <v>3410</v>
      </c>
      <c r="BB18" s="135">
        <v>3330</v>
      </c>
      <c r="BC18" s="135">
        <v>3205</v>
      </c>
      <c r="BD18" s="135">
        <v>3430</v>
      </c>
      <c r="BE18" s="135">
        <v>3260</v>
      </c>
      <c r="BF18" s="135">
        <v>3160</v>
      </c>
      <c r="BG18" s="135">
        <v>3115</v>
      </c>
      <c r="BH18" s="135">
        <v>3190</v>
      </c>
      <c r="BI18" s="135">
        <v>3110</v>
      </c>
      <c r="BJ18" s="135">
        <v>3190</v>
      </c>
      <c r="BK18" s="135">
        <v>3185</v>
      </c>
      <c r="BL18" s="135">
        <v>3325</v>
      </c>
      <c r="BM18" s="135">
        <v>3335</v>
      </c>
      <c r="BN18" s="135">
        <v>3250</v>
      </c>
      <c r="BO18" s="135">
        <v>3485</v>
      </c>
      <c r="BP18" s="135">
        <v>3425</v>
      </c>
      <c r="BQ18" s="137">
        <v>3315</v>
      </c>
      <c r="BR18" s="137">
        <v>3290</v>
      </c>
      <c r="BS18" s="137">
        <v>3300</v>
      </c>
      <c r="BT18" s="137">
        <v>3225</v>
      </c>
      <c r="BU18" s="137">
        <v>3230</v>
      </c>
      <c r="BV18" s="137">
        <v>3215</v>
      </c>
      <c r="BW18" s="137">
        <v>3240</v>
      </c>
      <c r="BX18" s="137">
        <v>3125</v>
      </c>
      <c r="BY18" s="137">
        <v>3050</v>
      </c>
      <c r="BZ18" s="137">
        <v>3115</v>
      </c>
      <c r="CA18" s="137">
        <v>3070</v>
      </c>
      <c r="CB18" s="137">
        <v>3290</v>
      </c>
      <c r="CC18" s="137">
        <v>3295</v>
      </c>
      <c r="CD18" s="137">
        <v>3210</v>
      </c>
      <c r="CE18" s="137">
        <v>3185</v>
      </c>
      <c r="CF18" s="137">
        <v>3215</v>
      </c>
      <c r="CG18" s="137">
        <v>3150</v>
      </c>
      <c r="CH18" s="137">
        <v>3225</v>
      </c>
      <c r="CI18" s="137">
        <v>3245</v>
      </c>
      <c r="CJ18" s="137">
        <v>3235</v>
      </c>
      <c r="CK18" s="137">
        <v>3110</v>
      </c>
      <c r="CL18" s="137">
        <v>3130</v>
      </c>
      <c r="CM18" s="137">
        <v>3160</v>
      </c>
      <c r="CN18" s="137">
        <v>3120</v>
      </c>
      <c r="CO18" s="137">
        <v>3125</v>
      </c>
      <c r="CP18" s="137">
        <v>3110</v>
      </c>
      <c r="CQ18" s="137">
        <v>3135</v>
      </c>
      <c r="CR18" s="137">
        <v>3145</v>
      </c>
      <c r="CS18" s="137">
        <v>3260</v>
      </c>
      <c r="CT18" s="137">
        <v>3195</v>
      </c>
      <c r="CU18" s="137">
        <v>3195</v>
      </c>
      <c r="CV18" s="137">
        <v>3185</v>
      </c>
    </row>
    <row r="19" spans="1:100" x14ac:dyDescent="0.25">
      <c r="A19" s="367" t="str">
        <f>IPO監視一覧!H19</f>
        <v>D</v>
      </c>
      <c r="B19" s="91" t="str">
        <f>IPO監視一覧!B19</f>
        <v>ソレイジア・ファーマ</v>
      </c>
      <c r="C19" s="341">
        <f>株価一覧!E18</f>
        <v>409</v>
      </c>
      <c r="D19" s="364">
        <f t="shared" ca="1" si="0"/>
        <v>410.4</v>
      </c>
      <c r="E19" s="339">
        <f t="shared" ca="1" si="1"/>
        <v>398.1</v>
      </c>
      <c r="F19" s="340">
        <f t="shared" ca="1" si="2"/>
        <v>343</v>
      </c>
      <c r="G19" s="137">
        <v>0</v>
      </c>
      <c r="H19" s="137">
        <v>0</v>
      </c>
      <c r="I19" s="137">
        <v>0</v>
      </c>
      <c r="J19" s="137">
        <v>0</v>
      </c>
      <c r="K19" s="137">
        <v>0</v>
      </c>
      <c r="L19" s="137">
        <v>0</v>
      </c>
      <c r="M19" s="137">
        <v>0</v>
      </c>
      <c r="N19" s="137">
        <v>0</v>
      </c>
      <c r="O19" s="137">
        <v>0</v>
      </c>
      <c r="P19" s="137">
        <v>0</v>
      </c>
      <c r="Q19" s="137">
        <v>0</v>
      </c>
      <c r="R19" s="137">
        <v>0</v>
      </c>
      <c r="S19" s="137">
        <v>0</v>
      </c>
      <c r="T19" s="137">
        <v>0</v>
      </c>
      <c r="U19" s="137">
        <v>0</v>
      </c>
      <c r="V19" s="137">
        <v>0</v>
      </c>
      <c r="W19" s="137">
        <v>0</v>
      </c>
      <c r="X19" s="137">
        <v>0</v>
      </c>
      <c r="Y19" s="141">
        <v>272</v>
      </c>
      <c r="Z19" s="135">
        <v>238</v>
      </c>
      <c r="AA19" s="135">
        <v>228</v>
      </c>
      <c r="AB19" s="137">
        <v>237</v>
      </c>
      <c r="AC19" s="137">
        <v>253</v>
      </c>
      <c r="AD19" s="137">
        <v>249</v>
      </c>
      <c r="AE19" s="137">
        <v>329</v>
      </c>
      <c r="AF19" s="137">
        <v>310</v>
      </c>
      <c r="AG19" s="135">
        <v>323</v>
      </c>
      <c r="AH19" s="135">
        <v>367</v>
      </c>
      <c r="AI19" s="135">
        <v>401</v>
      </c>
      <c r="AJ19" s="135">
        <v>384</v>
      </c>
      <c r="AK19" s="135">
        <v>391</v>
      </c>
      <c r="AL19" s="135">
        <v>397</v>
      </c>
      <c r="AM19" s="135">
        <v>444</v>
      </c>
      <c r="AN19" s="135">
        <v>459</v>
      </c>
      <c r="AO19" s="135">
        <v>539</v>
      </c>
      <c r="AP19" s="135">
        <v>606</v>
      </c>
      <c r="AQ19" s="135">
        <v>594</v>
      </c>
      <c r="AR19" s="135">
        <v>558</v>
      </c>
      <c r="AS19" s="135">
        <v>470</v>
      </c>
      <c r="AT19" s="135">
        <v>540</v>
      </c>
      <c r="AU19" s="135">
        <v>549</v>
      </c>
      <c r="AV19" s="135">
        <v>530</v>
      </c>
      <c r="AW19" s="135">
        <v>500</v>
      </c>
      <c r="AX19" s="135">
        <v>524</v>
      </c>
      <c r="AY19" s="135">
        <v>600</v>
      </c>
      <c r="AZ19" s="135">
        <v>560</v>
      </c>
      <c r="BA19" s="135">
        <v>594</v>
      </c>
      <c r="BB19" s="135">
        <v>598</v>
      </c>
      <c r="BC19" s="135">
        <v>576</v>
      </c>
      <c r="BD19" s="135">
        <v>548</v>
      </c>
      <c r="BE19" s="135">
        <v>625</v>
      </c>
      <c r="BF19" s="135">
        <v>615</v>
      </c>
      <c r="BG19" s="135">
        <v>623</v>
      </c>
      <c r="BH19" s="135">
        <v>627</v>
      </c>
      <c r="BI19" s="135">
        <v>607</v>
      </c>
      <c r="BJ19" s="135">
        <v>620</v>
      </c>
      <c r="BK19" s="135">
        <v>618</v>
      </c>
      <c r="BL19" s="135">
        <v>595</v>
      </c>
      <c r="BM19" s="135">
        <v>570</v>
      </c>
      <c r="BN19" s="135">
        <v>509</v>
      </c>
      <c r="BO19" s="135">
        <v>524</v>
      </c>
      <c r="BP19" s="135">
        <v>482</v>
      </c>
      <c r="BQ19" s="137">
        <v>486</v>
      </c>
      <c r="BR19" s="137">
        <v>562</v>
      </c>
      <c r="BS19" s="137">
        <v>532</v>
      </c>
      <c r="BT19" s="137">
        <v>506</v>
      </c>
      <c r="BU19" s="137">
        <v>514</v>
      </c>
      <c r="BV19" s="137">
        <v>498</v>
      </c>
      <c r="BW19" s="137">
        <v>505</v>
      </c>
      <c r="BX19" s="137">
        <v>573</v>
      </c>
      <c r="BY19" s="137">
        <v>545</v>
      </c>
      <c r="BZ19" s="137">
        <v>540</v>
      </c>
      <c r="CA19" s="137">
        <v>520</v>
      </c>
      <c r="CB19" s="137">
        <v>524</v>
      </c>
      <c r="CC19" s="137">
        <v>539</v>
      </c>
      <c r="CD19" s="137">
        <v>521</v>
      </c>
      <c r="CE19" s="137">
        <v>503</v>
      </c>
      <c r="CF19" s="137">
        <v>498</v>
      </c>
      <c r="CG19" s="137">
        <v>483</v>
      </c>
      <c r="CH19" s="137">
        <v>480</v>
      </c>
      <c r="CI19" s="137">
        <v>498</v>
      </c>
      <c r="CJ19" s="137">
        <v>483</v>
      </c>
      <c r="CK19" s="137">
        <v>411</v>
      </c>
      <c r="CL19" s="137">
        <v>379</v>
      </c>
      <c r="CM19" s="137">
        <v>387</v>
      </c>
      <c r="CN19" s="137">
        <v>394</v>
      </c>
      <c r="CO19" s="137">
        <v>382</v>
      </c>
      <c r="CP19" s="137">
        <v>343</v>
      </c>
      <c r="CQ19" s="137">
        <v>423</v>
      </c>
      <c r="CR19" s="137">
        <v>401</v>
      </c>
      <c r="CS19" s="137">
        <v>398</v>
      </c>
      <c r="CT19" s="137">
        <v>423</v>
      </c>
      <c r="CU19" s="137">
        <v>421</v>
      </c>
      <c r="CV19" s="137">
        <v>409</v>
      </c>
    </row>
    <row r="20" spans="1:100" x14ac:dyDescent="0.25">
      <c r="A20" s="367" t="str">
        <f>IPO監視一覧!H20</f>
        <v>D</v>
      </c>
      <c r="B20" s="91" t="str">
        <f>IPO監視一覧!B20</f>
        <v>ティーケーピー</v>
      </c>
      <c r="C20" s="341">
        <f>株価一覧!E19</f>
        <v>13710</v>
      </c>
      <c r="D20" s="364">
        <f t="shared" ca="1" si="0"/>
        <v>14448</v>
      </c>
      <c r="E20" s="339">
        <f t="shared" ca="1" si="1"/>
        <v>14465</v>
      </c>
      <c r="F20" s="340">
        <f t="shared" ca="1" si="2"/>
        <v>13710</v>
      </c>
      <c r="G20" s="137">
        <v>0</v>
      </c>
      <c r="H20" s="137">
        <v>0</v>
      </c>
      <c r="I20" s="137">
        <v>0</v>
      </c>
      <c r="J20" s="137">
        <v>0</v>
      </c>
      <c r="K20" s="137">
        <v>0</v>
      </c>
      <c r="L20" s="137">
        <v>0</v>
      </c>
      <c r="M20" s="137">
        <v>0</v>
      </c>
      <c r="N20" s="137">
        <v>0</v>
      </c>
      <c r="O20" s="137">
        <v>0</v>
      </c>
      <c r="P20" s="137">
        <v>0</v>
      </c>
      <c r="Q20" s="137">
        <v>0</v>
      </c>
      <c r="R20" s="137">
        <v>0</v>
      </c>
      <c r="S20" s="137">
        <v>0</v>
      </c>
      <c r="T20" s="137">
        <v>0</v>
      </c>
      <c r="U20" s="137">
        <v>0</v>
      </c>
      <c r="V20" s="137">
        <v>0</v>
      </c>
      <c r="W20" s="137">
        <v>0</v>
      </c>
      <c r="X20" s="137">
        <v>0</v>
      </c>
      <c r="Y20" s="137">
        <v>0</v>
      </c>
      <c r="Z20" s="139">
        <v>9970</v>
      </c>
      <c r="AA20" s="135">
        <v>11460</v>
      </c>
      <c r="AB20" s="137">
        <v>11340</v>
      </c>
      <c r="AC20" s="137">
        <v>12500</v>
      </c>
      <c r="AD20" s="137">
        <v>12920</v>
      </c>
      <c r="AE20" s="137">
        <v>13410</v>
      </c>
      <c r="AF20" s="137">
        <v>11770</v>
      </c>
      <c r="AG20" s="135">
        <v>11890</v>
      </c>
      <c r="AH20" s="135">
        <v>12610</v>
      </c>
      <c r="AI20" s="135">
        <v>11900</v>
      </c>
      <c r="AJ20" s="135">
        <v>10570</v>
      </c>
      <c r="AK20" s="135">
        <v>10450</v>
      </c>
      <c r="AL20" s="135">
        <v>10030</v>
      </c>
      <c r="AM20" s="135">
        <v>11400</v>
      </c>
      <c r="AN20" s="135">
        <v>12300</v>
      </c>
      <c r="AO20" s="135">
        <v>11900</v>
      </c>
      <c r="AP20" s="135">
        <v>11870</v>
      </c>
      <c r="AQ20" s="135">
        <v>11680</v>
      </c>
      <c r="AR20" s="135">
        <v>11080</v>
      </c>
      <c r="AS20" s="135">
        <v>12610</v>
      </c>
      <c r="AT20" s="135">
        <v>12820</v>
      </c>
      <c r="AU20" s="135">
        <v>13790</v>
      </c>
      <c r="AV20" s="135">
        <v>14200</v>
      </c>
      <c r="AW20" s="135">
        <v>14050</v>
      </c>
      <c r="AX20" s="135">
        <v>13690</v>
      </c>
      <c r="AY20" s="135">
        <v>13330</v>
      </c>
      <c r="AZ20" s="135">
        <v>14210</v>
      </c>
      <c r="BA20" s="135">
        <v>14000</v>
      </c>
      <c r="BB20" s="135">
        <v>13770</v>
      </c>
      <c r="BC20" s="135">
        <v>13850</v>
      </c>
      <c r="BD20" s="135">
        <v>13770</v>
      </c>
      <c r="BE20" s="135">
        <v>13400</v>
      </c>
      <c r="BF20" s="135">
        <v>14750</v>
      </c>
      <c r="BG20" s="135">
        <v>14760</v>
      </c>
      <c r="BH20" s="135">
        <v>14770</v>
      </c>
      <c r="BI20" s="135">
        <v>15090</v>
      </c>
      <c r="BJ20" s="135">
        <v>15200</v>
      </c>
      <c r="BK20" s="135">
        <v>15050</v>
      </c>
      <c r="BL20" s="135">
        <v>14820</v>
      </c>
      <c r="BM20" s="135">
        <v>14910</v>
      </c>
      <c r="BN20" s="135">
        <v>14750</v>
      </c>
      <c r="BO20" s="135">
        <v>14970</v>
      </c>
      <c r="BP20" s="135">
        <v>14760</v>
      </c>
      <c r="BQ20" s="137">
        <v>15390</v>
      </c>
      <c r="BR20" s="137">
        <v>14730</v>
      </c>
      <c r="BS20" s="137">
        <v>14810</v>
      </c>
      <c r="BT20" s="137">
        <v>14520</v>
      </c>
      <c r="BU20" s="137">
        <v>14280</v>
      </c>
      <c r="BV20" s="137">
        <v>14180</v>
      </c>
      <c r="BW20" s="137">
        <v>14580</v>
      </c>
      <c r="BX20" s="137">
        <v>14210</v>
      </c>
      <c r="BY20" s="137">
        <v>14540</v>
      </c>
      <c r="BZ20" s="137">
        <v>14680</v>
      </c>
      <c r="CA20" s="137">
        <v>15290</v>
      </c>
      <c r="CB20" s="137">
        <v>15300</v>
      </c>
      <c r="CC20" s="137">
        <v>14910</v>
      </c>
      <c r="CD20" s="137">
        <v>14750</v>
      </c>
      <c r="CE20" s="137">
        <v>14670</v>
      </c>
      <c r="CF20" s="137">
        <v>14770</v>
      </c>
      <c r="CG20" s="137">
        <v>14570</v>
      </c>
      <c r="CH20" s="137">
        <v>14710</v>
      </c>
      <c r="CI20" s="137">
        <v>14560</v>
      </c>
      <c r="CJ20" s="137">
        <v>14350</v>
      </c>
      <c r="CK20" s="137">
        <v>14110</v>
      </c>
      <c r="CL20" s="137">
        <v>14010</v>
      </c>
      <c r="CM20" s="137">
        <v>14360</v>
      </c>
      <c r="CN20" s="137">
        <v>14600</v>
      </c>
      <c r="CO20" s="137">
        <v>14430</v>
      </c>
      <c r="CP20" s="137">
        <v>14580</v>
      </c>
      <c r="CQ20" s="137">
        <v>14440</v>
      </c>
      <c r="CR20" s="137">
        <v>15010</v>
      </c>
      <c r="CS20" s="137">
        <v>14740</v>
      </c>
      <c r="CT20" s="137">
        <v>14650</v>
      </c>
      <c r="CU20" s="137">
        <v>14130</v>
      </c>
      <c r="CV20" s="137">
        <v>13710</v>
      </c>
    </row>
    <row r="21" spans="1:100" x14ac:dyDescent="0.25">
      <c r="A21" s="367" t="str">
        <f>IPO監視一覧!H21</f>
        <v>D</v>
      </c>
      <c r="B21" s="91" t="str">
        <f>IPO監視一覧!B21</f>
        <v>ズーム</v>
      </c>
      <c r="C21" s="341">
        <f>株価一覧!E20</f>
        <v>1802</v>
      </c>
      <c r="D21" s="364">
        <f t="shared" ca="1" si="0"/>
        <v>1810.6</v>
      </c>
      <c r="E21" s="339">
        <f t="shared" ca="1" si="1"/>
        <v>1781.3</v>
      </c>
      <c r="F21" s="340">
        <f t="shared" ca="1" si="2"/>
        <v>1710</v>
      </c>
      <c r="G21" s="137">
        <v>0</v>
      </c>
      <c r="H21" s="137">
        <v>0</v>
      </c>
      <c r="I21" s="137">
        <v>0</v>
      </c>
      <c r="J21" s="137">
        <v>0</v>
      </c>
      <c r="K21" s="137">
        <v>0</v>
      </c>
      <c r="L21" s="137">
        <v>0</v>
      </c>
      <c r="M21" s="137">
        <v>0</v>
      </c>
      <c r="N21" s="137">
        <v>0</v>
      </c>
      <c r="O21" s="137">
        <v>0</v>
      </c>
      <c r="P21" s="137">
        <v>0</v>
      </c>
      <c r="Q21" s="137">
        <v>0</v>
      </c>
      <c r="R21" s="137">
        <v>0</v>
      </c>
      <c r="S21" s="137">
        <v>0</v>
      </c>
      <c r="T21" s="137">
        <v>0</v>
      </c>
      <c r="U21" s="137">
        <v>0</v>
      </c>
      <c r="V21" s="137">
        <v>0</v>
      </c>
      <c r="W21" s="137">
        <v>0</v>
      </c>
      <c r="X21" s="137">
        <v>0</v>
      </c>
      <c r="Y21" s="137">
        <v>0</v>
      </c>
      <c r="Z21" s="137">
        <v>0</v>
      </c>
      <c r="AA21" s="139">
        <v>1885</v>
      </c>
      <c r="AB21" s="137">
        <v>1820</v>
      </c>
      <c r="AC21" s="137">
        <v>1835</v>
      </c>
      <c r="AD21" s="137">
        <v>1812</v>
      </c>
      <c r="AE21" s="137">
        <v>1769</v>
      </c>
      <c r="AF21" s="137">
        <v>1636</v>
      </c>
      <c r="AG21" s="135">
        <v>1600</v>
      </c>
      <c r="AH21" s="135">
        <v>1685</v>
      </c>
      <c r="AI21" s="135">
        <v>1610</v>
      </c>
      <c r="AJ21" s="135">
        <v>1518</v>
      </c>
      <c r="AK21" s="135">
        <v>1500</v>
      </c>
      <c r="AL21" s="135">
        <v>1446</v>
      </c>
      <c r="AM21" s="135">
        <v>1447</v>
      </c>
      <c r="AN21" s="135">
        <v>1516</v>
      </c>
      <c r="AO21" s="135">
        <v>1530</v>
      </c>
      <c r="AP21" s="135">
        <v>1669</v>
      </c>
      <c r="AQ21" s="135">
        <v>1594</v>
      </c>
      <c r="AR21" s="135">
        <v>1540</v>
      </c>
      <c r="AS21" s="135">
        <v>1545</v>
      </c>
      <c r="AT21" s="135">
        <v>1575</v>
      </c>
      <c r="AU21" s="135">
        <v>1630</v>
      </c>
      <c r="AV21" s="135">
        <v>1606</v>
      </c>
      <c r="AW21" s="135">
        <v>1625</v>
      </c>
      <c r="AX21" s="135">
        <v>1623</v>
      </c>
      <c r="AY21" s="135">
        <v>1739</v>
      </c>
      <c r="AZ21" s="135">
        <v>1660</v>
      </c>
      <c r="BA21" s="135">
        <v>1599</v>
      </c>
      <c r="BB21" s="135">
        <v>1619</v>
      </c>
      <c r="BC21" s="135">
        <v>1607</v>
      </c>
      <c r="BD21" s="135">
        <v>1625</v>
      </c>
      <c r="BE21" s="135">
        <v>1680</v>
      </c>
      <c r="BF21" s="135">
        <v>1699</v>
      </c>
      <c r="BG21" s="135">
        <v>1695</v>
      </c>
      <c r="BH21" s="135">
        <v>1725</v>
      </c>
      <c r="BI21" s="135">
        <v>1761</v>
      </c>
      <c r="BJ21" s="135">
        <v>1837</v>
      </c>
      <c r="BK21" s="135">
        <v>1810</v>
      </c>
      <c r="BL21" s="135">
        <v>1952</v>
      </c>
      <c r="BM21" s="135">
        <v>1940</v>
      </c>
      <c r="BN21" s="135">
        <v>1890</v>
      </c>
      <c r="BO21" s="135">
        <v>1836</v>
      </c>
      <c r="BP21" s="135">
        <v>1943</v>
      </c>
      <c r="BQ21" s="137">
        <v>1915</v>
      </c>
      <c r="BR21" s="137">
        <v>1925</v>
      </c>
      <c r="BS21" s="137">
        <v>2020</v>
      </c>
      <c r="BT21" s="137">
        <v>2009</v>
      </c>
      <c r="BU21" s="137">
        <v>2002</v>
      </c>
      <c r="BV21" s="137">
        <v>1993</v>
      </c>
      <c r="BW21" s="137">
        <v>1991</v>
      </c>
      <c r="BX21" s="137">
        <v>1978</v>
      </c>
      <c r="BY21" s="137">
        <v>1904</v>
      </c>
      <c r="BZ21" s="137">
        <v>1902</v>
      </c>
      <c r="CA21" s="137">
        <v>1890</v>
      </c>
      <c r="CB21" s="137">
        <v>1969</v>
      </c>
      <c r="CC21" s="137">
        <v>1985</v>
      </c>
      <c r="CD21" s="137">
        <v>1931</v>
      </c>
      <c r="CE21" s="137">
        <v>1924</v>
      </c>
      <c r="CF21" s="137">
        <v>1924</v>
      </c>
      <c r="CG21" s="137">
        <v>1842</v>
      </c>
      <c r="CH21" s="137">
        <v>1798</v>
      </c>
      <c r="CI21" s="137">
        <v>1813</v>
      </c>
      <c r="CJ21" s="137">
        <v>1755</v>
      </c>
      <c r="CK21" s="137">
        <v>1750</v>
      </c>
      <c r="CL21" s="137">
        <v>1699</v>
      </c>
      <c r="CM21" s="137">
        <v>1708</v>
      </c>
      <c r="CN21" s="137">
        <v>1710</v>
      </c>
      <c r="CO21" s="137">
        <v>1799</v>
      </c>
      <c r="CP21" s="137">
        <v>1777</v>
      </c>
      <c r="CQ21" s="137">
        <v>1766</v>
      </c>
      <c r="CR21" s="137">
        <v>1807</v>
      </c>
      <c r="CS21" s="137">
        <v>1830</v>
      </c>
      <c r="CT21" s="137">
        <v>1808</v>
      </c>
      <c r="CU21" s="137">
        <v>1806</v>
      </c>
      <c r="CV21" s="137">
        <v>1802</v>
      </c>
    </row>
    <row r="22" spans="1:100" x14ac:dyDescent="0.25">
      <c r="A22" s="367" t="str">
        <f>IPO監視一覧!H22</f>
        <v>A</v>
      </c>
      <c r="B22" s="91" t="str">
        <f>IPO監視一覧!B22</f>
        <v>Ｎｏ．１</v>
      </c>
      <c r="C22" s="341">
        <f>株価一覧!E21</f>
        <v>2603</v>
      </c>
      <c r="D22" s="364">
        <f t="shared" ca="1" si="0"/>
        <v>2708.6</v>
      </c>
      <c r="E22" s="339">
        <f t="shared" ca="1" si="1"/>
        <v>2710.9</v>
      </c>
      <c r="F22" s="340">
        <f t="shared" ca="1" si="2"/>
        <v>2603</v>
      </c>
      <c r="G22" s="137">
        <v>0</v>
      </c>
      <c r="H22" s="137">
        <v>0</v>
      </c>
      <c r="I22" s="137">
        <v>0</v>
      </c>
      <c r="J22" s="137">
        <v>0</v>
      </c>
      <c r="K22" s="137">
        <v>0</v>
      </c>
      <c r="L22" s="137">
        <v>0</v>
      </c>
      <c r="M22" s="137">
        <v>0</v>
      </c>
      <c r="N22" s="137">
        <v>0</v>
      </c>
      <c r="O22" s="137">
        <v>0</v>
      </c>
      <c r="P22" s="137">
        <v>0</v>
      </c>
      <c r="Q22" s="137">
        <v>0</v>
      </c>
      <c r="R22" s="137">
        <v>0</v>
      </c>
      <c r="S22" s="137">
        <v>0</v>
      </c>
      <c r="T22" s="137">
        <v>0</v>
      </c>
      <c r="U22" s="137">
        <v>0</v>
      </c>
      <c r="V22" s="137">
        <v>0</v>
      </c>
      <c r="W22" s="137">
        <v>0</v>
      </c>
      <c r="X22" s="137">
        <v>0</v>
      </c>
      <c r="Y22" s="137">
        <v>0</v>
      </c>
      <c r="Z22" s="137">
        <v>0</v>
      </c>
      <c r="AA22" s="139">
        <v>3220</v>
      </c>
      <c r="AB22" s="137">
        <v>3920</v>
      </c>
      <c r="AC22" s="137">
        <v>3650</v>
      </c>
      <c r="AD22" s="137">
        <v>3525</v>
      </c>
      <c r="AE22" s="137">
        <v>3480</v>
      </c>
      <c r="AF22" s="137">
        <v>2914</v>
      </c>
      <c r="AG22" s="135">
        <v>2800</v>
      </c>
      <c r="AH22" s="135">
        <v>2750</v>
      </c>
      <c r="AI22" s="135">
        <v>2694</v>
      </c>
      <c r="AJ22" s="135">
        <v>2525</v>
      </c>
      <c r="AK22" s="135">
        <v>2517</v>
      </c>
      <c r="AL22" s="135">
        <v>2455</v>
      </c>
      <c r="AM22" s="135">
        <v>2486</v>
      </c>
      <c r="AN22" s="135">
        <v>2674</v>
      </c>
      <c r="AO22" s="135">
        <v>2650</v>
      </c>
      <c r="AP22" s="135">
        <v>2701</v>
      </c>
      <c r="AQ22" s="135">
        <v>2656</v>
      </c>
      <c r="AR22" s="135">
        <v>2463</v>
      </c>
      <c r="AS22" s="135">
        <v>2505</v>
      </c>
      <c r="AT22" s="135">
        <v>2565</v>
      </c>
      <c r="AU22" s="135">
        <v>2575</v>
      </c>
      <c r="AV22" s="135">
        <v>2654</v>
      </c>
      <c r="AW22" s="135">
        <v>2700</v>
      </c>
      <c r="AX22" s="135">
        <v>2660</v>
      </c>
      <c r="AY22" s="135">
        <v>2682</v>
      </c>
      <c r="AZ22" s="135">
        <v>2628</v>
      </c>
      <c r="BA22" s="135">
        <v>2581</v>
      </c>
      <c r="BB22" s="135">
        <v>2557</v>
      </c>
      <c r="BC22" s="135">
        <v>2555</v>
      </c>
      <c r="BD22" s="135">
        <v>2755</v>
      </c>
      <c r="BE22" s="135">
        <v>2976</v>
      </c>
      <c r="BF22" s="135">
        <v>2811</v>
      </c>
      <c r="BG22" s="135">
        <v>2719</v>
      </c>
      <c r="BH22" s="135">
        <v>3030</v>
      </c>
      <c r="BI22" s="135">
        <v>3320</v>
      </c>
      <c r="BJ22" s="135">
        <v>3230</v>
      </c>
      <c r="BK22" s="135">
        <v>3315</v>
      </c>
      <c r="BL22" s="135">
        <v>3270</v>
      </c>
      <c r="BM22" s="135">
        <v>3125</v>
      </c>
      <c r="BN22" s="135">
        <v>2985</v>
      </c>
      <c r="BO22" s="135">
        <v>3000</v>
      </c>
      <c r="BP22" s="135">
        <v>2969</v>
      </c>
      <c r="BQ22" s="137">
        <v>3080</v>
      </c>
      <c r="BR22" s="137">
        <v>3010</v>
      </c>
      <c r="BS22" s="137">
        <v>2995</v>
      </c>
      <c r="BT22" s="137">
        <v>2907</v>
      </c>
      <c r="BU22" s="137">
        <v>2864</v>
      </c>
      <c r="BV22" s="137">
        <v>2940</v>
      </c>
      <c r="BW22" s="137">
        <v>2860</v>
      </c>
      <c r="BX22" s="137">
        <v>2843</v>
      </c>
      <c r="BY22" s="137">
        <v>2837</v>
      </c>
      <c r="BZ22" s="137">
        <v>2836</v>
      </c>
      <c r="CA22" s="137">
        <v>2738</v>
      </c>
      <c r="CB22" s="137">
        <v>2718</v>
      </c>
      <c r="CC22" s="137">
        <v>2781</v>
      </c>
      <c r="CD22" s="137">
        <v>2813</v>
      </c>
      <c r="CE22" s="137">
        <v>2848</v>
      </c>
      <c r="CF22" s="137">
        <v>2801</v>
      </c>
      <c r="CG22" s="137">
        <v>2766</v>
      </c>
      <c r="CH22" s="137">
        <v>2828</v>
      </c>
      <c r="CI22" s="137">
        <v>2807</v>
      </c>
      <c r="CJ22" s="137">
        <v>2741</v>
      </c>
      <c r="CK22" s="137">
        <v>2725</v>
      </c>
      <c r="CL22" s="137">
        <v>2659</v>
      </c>
      <c r="CM22" s="137">
        <v>2700</v>
      </c>
      <c r="CN22" s="137">
        <v>2737</v>
      </c>
      <c r="CO22" s="137">
        <v>2709</v>
      </c>
      <c r="CP22" s="137">
        <v>2720</v>
      </c>
      <c r="CQ22" s="137">
        <v>2700</v>
      </c>
      <c r="CR22" s="137">
        <v>2750</v>
      </c>
      <c r="CS22" s="137">
        <v>2715</v>
      </c>
      <c r="CT22" s="137">
        <v>2687</v>
      </c>
      <c r="CU22" s="137">
        <v>2788</v>
      </c>
      <c r="CV22" s="137">
        <v>2603</v>
      </c>
    </row>
    <row r="23" spans="1:100" x14ac:dyDescent="0.25">
      <c r="A23" s="367" t="str">
        <f>IPO監視一覧!H23</f>
        <v>D</v>
      </c>
      <c r="B23" s="91" t="str">
        <f>IPO監視一覧!B23</f>
        <v>オークネット</v>
      </c>
      <c r="C23" s="341">
        <f>株価一覧!E22</f>
        <v>1387</v>
      </c>
      <c r="D23" s="364">
        <f t="shared" ca="1" si="0"/>
        <v>1398.8</v>
      </c>
      <c r="E23" s="339">
        <f t="shared" ca="1" si="1"/>
        <v>1395.9</v>
      </c>
      <c r="F23" s="340">
        <f t="shared" ca="1" si="2"/>
        <v>1384</v>
      </c>
      <c r="G23" s="137">
        <v>0</v>
      </c>
      <c r="H23" s="137">
        <v>0</v>
      </c>
      <c r="I23" s="137">
        <v>0</v>
      </c>
      <c r="J23" s="137">
        <v>0</v>
      </c>
      <c r="K23" s="137">
        <v>0</v>
      </c>
      <c r="L23" s="137">
        <v>0</v>
      </c>
      <c r="M23" s="137">
        <v>0</v>
      </c>
      <c r="N23" s="137">
        <v>0</v>
      </c>
      <c r="O23" s="137">
        <v>0</v>
      </c>
      <c r="P23" s="137">
        <v>0</v>
      </c>
      <c r="Q23" s="137">
        <v>0</v>
      </c>
      <c r="R23" s="137">
        <v>0</v>
      </c>
      <c r="S23" s="137">
        <v>0</v>
      </c>
      <c r="T23" s="137">
        <v>0</v>
      </c>
      <c r="U23" s="137">
        <v>0</v>
      </c>
      <c r="V23" s="137">
        <v>0</v>
      </c>
      <c r="W23" s="137">
        <v>0</v>
      </c>
      <c r="X23" s="137">
        <v>0</v>
      </c>
      <c r="Y23" s="137">
        <v>0</v>
      </c>
      <c r="Z23" s="137">
        <v>0</v>
      </c>
      <c r="AA23" s="137">
        <v>0</v>
      </c>
      <c r="AB23" s="141">
        <v>1235</v>
      </c>
      <c r="AC23" s="137">
        <v>1283</v>
      </c>
      <c r="AD23" s="137">
        <v>1233</v>
      </c>
      <c r="AE23" s="137">
        <v>1230</v>
      </c>
      <c r="AF23" s="137">
        <v>1216</v>
      </c>
      <c r="AG23" s="135">
        <v>1193</v>
      </c>
      <c r="AH23" s="135">
        <v>1247</v>
      </c>
      <c r="AI23" s="135">
        <v>1265</v>
      </c>
      <c r="AJ23" s="135">
        <v>1275</v>
      </c>
      <c r="AK23" s="135">
        <v>1325</v>
      </c>
      <c r="AL23" s="135">
        <v>1290</v>
      </c>
      <c r="AM23" s="135">
        <v>1295</v>
      </c>
      <c r="AN23" s="135">
        <v>1279</v>
      </c>
      <c r="AO23" s="135">
        <v>1302</v>
      </c>
      <c r="AP23" s="135">
        <v>1299</v>
      </c>
      <c r="AQ23" s="135">
        <v>1300</v>
      </c>
      <c r="AR23" s="135">
        <v>1306</v>
      </c>
      <c r="AS23" s="135">
        <v>1301</v>
      </c>
      <c r="AT23" s="135">
        <v>1305</v>
      </c>
      <c r="AU23" s="135">
        <v>1333</v>
      </c>
      <c r="AV23" s="135">
        <v>1345</v>
      </c>
      <c r="AW23" s="135">
        <v>1311</v>
      </c>
      <c r="AX23" s="135">
        <v>1270</v>
      </c>
      <c r="AY23" s="135">
        <v>1285</v>
      </c>
      <c r="AZ23" s="135">
        <v>1274</v>
      </c>
      <c r="BA23" s="135">
        <v>1266</v>
      </c>
      <c r="BB23" s="135">
        <v>1274</v>
      </c>
      <c r="BC23" s="135">
        <v>1272</v>
      </c>
      <c r="BD23" s="135">
        <v>1295</v>
      </c>
      <c r="BE23" s="135">
        <v>1274</v>
      </c>
      <c r="BF23" s="135">
        <v>1375</v>
      </c>
      <c r="BG23" s="135">
        <v>1367</v>
      </c>
      <c r="BH23" s="135">
        <v>1359</v>
      </c>
      <c r="BI23" s="135">
        <v>1350</v>
      </c>
      <c r="BJ23" s="135">
        <v>1400</v>
      </c>
      <c r="BK23" s="135">
        <v>1421</v>
      </c>
      <c r="BL23" s="135">
        <v>1424</v>
      </c>
      <c r="BM23" s="135">
        <v>1444</v>
      </c>
      <c r="BN23" s="135">
        <v>1423</v>
      </c>
      <c r="BO23" s="135">
        <v>1440</v>
      </c>
      <c r="BP23" s="135">
        <v>1406</v>
      </c>
      <c r="BQ23" s="137">
        <v>1390</v>
      </c>
      <c r="BR23" s="137">
        <v>1387</v>
      </c>
      <c r="BS23" s="137">
        <v>1381</v>
      </c>
      <c r="BT23" s="137">
        <v>1361</v>
      </c>
      <c r="BU23" s="137">
        <v>1372</v>
      </c>
      <c r="BV23" s="137">
        <v>1359</v>
      </c>
      <c r="BW23" s="137">
        <v>1364</v>
      </c>
      <c r="BX23" s="137">
        <v>1356</v>
      </c>
      <c r="BY23" s="137">
        <v>1340</v>
      </c>
      <c r="BZ23" s="137">
        <v>1333</v>
      </c>
      <c r="CA23" s="137">
        <v>1306</v>
      </c>
      <c r="CB23" s="137">
        <v>1324</v>
      </c>
      <c r="CC23" s="137">
        <v>1330</v>
      </c>
      <c r="CD23" s="137">
        <v>1333</v>
      </c>
      <c r="CE23" s="137">
        <v>1311</v>
      </c>
      <c r="CF23" s="137">
        <v>1335</v>
      </c>
      <c r="CG23" s="137">
        <v>1339</v>
      </c>
      <c r="CH23" s="137">
        <v>1351</v>
      </c>
      <c r="CI23" s="137">
        <v>1343</v>
      </c>
      <c r="CJ23" s="137">
        <v>1395</v>
      </c>
      <c r="CK23" s="137">
        <v>1402</v>
      </c>
      <c r="CL23" s="137">
        <v>1395</v>
      </c>
      <c r="CM23" s="137">
        <v>1404</v>
      </c>
      <c r="CN23" s="137">
        <v>1385</v>
      </c>
      <c r="CO23" s="137">
        <v>1397</v>
      </c>
      <c r="CP23" s="137">
        <v>1395</v>
      </c>
      <c r="CQ23" s="137">
        <v>1384</v>
      </c>
      <c r="CR23" s="137">
        <v>1414</v>
      </c>
      <c r="CS23" s="137">
        <v>1402</v>
      </c>
      <c r="CT23" s="137">
        <v>1390</v>
      </c>
      <c r="CU23" s="137">
        <v>1401</v>
      </c>
      <c r="CV23" s="137">
        <v>1387</v>
      </c>
    </row>
    <row r="24" spans="1:100" x14ac:dyDescent="0.25">
      <c r="A24" s="367" t="str">
        <f>IPO監視一覧!H24</f>
        <v>D</v>
      </c>
      <c r="B24" s="91" t="str">
        <f>IPO監視一覧!B24</f>
        <v>スシローグローバルHD</v>
      </c>
      <c r="C24" s="341">
        <f>株価一覧!E23</f>
        <v>3320</v>
      </c>
      <c r="D24" s="364">
        <f t="shared" ca="1" si="0"/>
        <v>3348</v>
      </c>
      <c r="E24" s="339">
        <f t="shared" ca="1" si="1"/>
        <v>3330</v>
      </c>
      <c r="F24" s="340">
        <f t="shared" ca="1" si="2"/>
        <v>3295</v>
      </c>
      <c r="G24" s="137">
        <v>0</v>
      </c>
      <c r="H24" s="137">
        <v>0</v>
      </c>
      <c r="I24" s="137">
        <v>0</v>
      </c>
      <c r="J24" s="137">
        <v>0</v>
      </c>
      <c r="K24" s="137">
        <v>0</v>
      </c>
      <c r="L24" s="137">
        <v>0</v>
      </c>
      <c r="M24" s="137">
        <v>0</v>
      </c>
      <c r="N24" s="137">
        <v>0</v>
      </c>
      <c r="O24" s="137">
        <v>0</v>
      </c>
      <c r="P24" s="137">
        <v>0</v>
      </c>
      <c r="Q24" s="137">
        <v>0</v>
      </c>
      <c r="R24" s="137">
        <v>0</v>
      </c>
      <c r="S24" s="137">
        <v>0</v>
      </c>
      <c r="T24" s="137">
        <v>0</v>
      </c>
      <c r="U24" s="137">
        <v>0</v>
      </c>
      <c r="V24" s="137">
        <v>0</v>
      </c>
      <c r="W24" s="137">
        <v>0</v>
      </c>
      <c r="X24" s="137">
        <v>0</v>
      </c>
      <c r="Y24" s="137">
        <v>0</v>
      </c>
      <c r="Z24" s="137">
        <v>0</v>
      </c>
      <c r="AA24" s="137">
        <v>0</v>
      </c>
      <c r="AB24" s="137">
        <v>0</v>
      </c>
      <c r="AC24" s="141">
        <v>3410</v>
      </c>
      <c r="AD24" s="137">
        <v>3495</v>
      </c>
      <c r="AE24" s="137">
        <v>3515</v>
      </c>
      <c r="AF24" s="137">
        <v>3415</v>
      </c>
      <c r="AG24" s="135">
        <v>3415</v>
      </c>
      <c r="AH24" s="135">
        <v>3495</v>
      </c>
      <c r="AI24" s="135">
        <v>3540</v>
      </c>
      <c r="AJ24" s="135">
        <v>3525</v>
      </c>
      <c r="AK24" s="135">
        <v>3555</v>
      </c>
      <c r="AL24" s="135">
        <v>3545</v>
      </c>
      <c r="AM24" s="135">
        <v>3545</v>
      </c>
      <c r="AN24" s="135">
        <v>3590</v>
      </c>
      <c r="AO24" s="135">
        <v>3570</v>
      </c>
      <c r="AP24" s="135">
        <v>3525</v>
      </c>
      <c r="AQ24" s="135">
        <v>3515</v>
      </c>
      <c r="AR24" s="135">
        <v>3475</v>
      </c>
      <c r="AS24" s="135">
        <v>3435</v>
      </c>
      <c r="AT24" s="135">
        <v>3465</v>
      </c>
      <c r="AU24" s="135">
        <v>3535</v>
      </c>
      <c r="AV24" s="135">
        <v>3615</v>
      </c>
      <c r="AW24" s="135">
        <v>3595</v>
      </c>
      <c r="AX24" s="135">
        <v>3595</v>
      </c>
      <c r="AY24" s="135">
        <v>3550</v>
      </c>
      <c r="AZ24" s="135">
        <v>3480</v>
      </c>
      <c r="BA24" s="135">
        <v>3490</v>
      </c>
      <c r="BB24" s="135">
        <v>3555</v>
      </c>
      <c r="BC24" s="135">
        <v>3550</v>
      </c>
      <c r="BD24" s="135">
        <v>3535</v>
      </c>
      <c r="BE24" s="135">
        <v>3470</v>
      </c>
      <c r="BF24" s="135">
        <v>3455</v>
      </c>
      <c r="BG24" s="135">
        <v>3435</v>
      </c>
      <c r="BH24" s="135">
        <v>3435</v>
      </c>
      <c r="BI24" s="135">
        <v>3440</v>
      </c>
      <c r="BJ24" s="135">
        <v>3445</v>
      </c>
      <c r="BK24" s="135">
        <v>3445</v>
      </c>
      <c r="BL24" s="135">
        <v>3435</v>
      </c>
      <c r="BM24" s="135">
        <v>3425</v>
      </c>
      <c r="BN24" s="135">
        <v>3410</v>
      </c>
      <c r="BO24" s="135">
        <v>3395</v>
      </c>
      <c r="BP24" s="135">
        <v>3375</v>
      </c>
      <c r="BQ24" s="137">
        <v>3320</v>
      </c>
      <c r="BR24" s="137">
        <v>3315</v>
      </c>
      <c r="BS24" s="137">
        <v>3250</v>
      </c>
      <c r="BT24" s="137">
        <v>3295</v>
      </c>
      <c r="BU24" s="137">
        <v>3330</v>
      </c>
      <c r="BV24" s="137">
        <v>3400</v>
      </c>
      <c r="BW24" s="137">
        <v>3340</v>
      </c>
      <c r="BX24" s="137">
        <v>3275</v>
      </c>
      <c r="BY24" s="137">
        <v>3300</v>
      </c>
      <c r="BZ24" s="137">
        <v>3300</v>
      </c>
      <c r="CA24" s="137">
        <v>3325</v>
      </c>
      <c r="CB24" s="137">
        <v>3370</v>
      </c>
      <c r="CC24" s="137">
        <v>3410</v>
      </c>
      <c r="CD24" s="137">
        <v>3360</v>
      </c>
      <c r="CE24" s="137">
        <v>3340</v>
      </c>
      <c r="CF24" s="137">
        <v>3300</v>
      </c>
      <c r="CG24" s="137">
        <v>3340</v>
      </c>
      <c r="CH24" s="137">
        <v>3335</v>
      </c>
      <c r="CI24" s="137">
        <v>3315</v>
      </c>
      <c r="CJ24" s="137">
        <v>3325</v>
      </c>
      <c r="CK24" s="137">
        <v>3320</v>
      </c>
      <c r="CL24" s="137">
        <v>3310</v>
      </c>
      <c r="CM24" s="137">
        <v>3335</v>
      </c>
      <c r="CN24" s="137">
        <v>3300</v>
      </c>
      <c r="CO24" s="137">
        <v>3295</v>
      </c>
      <c r="CP24" s="137">
        <v>3295</v>
      </c>
      <c r="CQ24" s="137">
        <v>3335</v>
      </c>
      <c r="CR24" s="137">
        <v>3345</v>
      </c>
      <c r="CS24" s="137">
        <v>3395</v>
      </c>
      <c r="CT24" s="137">
        <v>3340</v>
      </c>
      <c r="CU24" s="137">
        <v>3340</v>
      </c>
      <c r="CV24" s="137">
        <v>3320</v>
      </c>
    </row>
    <row r="25" spans="1:100" x14ac:dyDescent="0.25">
      <c r="A25" s="367" t="str">
        <f>IPO監視一覧!H25</f>
        <v>A</v>
      </c>
      <c r="B25" s="91" t="str">
        <f>IPO監視一覧!B25</f>
        <v>ユーザーローカル</v>
      </c>
      <c r="C25" s="341">
        <f>株価一覧!E24</f>
        <v>8410</v>
      </c>
      <c r="D25" s="364">
        <f t="shared" ca="1" si="0"/>
        <v>8406</v>
      </c>
      <c r="E25" s="339">
        <f t="shared" ca="1" si="1"/>
        <v>8449</v>
      </c>
      <c r="F25" s="340">
        <f t="shared" ca="1" si="2"/>
        <v>8370</v>
      </c>
      <c r="G25" s="137">
        <v>0</v>
      </c>
      <c r="H25" s="137">
        <v>0</v>
      </c>
      <c r="I25" s="137">
        <v>0</v>
      </c>
      <c r="J25" s="137">
        <v>0</v>
      </c>
      <c r="K25" s="137">
        <v>0</v>
      </c>
      <c r="L25" s="137">
        <v>0</v>
      </c>
      <c r="M25" s="137">
        <v>0</v>
      </c>
      <c r="N25" s="137">
        <v>0</v>
      </c>
      <c r="O25" s="137">
        <v>0</v>
      </c>
      <c r="P25" s="137">
        <v>0</v>
      </c>
      <c r="Q25" s="137">
        <v>0</v>
      </c>
      <c r="R25" s="137">
        <v>0</v>
      </c>
      <c r="S25" s="137">
        <v>0</v>
      </c>
      <c r="T25" s="137">
        <v>0</v>
      </c>
      <c r="U25" s="137">
        <v>0</v>
      </c>
      <c r="V25" s="137">
        <v>0</v>
      </c>
      <c r="W25" s="137">
        <v>0</v>
      </c>
      <c r="X25" s="137">
        <v>0</v>
      </c>
      <c r="Y25" s="137">
        <v>0</v>
      </c>
      <c r="Z25" s="137">
        <v>0</v>
      </c>
      <c r="AA25" s="137">
        <v>0</v>
      </c>
      <c r="AB25" s="137">
        <v>0</v>
      </c>
      <c r="AC25" s="140">
        <v>0</v>
      </c>
      <c r="AD25" s="141">
        <v>12470</v>
      </c>
      <c r="AE25" s="137">
        <v>11400</v>
      </c>
      <c r="AF25" s="137">
        <v>10960</v>
      </c>
      <c r="AG25" s="135">
        <v>10400</v>
      </c>
      <c r="AH25" s="135">
        <v>9620</v>
      </c>
      <c r="AI25" s="135">
        <v>8600</v>
      </c>
      <c r="AJ25" s="135">
        <v>7680</v>
      </c>
      <c r="AK25" s="135">
        <v>8400</v>
      </c>
      <c r="AL25" s="135">
        <v>7920</v>
      </c>
      <c r="AM25" s="135">
        <v>8220</v>
      </c>
      <c r="AN25" s="135">
        <v>8890</v>
      </c>
      <c r="AO25" s="135">
        <v>8720</v>
      </c>
      <c r="AP25" s="135">
        <v>10220</v>
      </c>
      <c r="AQ25" s="135">
        <v>9330</v>
      </c>
      <c r="AR25" s="135">
        <v>8770</v>
      </c>
      <c r="AS25" s="135">
        <v>9390</v>
      </c>
      <c r="AT25" s="135">
        <v>9570</v>
      </c>
      <c r="AU25" s="135">
        <v>9310</v>
      </c>
      <c r="AV25" s="135">
        <v>9400</v>
      </c>
      <c r="AW25" s="135">
        <v>9370</v>
      </c>
      <c r="AX25" s="135">
        <v>9490</v>
      </c>
      <c r="AY25" s="135">
        <v>9420</v>
      </c>
      <c r="AZ25" s="135">
        <v>9080</v>
      </c>
      <c r="BA25" s="135">
        <v>9000</v>
      </c>
      <c r="BB25" s="135">
        <v>9220</v>
      </c>
      <c r="BC25" s="135">
        <v>8930</v>
      </c>
      <c r="BD25" s="135">
        <v>8750</v>
      </c>
      <c r="BE25" s="135">
        <v>8610</v>
      </c>
      <c r="BF25" s="135">
        <v>8570</v>
      </c>
      <c r="BG25" s="135">
        <v>8280</v>
      </c>
      <c r="BH25" s="135">
        <v>8290</v>
      </c>
      <c r="BI25" s="135">
        <v>8270</v>
      </c>
      <c r="BJ25" s="135">
        <v>8610</v>
      </c>
      <c r="BK25" s="135">
        <v>10110</v>
      </c>
      <c r="BL25" s="135">
        <v>10140</v>
      </c>
      <c r="BM25" s="135">
        <v>9850</v>
      </c>
      <c r="BN25" s="135">
        <v>9890</v>
      </c>
      <c r="BO25" s="135">
        <v>9390</v>
      </c>
      <c r="BP25" s="135">
        <v>9290</v>
      </c>
      <c r="BQ25" s="137">
        <v>9090</v>
      </c>
      <c r="BR25" s="137">
        <v>9680</v>
      </c>
      <c r="BS25" s="137">
        <v>9570</v>
      </c>
      <c r="BT25" s="137">
        <v>9370</v>
      </c>
      <c r="BU25" s="137">
        <v>9290</v>
      </c>
      <c r="BV25" s="137">
        <v>9200</v>
      </c>
      <c r="BW25" s="137">
        <v>9260</v>
      </c>
      <c r="BX25" s="137">
        <v>9000</v>
      </c>
      <c r="BY25" s="137">
        <v>8850</v>
      </c>
      <c r="BZ25" s="137">
        <v>8740</v>
      </c>
      <c r="CA25" s="137">
        <v>8580</v>
      </c>
      <c r="CB25" s="137">
        <v>8710</v>
      </c>
      <c r="CC25" s="137">
        <v>8950</v>
      </c>
      <c r="CD25" s="137">
        <v>9110</v>
      </c>
      <c r="CE25" s="137">
        <v>9150</v>
      </c>
      <c r="CF25" s="137">
        <v>9100</v>
      </c>
      <c r="CG25" s="137">
        <v>8740</v>
      </c>
      <c r="CH25" s="137">
        <v>8820</v>
      </c>
      <c r="CI25" s="137">
        <v>8880</v>
      </c>
      <c r="CJ25" s="137">
        <v>8560</v>
      </c>
      <c r="CK25" s="137">
        <v>8710</v>
      </c>
      <c r="CL25" s="137">
        <v>8580</v>
      </c>
      <c r="CM25" s="137">
        <v>8430</v>
      </c>
      <c r="CN25" s="137">
        <v>8600</v>
      </c>
      <c r="CO25" s="137">
        <v>8550</v>
      </c>
      <c r="CP25" s="137">
        <v>8480</v>
      </c>
      <c r="CQ25" s="137">
        <v>8400</v>
      </c>
      <c r="CR25" s="137">
        <v>8450</v>
      </c>
      <c r="CS25" s="137">
        <v>8430</v>
      </c>
      <c r="CT25" s="137">
        <v>8370</v>
      </c>
      <c r="CU25" s="137">
        <v>8370</v>
      </c>
      <c r="CV25" s="137">
        <v>8410</v>
      </c>
    </row>
    <row r="26" spans="1:100" x14ac:dyDescent="0.25">
      <c r="A26" s="367" t="str">
        <f>IPO監視一覧!H26</f>
        <v>B</v>
      </c>
      <c r="B26" s="91" t="str">
        <f>IPO監視一覧!B26</f>
        <v>ネットマーケティング</v>
      </c>
      <c r="C26" s="341">
        <f>株価一覧!E25</f>
        <v>1230</v>
      </c>
      <c r="D26" s="364">
        <f t="shared" ca="1" si="0"/>
        <v>1249.2</v>
      </c>
      <c r="E26" s="339">
        <f t="shared" ca="1" si="1"/>
        <v>1220.5999999999999</v>
      </c>
      <c r="F26" s="340">
        <f t="shared" ca="1" si="2"/>
        <v>1163</v>
      </c>
      <c r="G26" s="137">
        <v>0</v>
      </c>
      <c r="H26" s="137">
        <v>0</v>
      </c>
      <c r="I26" s="137">
        <v>0</v>
      </c>
      <c r="J26" s="137">
        <v>0</v>
      </c>
      <c r="K26" s="137">
        <v>0</v>
      </c>
      <c r="L26" s="137">
        <v>0</v>
      </c>
      <c r="M26" s="137">
        <v>0</v>
      </c>
      <c r="N26" s="137">
        <v>0</v>
      </c>
      <c r="O26" s="137">
        <v>0</v>
      </c>
      <c r="P26" s="137">
        <v>0</v>
      </c>
      <c r="Q26" s="137">
        <v>0</v>
      </c>
      <c r="R26" s="137">
        <v>0</v>
      </c>
      <c r="S26" s="137">
        <v>0</v>
      </c>
      <c r="T26" s="137">
        <v>0</v>
      </c>
      <c r="U26" s="137">
        <v>0</v>
      </c>
      <c r="V26" s="137">
        <v>0</v>
      </c>
      <c r="W26" s="137">
        <v>0</v>
      </c>
      <c r="X26" s="137">
        <v>0</v>
      </c>
      <c r="Y26" s="137">
        <v>0</v>
      </c>
      <c r="Z26" s="137">
        <v>0</v>
      </c>
      <c r="AA26" s="137">
        <v>0</v>
      </c>
      <c r="AB26" s="137">
        <v>0</v>
      </c>
      <c r="AC26" s="140">
        <v>0</v>
      </c>
      <c r="AD26" s="141">
        <v>1630</v>
      </c>
      <c r="AE26" s="137">
        <v>1530</v>
      </c>
      <c r="AF26" s="137">
        <v>1446</v>
      </c>
      <c r="AG26" s="135">
        <v>1310</v>
      </c>
      <c r="AH26" s="135">
        <v>1205</v>
      </c>
      <c r="AI26" s="135">
        <v>1240</v>
      </c>
      <c r="AJ26" s="135">
        <v>1115</v>
      </c>
      <c r="AK26" s="135">
        <v>1123</v>
      </c>
      <c r="AL26" s="135">
        <v>1300</v>
      </c>
      <c r="AM26" s="135">
        <v>1411</v>
      </c>
      <c r="AN26" s="135">
        <v>1370</v>
      </c>
      <c r="AO26" s="135">
        <v>1377</v>
      </c>
      <c r="AP26" s="135">
        <v>1440</v>
      </c>
      <c r="AQ26" s="135">
        <v>1345</v>
      </c>
      <c r="AR26" s="135">
        <v>1305</v>
      </c>
      <c r="AS26" s="135">
        <v>1311</v>
      </c>
      <c r="AT26" s="135">
        <v>1360</v>
      </c>
      <c r="AU26" s="135">
        <v>1329</v>
      </c>
      <c r="AV26" s="135">
        <v>1294</v>
      </c>
      <c r="AW26" s="135">
        <v>1336</v>
      </c>
      <c r="AX26" s="135">
        <v>1393</v>
      </c>
      <c r="AY26" s="135">
        <v>1469</v>
      </c>
      <c r="AZ26" s="135">
        <v>1470</v>
      </c>
      <c r="BA26" s="135">
        <v>1405</v>
      </c>
      <c r="BB26" s="135">
        <v>1340</v>
      </c>
      <c r="BC26" s="135">
        <v>1349</v>
      </c>
      <c r="BD26" s="135">
        <v>1369</v>
      </c>
      <c r="BE26" s="135">
        <v>1383</v>
      </c>
      <c r="BF26" s="135">
        <v>1357</v>
      </c>
      <c r="BG26" s="135">
        <v>1325</v>
      </c>
      <c r="BH26" s="135">
        <v>1318</v>
      </c>
      <c r="BI26" s="135">
        <v>1368</v>
      </c>
      <c r="BJ26" s="135">
        <v>1438</v>
      </c>
      <c r="BK26" s="135">
        <v>1435</v>
      </c>
      <c r="BL26" s="135">
        <v>1400</v>
      </c>
      <c r="BM26" s="135">
        <v>1342</v>
      </c>
      <c r="BN26" s="135">
        <v>1336</v>
      </c>
      <c r="BO26" s="135">
        <v>1331</v>
      </c>
      <c r="BP26" s="135">
        <v>1346</v>
      </c>
      <c r="BQ26" s="137">
        <v>1343</v>
      </c>
      <c r="BR26" s="137">
        <v>1336</v>
      </c>
      <c r="BS26" s="137">
        <v>1384</v>
      </c>
      <c r="BT26" s="137">
        <v>1420</v>
      </c>
      <c r="BU26" s="137">
        <v>1555</v>
      </c>
      <c r="BV26" s="137">
        <v>1511</v>
      </c>
      <c r="BW26" s="137">
        <v>1650</v>
      </c>
      <c r="BX26" s="137">
        <v>1520</v>
      </c>
      <c r="BY26" s="137">
        <v>1491</v>
      </c>
      <c r="BZ26" s="137">
        <v>1476</v>
      </c>
      <c r="CA26" s="137">
        <v>1448</v>
      </c>
      <c r="CB26" s="137">
        <v>1439</v>
      </c>
      <c r="CC26" s="137">
        <v>1462</v>
      </c>
      <c r="CD26" s="137">
        <v>1478</v>
      </c>
      <c r="CE26" s="137">
        <v>1446</v>
      </c>
      <c r="CF26" s="137">
        <v>1372</v>
      </c>
      <c r="CG26" s="137">
        <v>1340</v>
      </c>
      <c r="CH26" s="137">
        <v>1319</v>
      </c>
      <c r="CI26" s="137">
        <v>1316</v>
      </c>
      <c r="CJ26" s="137">
        <v>1296</v>
      </c>
      <c r="CK26" s="137">
        <v>1277</v>
      </c>
      <c r="CL26" s="137">
        <v>1273</v>
      </c>
      <c r="CM26" s="137">
        <v>1223</v>
      </c>
      <c r="CN26" s="137">
        <v>1190</v>
      </c>
      <c r="CO26" s="137">
        <v>1207</v>
      </c>
      <c r="CP26" s="137">
        <v>1177</v>
      </c>
      <c r="CQ26" s="137">
        <v>1163</v>
      </c>
      <c r="CR26" s="137">
        <v>1244</v>
      </c>
      <c r="CS26" s="137">
        <v>1230</v>
      </c>
      <c r="CT26" s="137">
        <v>1280</v>
      </c>
      <c r="CU26" s="137">
        <v>1262</v>
      </c>
      <c r="CV26" s="137">
        <v>1230</v>
      </c>
    </row>
    <row r="27" spans="1:100" x14ac:dyDescent="0.25">
      <c r="A27" s="367" t="str">
        <f>IPO監視一覧!H27</f>
        <v>A</v>
      </c>
      <c r="B27" s="91" t="str">
        <f>IPO監視一覧!B27</f>
        <v>テモナ</v>
      </c>
      <c r="C27" s="341">
        <f>株価一覧!E26</f>
        <v>7280</v>
      </c>
      <c r="D27" s="364">
        <f t="shared" ca="1" si="0"/>
        <v>6792</v>
      </c>
      <c r="E27" s="339">
        <f t="shared" ca="1" si="1"/>
        <v>6671</v>
      </c>
      <c r="F27" s="340">
        <f t="shared" ca="1" si="2"/>
        <v>6410</v>
      </c>
      <c r="G27" s="137">
        <v>0</v>
      </c>
      <c r="H27" s="137">
        <v>0</v>
      </c>
      <c r="I27" s="137">
        <v>0</v>
      </c>
      <c r="J27" s="137">
        <v>0</v>
      </c>
      <c r="K27" s="137">
        <v>0</v>
      </c>
      <c r="L27" s="137">
        <v>0</v>
      </c>
      <c r="M27" s="137">
        <v>0</v>
      </c>
      <c r="N27" s="137">
        <v>0</v>
      </c>
      <c r="O27" s="137">
        <v>0</v>
      </c>
      <c r="P27" s="137">
        <v>0</v>
      </c>
      <c r="Q27" s="137">
        <v>0</v>
      </c>
      <c r="R27" s="137">
        <v>0</v>
      </c>
      <c r="S27" s="137">
        <v>0</v>
      </c>
      <c r="T27" s="137">
        <v>0</v>
      </c>
      <c r="U27" s="137">
        <v>0</v>
      </c>
      <c r="V27" s="137">
        <v>0</v>
      </c>
      <c r="W27" s="137">
        <v>0</v>
      </c>
      <c r="X27" s="137">
        <v>0</v>
      </c>
      <c r="Y27" s="137">
        <v>0</v>
      </c>
      <c r="Z27" s="137">
        <v>0</v>
      </c>
      <c r="AA27" s="137">
        <v>0</v>
      </c>
      <c r="AB27" s="137">
        <v>0</v>
      </c>
      <c r="AC27" s="137">
        <v>0</v>
      </c>
      <c r="AD27" s="137">
        <v>0</v>
      </c>
      <c r="AE27" s="137">
        <v>0</v>
      </c>
      <c r="AF27" s="137">
        <v>0</v>
      </c>
      <c r="AG27" s="139">
        <v>7800</v>
      </c>
      <c r="AH27" s="135">
        <v>7200</v>
      </c>
      <c r="AI27" s="135">
        <v>6460</v>
      </c>
      <c r="AJ27" s="135">
        <v>5840</v>
      </c>
      <c r="AK27" s="135">
        <v>5900</v>
      </c>
      <c r="AL27" s="135">
        <v>5280</v>
      </c>
      <c r="AM27" s="135">
        <v>5510</v>
      </c>
      <c r="AN27" s="135">
        <v>5980</v>
      </c>
      <c r="AO27" s="135">
        <v>5930</v>
      </c>
      <c r="AP27" s="135">
        <v>6930</v>
      </c>
      <c r="AQ27" s="135">
        <v>7930</v>
      </c>
      <c r="AR27" s="135">
        <v>6940</v>
      </c>
      <c r="AS27" s="135">
        <v>7940</v>
      </c>
      <c r="AT27" s="135">
        <v>8150</v>
      </c>
      <c r="AU27" s="135">
        <v>8100</v>
      </c>
      <c r="AV27" s="135">
        <v>9600</v>
      </c>
      <c r="AW27" s="135">
        <v>9150</v>
      </c>
      <c r="AX27" s="135">
        <v>9490</v>
      </c>
      <c r="AY27" s="135">
        <v>9250</v>
      </c>
      <c r="AZ27" s="135">
        <v>8690</v>
      </c>
      <c r="BA27" s="135">
        <v>8100</v>
      </c>
      <c r="BB27" s="135">
        <v>8450</v>
      </c>
      <c r="BC27" s="135">
        <v>8600</v>
      </c>
      <c r="BD27" s="135">
        <v>8260</v>
      </c>
      <c r="BE27" s="135">
        <v>8000</v>
      </c>
      <c r="BF27" s="135">
        <v>8130</v>
      </c>
      <c r="BG27" s="135">
        <v>7950</v>
      </c>
      <c r="BH27" s="135">
        <v>8370</v>
      </c>
      <c r="BI27" s="135">
        <v>8750</v>
      </c>
      <c r="BJ27" s="135">
        <v>8350</v>
      </c>
      <c r="BK27" s="135">
        <v>9090</v>
      </c>
      <c r="BL27" s="135">
        <v>9250</v>
      </c>
      <c r="BM27" s="135">
        <v>8900</v>
      </c>
      <c r="BN27" s="135">
        <v>8520</v>
      </c>
      <c r="BO27" s="135">
        <v>8280</v>
      </c>
      <c r="BP27" s="135">
        <v>8120</v>
      </c>
      <c r="BQ27" s="137">
        <v>8100</v>
      </c>
      <c r="BR27" s="137">
        <v>7880</v>
      </c>
      <c r="BS27" s="137">
        <v>8080</v>
      </c>
      <c r="BT27" s="137">
        <v>7790</v>
      </c>
      <c r="BU27" s="137">
        <v>7780</v>
      </c>
      <c r="BV27" s="137">
        <v>7850</v>
      </c>
      <c r="BW27" s="137">
        <v>7850</v>
      </c>
      <c r="BX27" s="137">
        <v>7890</v>
      </c>
      <c r="BY27" s="137">
        <v>7630</v>
      </c>
      <c r="BZ27" s="137">
        <v>7300</v>
      </c>
      <c r="CA27" s="137">
        <v>7070</v>
      </c>
      <c r="CB27" s="137">
        <v>7200</v>
      </c>
      <c r="CC27" s="137">
        <v>7130</v>
      </c>
      <c r="CD27" s="137">
        <v>7020</v>
      </c>
      <c r="CE27" s="137">
        <v>6900</v>
      </c>
      <c r="CF27" s="137">
        <v>7650</v>
      </c>
      <c r="CG27" s="137">
        <v>7090</v>
      </c>
      <c r="CH27" s="137">
        <v>7000</v>
      </c>
      <c r="CI27" s="137">
        <v>7130</v>
      </c>
      <c r="CJ27" s="137">
        <v>6800</v>
      </c>
      <c r="CK27" s="137">
        <v>6560</v>
      </c>
      <c r="CL27" s="137">
        <v>6320</v>
      </c>
      <c r="CM27" s="137">
        <v>6450</v>
      </c>
      <c r="CN27" s="137">
        <v>6410</v>
      </c>
      <c r="CO27" s="137">
        <v>6630</v>
      </c>
      <c r="CP27" s="137">
        <v>6660</v>
      </c>
      <c r="CQ27" s="137">
        <v>6600</v>
      </c>
      <c r="CR27" s="137">
        <v>6500</v>
      </c>
      <c r="CS27" s="137">
        <v>6590</v>
      </c>
      <c r="CT27" s="137">
        <v>6640</v>
      </c>
      <c r="CU27" s="137">
        <v>6950</v>
      </c>
      <c r="CV27" s="137">
        <v>7280</v>
      </c>
    </row>
    <row r="28" spans="1:100" x14ac:dyDescent="0.25">
      <c r="A28" s="367" t="str">
        <f>IPO監視一覧!H28</f>
        <v>D</v>
      </c>
      <c r="B28" s="91" t="str">
        <f>IPO監視一覧!B28</f>
        <v>ウェーブロックHD</v>
      </c>
      <c r="C28" s="341">
        <f>株価一覧!E27</f>
        <v>1215</v>
      </c>
      <c r="D28" s="364">
        <f t="shared" ca="1" si="0"/>
        <v>1203</v>
      </c>
      <c r="E28" s="339">
        <f t="shared" ca="1" si="1"/>
        <v>1180.2</v>
      </c>
      <c r="F28" s="340">
        <f t="shared" ca="1" si="2"/>
        <v>1134</v>
      </c>
      <c r="G28" s="137">
        <v>0</v>
      </c>
      <c r="H28" s="137">
        <v>0</v>
      </c>
      <c r="I28" s="137">
        <v>0</v>
      </c>
      <c r="J28" s="137">
        <v>0</v>
      </c>
      <c r="K28" s="137">
        <v>0</v>
      </c>
      <c r="L28" s="137">
        <v>0</v>
      </c>
      <c r="M28" s="137">
        <v>0</v>
      </c>
      <c r="N28" s="137">
        <v>0</v>
      </c>
      <c r="O28" s="137">
        <v>0</v>
      </c>
      <c r="P28" s="137">
        <v>0</v>
      </c>
      <c r="Q28" s="137">
        <v>0</v>
      </c>
      <c r="R28" s="137">
        <v>0</v>
      </c>
      <c r="S28" s="137">
        <v>0</v>
      </c>
      <c r="T28" s="137">
        <v>0</v>
      </c>
      <c r="U28" s="137">
        <v>0</v>
      </c>
      <c r="V28" s="137">
        <v>0</v>
      </c>
      <c r="W28" s="137">
        <v>0</v>
      </c>
      <c r="X28" s="137">
        <v>0</v>
      </c>
      <c r="Y28" s="137">
        <v>0</v>
      </c>
      <c r="Z28" s="137">
        <v>0</v>
      </c>
      <c r="AA28" s="137">
        <v>0</v>
      </c>
      <c r="AB28" s="137">
        <v>0</v>
      </c>
      <c r="AC28" s="137">
        <v>0</v>
      </c>
      <c r="AD28" s="137">
        <v>0</v>
      </c>
      <c r="AE28" s="137">
        <v>0</v>
      </c>
      <c r="AF28" s="137">
        <v>0</v>
      </c>
      <c r="AG28" s="135">
        <v>0</v>
      </c>
      <c r="AH28" s="139">
        <v>693</v>
      </c>
      <c r="AI28" s="135">
        <v>655</v>
      </c>
      <c r="AJ28" s="135">
        <v>634</v>
      </c>
      <c r="AK28" s="135">
        <v>661</v>
      </c>
      <c r="AL28" s="135">
        <v>632</v>
      </c>
      <c r="AM28" s="135">
        <v>636</v>
      </c>
      <c r="AN28" s="135">
        <v>651</v>
      </c>
      <c r="AO28" s="135">
        <v>662</v>
      </c>
      <c r="AP28" s="135">
        <v>698</v>
      </c>
      <c r="AQ28" s="135">
        <v>675</v>
      </c>
      <c r="AR28" s="135">
        <v>671</v>
      </c>
      <c r="AS28" s="135">
        <v>688</v>
      </c>
      <c r="AT28" s="135">
        <v>694</v>
      </c>
      <c r="AU28" s="135">
        <v>692</v>
      </c>
      <c r="AV28" s="135">
        <v>681</v>
      </c>
      <c r="AW28" s="135">
        <v>690</v>
      </c>
      <c r="AX28" s="135">
        <v>704</v>
      </c>
      <c r="AY28" s="135">
        <v>718</v>
      </c>
      <c r="AZ28" s="135">
        <v>724</v>
      </c>
      <c r="BA28" s="135">
        <v>715</v>
      </c>
      <c r="BB28" s="135">
        <v>865</v>
      </c>
      <c r="BC28" s="135">
        <v>881</v>
      </c>
      <c r="BD28" s="135">
        <v>1031</v>
      </c>
      <c r="BE28" s="135">
        <v>1007</v>
      </c>
      <c r="BF28" s="135">
        <v>1000</v>
      </c>
      <c r="BG28" s="135">
        <v>956</v>
      </c>
      <c r="BH28" s="135">
        <v>914</v>
      </c>
      <c r="BI28" s="135">
        <v>944</v>
      </c>
      <c r="BJ28" s="135">
        <v>941</v>
      </c>
      <c r="BK28" s="135">
        <v>1091</v>
      </c>
      <c r="BL28" s="135">
        <v>1070</v>
      </c>
      <c r="BM28" s="135">
        <v>1234</v>
      </c>
      <c r="BN28" s="135">
        <v>1193</v>
      </c>
      <c r="BO28" s="135">
        <v>1227</v>
      </c>
      <c r="BP28" s="135">
        <v>1182</v>
      </c>
      <c r="BQ28" s="137">
        <v>1170</v>
      </c>
      <c r="BR28" s="137">
        <v>1108</v>
      </c>
      <c r="BS28" s="137">
        <v>1179</v>
      </c>
      <c r="BT28" s="137">
        <v>1199</v>
      </c>
      <c r="BU28" s="137">
        <v>1225</v>
      </c>
      <c r="BV28" s="137">
        <v>1172</v>
      </c>
      <c r="BW28" s="137">
        <v>1178</v>
      </c>
      <c r="BX28" s="137">
        <v>1160</v>
      </c>
      <c r="BY28" s="137">
        <v>1209</v>
      </c>
      <c r="BZ28" s="137">
        <v>1260</v>
      </c>
      <c r="CA28" s="137">
        <v>1280</v>
      </c>
      <c r="CB28" s="137">
        <v>1226</v>
      </c>
      <c r="CC28" s="137">
        <v>1230</v>
      </c>
      <c r="CD28" s="137">
        <v>1268</v>
      </c>
      <c r="CE28" s="137">
        <v>1310</v>
      </c>
      <c r="CF28" s="137">
        <v>1348</v>
      </c>
      <c r="CG28" s="137">
        <v>1260</v>
      </c>
      <c r="CH28" s="137">
        <v>1275</v>
      </c>
      <c r="CI28" s="137">
        <v>1249</v>
      </c>
      <c r="CJ28" s="137">
        <v>1138</v>
      </c>
      <c r="CK28" s="137">
        <v>1118</v>
      </c>
      <c r="CL28" s="137">
        <v>1112</v>
      </c>
      <c r="CM28" s="137">
        <v>1140</v>
      </c>
      <c r="CN28" s="137">
        <v>1170</v>
      </c>
      <c r="CO28" s="137">
        <v>1180</v>
      </c>
      <c r="CP28" s="137">
        <v>1148</v>
      </c>
      <c r="CQ28" s="137">
        <v>1149</v>
      </c>
      <c r="CR28" s="137">
        <v>1134</v>
      </c>
      <c r="CS28" s="137">
        <v>1233</v>
      </c>
      <c r="CT28" s="137">
        <v>1227</v>
      </c>
      <c r="CU28" s="137">
        <v>1206</v>
      </c>
      <c r="CV28" s="137">
        <v>1215</v>
      </c>
    </row>
    <row r="29" spans="1:100" x14ac:dyDescent="0.25">
      <c r="A29" s="367" t="str">
        <f>IPO監視一覧!H29</f>
        <v>D</v>
      </c>
      <c r="B29" s="91" t="str">
        <f>IPO監視一覧!B29</f>
        <v>LIXILビバ</v>
      </c>
      <c r="C29" s="341">
        <f>株価一覧!E28</f>
        <v>1964</v>
      </c>
      <c r="D29" s="364">
        <f t="shared" ca="1" si="0"/>
        <v>1987.8</v>
      </c>
      <c r="E29" s="339">
        <f t="shared" ca="1" si="1"/>
        <v>1999.8</v>
      </c>
      <c r="F29" s="340">
        <f t="shared" ca="1" si="2"/>
        <v>1964</v>
      </c>
      <c r="G29" s="137">
        <v>0</v>
      </c>
      <c r="H29" s="137">
        <v>0</v>
      </c>
      <c r="I29" s="137">
        <v>0</v>
      </c>
      <c r="J29" s="137">
        <v>0</v>
      </c>
      <c r="K29" s="137">
        <v>0</v>
      </c>
      <c r="L29" s="137">
        <v>0</v>
      </c>
      <c r="M29" s="137">
        <v>0</v>
      </c>
      <c r="N29" s="137">
        <v>0</v>
      </c>
      <c r="O29" s="137">
        <v>0</v>
      </c>
      <c r="P29" s="137">
        <v>0</v>
      </c>
      <c r="Q29" s="137">
        <v>0</v>
      </c>
      <c r="R29" s="137">
        <v>0</v>
      </c>
      <c r="S29" s="137">
        <v>0</v>
      </c>
      <c r="T29" s="137">
        <v>0</v>
      </c>
      <c r="U29" s="137">
        <v>0</v>
      </c>
      <c r="V29" s="137">
        <v>0</v>
      </c>
      <c r="W29" s="137">
        <v>0</v>
      </c>
      <c r="X29" s="137">
        <v>0</v>
      </c>
      <c r="Y29" s="137">
        <v>0</v>
      </c>
      <c r="Z29" s="137">
        <v>0</v>
      </c>
      <c r="AA29" s="137">
        <v>0</v>
      </c>
      <c r="AB29" s="137">
        <v>0</v>
      </c>
      <c r="AC29" s="137">
        <v>0</v>
      </c>
      <c r="AD29" s="137">
        <v>0</v>
      </c>
      <c r="AE29" s="137">
        <v>0</v>
      </c>
      <c r="AF29" s="137">
        <v>0</v>
      </c>
      <c r="AG29" s="135">
        <v>0</v>
      </c>
      <c r="AH29" s="135">
        <v>0</v>
      </c>
      <c r="AI29" s="135">
        <v>0</v>
      </c>
      <c r="AJ29" s="139">
        <v>2055</v>
      </c>
      <c r="AK29" s="135">
        <v>2068</v>
      </c>
      <c r="AL29" s="135">
        <v>2072</v>
      </c>
      <c r="AM29" s="135">
        <v>2067</v>
      </c>
      <c r="AN29" s="135">
        <v>2072</v>
      </c>
      <c r="AO29" s="135">
        <v>2075</v>
      </c>
      <c r="AP29" s="135">
        <v>2027</v>
      </c>
      <c r="AQ29" s="135">
        <v>2037</v>
      </c>
      <c r="AR29" s="135">
        <v>2049</v>
      </c>
      <c r="AS29" s="135">
        <v>2043</v>
      </c>
      <c r="AT29" s="135">
        <v>2034</v>
      </c>
      <c r="AU29" s="135">
        <v>2016</v>
      </c>
      <c r="AV29" s="135">
        <v>2006</v>
      </c>
      <c r="AW29" s="135">
        <v>1991</v>
      </c>
      <c r="AX29" s="135">
        <v>2017</v>
      </c>
      <c r="AY29" s="135">
        <v>2024</v>
      </c>
      <c r="AZ29" s="135">
        <v>2029</v>
      </c>
      <c r="BA29" s="135">
        <v>2047</v>
      </c>
      <c r="BB29" s="135">
        <v>2079</v>
      </c>
      <c r="BC29" s="135">
        <v>2075</v>
      </c>
      <c r="BD29" s="135">
        <v>2080</v>
      </c>
      <c r="BE29" s="135">
        <v>2094</v>
      </c>
      <c r="BF29" s="135">
        <v>2070</v>
      </c>
      <c r="BG29" s="135">
        <v>2068</v>
      </c>
      <c r="BH29" s="135">
        <v>2054</v>
      </c>
      <c r="BI29" s="135">
        <v>2070</v>
      </c>
      <c r="BJ29" s="135">
        <v>2079</v>
      </c>
      <c r="BK29" s="135">
        <v>2097</v>
      </c>
      <c r="BL29" s="135">
        <v>2083</v>
      </c>
      <c r="BM29" s="135">
        <v>2077</v>
      </c>
      <c r="BN29" s="135">
        <v>2070</v>
      </c>
      <c r="BO29" s="135">
        <v>2066</v>
      </c>
      <c r="BP29" s="135">
        <v>2057</v>
      </c>
      <c r="BQ29" s="137">
        <v>2050</v>
      </c>
      <c r="BR29" s="137">
        <v>2011</v>
      </c>
      <c r="BS29" s="137">
        <v>1992</v>
      </c>
      <c r="BT29" s="137">
        <v>2047</v>
      </c>
      <c r="BU29" s="137">
        <v>2021</v>
      </c>
      <c r="BV29" s="137">
        <v>2037</v>
      </c>
      <c r="BW29" s="137">
        <v>2001</v>
      </c>
      <c r="BX29" s="137">
        <v>2026</v>
      </c>
      <c r="BY29" s="137">
        <v>2023</v>
      </c>
      <c r="BZ29" s="137">
        <v>2027</v>
      </c>
      <c r="CA29" s="137">
        <v>2057</v>
      </c>
      <c r="CB29" s="137">
        <v>2045</v>
      </c>
      <c r="CC29" s="137">
        <v>2035</v>
      </c>
      <c r="CD29" s="137">
        <v>2050</v>
      </c>
      <c r="CE29" s="137">
        <v>2038</v>
      </c>
      <c r="CF29" s="137">
        <v>2033</v>
      </c>
      <c r="CG29" s="137">
        <v>2013</v>
      </c>
      <c r="CH29" s="137">
        <v>2000</v>
      </c>
      <c r="CI29" s="137">
        <v>2009</v>
      </c>
      <c r="CJ29" s="137">
        <v>2003</v>
      </c>
      <c r="CK29" s="137">
        <v>2008</v>
      </c>
      <c r="CL29" s="137">
        <v>2027</v>
      </c>
      <c r="CM29" s="137">
        <v>2016</v>
      </c>
      <c r="CN29" s="137">
        <v>2017</v>
      </c>
      <c r="CO29" s="137">
        <v>2011</v>
      </c>
      <c r="CP29" s="137">
        <v>2015</v>
      </c>
      <c r="CQ29" s="137">
        <v>2000</v>
      </c>
      <c r="CR29" s="137">
        <v>2003</v>
      </c>
      <c r="CS29" s="137">
        <v>2004</v>
      </c>
      <c r="CT29" s="137">
        <v>1989</v>
      </c>
      <c r="CU29" s="137">
        <v>1979</v>
      </c>
      <c r="CV29" s="137">
        <v>1964</v>
      </c>
    </row>
    <row r="30" spans="1:100" x14ac:dyDescent="0.25">
      <c r="A30" s="367" t="str">
        <f>IPO監視一覧!H30</f>
        <v>B</v>
      </c>
      <c r="B30" s="91" t="str">
        <f>IPO監視一覧!B30</f>
        <v>旅工房</v>
      </c>
      <c r="C30" s="341">
        <f>株価一覧!E29</f>
        <v>3560</v>
      </c>
      <c r="D30" s="364">
        <f t="shared" ca="1" si="0"/>
        <v>3567</v>
      </c>
      <c r="E30" s="339">
        <f t="shared" ca="1" si="1"/>
        <v>3615.5</v>
      </c>
      <c r="F30" s="340">
        <f t="shared" ca="1" si="2"/>
        <v>3530</v>
      </c>
      <c r="G30" s="137">
        <v>0</v>
      </c>
      <c r="H30" s="137">
        <v>0</v>
      </c>
      <c r="I30" s="137">
        <v>0</v>
      </c>
      <c r="J30" s="137">
        <v>0</v>
      </c>
      <c r="K30" s="137">
        <v>0</v>
      </c>
      <c r="L30" s="137">
        <v>0</v>
      </c>
      <c r="M30" s="137">
        <v>0</v>
      </c>
      <c r="N30" s="137">
        <v>0</v>
      </c>
      <c r="O30" s="137">
        <v>0</v>
      </c>
      <c r="P30" s="137">
        <v>0</v>
      </c>
      <c r="Q30" s="137">
        <v>0</v>
      </c>
      <c r="R30" s="137">
        <v>0</v>
      </c>
      <c r="S30" s="137">
        <v>0</v>
      </c>
      <c r="T30" s="137">
        <v>0</v>
      </c>
      <c r="U30" s="137">
        <v>0</v>
      </c>
      <c r="V30" s="137">
        <v>0</v>
      </c>
      <c r="W30" s="137">
        <v>0</v>
      </c>
      <c r="X30" s="137">
        <v>0</v>
      </c>
      <c r="Y30" s="137">
        <v>0</v>
      </c>
      <c r="Z30" s="137">
        <v>0</v>
      </c>
      <c r="AA30" s="137">
        <v>0</v>
      </c>
      <c r="AB30" s="137">
        <v>0</v>
      </c>
      <c r="AC30" s="137">
        <v>0</v>
      </c>
      <c r="AD30" s="137">
        <v>0</v>
      </c>
      <c r="AE30" s="137">
        <v>0</v>
      </c>
      <c r="AF30" s="137">
        <v>0</v>
      </c>
      <c r="AG30" s="137">
        <v>0</v>
      </c>
      <c r="AH30" s="137">
        <v>0</v>
      </c>
      <c r="AI30" s="137">
        <v>0</v>
      </c>
      <c r="AJ30" s="137">
        <v>0</v>
      </c>
      <c r="AK30" s="137">
        <v>0</v>
      </c>
      <c r="AL30" s="137">
        <v>0</v>
      </c>
      <c r="AM30" s="137">
        <v>0</v>
      </c>
      <c r="AN30" s="135">
        <v>0</v>
      </c>
      <c r="AO30" s="139">
        <v>4140</v>
      </c>
      <c r="AP30" s="135">
        <v>4840</v>
      </c>
      <c r="AQ30" s="135">
        <v>4995</v>
      </c>
      <c r="AR30" s="135">
        <v>4295</v>
      </c>
      <c r="AS30" s="135">
        <v>4995</v>
      </c>
      <c r="AT30" s="135">
        <v>4935</v>
      </c>
      <c r="AU30" s="135">
        <v>5070</v>
      </c>
      <c r="AV30" s="135">
        <v>4870</v>
      </c>
      <c r="AW30" s="135">
        <v>4630</v>
      </c>
      <c r="AX30" s="135">
        <v>4700</v>
      </c>
      <c r="AY30" s="135">
        <v>4720</v>
      </c>
      <c r="AZ30" s="135">
        <v>4600</v>
      </c>
      <c r="BA30" s="135">
        <v>4770</v>
      </c>
      <c r="BB30" s="135">
        <v>4680</v>
      </c>
      <c r="BC30" s="135">
        <v>4635</v>
      </c>
      <c r="BD30" s="135">
        <v>4290</v>
      </c>
      <c r="BE30" s="135">
        <v>4335</v>
      </c>
      <c r="BF30" s="135">
        <v>4380</v>
      </c>
      <c r="BG30" s="135">
        <v>4195</v>
      </c>
      <c r="BH30" s="135">
        <v>4175</v>
      </c>
      <c r="BI30" s="135">
        <v>4070</v>
      </c>
      <c r="BJ30" s="135">
        <v>4175</v>
      </c>
      <c r="BK30" s="135">
        <v>4425</v>
      </c>
      <c r="BL30" s="135">
        <v>4410</v>
      </c>
      <c r="BM30" s="135">
        <v>4240</v>
      </c>
      <c r="BN30" s="135">
        <v>4125</v>
      </c>
      <c r="BO30" s="135">
        <v>4075</v>
      </c>
      <c r="BP30" s="135">
        <v>4090</v>
      </c>
      <c r="BQ30" s="137">
        <v>4145</v>
      </c>
      <c r="BR30" s="137">
        <v>4065</v>
      </c>
      <c r="BS30" s="137">
        <v>4010</v>
      </c>
      <c r="BT30" s="137">
        <v>3885</v>
      </c>
      <c r="BU30" s="137">
        <v>3875</v>
      </c>
      <c r="BV30" s="137">
        <v>3815</v>
      </c>
      <c r="BW30" s="137">
        <v>3780</v>
      </c>
      <c r="BX30" s="137">
        <v>3610</v>
      </c>
      <c r="BY30" s="137">
        <v>3560</v>
      </c>
      <c r="BZ30" s="137">
        <v>3620</v>
      </c>
      <c r="CA30" s="137">
        <v>3655</v>
      </c>
      <c r="CB30" s="137">
        <v>3625</v>
      </c>
      <c r="CC30" s="137">
        <v>3645</v>
      </c>
      <c r="CD30" s="137">
        <v>3615</v>
      </c>
      <c r="CE30" s="137">
        <v>3625</v>
      </c>
      <c r="CF30" s="137">
        <v>3865</v>
      </c>
      <c r="CG30" s="137">
        <v>3885</v>
      </c>
      <c r="CH30" s="137">
        <v>3975</v>
      </c>
      <c r="CI30" s="137">
        <v>4000</v>
      </c>
      <c r="CJ30" s="137">
        <v>3945</v>
      </c>
      <c r="CK30" s="137">
        <v>3830</v>
      </c>
      <c r="CL30" s="137">
        <v>3755</v>
      </c>
      <c r="CM30" s="137">
        <v>3795</v>
      </c>
      <c r="CN30" s="137">
        <v>3675</v>
      </c>
      <c r="CO30" s="137">
        <v>3650</v>
      </c>
      <c r="CP30" s="137">
        <v>3610</v>
      </c>
      <c r="CQ30" s="137">
        <v>3590</v>
      </c>
      <c r="CR30" s="137">
        <v>3555</v>
      </c>
      <c r="CS30" s="137">
        <v>3530</v>
      </c>
      <c r="CT30" s="137">
        <v>3610</v>
      </c>
      <c r="CU30" s="137">
        <v>3580</v>
      </c>
      <c r="CV30" s="137">
        <v>3560</v>
      </c>
    </row>
    <row r="31" spans="1:100" x14ac:dyDescent="0.25">
      <c r="A31" s="367" t="str">
        <f>IPO監視一覧!H31</f>
        <v>A</v>
      </c>
      <c r="B31" s="91" t="str">
        <f>IPO監視一覧!B31</f>
        <v>アセンテック</v>
      </c>
      <c r="C31" s="341">
        <f>株価一覧!E30</f>
        <v>5670</v>
      </c>
      <c r="D31" s="364">
        <f t="shared" ca="1" si="0"/>
        <v>5702</v>
      </c>
      <c r="E31" s="339">
        <f t="shared" ca="1" si="1"/>
        <v>5822</v>
      </c>
      <c r="F31" s="340">
        <f t="shared" ca="1" si="2"/>
        <v>5670</v>
      </c>
      <c r="G31" s="137">
        <v>0</v>
      </c>
      <c r="H31" s="137">
        <v>0</v>
      </c>
      <c r="I31" s="137">
        <v>0</v>
      </c>
      <c r="J31" s="137">
        <v>0</v>
      </c>
      <c r="K31" s="137">
        <v>0</v>
      </c>
      <c r="L31" s="137">
        <v>0</v>
      </c>
      <c r="M31" s="137">
        <v>0</v>
      </c>
      <c r="N31" s="137">
        <v>0</v>
      </c>
      <c r="O31" s="137">
        <v>0</v>
      </c>
      <c r="P31" s="137">
        <v>0</v>
      </c>
      <c r="Q31" s="137">
        <v>0</v>
      </c>
      <c r="R31" s="137">
        <v>0</v>
      </c>
      <c r="S31" s="137">
        <v>0</v>
      </c>
      <c r="T31" s="137">
        <v>0</v>
      </c>
      <c r="U31" s="137">
        <v>0</v>
      </c>
      <c r="V31" s="137">
        <v>0</v>
      </c>
      <c r="W31" s="137">
        <v>0</v>
      </c>
      <c r="X31" s="137">
        <v>0</v>
      </c>
      <c r="Y31" s="137">
        <v>0</v>
      </c>
      <c r="Z31" s="137">
        <v>0</v>
      </c>
      <c r="AA31" s="137">
        <v>0</v>
      </c>
      <c r="AB31" s="137">
        <v>0</v>
      </c>
      <c r="AC31" s="137">
        <v>0</v>
      </c>
      <c r="AD31" s="137">
        <v>0</v>
      </c>
      <c r="AE31" s="137">
        <v>0</v>
      </c>
      <c r="AF31" s="137">
        <v>0</v>
      </c>
      <c r="AG31" s="137">
        <v>0</v>
      </c>
      <c r="AH31" s="137">
        <v>0</v>
      </c>
      <c r="AI31" s="137">
        <v>0</v>
      </c>
      <c r="AJ31" s="137">
        <v>0</v>
      </c>
      <c r="AK31" s="137">
        <v>0</v>
      </c>
      <c r="AL31" s="137">
        <v>0</v>
      </c>
      <c r="AM31" s="137">
        <v>0</v>
      </c>
      <c r="AN31" s="137">
        <v>0</v>
      </c>
      <c r="AO31" s="137">
        <v>0</v>
      </c>
      <c r="AP31" s="137">
        <v>0</v>
      </c>
      <c r="AQ31" s="137">
        <v>0</v>
      </c>
      <c r="AR31" s="137">
        <v>0</v>
      </c>
      <c r="AS31" s="137">
        <v>0</v>
      </c>
      <c r="AT31" s="139">
        <v>6950</v>
      </c>
      <c r="AU31" s="135">
        <v>6660</v>
      </c>
      <c r="AV31" s="135">
        <v>6660</v>
      </c>
      <c r="AW31" s="135">
        <v>6890</v>
      </c>
      <c r="AX31" s="135">
        <v>6660</v>
      </c>
      <c r="AY31" s="135">
        <v>6750</v>
      </c>
      <c r="AZ31" s="135">
        <v>6700</v>
      </c>
      <c r="BA31" s="135">
        <v>6730</v>
      </c>
      <c r="BB31" s="135">
        <v>7730</v>
      </c>
      <c r="BC31" s="135">
        <v>7950</v>
      </c>
      <c r="BD31" s="135">
        <v>7510</v>
      </c>
      <c r="BE31" s="135">
        <v>7390</v>
      </c>
      <c r="BF31" s="135">
        <v>7240</v>
      </c>
      <c r="BG31" s="135">
        <v>6980</v>
      </c>
      <c r="BH31" s="135">
        <v>6730</v>
      </c>
      <c r="BI31" s="135">
        <v>6680</v>
      </c>
      <c r="BJ31" s="135">
        <v>6890</v>
      </c>
      <c r="BK31" s="135">
        <v>6960</v>
      </c>
      <c r="BL31" s="135">
        <v>6900</v>
      </c>
      <c r="BM31" s="135">
        <v>6500</v>
      </c>
      <c r="BN31" s="135">
        <v>6070</v>
      </c>
      <c r="BO31" s="135">
        <v>6340</v>
      </c>
      <c r="BP31" s="135">
        <v>6250</v>
      </c>
      <c r="BQ31" s="137">
        <v>6090</v>
      </c>
      <c r="BR31" s="137">
        <v>5860</v>
      </c>
      <c r="BS31" s="137">
        <v>6120</v>
      </c>
      <c r="BT31" s="137">
        <v>5950</v>
      </c>
      <c r="BU31" s="137">
        <v>6000</v>
      </c>
      <c r="BV31" s="137">
        <v>5900</v>
      </c>
      <c r="BW31" s="137">
        <v>6850</v>
      </c>
      <c r="BX31" s="137">
        <v>6350</v>
      </c>
      <c r="BY31" s="137">
        <v>6140</v>
      </c>
      <c r="BZ31" s="137">
        <v>6110</v>
      </c>
      <c r="CA31" s="137">
        <v>6100</v>
      </c>
      <c r="CB31" s="137">
        <v>5910</v>
      </c>
      <c r="CC31" s="137">
        <v>6020</v>
      </c>
      <c r="CD31" s="137">
        <v>5930</v>
      </c>
      <c r="CE31" s="137">
        <v>5980</v>
      </c>
      <c r="CF31" s="137">
        <v>6300</v>
      </c>
      <c r="CG31" s="137">
        <v>6090</v>
      </c>
      <c r="CH31" s="137">
        <v>6430</v>
      </c>
      <c r="CI31" s="137">
        <v>6470</v>
      </c>
      <c r="CJ31" s="137">
        <v>6100</v>
      </c>
      <c r="CK31" s="137">
        <v>6040</v>
      </c>
      <c r="CL31" s="137">
        <v>5990</v>
      </c>
      <c r="CM31" s="137">
        <v>6050</v>
      </c>
      <c r="CN31" s="137">
        <v>5970</v>
      </c>
      <c r="CO31" s="137">
        <v>5880</v>
      </c>
      <c r="CP31" s="137">
        <v>5950</v>
      </c>
      <c r="CQ31" s="137">
        <v>5860</v>
      </c>
      <c r="CR31" s="137">
        <v>5750</v>
      </c>
      <c r="CS31" s="137">
        <v>5670</v>
      </c>
      <c r="CT31" s="137">
        <v>5740</v>
      </c>
      <c r="CU31" s="137">
        <v>5680</v>
      </c>
      <c r="CV31" s="137">
        <v>5670</v>
      </c>
    </row>
    <row r="32" spans="1:100" x14ac:dyDescent="0.25">
      <c r="A32" s="367" t="s">
        <v>472</v>
      </c>
      <c r="B32" s="91" t="str">
        <f>参加条件計算!B32</f>
        <v>アエリア</v>
      </c>
      <c r="C32" s="341">
        <f>株価一覧!E31</f>
        <v>3340</v>
      </c>
      <c r="D32" s="364">
        <f t="shared" ca="1" si="0"/>
        <v>3307</v>
      </c>
      <c r="E32" s="339">
        <f t="shared" ca="1" si="1"/>
        <v>3334.5</v>
      </c>
      <c r="F32" s="340">
        <f t="shared" ca="1" si="2"/>
        <v>3225</v>
      </c>
      <c r="G32" s="137">
        <v>0</v>
      </c>
      <c r="H32" s="137">
        <v>0</v>
      </c>
      <c r="I32" s="137">
        <v>0</v>
      </c>
      <c r="J32" s="137">
        <v>0</v>
      </c>
      <c r="K32" s="137">
        <v>0</v>
      </c>
      <c r="L32" s="137">
        <v>0</v>
      </c>
      <c r="M32" s="137">
        <v>0</v>
      </c>
      <c r="N32" s="137">
        <v>0</v>
      </c>
      <c r="O32" s="137">
        <v>0</v>
      </c>
      <c r="P32" s="137">
        <v>0</v>
      </c>
      <c r="Q32" s="137">
        <v>0</v>
      </c>
      <c r="R32" s="137">
        <v>0</v>
      </c>
      <c r="S32" s="137">
        <v>0</v>
      </c>
      <c r="T32" s="137">
        <v>0</v>
      </c>
      <c r="U32" s="137">
        <v>0</v>
      </c>
      <c r="V32" s="137">
        <v>0</v>
      </c>
      <c r="W32" s="137">
        <v>0</v>
      </c>
      <c r="X32" s="137">
        <v>0</v>
      </c>
      <c r="Y32" s="137">
        <v>0</v>
      </c>
      <c r="Z32" s="137">
        <v>0</v>
      </c>
      <c r="AA32" s="137">
        <v>0</v>
      </c>
      <c r="AB32" s="137">
        <v>0</v>
      </c>
      <c r="AC32" s="137">
        <v>0</v>
      </c>
      <c r="AD32" s="137">
        <v>0</v>
      </c>
      <c r="AE32" s="137">
        <v>0</v>
      </c>
      <c r="AF32" s="137">
        <v>0</v>
      </c>
      <c r="AG32" s="137">
        <v>0</v>
      </c>
      <c r="AH32" s="137">
        <v>0</v>
      </c>
      <c r="AI32" s="137">
        <v>0</v>
      </c>
      <c r="AJ32" s="137">
        <v>0</v>
      </c>
      <c r="AK32" s="137">
        <v>0</v>
      </c>
      <c r="AL32" s="137">
        <v>0</v>
      </c>
      <c r="AM32" s="137">
        <v>0</v>
      </c>
      <c r="AN32" s="137">
        <v>0</v>
      </c>
      <c r="AO32" s="137">
        <v>0</v>
      </c>
      <c r="AP32" s="137">
        <v>0</v>
      </c>
      <c r="AQ32" s="137">
        <v>0</v>
      </c>
      <c r="AR32" s="137">
        <v>0</v>
      </c>
      <c r="AS32" s="137">
        <v>0</v>
      </c>
      <c r="AT32" s="139">
        <v>0</v>
      </c>
      <c r="AU32" s="135">
        <v>0</v>
      </c>
      <c r="AV32" s="135">
        <v>0</v>
      </c>
      <c r="AW32" s="135">
        <v>0</v>
      </c>
      <c r="AX32" s="135">
        <v>0</v>
      </c>
      <c r="AY32" s="135">
        <v>0</v>
      </c>
      <c r="AZ32" s="135">
        <v>0</v>
      </c>
      <c r="BA32" s="135">
        <v>0</v>
      </c>
      <c r="BB32" s="135">
        <v>0</v>
      </c>
      <c r="BC32" s="135">
        <v>0</v>
      </c>
      <c r="BD32" s="135">
        <v>0</v>
      </c>
      <c r="BE32" s="135">
        <v>0</v>
      </c>
      <c r="BF32" s="135">
        <v>0</v>
      </c>
      <c r="BG32" s="371">
        <v>4510</v>
      </c>
      <c r="BH32" s="371">
        <v>4385</v>
      </c>
      <c r="BI32" s="371">
        <v>4420</v>
      </c>
      <c r="BJ32" s="371">
        <v>4515</v>
      </c>
      <c r="BK32" s="371">
        <v>4455</v>
      </c>
      <c r="BL32" s="371">
        <v>4365</v>
      </c>
      <c r="BM32" s="371">
        <v>4270</v>
      </c>
      <c r="BN32" s="371">
        <v>4085</v>
      </c>
      <c r="BO32" s="371">
        <v>4320</v>
      </c>
      <c r="BP32" s="371">
        <v>4405</v>
      </c>
      <c r="BQ32" s="137">
        <v>4360</v>
      </c>
      <c r="BR32" s="137">
        <v>4285</v>
      </c>
      <c r="BS32" s="137">
        <v>4985</v>
      </c>
      <c r="BT32" s="137">
        <v>5020</v>
      </c>
      <c r="BU32" s="137">
        <v>5290</v>
      </c>
      <c r="BV32" s="137">
        <v>5930</v>
      </c>
      <c r="BW32" s="137">
        <v>6130</v>
      </c>
      <c r="BX32" s="137">
        <v>5960</v>
      </c>
      <c r="BY32" s="137">
        <v>6470</v>
      </c>
      <c r="BZ32" s="137">
        <v>6310</v>
      </c>
      <c r="CA32" s="137">
        <v>5940</v>
      </c>
      <c r="CB32" s="137">
        <v>6440</v>
      </c>
      <c r="CC32" s="137">
        <v>6380</v>
      </c>
      <c r="CD32" s="137">
        <v>7100</v>
      </c>
      <c r="CE32" s="137">
        <v>6720</v>
      </c>
      <c r="CF32" s="137">
        <v>6770</v>
      </c>
      <c r="CG32" s="137">
        <v>6340</v>
      </c>
      <c r="CH32" s="137">
        <v>6230</v>
      </c>
      <c r="CI32" s="137">
        <v>6280</v>
      </c>
      <c r="CJ32" s="137">
        <v>2980</v>
      </c>
      <c r="CK32" s="137">
        <v>3225</v>
      </c>
      <c r="CL32" s="137">
        <v>3215</v>
      </c>
      <c r="CM32" s="137">
        <v>3570</v>
      </c>
      <c r="CN32" s="137">
        <v>3415</v>
      </c>
      <c r="CO32" s="137">
        <v>3285</v>
      </c>
      <c r="CP32" s="137">
        <v>3285</v>
      </c>
      <c r="CQ32" s="137">
        <v>3255</v>
      </c>
      <c r="CR32" s="137">
        <v>3225</v>
      </c>
      <c r="CS32" s="137">
        <v>3310</v>
      </c>
      <c r="CT32" s="137">
        <v>3270</v>
      </c>
      <c r="CU32" s="137">
        <v>3390</v>
      </c>
      <c r="CV32" s="137">
        <v>3340</v>
      </c>
    </row>
    <row r="33" spans="1:100" x14ac:dyDescent="0.25">
      <c r="A33" s="367" t="s">
        <v>472</v>
      </c>
      <c r="B33" s="91" t="str">
        <f>参加条件計算!B33</f>
        <v>アカツキ</v>
      </c>
      <c r="C33" s="341">
        <f>株価一覧!E32</f>
        <v>8730</v>
      </c>
      <c r="D33" s="364">
        <f t="shared" ca="1" si="0"/>
        <v>8752</v>
      </c>
      <c r="E33" s="339">
        <f t="shared" ca="1" si="1"/>
        <v>8604</v>
      </c>
      <c r="F33" s="340">
        <f t="shared" ca="1" si="2"/>
        <v>8350</v>
      </c>
      <c r="G33" s="137">
        <v>0</v>
      </c>
      <c r="H33" s="137">
        <v>0</v>
      </c>
      <c r="I33" s="137">
        <v>0</v>
      </c>
      <c r="J33" s="137">
        <v>0</v>
      </c>
      <c r="K33" s="137">
        <v>0</v>
      </c>
      <c r="L33" s="137">
        <v>0</v>
      </c>
      <c r="M33" s="137">
        <v>0</v>
      </c>
      <c r="N33" s="137">
        <v>0</v>
      </c>
      <c r="O33" s="137">
        <v>0</v>
      </c>
      <c r="P33" s="137">
        <v>0</v>
      </c>
      <c r="Q33" s="137">
        <v>0</v>
      </c>
      <c r="R33" s="137">
        <v>0</v>
      </c>
      <c r="S33" s="137">
        <v>0</v>
      </c>
      <c r="T33" s="137">
        <v>0</v>
      </c>
      <c r="U33" s="137">
        <v>0</v>
      </c>
      <c r="V33" s="137">
        <v>0</v>
      </c>
      <c r="W33" s="137">
        <v>0</v>
      </c>
      <c r="X33" s="137">
        <v>0</v>
      </c>
      <c r="Y33" s="137">
        <v>0</v>
      </c>
      <c r="Z33" s="137">
        <v>0</v>
      </c>
      <c r="AA33" s="137">
        <v>0</v>
      </c>
      <c r="AB33" s="137">
        <v>0</v>
      </c>
      <c r="AC33" s="137">
        <v>0</v>
      </c>
      <c r="AD33" s="137">
        <v>0</v>
      </c>
      <c r="AE33" s="137">
        <v>0</v>
      </c>
      <c r="AF33" s="137">
        <v>0</v>
      </c>
      <c r="AG33" s="137">
        <v>0</v>
      </c>
      <c r="AH33" s="137">
        <v>0</v>
      </c>
      <c r="AI33" s="137">
        <v>0</v>
      </c>
      <c r="AJ33" s="137">
        <v>0</v>
      </c>
      <c r="AK33" s="137">
        <v>0</v>
      </c>
      <c r="AL33" s="137">
        <v>0</v>
      </c>
      <c r="AM33" s="137">
        <v>0</v>
      </c>
      <c r="AN33" s="137">
        <v>0</v>
      </c>
      <c r="AO33" s="137">
        <v>0</v>
      </c>
      <c r="AP33" s="137">
        <v>0</v>
      </c>
      <c r="AQ33" s="137">
        <v>0</v>
      </c>
      <c r="AR33" s="137">
        <v>0</v>
      </c>
      <c r="AS33" s="137">
        <v>0</v>
      </c>
      <c r="AT33" s="139">
        <v>0</v>
      </c>
      <c r="AU33" s="135">
        <v>0</v>
      </c>
      <c r="AV33" s="135">
        <v>0</v>
      </c>
      <c r="AW33" s="135">
        <v>0</v>
      </c>
      <c r="AX33" s="135">
        <v>0</v>
      </c>
      <c r="AY33" s="135">
        <v>0</v>
      </c>
      <c r="AZ33" s="135">
        <v>0</v>
      </c>
      <c r="BA33" s="135">
        <v>0</v>
      </c>
      <c r="BB33" s="135">
        <v>0</v>
      </c>
      <c r="BC33" s="135">
        <v>0</v>
      </c>
      <c r="BD33" s="135">
        <v>0</v>
      </c>
      <c r="BE33" s="135">
        <v>0</v>
      </c>
      <c r="BF33" s="135">
        <v>0</v>
      </c>
      <c r="BG33" s="371">
        <v>6270</v>
      </c>
      <c r="BH33" s="371">
        <v>6160</v>
      </c>
      <c r="BI33" s="371">
        <v>6210</v>
      </c>
      <c r="BJ33" s="371">
        <v>6170</v>
      </c>
      <c r="BK33" s="371">
        <v>6280</v>
      </c>
      <c r="BL33" s="371">
        <v>6180</v>
      </c>
      <c r="BM33" s="371">
        <v>6150</v>
      </c>
      <c r="BN33" s="371">
        <v>5820</v>
      </c>
      <c r="BO33" s="371">
        <v>5790</v>
      </c>
      <c r="BP33" s="371">
        <v>6120</v>
      </c>
      <c r="BQ33" s="137">
        <v>6060</v>
      </c>
      <c r="BR33" s="137">
        <v>6000</v>
      </c>
      <c r="BS33" s="137">
        <v>6350</v>
      </c>
      <c r="BT33" s="137">
        <v>6150</v>
      </c>
      <c r="BU33" s="137">
        <v>7150</v>
      </c>
      <c r="BV33" s="137">
        <v>7080</v>
      </c>
      <c r="BW33" s="137">
        <v>7300</v>
      </c>
      <c r="BX33" s="137">
        <v>7220</v>
      </c>
      <c r="BY33" s="137">
        <v>7770</v>
      </c>
      <c r="BZ33" s="137">
        <v>8270</v>
      </c>
      <c r="CA33" s="137">
        <v>7980</v>
      </c>
      <c r="CB33" s="137">
        <v>8290</v>
      </c>
      <c r="CC33" s="137">
        <v>8570</v>
      </c>
      <c r="CD33" s="137">
        <v>8820</v>
      </c>
      <c r="CE33" s="137">
        <v>8770</v>
      </c>
      <c r="CF33" s="137">
        <v>9240</v>
      </c>
      <c r="CG33" s="137">
        <v>8830</v>
      </c>
      <c r="CH33" s="137">
        <v>9330</v>
      </c>
      <c r="CI33" s="137">
        <v>9200</v>
      </c>
      <c r="CJ33" s="137">
        <v>8440</v>
      </c>
      <c r="CK33" s="137">
        <v>8760</v>
      </c>
      <c r="CL33" s="137">
        <v>8770</v>
      </c>
      <c r="CM33" s="137">
        <v>8620</v>
      </c>
      <c r="CN33" s="137">
        <v>8350</v>
      </c>
      <c r="CO33" s="137">
        <v>8570</v>
      </c>
      <c r="CP33" s="137">
        <v>8350</v>
      </c>
      <c r="CQ33" s="137">
        <v>8390</v>
      </c>
      <c r="CR33" s="137">
        <v>8810</v>
      </c>
      <c r="CS33" s="137">
        <v>8710</v>
      </c>
      <c r="CT33" s="137">
        <v>8670</v>
      </c>
      <c r="CU33" s="137">
        <v>8840</v>
      </c>
      <c r="CV33" s="137">
        <v>8730</v>
      </c>
    </row>
    <row r="34" spans="1:100" x14ac:dyDescent="0.25">
      <c r="A34" s="367" t="s">
        <v>472</v>
      </c>
      <c r="B34" s="91" t="str">
        <f>参加条件計算!B34</f>
        <v>メイコー</v>
      </c>
      <c r="C34" s="341">
        <f>株価一覧!E33</f>
        <v>1501</v>
      </c>
      <c r="D34" s="364">
        <f t="shared" ca="1" si="0"/>
        <v>1494</v>
      </c>
      <c r="E34" s="339">
        <f t="shared" ca="1" si="1"/>
        <v>1474.4</v>
      </c>
      <c r="F34" s="340">
        <f t="shared" ca="1" si="2"/>
        <v>1397</v>
      </c>
      <c r="G34" s="137">
        <v>0</v>
      </c>
      <c r="H34" s="137">
        <v>0</v>
      </c>
      <c r="I34" s="137">
        <v>0</v>
      </c>
      <c r="J34" s="137">
        <v>0</v>
      </c>
      <c r="K34" s="137">
        <v>0</v>
      </c>
      <c r="L34" s="137">
        <v>0</v>
      </c>
      <c r="M34" s="137">
        <v>0</v>
      </c>
      <c r="N34" s="137">
        <v>0</v>
      </c>
      <c r="O34" s="137">
        <v>0</v>
      </c>
      <c r="P34" s="137">
        <v>0</v>
      </c>
      <c r="Q34" s="137">
        <v>0</v>
      </c>
      <c r="R34" s="137">
        <v>0</v>
      </c>
      <c r="S34" s="137">
        <v>0</v>
      </c>
      <c r="T34" s="137">
        <v>0</v>
      </c>
      <c r="U34" s="137">
        <v>0</v>
      </c>
      <c r="V34" s="137">
        <v>0</v>
      </c>
      <c r="W34" s="137">
        <v>0</v>
      </c>
      <c r="X34" s="137">
        <v>0</v>
      </c>
      <c r="Y34" s="137">
        <v>0</v>
      </c>
      <c r="Z34" s="137">
        <v>0</v>
      </c>
      <c r="AA34" s="137">
        <v>0</v>
      </c>
      <c r="AB34" s="137">
        <v>0</v>
      </c>
      <c r="AC34" s="137">
        <v>0</v>
      </c>
      <c r="AD34" s="137">
        <v>0</v>
      </c>
      <c r="AE34" s="137">
        <v>0</v>
      </c>
      <c r="AF34" s="137">
        <v>0</v>
      </c>
      <c r="AG34" s="137">
        <v>0</v>
      </c>
      <c r="AH34" s="137">
        <v>0</v>
      </c>
      <c r="AI34" s="137">
        <v>0</v>
      </c>
      <c r="AJ34" s="137">
        <v>0</v>
      </c>
      <c r="AK34" s="137">
        <v>0</v>
      </c>
      <c r="AL34" s="137">
        <v>0</v>
      </c>
      <c r="AM34" s="137">
        <v>0</v>
      </c>
      <c r="AN34" s="137">
        <v>0</v>
      </c>
      <c r="AO34" s="137">
        <v>0</v>
      </c>
      <c r="AP34" s="137">
        <v>0</v>
      </c>
      <c r="AQ34" s="137">
        <v>0</v>
      </c>
      <c r="AR34" s="137">
        <v>0</v>
      </c>
      <c r="AS34" s="137">
        <v>0</v>
      </c>
      <c r="AT34" s="139">
        <v>0</v>
      </c>
      <c r="AU34" s="135">
        <v>0</v>
      </c>
      <c r="AV34" s="135">
        <v>0</v>
      </c>
      <c r="AW34" s="135">
        <v>0</v>
      </c>
      <c r="AX34" s="135">
        <v>0</v>
      </c>
      <c r="AY34" s="135">
        <v>0</v>
      </c>
      <c r="AZ34" s="135">
        <v>0</v>
      </c>
      <c r="BA34" s="135">
        <v>0</v>
      </c>
      <c r="BB34" s="135">
        <v>0</v>
      </c>
      <c r="BC34" s="135">
        <v>0</v>
      </c>
      <c r="BD34" s="135">
        <v>0</v>
      </c>
      <c r="BE34" s="135">
        <v>0</v>
      </c>
      <c r="BF34" s="135">
        <v>0</v>
      </c>
      <c r="BG34" s="371">
        <v>1059</v>
      </c>
      <c r="BH34" s="371">
        <v>1142</v>
      </c>
      <c r="BI34" s="371">
        <v>1189</v>
      </c>
      <c r="BJ34" s="371">
        <v>1225</v>
      </c>
      <c r="BK34" s="371">
        <v>1237</v>
      </c>
      <c r="BL34" s="371">
        <v>1212</v>
      </c>
      <c r="BM34" s="371">
        <v>1325</v>
      </c>
      <c r="BN34" s="371">
        <v>1318</v>
      </c>
      <c r="BO34" s="371">
        <v>1292</v>
      </c>
      <c r="BP34" s="371">
        <v>1345</v>
      </c>
      <c r="BQ34" s="137">
        <v>1369</v>
      </c>
      <c r="BR34" s="137">
        <v>1411</v>
      </c>
      <c r="BS34" s="137">
        <v>1411</v>
      </c>
      <c r="BT34" s="137">
        <v>1390</v>
      </c>
      <c r="BU34" s="137">
        <v>1405</v>
      </c>
      <c r="BV34" s="137">
        <v>1380</v>
      </c>
      <c r="BW34" s="137">
        <v>1431</v>
      </c>
      <c r="BX34" s="137">
        <v>1325</v>
      </c>
      <c r="BY34" s="137">
        <v>1351</v>
      </c>
      <c r="BZ34" s="137">
        <v>1318</v>
      </c>
      <c r="CA34" s="137">
        <v>1300</v>
      </c>
      <c r="CB34" s="137">
        <v>1241</v>
      </c>
      <c r="CC34" s="137">
        <v>1277</v>
      </c>
      <c r="CD34" s="137">
        <v>1335</v>
      </c>
      <c r="CE34" s="137">
        <v>1337</v>
      </c>
      <c r="CF34" s="137">
        <v>1384</v>
      </c>
      <c r="CG34" s="137">
        <v>1433</v>
      </c>
      <c r="CH34" s="137">
        <v>1541</v>
      </c>
      <c r="CI34" s="137">
        <v>1500</v>
      </c>
      <c r="CJ34" s="137">
        <v>1453</v>
      </c>
      <c r="CK34" s="137">
        <v>1431</v>
      </c>
      <c r="CL34" s="137">
        <v>1431</v>
      </c>
      <c r="CM34" s="137">
        <v>1460</v>
      </c>
      <c r="CN34" s="137">
        <v>1397</v>
      </c>
      <c r="CO34" s="137">
        <v>1472</v>
      </c>
      <c r="CP34" s="137">
        <v>1464</v>
      </c>
      <c r="CQ34" s="137">
        <v>1481</v>
      </c>
      <c r="CR34" s="137">
        <v>1471</v>
      </c>
      <c r="CS34" s="137">
        <v>1496</v>
      </c>
      <c r="CT34" s="137">
        <v>1467</v>
      </c>
      <c r="CU34" s="137">
        <v>1535</v>
      </c>
      <c r="CV34" s="137">
        <v>1501</v>
      </c>
    </row>
    <row r="35" spans="1:100" x14ac:dyDescent="0.25">
      <c r="A35" s="367" t="s">
        <v>472</v>
      </c>
      <c r="B35" s="91" t="str">
        <f>参加条件計算!B35</f>
        <v>クルーズ</v>
      </c>
      <c r="C35" s="341">
        <f>株価一覧!E34</f>
        <v>2998</v>
      </c>
      <c r="D35" s="364">
        <f t="shared" ca="1" si="0"/>
        <v>2965.8</v>
      </c>
      <c r="E35" s="339">
        <f t="shared" ca="1" si="1"/>
        <v>2860.1</v>
      </c>
      <c r="F35" s="340">
        <f t="shared" ca="1" si="2"/>
        <v>2725</v>
      </c>
      <c r="G35" s="137">
        <v>0</v>
      </c>
      <c r="H35" s="137">
        <v>0</v>
      </c>
      <c r="I35" s="137">
        <v>0</v>
      </c>
      <c r="J35" s="137">
        <v>0</v>
      </c>
      <c r="K35" s="137">
        <v>0</v>
      </c>
      <c r="L35" s="137">
        <v>0</v>
      </c>
      <c r="M35" s="137">
        <v>0</v>
      </c>
      <c r="N35" s="137">
        <v>0</v>
      </c>
      <c r="O35" s="137">
        <v>0</v>
      </c>
      <c r="P35" s="137">
        <v>0</v>
      </c>
      <c r="Q35" s="137">
        <v>0</v>
      </c>
      <c r="R35" s="137">
        <v>0</v>
      </c>
      <c r="S35" s="137">
        <v>0</v>
      </c>
      <c r="T35" s="137">
        <v>0</v>
      </c>
      <c r="U35" s="137">
        <v>0</v>
      </c>
      <c r="V35" s="137">
        <v>0</v>
      </c>
      <c r="W35" s="137">
        <v>0</v>
      </c>
      <c r="X35" s="137">
        <v>0</v>
      </c>
      <c r="Y35" s="137">
        <v>0</v>
      </c>
      <c r="Z35" s="137">
        <v>0</v>
      </c>
      <c r="AA35" s="137">
        <v>0</v>
      </c>
      <c r="AB35" s="137">
        <v>0</v>
      </c>
      <c r="AC35" s="137">
        <v>0</v>
      </c>
      <c r="AD35" s="137">
        <v>0</v>
      </c>
      <c r="AE35" s="137">
        <v>0</v>
      </c>
      <c r="AF35" s="137">
        <v>0</v>
      </c>
      <c r="AG35" s="137">
        <v>0</v>
      </c>
      <c r="AH35" s="137">
        <v>0</v>
      </c>
      <c r="AI35" s="137">
        <v>0</v>
      </c>
      <c r="AJ35" s="137">
        <v>0</v>
      </c>
      <c r="AK35" s="137">
        <v>0</v>
      </c>
      <c r="AL35" s="137">
        <v>0</v>
      </c>
      <c r="AM35" s="137">
        <v>0</v>
      </c>
      <c r="AN35" s="137">
        <v>0</v>
      </c>
      <c r="AO35" s="137">
        <v>0</v>
      </c>
      <c r="AP35" s="137">
        <v>0</v>
      </c>
      <c r="AQ35" s="137">
        <v>0</v>
      </c>
      <c r="AR35" s="137">
        <v>0</v>
      </c>
      <c r="AS35" s="137">
        <v>0</v>
      </c>
      <c r="AT35" s="139">
        <v>0</v>
      </c>
      <c r="AU35" s="135">
        <v>0</v>
      </c>
      <c r="AV35" s="135">
        <v>0</v>
      </c>
      <c r="AW35" s="135">
        <v>0</v>
      </c>
      <c r="AX35" s="135">
        <v>0</v>
      </c>
      <c r="AY35" s="135">
        <v>0</v>
      </c>
      <c r="AZ35" s="135">
        <v>0</v>
      </c>
      <c r="BA35" s="135">
        <v>0</v>
      </c>
      <c r="BB35" s="135">
        <v>0</v>
      </c>
      <c r="BC35" s="135">
        <v>0</v>
      </c>
      <c r="BD35" s="135">
        <v>0</v>
      </c>
      <c r="BE35" s="135">
        <v>0</v>
      </c>
      <c r="BF35" s="135">
        <v>0</v>
      </c>
      <c r="BG35" s="371">
        <v>2919</v>
      </c>
      <c r="BH35" s="371">
        <v>2900</v>
      </c>
      <c r="BI35" s="371">
        <v>2917</v>
      </c>
      <c r="BJ35" s="371">
        <v>2836</v>
      </c>
      <c r="BK35" s="371">
        <v>2856</v>
      </c>
      <c r="BL35" s="371">
        <v>2862</v>
      </c>
      <c r="BM35" s="371">
        <v>2831</v>
      </c>
      <c r="BN35" s="371">
        <v>2871</v>
      </c>
      <c r="BO35" s="371">
        <v>2966</v>
      </c>
      <c r="BP35" s="371">
        <v>2919</v>
      </c>
      <c r="BQ35" s="137">
        <v>2848</v>
      </c>
      <c r="BR35" s="137">
        <v>2830</v>
      </c>
      <c r="BS35" s="137">
        <v>2865</v>
      </c>
      <c r="BT35" s="137">
        <v>2898</v>
      </c>
      <c r="BU35" s="137">
        <v>2904</v>
      </c>
      <c r="BV35" s="137">
        <v>2970</v>
      </c>
      <c r="BW35" s="137">
        <v>2937</v>
      </c>
      <c r="BX35" s="137">
        <v>2871</v>
      </c>
      <c r="BY35" s="137">
        <v>2842</v>
      </c>
      <c r="BZ35" s="137">
        <v>2838</v>
      </c>
      <c r="CA35" s="137">
        <v>2810</v>
      </c>
      <c r="CB35" s="137">
        <v>2801</v>
      </c>
      <c r="CC35" s="137">
        <v>2852</v>
      </c>
      <c r="CD35" s="137">
        <v>2876</v>
      </c>
      <c r="CE35" s="137">
        <v>2832</v>
      </c>
      <c r="CF35" s="137">
        <v>2787</v>
      </c>
      <c r="CG35" s="137">
        <v>2768</v>
      </c>
      <c r="CH35" s="137">
        <v>2773</v>
      </c>
      <c r="CI35" s="137">
        <v>2766</v>
      </c>
      <c r="CJ35" s="137">
        <v>2693</v>
      </c>
      <c r="CK35" s="137">
        <v>2716</v>
      </c>
      <c r="CL35" s="137">
        <v>2687</v>
      </c>
      <c r="CM35" s="137">
        <v>2739</v>
      </c>
      <c r="CN35" s="137">
        <v>2725</v>
      </c>
      <c r="CO35" s="137">
        <v>2736</v>
      </c>
      <c r="CP35" s="137">
        <v>2783</v>
      </c>
      <c r="CQ35" s="137">
        <v>2789</v>
      </c>
      <c r="CR35" s="137">
        <v>2925</v>
      </c>
      <c r="CS35" s="137">
        <v>2956</v>
      </c>
      <c r="CT35" s="137">
        <v>2910</v>
      </c>
      <c r="CU35" s="137">
        <v>3040</v>
      </c>
      <c r="CV35" s="137">
        <v>2998</v>
      </c>
    </row>
    <row r="36" spans="1:100" x14ac:dyDescent="0.25">
      <c r="A36" s="367" t="s">
        <v>472</v>
      </c>
      <c r="B36" s="91" t="str">
        <f>参加条件計算!B36</f>
        <v>サイバーステップ</v>
      </c>
      <c r="C36" s="341">
        <f>株価一覧!E35</f>
        <v>6390</v>
      </c>
      <c r="D36" s="364">
        <f t="shared" ca="1" si="0"/>
        <v>6730</v>
      </c>
      <c r="E36" s="339">
        <f t="shared" ca="1" si="1"/>
        <v>6848</v>
      </c>
      <c r="F36" s="340">
        <f t="shared" ca="1" si="2"/>
        <v>6370</v>
      </c>
      <c r="G36" s="137">
        <v>0</v>
      </c>
      <c r="H36" s="137">
        <v>0</v>
      </c>
      <c r="I36" s="137">
        <v>0</v>
      </c>
      <c r="J36" s="137">
        <v>0</v>
      </c>
      <c r="K36" s="137">
        <v>0</v>
      </c>
      <c r="L36" s="137">
        <v>0</v>
      </c>
      <c r="M36" s="137">
        <v>0</v>
      </c>
      <c r="N36" s="137">
        <v>0</v>
      </c>
      <c r="O36" s="137">
        <v>0</v>
      </c>
      <c r="P36" s="137">
        <v>0</v>
      </c>
      <c r="Q36" s="137">
        <v>0</v>
      </c>
      <c r="R36" s="137">
        <v>0</v>
      </c>
      <c r="S36" s="137">
        <v>0</v>
      </c>
      <c r="T36" s="137">
        <v>0</v>
      </c>
      <c r="U36" s="137">
        <v>0</v>
      </c>
      <c r="V36" s="137">
        <v>0</v>
      </c>
      <c r="W36" s="137">
        <v>0</v>
      </c>
      <c r="X36" s="137">
        <v>0</v>
      </c>
      <c r="Y36" s="137">
        <v>0</v>
      </c>
      <c r="Z36" s="137">
        <v>0</v>
      </c>
      <c r="AA36" s="137">
        <v>0</v>
      </c>
      <c r="AB36" s="137">
        <v>0</v>
      </c>
      <c r="AC36" s="137">
        <v>0</v>
      </c>
      <c r="AD36" s="137">
        <v>0</v>
      </c>
      <c r="AE36" s="137">
        <v>0</v>
      </c>
      <c r="AF36" s="137">
        <v>0</v>
      </c>
      <c r="AG36" s="137">
        <v>0</v>
      </c>
      <c r="AH36" s="137">
        <v>0</v>
      </c>
      <c r="AI36" s="137">
        <v>0</v>
      </c>
      <c r="AJ36" s="137">
        <v>0</v>
      </c>
      <c r="AK36" s="137">
        <v>0</v>
      </c>
      <c r="AL36" s="137">
        <v>0</v>
      </c>
      <c r="AM36" s="137">
        <v>0</v>
      </c>
      <c r="AN36" s="137">
        <v>0</v>
      </c>
      <c r="AO36" s="137">
        <v>0</v>
      </c>
      <c r="AP36" s="137">
        <v>0</v>
      </c>
      <c r="AQ36" s="137">
        <v>0</v>
      </c>
      <c r="AR36" s="137">
        <v>0</v>
      </c>
      <c r="AS36" s="137">
        <v>0</v>
      </c>
      <c r="AT36" s="139">
        <v>0</v>
      </c>
      <c r="AU36" s="135">
        <v>0</v>
      </c>
      <c r="AV36" s="135">
        <v>0</v>
      </c>
      <c r="AW36" s="135">
        <v>0</v>
      </c>
      <c r="AX36" s="135">
        <v>0</v>
      </c>
      <c r="AY36" s="135">
        <v>0</v>
      </c>
      <c r="AZ36" s="135">
        <v>0</v>
      </c>
      <c r="BA36" s="135">
        <v>0</v>
      </c>
      <c r="BB36" s="135">
        <v>0</v>
      </c>
      <c r="BC36" s="135">
        <v>0</v>
      </c>
      <c r="BD36" s="135">
        <v>0</v>
      </c>
      <c r="BE36" s="135">
        <v>0</v>
      </c>
      <c r="BF36" s="135">
        <v>0</v>
      </c>
      <c r="BG36" s="135">
        <v>0</v>
      </c>
      <c r="BH36" s="135">
        <v>0</v>
      </c>
      <c r="BI36" s="135">
        <v>2720</v>
      </c>
      <c r="BJ36" s="135">
        <v>2599</v>
      </c>
      <c r="BK36" s="135">
        <v>2614</v>
      </c>
      <c r="BL36" s="135">
        <v>2745</v>
      </c>
      <c r="BM36" s="135">
        <v>2636</v>
      </c>
      <c r="BN36" s="135">
        <v>2470</v>
      </c>
      <c r="BO36" s="135">
        <v>2451</v>
      </c>
      <c r="BP36" s="135">
        <v>2476</v>
      </c>
      <c r="BQ36" s="137">
        <v>2750</v>
      </c>
      <c r="BR36" s="137">
        <v>2970</v>
      </c>
      <c r="BS36" s="137">
        <v>3420</v>
      </c>
      <c r="BT36" s="137">
        <v>3120</v>
      </c>
      <c r="BU36" s="137">
        <v>3230</v>
      </c>
      <c r="BV36" s="137">
        <v>3610</v>
      </c>
      <c r="BW36" s="137">
        <v>4310</v>
      </c>
      <c r="BX36" s="137">
        <v>4115</v>
      </c>
      <c r="BY36" s="137">
        <v>3925</v>
      </c>
      <c r="BZ36" s="137">
        <v>3910</v>
      </c>
      <c r="CA36" s="137">
        <v>4050</v>
      </c>
      <c r="CB36" s="137">
        <v>4075</v>
      </c>
      <c r="CC36" s="137">
        <v>4735</v>
      </c>
      <c r="CD36" s="137">
        <v>4700</v>
      </c>
      <c r="CE36" s="137">
        <v>4945</v>
      </c>
      <c r="CF36" s="137">
        <v>5650</v>
      </c>
      <c r="CG36" s="137">
        <v>6000</v>
      </c>
      <c r="CH36" s="137">
        <v>7000</v>
      </c>
      <c r="CI36" s="137">
        <v>7240</v>
      </c>
      <c r="CJ36" s="137">
        <v>6070</v>
      </c>
      <c r="CK36" s="137">
        <v>6390</v>
      </c>
      <c r="CL36" s="137">
        <v>6350</v>
      </c>
      <c r="CM36" s="137">
        <v>7350</v>
      </c>
      <c r="CN36" s="137">
        <v>7450</v>
      </c>
      <c r="CO36" s="137">
        <v>6930</v>
      </c>
      <c r="CP36" s="137">
        <v>6370</v>
      </c>
      <c r="CQ36" s="137">
        <v>6730</v>
      </c>
      <c r="CR36" s="137">
        <v>7050</v>
      </c>
      <c r="CS36" s="137">
        <v>6910</v>
      </c>
      <c r="CT36" s="137">
        <v>6910</v>
      </c>
      <c r="CU36" s="137">
        <v>6390</v>
      </c>
      <c r="CV36" s="137">
        <v>6390</v>
      </c>
    </row>
    <row r="37" spans="1:100" x14ac:dyDescent="0.25">
      <c r="A37" s="367" t="s">
        <v>472</v>
      </c>
      <c r="B37" s="91" t="str">
        <f>参加条件計算!B37</f>
        <v>アズジェント</v>
      </c>
      <c r="C37" s="341">
        <f>株価一覧!E36</f>
        <v>4035</v>
      </c>
      <c r="D37" s="364">
        <f t="shared" ref="D37" ca="1" si="3">AVERAGE(OFFSET(A37,0,COUNTA(G37:XFD37)+5,1,-5))</f>
        <v>4071</v>
      </c>
      <c r="E37" s="339">
        <f t="shared" ref="E37" ca="1" si="4">AVERAGE(OFFSET(A37,0,COUNTA(G37:XFD37)+5,1,-10))</f>
        <v>4023</v>
      </c>
      <c r="F37" s="340">
        <f t="shared" ref="F37" ca="1" si="5">MIN(OFFSET(B37,0,COUNTA(G37:XFD37)+5,1,-10))</f>
        <v>3900</v>
      </c>
      <c r="G37" s="137">
        <v>0</v>
      </c>
      <c r="H37" s="137">
        <v>0</v>
      </c>
      <c r="I37" s="137">
        <v>0</v>
      </c>
      <c r="J37" s="137">
        <v>0</v>
      </c>
      <c r="K37" s="137">
        <v>0</v>
      </c>
      <c r="L37" s="137">
        <v>0</v>
      </c>
      <c r="M37" s="137">
        <v>0</v>
      </c>
      <c r="N37" s="137">
        <v>0</v>
      </c>
      <c r="O37" s="137">
        <v>0</v>
      </c>
      <c r="P37" s="137">
        <v>0</v>
      </c>
      <c r="Q37" s="137">
        <v>0</v>
      </c>
      <c r="R37" s="137">
        <v>0</v>
      </c>
      <c r="S37" s="137">
        <v>0</v>
      </c>
      <c r="T37" s="137">
        <v>0</v>
      </c>
      <c r="U37" s="137">
        <v>0</v>
      </c>
      <c r="V37" s="137">
        <v>0</v>
      </c>
      <c r="W37" s="137">
        <v>0</v>
      </c>
      <c r="X37" s="137">
        <v>0</v>
      </c>
      <c r="Y37" s="137">
        <v>0</v>
      </c>
      <c r="Z37" s="137">
        <v>0</v>
      </c>
      <c r="AA37" s="137">
        <v>0</v>
      </c>
      <c r="AB37" s="137">
        <v>0</v>
      </c>
      <c r="AC37" s="137">
        <v>0</v>
      </c>
      <c r="AD37" s="137">
        <v>0</v>
      </c>
      <c r="AE37" s="137">
        <v>0</v>
      </c>
      <c r="AF37" s="137">
        <v>0</v>
      </c>
      <c r="AG37" s="137">
        <v>0</v>
      </c>
      <c r="AH37" s="137">
        <v>0</v>
      </c>
      <c r="AI37" s="137">
        <v>0</v>
      </c>
      <c r="AJ37" s="137">
        <v>0</v>
      </c>
      <c r="AK37" s="137">
        <v>0</v>
      </c>
      <c r="AL37" s="137">
        <v>0</v>
      </c>
      <c r="AM37" s="137">
        <v>0</v>
      </c>
      <c r="AN37" s="137">
        <v>0</v>
      </c>
      <c r="AO37" s="137">
        <v>0</v>
      </c>
      <c r="AP37" s="137">
        <v>0</v>
      </c>
      <c r="AQ37" s="137">
        <v>0</v>
      </c>
      <c r="AR37" s="137">
        <v>0</v>
      </c>
      <c r="AS37" s="137">
        <v>0</v>
      </c>
      <c r="AT37" s="139">
        <v>0</v>
      </c>
      <c r="AU37" s="135">
        <v>0</v>
      </c>
      <c r="AV37" s="135">
        <v>0</v>
      </c>
      <c r="AW37" s="135">
        <v>0</v>
      </c>
      <c r="AX37" s="135">
        <v>0</v>
      </c>
      <c r="AY37" s="135">
        <v>0</v>
      </c>
      <c r="AZ37" s="135">
        <v>0</v>
      </c>
      <c r="BA37" s="135">
        <v>0</v>
      </c>
      <c r="BB37" s="135">
        <v>0</v>
      </c>
      <c r="BC37" s="135">
        <v>0</v>
      </c>
      <c r="BD37" s="135">
        <v>0</v>
      </c>
      <c r="BE37" s="135">
        <v>0</v>
      </c>
      <c r="BF37" s="135">
        <v>0</v>
      </c>
      <c r="BG37" s="135">
        <v>0</v>
      </c>
      <c r="BH37" s="135">
        <v>0</v>
      </c>
      <c r="BI37" s="135">
        <v>0</v>
      </c>
      <c r="BJ37" s="135">
        <v>0</v>
      </c>
      <c r="BK37" s="135">
        <v>0</v>
      </c>
      <c r="BL37" s="135">
        <v>0</v>
      </c>
      <c r="BM37" s="135">
        <v>0</v>
      </c>
      <c r="BN37" s="135">
        <v>0</v>
      </c>
      <c r="BO37" s="135">
        <v>2324</v>
      </c>
      <c r="BP37" s="135">
        <v>2480</v>
      </c>
      <c r="BQ37" s="137">
        <v>2356</v>
      </c>
      <c r="BR37" s="137">
        <v>2398</v>
      </c>
      <c r="BS37" s="137">
        <v>2839</v>
      </c>
      <c r="BT37" s="137">
        <v>2670</v>
      </c>
      <c r="BU37" s="137">
        <v>2735</v>
      </c>
      <c r="BV37" s="137">
        <v>2815</v>
      </c>
      <c r="BW37" s="137">
        <v>2905</v>
      </c>
      <c r="BX37" s="137">
        <v>2673</v>
      </c>
      <c r="BY37" s="137">
        <v>2565</v>
      </c>
      <c r="BZ37" s="137">
        <v>2575</v>
      </c>
      <c r="CA37" s="137">
        <v>2560</v>
      </c>
      <c r="CB37" s="137">
        <v>2709</v>
      </c>
      <c r="CC37" s="137">
        <v>2825</v>
      </c>
      <c r="CD37" s="137">
        <v>3005</v>
      </c>
      <c r="CE37" s="137">
        <v>3220</v>
      </c>
      <c r="CF37" s="137">
        <v>3220</v>
      </c>
      <c r="CG37" s="137">
        <v>3100</v>
      </c>
      <c r="CH37" s="137">
        <v>3285</v>
      </c>
      <c r="CI37" s="137">
        <v>3550</v>
      </c>
      <c r="CJ37" s="137">
        <v>3425</v>
      </c>
      <c r="CK37" s="137">
        <v>4100</v>
      </c>
      <c r="CL37" s="137">
        <v>4135</v>
      </c>
      <c r="CM37" s="137">
        <v>4100</v>
      </c>
      <c r="CN37" s="137">
        <v>3955</v>
      </c>
      <c r="CO37" s="137">
        <v>3900</v>
      </c>
      <c r="CP37" s="137">
        <v>3955</v>
      </c>
      <c r="CQ37" s="137">
        <v>3965</v>
      </c>
      <c r="CR37" s="137">
        <v>4230</v>
      </c>
      <c r="CS37" s="137">
        <v>4000</v>
      </c>
      <c r="CT37" s="137">
        <v>4060</v>
      </c>
      <c r="CU37" s="137">
        <v>4030</v>
      </c>
      <c r="CV37" s="137">
        <v>4035</v>
      </c>
    </row>
    <row r="38" spans="1:100" x14ac:dyDescent="0.25">
      <c r="A38" s="367" t="s">
        <v>472</v>
      </c>
      <c r="B38" s="91" t="str">
        <f>参加条件計算!B38</f>
        <v>リミックスポイント</v>
      </c>
      <c r="C38" s="341">
        <f>株価一覧!E37</f>
        <v>1200</v>
      </c>
      <c r="D38" s="364">
        <f t="shared" ref="D38" ca="1" si="6">AVERAGE(OFFSET(A38,0,COUNTA(G38:XFD38)+5,1,-5))</f>
        <v>1251.5999999999999</v>
      </c>
      <c r="E38" s="339">
        <f t="shared" ref="E38" ca="1" si="7">AVERAGE(OFFSET(A38,0,COUNTA(G38:XFD38)+5,1,-10))</f>
        <v>1249</v>
      </c>
      <c r="F38" s="340">
        <f t="shared" ref="F38" ca="1" si="8">MIN(OFFSET(B38,0,COUNTA(G38:XFD38)+5,1,-10))</f>
        <v>1123</v>
      </c>
      <c r="G38" s="137">
        <v>0</v>
      </c>
      <c r="H38" s="137">
        <v>0</v>
      </c>
      <c r="I38" s="137">
        <v>0</v>
      </c>
      <c r="J38" s="137">
        <v>0</v>
      </c>
      <c r="K38" s="137">
        <v>0</v>
      </c>
      <c r="L38" s="137">
        <v>0</v>
      </c>
      <c r="M38" s="137">
        <v>0</v>
      </c>
      <c r="N38" s="137">
        <v>0</v>
      </c>
      <c r="O38" s="137">
        <v>0</v>
      </c>
      <c r="P38" s="137">
        <v>0</v>
      </c>
      <c r="Q38" s="137">
        <v>0</v>
      </c>
      <c r="R38" s="137">
        <v>0</v>
      </c>
      <c r="S38" s="137">
        <v>0</v>
      </c>
      <c r="T38" s="137">
        <v>0</v>
      </c>
      <c r="U38" s="137">
        <v>0</v>
      </c>
      <c r="V38" s="137">
        <v>0</v>
      </c>
      <c r="W38" s="137">
        <v>0</v>
      </c>
      <c r="X38" s="137">
        <v>0</v>
      </c>
      <c r="Y38" s="137">
        <v>0</v>
      </c>
      <c r="Z38" s="137">
        <v>0</v>
      </c>
      <c r="AA38" s="137">
        <v>0</v>
      </c>
      <c r="AB38" s="137">
        <v>0</v>
      </c>
      <c r="AC38" s="137">
        <v>0</v>
      </c>
      <c r="AD38" s="137">
        <v>0</v>
      </c>
      <c r="AE38" s="137">
        <v>0</v>
      </c>
      <c r="AF38" s="137">
        <v>0</v>
      </c>
      <c r="AG38" s="137">
        <v>0</v>
      </c>
      <c r="AH38" s="137">
        <v>0</v>
      </c>
      <c r="AI38" s="137">
        <v>0</v>
      </c>
      <c r="AJ38" s="137">
        <v>0</v>
      </c>
      <c r="AK38" s="137">
        <v>0</v>
      </c>
      <c r="AL38" s="137">
        <v>0</v>
      </c>
      <c r="AM38" s="137">
        <v>0</v>
      </c>
      <c r="AN38" s="137">
        <v>0</v>
      </c>
      <c r="AO38" s="137">
        <v>0</v>
      </c>
      <c r="AP38" s="137">
        <v>0</v>
      </c>
      <c r="AQ38" s="137">
        <v>0</v>
      </c>
      <c r="AR38" s="137">
        <v>0</v>
      </c>
      <c r="AS38" s="137">
        <v>0</v>
      </c>
      <c r="AT38" s="139">
        <v>0</v>
      </c>
      <c r="AU38" s="135">
        <v>0</v>
      </c>
      <c r="AV38" s="135">
        <v>0</v>
      </c>
      <c r="AW38" s="135">
        <v>0</v>
      </c>
      <c r="AX38" s="135">
        <v>0</v>
      </c>
      <c r="AY38" s="135">
        <v>0</v>
      </c>
      <c r="AZ38" s="135">
        <v>0</v>
      </c>
      <c r="BA38" s="135">
        <v>0</v>
      </c>
      <c r="BB38" s="135">
        <v>0</v>
      </c>
      <c r="BC38" s="135">
        <v>0</v>
      </c>
      <c r="BD38" s="135">
        <v>0</v>
      </c>
      <c r="BE38" s="135">
        <v>0</v>
      </c>
      <c r="BF38" s="135">
        <v>0</v>
      </c>
      <c r="BG38" s="135">
        <v>0</v>
      </c>
      <c r="BH38" s="135">
        <v>0</v>
      </c>
      <c r="BI38" s="135">
        <v>0</v>
      </c>
      <c r="BJ38" s="135">
        <v>0</v>
      </c>
      <c r="BK38" s="135">
        <v>0</v>
      </c>
      <c r="BL38" s="135">
        <v>0</v>
      </c>
      <c r="BM38" s="135">
        <v>0</v>
      </c>
      <c r="BN38" s="135">
        <v>0</v>
      </c>
      <c r="BO38" s="135">
        <v>743</v>
      </c>
      <c r="BP38" s="135">
        <v>740</v>
      </c>
      <c r="BQ38" s="137">
        <v>890</v>
      </c>
      <c r="BR38" s="137">
        <v>890</v>
      </c>
      <c r="BS38" s="137">
        <v>777</v>
      </c>
      <c r="BT38" s="137">
        <v>818</v>
      </c>
      <c r="BU38" s="137">
        <v>968</v>
      </c>
      <c r="BV38" s="137">
        <v>1118</v>
      </c>
      <c r="BW38" s="137">
        <v>1418</v>
      </c>
      <c r="BX38" s="137">
        <v>1484</v>
      </c>
      <c r="BY38" s="137">
        <v>1360</v>
      </c>
      <c r="BZ38" s="137">
        <v>1274</v>
      </c>
      <c r="CA38" s="137">
        <v>1450</v>
      </c>
      <c r="CB38" s="137">
        <v>1670</v>
      </c>
      <c r="CC38" s="137">
        <v>1675</v>
      </c>
      <c r="CD38" s="137">
        <v>1630</v>
      </c>
      <c r="CE38" s="137">
        <v>1628</v>
      </c>
      <c r="CF38" s="137">
        <v>1535</v>
      </c>
      <c r="CG38" s="137">
        <v>1297</v>
      </c>
      <c r="CH38" s="137">
        <v>1597</v>
      </c>
      <c r="CI38" s="137">
        <v>1504</v>
      </c>
      <c r="CJ38" s="137">
        <v>1578</v>
      </c>
      <c r="CK38" s="137">
        <v>1589</v>
      </c>
      <c r="CL38" s="137">
        <v>1540</v>
      </c>
      <c r="CM38" s="137">
        <v>1425</v>
      </c>
      <c r="CN38" s="137">
        <v>1336</v>
      </c>
      <c r="CO38" s="137">
        <v>1130</v>
      </c>
      <c r="CP38" s="137">
        <v>1123</v>
      </c>
      <c r="CQ38" s="137">
        <v>1218</v>
      </c>
      <c r="CR38" s="137">
        <v>1140</v>
      </c>
      <c r="CS38" s="137">
        <v>1440</v>
      </c>
      <c r="CT38" s="137">
        <v>1303</v>
      </c>
      <c r="CU38" s="137">
        <v>1175</v>
      </c>
      <c r="CV38" s="137">
        <v>1200</v>
      </c>
    </row>
    <row r="39" spans="1:100" x14ac:dyDescent="0.25">
      <c r="A39" s="367" t="s">
        <v>472</v>
      </c>
      <c r="B39" s="91" t="str">
        <f>参加条件計算!B39</f>
        <v>エムアップ</v>
      </c>
      <c r="C39" s="341">
        <f>株価一覧!E38</f>
        <v>1803</v>
      </c>
      <c r="D39" s="364">
        <f t="shared" ref="D39" ca="1" si="9">AVERAGE(OFFSET(A39,0,COUNTA(G39:XFD39)+5,1,-5))</f>
        <v>1838.8</v>
      </c>
      <c r="E39" s="339">
        <f t="shared" ref="E39" ca="1" si="10">AVERAGE(OFFSET(A39,0,COUNTA(G39:XFD39)+5,1,-10))</f>
        <v>1837.9</v>
      </c>
      <c r="F39" s="340">
        <f t="shared" ref="F39" ca="1" si="11">MIN(OFFSET(B39,0,COUNTA(G39:XFD39)+5,1,-10))</f>
        <v>1803</v>
      </c>
      <c r="G39" s="137">
        <v>0</v>
      </c>
      <c r="H39" s="137">
        <v>0</v>
      </c>
      <c r="I39" s="137">
        <v>0</v>
      </c>
      <c r="J39" s="137">
        <v>0</v>
      </c>
      <c r="K39" s="137">
        <v>0</v>
      </c>
      <c r="L39" s="137">
        <v>0</v>
      </c>
      <c r="M39" s="137">
        <v>0</v>
      </c>
      <c r="N39" s="137">
        <v>0</v>
      </c>
      <c r="O39" s="137">
        <v>0</v>
      </c>
      <c r="P39" s="137">
        <v>0</v>
      </c>
      <c r="Q39" s="137">
        <v>0</v>
      </c>
      <c r="R39" s="137">
        <v>0</v>
      </c>
      <c r="S39" s="137">
        <v>0</v>
      </c>
      <c r="T39" s="137">
        <v>0</v>
      </c>
      <c r="U39" s="137">
        <v>0</v>
      </c>
      <c r="V39" s="137">
        <v>0</v>
      </c>
      <c r="W39" s="137">
        <v>0</v>
      </c>
      <c r="X39" s="137">
        <v>0</v>
      </c>
      <c r="Y39" s="137">
        <v>0</v>
      </c>
      <c r="Z39" s="137">
        <v>0</v>
      </c>
      <c r="AA39" s="137">
        <v>0</v>
      </c>
      <c r="AB39" s="137">
        <v>0</v>
      </c>
      <c r="AC39" s="137">
        <v>0</v>
      </c>
      <c r="AD39" s="137">
        <v>0</v>
      </c>
      <c r="AE39" s="137">
        <v>0</v>
      </c>
      <c r="AF39" s="137">
        <v>0</v>
      </c>
      <c r="AG39" s="137">
        <v>0</v>
      </c>
      <c r="AH39" s="137">
        <v>0</v>
      </c>
      <c r="AI39" s="137">
        <v>0</v>
      </c>
      <c r="AJ39" s="137">
        <v>0</v>
      </c>
      <c r="AK39" s="137">
        <v>0</v>
      </c>
      <c r="AL39" s="137">
        <v>0</v>
      </c>
      <c r="AM39" s="137">
        <v>0</v>
      </c>
      <c r="AN39" s="137">
        <v>0</v>
      </c>
      <c r="AO39" s="137">
        <v>0</v>
      </c>
      <c r="AP39" s="137">
        <v>0</v>
      </c>
      <c r="AQ39" s="137">
        <v>0</v>
      </c>
      <c r="AR39" s="137">
        <v>0</v>
      </c>
      <c r="AS39" s="137">
        <v>0</v>
      </c>
      <c r="AT39" s="139">
        <v>0</v>
      </c>
      <c r="AU39" s="135">
        <v>0</v>
      </c>
      <c r="AV39" s="135">
        <v>0</v>
      </c>
      <c r="AW39" s="135">
        <v>0</v>
      </c>
      <c r="AX39" s="135">
        <v>0</v>
      </c>
      <c r="AY39" s="135">
        <v>0</v>
      </c>
      <c r="AZ39" s="135">
        <v>0</v>
      </c>
      <c r="BA39" s="135">
        <v>0</v>
      </c>
      <c r="BB39" s="135">
        <v>0</v>
      </c>
      <c r="BC39" s="135">
        <v>0</v>
      </c>
      <c r="BD39" s="135">
        <v>0</v>
      </c>
      <c r="BE39" s="135">
        <v>0</v>
      </c>
      <c r="BF39" s="135">
        <v>0</v>
      </c>
      <c r="BG39" s="135">
        <v>0</v>
      </c>
      <c r="BH39" s="135">
        <v>0</v>
      </c>
      <c r="BI39" s="135">
        <v>0</v>
      </c>
      <c r="BJ39" s="135">
        <v>0</v>
      </c>
      <c r="BK39" s="135">
        <v>0</v>
      </c>
      <c r="BL39" s="135">
        <v>0</v>
      </c>
      <c r="BM39" s="135">
        <v>0</v>
      </c>
      <c r="BN39" s="135">
        <v>0</v>
      </c>
      <c r="BO39" s="135">
        <v>0</v>
      </c>
      <c r="BP39" s="135">
        <v>0</v>
      </c>
      <c r="BQ39" s="135">
        <v>0</v>
      </c>
      <c r="BR39" s="135">
        <v>0</v>
      </c>
      <c r="BS39" s="135">
        <v>0</v>
      </c>
      <c r="BT39" s="135">
        <v>2399</v>
      </c>
      <c r="BU39" s="135">
        <v>2339</v>
      </c>
      <c r="BV39" s="135">
        <v>2222</v>
      </c>
      <c r="BW39" s="135">
        <v>2145</v>
      </c>
      <c r="BX39" s="135">
        <v>2171</v>
      </c>
      <c r="BY39" s="135">
        <v>2422</v>
      </c>
      <c r="BZ39" s="135">
        <v>2177</v>
      </c>
      <c r="CA39" s="135">
        <v>1860</v>
      </c>
      <c r="CB39" s="135">
        <v>1909</v>
      </c>
      <c r="CC39" s="135">
        <v>2030</v>
      </c>
      <c r="CD39" s="135">
        <v>2130</v>
      </c>
      <c r="CE39" s="135">
        <v>2000</v>
      </c>
      <c r="CF39" s="135">
        <v>1903</v>
      </c>
      <c r="CG39" s="135">
        <v>1864</v>
      </c>
      <c r="CH39" s="135">
        <v>1875</v>
      </c>
      <c r="CI39" s="135">
        <v>2123</v>
      </c>
      <c r="CJ39" s="135">
        <v>1929</v>
      </c>
      <c r="CK39" s="135">
        <v>1906</v>
      </c>
      <c r="CL39" s="135">
        <v>1928</v>
      </c>
      <c r="CM39" s="135">
        <v>1885</v>
      </c>
      <c r="CN39" s="135">
        <v>1830</v>
      </c>
      <c r="CO39" s="135">
        <v>1830</v>
      </c>
      <c r="CP39" s="135">
        <v>1810</v>
      </c>
      <c r="CQ39" s="135">
        <v>1830</v>
      </c>
      <c r="CR39" s="137">
        <v>1865</v>
      </c>
      <c r="CS39" s="137">
        <v>1833</v>
      </c>
      <c r="CT39" s="137">
        <v>1860</v>
      </c>
      <c r="CU39" s="137">
        <v>1833</v>
      </c>
      <c r="CV39" s="137">
        <v>1803</v>
      </c>
    </row>
    <row r="40" spans="1:100" x14ac:dyDescent="0.25">
      <c r="A40" s="367" t="str">
        <f>IPO監視一覧!H32</f>
        <v>A</v>
      </c>
      <c r="B40" s="91" t="str">
        <f>IPO監視一覧!B32</f>
        <v>ビーブレイクシステムズ</v>
      </c>
      <c r="C40" s="341">
        <f>株価一覧!E39</f>
        <v>5950</v>
      </c>
      <c r="D40" s="364">
        <f t="shared" ca="1" si="0"/>
        <v>6022</v>
      </c>
      <c r="E40" s="339">
        <f t="shared" ca="1" si="1"/>
        <v>6071</v>
      </c>
      <c r="F40" s="340">
        <f t="shared" ca="1" si="2"/>
        <v>5840</v>
      </c>
      <c r="G40" s="137">
        <v>0</v>
      </c>
      <c r="H40" s="137">
        <v>0</v>
      </c>
      <c r="I40" s="137">
        <v>0</v>
      </c>
      <c r="J40" s="137">
        <v>0</v>
      </c>
      <c r="K40" s="137">
        <v>0</v>
      </c>
      <c r="L40" s="137">
        <v>0</v>
      </c>
      <c r="M40" s="137">
        <v>0</v>
      </c>
      <c r="N40" s="137">
        <v>0</v>
      </c>
      <c r="O40" s="137">
        <v>0</v>
      </c>
      <c r="P40" s="137">
        <v>0</v>
      </c>
      <c r="Q40" s="137">
        <v>0</v>
      </c>
      <c r="R40" s="137">
        <v>0</v>
      </c>
      <c r="S40" s="137">
        <v>0</v>
      </c>
      <c r="T40" s="137">
        <v>0</v>
      </c>
      <c r="U40" s="137">
        <v>0</v>
      </c>
      <c r="V40" s="137">
        <v>0</v>
      </c>
      <c r="W40" s="137">
        <v>0</v>
      </c>
      <c r="X40" s="137">
        <v>0</v>
      </c>
      <c r="Y40" s="137">
        <v>0</v>
      </c>
      <c r="Z40" s="137">
        <v>0</v>
      </c>
      <c r="AA40" s="137">
        <v>0</v>
      </c>
      <c r="AB40" s="137">
        <v>0</v>
      </c>
      <c r="AC40" s="137">
        <v>0</v>
      </c>
      <c r="AD40" s="137">
        <v>0</v>
      </c>
      <c r="AE40" s="137">
        <v>0</v>
      </c>
      <c r="AF40" s="137">
        <v>0</v>
      </c>
      <c r="AG40" s="137">
        <v>0</v>
      </c>
      <c r="AH40" s="137">
        <v>0</v>
      </c>
      <c r="AI40" s="137">
        <v>0</v>
      </c>
      <c r="AJ40" s="137">
        <v>0</v>
      </c>
      <c r="AK40" s="137">
        <v>0</v>
      </c>
      <c r="AL40" s="137">
        <v>0</v>
      </c>
      <c r="AM40" s="137">
        <v>0</v>
      </c>
      <c r="AN40" s="137">
        <v>0</v>
      </c>
      <c r="AO40" s="137">
        <v>0</v>
      </c>
      <c r="AP40" s="137">
        <v>0</v>
      </c>
      <c r="AQ40" s="137">
        <v>0</v>
      </c>
      <c r="AR40" s="137">
        <v>0</v>
      </c>
      <c r="AS40" s="137">
        <v>0</v>
      </c>
      <c r="AT40" s="137">
        <v>0</v>
      </c>
      <c r="AU40" s="137">
        <v>0</v>
      </c>
      <c r="AV40" s="137">
        <v>0</v>
      </c>
      <c r="AW40" s="137">
        <v>0</v>
      </c>
      <c r="AX40" s="137">
        <v>0</v>
      </c>
      <c r="AY40" s="137">
        <v>0</v>
      </c>
      <c r="AZ40" s="137">
        <v>0</v>
      </c>
      <c r="BA40" s="137">
        <v>0</v>
      </c>
      <c r="BB40" s="137">
        <v>0</v>
      </c>
      <c r="BC40" s="137">
        <v>0</v>
      </c>
      <c r="BD40" s="137">
        <v>0</v>
      </c>
      <c r="BE40" s="137">
        <v>0</v>
      </c>
      <c r="BF40" s="137">
        <v>0</v>
      </c>
      <c r="BG40" s="137">
        <v>0</v>
      </c>
      <c r="BH40" s="137">
        <v>0</v>
      </c>
      <c r="BI40" s="137">
        <v>0</v>
      </c>
      <c r="BJ40" s="137">
        <v>0</v>
      </c>
      <c r="BK40" s="137">
        <v>0</v>
      </c>
      <c r="BL40" s="137">
        <v>0</v>
      </c>
      <c r="BM40" s="137">
        <v>0</v>
      </c>
      <c r="BN40" s="137">
        <v>0</v>
      </c>
      <c r="BO40" s="137">
        <v>0</v>
      </c>
      <c r="BP40" s="137">
        <v>0</v>
      </c>
      <c r="BQ40" s="137">
        <v>0</v>
      </c>
      <c r="BR40" s="137">
        <v>0</v>
      </c>
      <c r="BS40" s="137">
        <v>0</v>
      </c>
      <c r="BT40" s="137">
        <v>0</v>
      </c>
      <c r="BU40" s="137">
        <v>0</v>
      </c>
      <c r="BV40" s="137">
        <v>0</v>
      </c>
      <c r="BW40" s="137">
        <v>0</v>
      </c>
      <c r="BX40" s="137">
        <v>0</v>
      </c>
      <c r="BY40" s="137">
        <v>0</v>
      </c>
      <c r="BZ40" s="137">
        <v>0</v>
      </c>
      <c r="CA40" s="137">
        <v>0</v>
      </c>
      <c r="CB40" s="137">
        <v>8200</v>
      </c>
      <c r="CC40" s="137">
        <v>6950</v>
      </c>
      <c r="CD40" s="137">
        <v>6700</v>
      </c>
      <c r="CE40" s="137">
        <v>7220</v>
      </c>
      <c r="CF40" s="137">
        <v>6850</v>
      </c>
      <c r="CG40" s="137">
        <v>6450</v>
      </c>
      <c r="CH40" s="137">
        <v>6170</v>
      </c>
      <c r="CI40" s="137">
        <v>6290</v>
      </c>
      <c r="CJ40" s="137">
        <v>5850</v>
      </c>
      <c r="CK40" s="137">
        <v>5740</v>
      </c>
      <c r="CL40" s="137">
        <v>5840</v>
      </c>
      <c r="CM40" s="137">
        <v>6200</v>
      </c>
      <c r="CN40" s="137">
        <v>6380</v>
      </c>
      <c r="CO40" s="137">
        <v>6240</v>
      </c>
      <c r="CP40" s="137">
        <v>5840</v>
      </c>
      <c r="CQ40" s="137">
        <v>5940</v>
      </c>
      <c r="CR40" s="137">
        <v>5940</v>
      </c>
      <c r="CS40" s="137">
        <v>6160</v>
      </c>
      <c r="CT40" s="137">
        <v>5990</v>
      </c>
      <c r="CU40" s="137">
        <v>6070</v>
      </c>
      <c r="CV40" s="137">
        <v>5950</v>
      </c>
    </row>
    <row r="41" spans="1:100" x14ac:dyDescent="0.25">
      <c r="A41" s="367" t="str">
        <f>IPO監視一覧!H33</f>
        <v>A</v>
      </c>
      <c r="B41" s="91" t="str">
        <f>IPO監視一覧!B33</f>
        <v>ディーエムソリューションズ</v>
      </c>
      <c r="C41" s="341">
        <f>株価一覧!E40</f>
        <v>5920</v>
      </c>
      <c r="D41" s="364">
        <f t="shared" ca="1" si="0"/>
        <v>5918</v>
      </c>
      <c r="E41" s="339">
        <f t="shared" ca="1" si="1"/>
        <v>6023</v>
      </c>
      <c r="F41" s="340">
        <f t="shared" ca="1" si="2"/>
        <v>5760</v>
      </c>
      <c r="G41" s="137">
        <v>0</v>
      </c>
      <c r="H41" s="137">
        <v>0</v>
      </c>
      <c r="I41" s="137">
        <v>0</v>
      </c>
      <c r="J41" s="137">
        <v>0</v>
      </c>
      <c r="K41" s="137">
        <v>0</v>
      </c>
      <c r="L41" s="137">
        <v>0</v>
      </c>
      <c r="M41" s="137">
        <v>0</v>
      </c>
      <c r="N41" s="137">
        <v>0</v>
      </c>
      <c r="O41" s="137">
        <v>0</v>
      </c>
      <c r="P41" s="137">
        <v>0</v>
      </c>
      <c r="Q41" s="137">
        <v>0</v>
      </c>
      <c r="R41" s="137">
        <v>0</v>
      </c>
      <c r="S41" s="137">
        <v>0</v>
      </c>
      <c r="T41" s="137">
        <v>0</v>
      </c>
      <c r="U41" s="137">
        <v>0</v>
      </c>
      <c r="V41" s="137">
        <v>0</v>
      </c>
      <c r="W41" s="137">
        <v>0</v>
      </c>
      <c r="X41" s="137">
        <v>0</v>
      </c>
      <c r="Y41" s="137">
        <v>0</v>
      </c>
      <c r="Z41" s="137">
        <v>0</v>
      </c>
      <c r="AA41" s="137">
        <v>0</v>
      </c>
      <c r="AB41" s="137">
        <v>0</v>
      </c>
      <c r="AC41" s="137">
        <v>0</v>
      </c>
      <c r="AD41" s="137">
        <v>0</v>
      </c>
      <c r="AE41" s="137">
        <v>0</v>
      </c>
      <c r="AF41" s="137">
        <v>0</v>
      </c>
      <c r="AG41" s="137">
        <v>0</v>
      </c>
      <c r="AH41" s="137">
        <v>0</v>
      </c>
      <c r="AI41" s="137">
        <v>0</v>
      </c>
      <c r="AJ41" s="137">
        <v>0</v>
      </c>
      <c r="AK41" s="137">
        <v>0</v>
      </c>
      <c r="AL41" s="137">
        <v>0</v>
      </c>
      <c r="AM41" s="137">
        <v>0</v>
      </c>
      <c r="AN41" s="137">
        <v>0</v>
      </c>
      <c r="AO41" s="137">
        <v>0</v>
      </c>
      <c r="AP41" s="137">
        <v>0</v>
      </c>
      <c r="AQ41" s="137">
        <v>0</v>
      </c>
      <c r="AR41" s="137">
        <v>0</v>
      </c>
      <c r="AS41" s="137">
        <v>0</v>
      </c>
      <c r="AT41" s="137">
        <v>0</v>
      </c>
      <c r="AU41" s="137">
        <v>0</v>
      </c>
      <c r="AV41" s="137">
        <v>0</v>
      </c>
      <c r="AW41" s="137">
        <v>0</v>
      </c>
      <c r="AX41" s="137">
        <v>0</v>
      </c>
      <c r="AY41" s="137">
        <v>0</v>
      </c>
      <c r="AZ41" s="137">
        <v>0</v>
      </c>
      <c r="BA41" s="137">
        <v>0</v>
      </c>
      <c r="BB41" s="137">
        <v>0</v>
      </c>
      <c r="BC41" s="137">
        <v>0</v>
      </c>
      <c r="BD41" s="137">
        <v>0</v>
      </c>
      <c r="BE41" s="137">
        <v>0</v>
      </c>
      <c r="BF41" s="137">
        <v>0</v>
      </c>
      <c r="BG41" s="137">
        <v>0</v>
      </c>
      <c r="BH41" s="137">
        <v>0</v>
      </c>
      <c r="BI41" s="137">
        <v>0</v>
      </c>
      <c r="BJ41" s="137">
        <v>0</v>
      </c>
      <c r="BK41" s="137">
        <v>0</v>
      </c>
      <c r="BL41" s="137">
        <v>0</v>
      </c>
      <c r="BM41" s="137">
        <v>0</v>
      </c>
      <c r="BN41" s="137">
        <v>0</v>
      </c>
      <c r="BO41" s="137">
        <v>0</v>
      </c>
      <c r="BP41" s="137">
        <v>0</v>
      </c>
      <c r="BQ41" s="137">
        <v>0</v>
      </c>
      <c r="BR41" s="137">
        <v>0</v>
      </c>
      <c r="BS41" s="137">
        <v>0</v>
      </c>
      <c r="BT41" s="137">
        <v>0</v>
      </c>
      <c r="BU41" s="137">
        <v>0</v>
      </c>
      <c r="BV41" s="137">
        <v>0</v>
      </c>
      <c r="BW41" s="137">
        <v>0</v>
      </c>
      <c r="BX41" s="137">
        <v>0</v>
      </c>
      <c r="BY41" s="137">
        <v>0</v>
      </c>
      <c r="BZ41" s="137">
        <v>0</v>
      </c>
      <c r="CA41" s="137">
        <v>0</v>
      </c>
      <c r="CB41" s="137">
        <v>0</v>
      </c>
      <c r="CC41" s="137">
        <v>0</v>
      </c>
      <c r="CD41" s="137">
        <v>0</v>
      </c>
      <c r="CE41" s="137">
        <v>7000</v>
      </c>
      <c r="CF41" s="137">
        <v>7560</v>
      </c>
      <c r="CG41" s="137">
        <v>7000</v>
      </c>
      <c r="CH41" s="137">
        <v>6460</v>
      </c>
      <c r="CI41" s="137">
        <v>6460</v>
      </c>
      <c r="CJ41" s="137">
        <v>5690</v>
      </c>
      <c r="CK41" s="137">
        <v>5770</v>
      </c>
      <c r="CL41" s="137">
        <v>6000</v>
      </c>
      <c r="CM41" s="137">
        <v>5850</v>
      </c>
      <c r="CN41" s="137">
        <v>6760</v>
      </c>
      <c r="CO41" s="137">
        <v>6150</v>
      </c>
      <c r="CP41" s="137">
        <v>6000</v>
      </c>
      <c r="CQ41" s="137">
        <v>5880</v>
      </c>
      <c r="CR41" s="137">
        <v>5760</v>
      </c>
      <c r="CS41" s="137">
        <v>6020</v>
      </c>
      <c r="CT41" s="137">
        <v>5960</v>
      </c>
      <c r="CU41" s="137">
        <v>5930</v>
      </c>
      <c r="CV41" s="137">
        <v>5920</v>
      </c>
    </row>
    <row r="42" spans="1:100" x14ac:dyDescent="0.25">
      <c r="A42" s="367" t="str">
        <f>IPO監視一覧!H34</f>
        <v>A</v>
      </c>
      <c r="B42" s="91" t="str">
        <f>IPO監視一覧!B34</f>
        <v>エコモット</v>
      </c>
      <c r="C42" s="341">
        <f>株価一覧!E41</f>
        <v>3750</v>
      </c>
      <c r="D42" s="364">
        <f t="shared" ca="1" si="0"/>
        <v>3756</v>
      </c>
      <c r="E42" s="339">
        <f t="shared" ca="1" si="1"/>
        <v>3784</v>
      </c>
      <c r="F42" s="340">
        <f t="shared" ca="1" si="2"/>
        <v>3720</v>
      </c>
      <c r="G42" s="137">
        <v>0</v>
      </c>
      <c r="H42" s="137">
        <v>0</v>
      </c>
      <c r="I42" s="137">
        <v>0</v>
      </c>
      <c r="J42" s="137">
        <v>0</v>
      </c>
      <c r="K42" s="137">
        <v>0</v>
      </c>
      <c r="L42" s="137">
        <v>0</v>
      </c>
      <c r="M42" s="137">
        <v>0</v>
      </c>
      <c r="N42" s="137">
        <v>0</v>
      </c>
      <c r="O42" s="137">
        <v>0</v>
      </c>
      <c r="P42" s="137">
        <v>0</v>
      </c>
      <c r="Q42" s="137">
        <v>0</v>
      </c>
      <c r="R42" s="137">
        <v>0</v>
      </c>
      <c r="S42" s="137">
        <v>0</v>
      </c>
      <c r="T42" s="137">
        <v>0</v>
      </c>
      <c r="U42" s="137">
        <v>0</v>
      </c>
      <c r="V42" s="137">
        <v>0</v>
      </c>
      <c r="W42" s="137">
        <v>0</v>
      </c>
      <c r="X42" s="137">
        <v>0</v>
      </c>
      <c r="Y42" s="137">
        <v>0</v>
      </c>
      <c r="Z42" s="137">
        <v>0</v>
      </c>
      <c r="AA42" s="137">
        <v>0</v>
      </c>
      <c r="AB42" s="137">
        <v>0</v>
      </c>
      <c r="AC42" s="137">
        <v>0</v>
      </c>
      <c r="AD42" s="137">
        <v>0</v>
      </c>
      <c r="AE42" s="137">
        <v>0</v>
      </c>
      <c r="AF42" s="137">
        <v>0</v>
      </c>
      <c r="AG42" s="137">
        <v>0</v>
      </c>
      <c r="AH42" s="137">
        <v>0</v>
      </c>
      <c r="AI42" s="137">
        <v>0</v>
      </c>
      <c r="AJ42" s="137">
        <v>0</v>
      </c>
      <c r="AK42" s="137">
        <v>0</v>
      </c>
      <c r="AL42" s="137">
        <v>0</v>
      </c>
      <c r="AM42" s="137">
        <v>0</v>
      </c>
      <c r="AN42" s="137">
        <v>0</v>
      </c>
      <c r="AO42" s="137">
        <v>0</v>
      </c>
      <c r="AP42" s="137">
        <v>0</v>
      </c>
      <c r="AQ42" s="137">
        <v>0</v>
      </c>
      <c r="AR42" s="137">
        <v>0</v>
      </c>
      <c r="AS42" s="137">
        <v>0</v>
      </c>
      <c r="AT42" s="137">
        <v>0</v>
      </c>
      <c r="AU42" s="137">
        <v>0</v>
      </c>
      <c r="AV42" s="137">
        <v>0</v>
      </c>
      <c r="AW42" s="137">
        <v>0</v>
      </c>
      <c r="AX42" s="137">
        <v>0</v>
      </c>
      <c r="AY42" s="137">
        <v>0</v>
      </c>
      <c r="AZ42" s="137">
        <v>0</v>
      </c>
      <c r="BA42" s="137">
        <v>0</v>
      </c>
      <c r="BB42" s="137">
        <v>0</v>
      </c>
      <c r="BC42" s="137">
        <v>0</v>
      </c>
      <c r="BD42" s="137">
        <v>0</v>
      </c>
      <c r="BE42" s="137">
        <v>0</v>
      </c>
      <c r="BF42" s="137">
        <v>0</v>
      </c>
      <c r="BG42" s="137">
        <v>0</v>
      </c>
      <c r="BH42" s="137">
        <v>0</v>
      </c>
      <c r="BI42" s="137">
        <v>0</v>
      </c>
      <c r="BJ42" s="137">
        <v>0</v>
      </c>
      <c r="BK42" s="137">
        <v>0</v>
      </c>
      <c r="BL42" s="137">
        <v>0</v>
      </c>
      <c r="BM42" s="137">
        <v>0</v>
      </c>
      <c r="BN42" s="137">
        <v>0</v>
      </c>
      <c r="BO42" s="137">
        <v>0</v>
      </c>
      <c r="BP42" s="137">
        <v>0</v>
      </c>
      <c r="BQ42" s="137">
        <v>0</v>
      </c>
      <c r="BR42" s="137">
        <v>0</v>
      </c>
      <c r="BS42" s="137">
        <v>0</v>
      </c>
      <c r="BT42" s="137">
        <v>0</v>
      </c>
      <c r="BU42" s="137">
        <v>0</v>
      </c>
      <c r="BV42" s="137">
        <v>0</v>
      </c>
      <c r="BW42" s="137">
        <v>0</v>
      </c>
      <c r="BX42" s="137">
        <v>0</v>
      </c>
      <c r="BY42" s="137">
        <v>0</v>
      </c>
      <c r="BZ42" s="137">
        <v>0</v>
      </c>
      <c r="CA42" s="137">
        <v>0</v>
      </c>
      <c r="CB42" s="137">
        <v>0</v>
      </c>
      <c r="CC42" s="137">
        <v>0</v>
      </c>
      <c r="CD42" s="137">
        <v>0</v>
      </c>
      <c r="CE42" s="137">
        <v>0</v>
      </c>
      <c r="CF42" s="137">
        <v>5600</v>
      </c>
      <c r="CG42" s="137">
        <v>5170</v>
      </c>
      <c r="CH42" s="137">
        <v>4320</v>
      </c>
      <c r="CI42" s="137">
        <v>4180</v>
      </c>
      <c r="CJ42" s="137">
        <v>3735</v>
      </c>
      <c r="CK42" s="137">
        <v>3775</v>
      </c>
      <c r="CL42" s="137">
        <v>3855</v>
      </c>
      <c r="CM42" s="137">
        <v>3920</v>
      </c>
      <c r="CN42" s="137">
        <v>3780</v>
      </c>
      <c r="CO42" s="137">
        <v>3775</v>
      </c>
      <c r="CP42" s="137">
        <v>3835</v>
      </c>
      <c r="CQ42" s="137">
        <v>3750</v>
      </c>
      <c r="CR42" s="137">
        <v>3810</v>
      </c>
      <c r="CS42" s="137">
        <v>3765</v>
      </c>
      <c r="CT42" s="137">
        <v>3720</v>
      </c>
      <c r="CU42" s="137">
        <v>3735</v>
      </c>
      <c r="CV42" s="137">
        <v>3750</v>
      </c>
    </row>
    <row r="43" spans="1:100" x14ac:dyDescent="0.25">
      <c r="A43" s="367" t="str">
        <f>IPO監視一覧!H35</f>
        <v>B</v>
      </c>
      <c r="B43" s="91" t="str">
        <f>IPO監視一覧!B35</f>
        <v>Fringe81</v>
      </c>
      <c r="C43" s="341">
        <f>株価一覧!E42</f>
        <v>5470</v>
      </c>
      <c r="D43" s="364">
        <f t="shared" ref="D43:D48" ca="1" si="12">AVERAGE(OFFSET(A43,0,COUNTA(G43:XFD43)+5,1,-5))</f>
        <v>5696</v>
      </c>
      <c r="E43" s="339">
        <f t="shared" ref="E43" ca="1" si="13">AVERAGE(OFFSET(A43,0,COUNTA(G43:XFD43)+5,1,-10))</f>
        <v>5618</v>
      </c>
      <c r="F43" s="340">
        <f t="shared" ref="F43" ca="1" si="14">MIN(OFFSET(B43,0,COUNTA(G43:XFD43)+5,1,-10))</f>
        <v>5290</v>
      </c>
      <c r="G43" s="137">
        <v>0</v>
      </c>
      <c r="H43" s="137">
        <v>0</v>
      </c>
      <c r="I43" s="137">
        <v>0</v>
      </c>
      <c r="J43" s="137">
        <v>0</v>
      </c>
      <c r="K43" s="137">
        <v>0</v>
      </c>
      <c r="L43" s="137">
        <v>0</v>
      </c>
      <c r="M43" s="137">
        <v>0</v>
      </c>
      <c r="N43" s="137">
        <v>0</v>
      </c>
      <c r="O43" s="137">
        <v>0</v>
      </c>
      <c r="P43" s="137">
        <v>0</v>
      </c>
      <c r="Q43" s="137">
        <v>0</v>
      </c>
      <c r="R43" s="137">
        <v>0</v>
      </c>
      <c r="S43" s="137">
        <v>0</v>
      </c>
      <c r="T43" s="137">
        <v>0</v>
      </c>
      <c r="U43" s="137">
        <v>0</v>
      </c>
      <c r="V43" s="137">
        <v>0</v>
      </c>
      <c r="W43" s="137">
        <v>0</v>
      </c>
      <c r="X43" s="137">
        <v>0</v>
      </c>
      <c r="Y43" s="137">
        <v>0</v>
      </c>
      <c r="Z43" s="137">
        <v>0</v>
      </c>
      <c r="AA43" s="137">
        <v>0</v>
      </c>
      <c r="AB43" s="137">
        <v>0</v>
      </c>
      <c r="AC43" s="137">
        <v>0</v>
      </c>
      <c r="AD43" s="137">
        <v>0</v>
      </c>
      <c r="AE43" s="137">
        <v>0</v>
      </c>
      <c r="AF43" s="137">
        <v>0</v>
      </c>
      <c r="AG43" s="137">
        <v>0</v>
      </c>
      <c r="AH43" s="137">
        <v>0</v>
      </c>
      <c r="AI43" s="137">
        <v>0</v>
      </c>
      <c r="AJ43" s="137">
        <v>0</v>
      </c>
      <c r="AK43" s="137">
        <v>0</v>
      </c>
      <c r="AL43" s="137">
        <v>0</v>
      </c>
      <c r="AM43" s="137">
        <v>0</v>
      </c>
      <c r="AN43" s="137">
        <v>0</v>
      </c>
      <c r="AO43" s="137">
        <v>0</v>
      </c>
      <c r="AP43" s="137">
        <v>0</v>
      </c>
      <c r="AQ43" s="137">
        <v>0</v>
      </c>
      <c r="AR43" s="137">
        <v>0</v>
      </c>
      <c r="AS43" s="137">
        <v>0</v>
      </c>
      <c r="AT43" s="137">
        <v>0</v>
      </c>
      <c r="AU43" s="137">
        <v>0</v>
      </c>
      <c r="AV43" s="137">
        <v>0</v>
      </c>
      <c r="AW43" s="137">
        <v>0</v>
      </c>
      <c r="AX43" s="137">
        <v>0</v>
      </c>
      <c r="AY43" s="137">
        <v>0</v>
      </c>
      <c r="AZ43" s="137">
        <v>0</v>
      </c>
      <c r="BA43" s="137">
        <v>0</v>
      </c>
      <c r="BB43" s="137">
        <v>0</v>
      </c>
      <c r="BC43" s="137">
        <v>0</v>
      </c>
      <c r="BD43" s="137">
        <v>0</v>
      </c>
      <c r="BE43" s="137">
        <v>0</v>
      </c>
      <c r="BF43" s="137">
        <v>0</v>
      </c>
      <c r="BG43" s="137">
        <v>0</v>
      </c>
      <c r="BH43" s="137">
        <v>0</v>
      </c>
      <c r="BI43" s="137">
        <v>0</v>
      </c>
      <c r="BJ43" s="137">
        <v>0</v>
      </c>
      <c r="BK43" s="137">
        <v>0</v>
      </c>
      <c r="BL43" s="137">
        <v>0</v>
      </c>
      <c r="BM43" s="137">
        <v>0</v>
      </c>
      <c r="BN43" s="137">
        <v>0</v>
      </c>
      <c r="BO43" s="137">
        <v>0</v>
      </c>
      <c r="BP43" s="137">
        <v>0</v>
      </c>
      <c r="BQ43" s="137">
        <v>0</v>
      </c>
      <c r="BR43" s="137">
        <v>0</v>
      </c>
      <c r="BS43" s="137">
        <v>0</v>
      </c>
      <c r="BT43" s="137">
        <v>0</v>
      </c>
      <c r="BU43" s="137">
        <v>0</v>
      </c>
      <c r="BV43" s="137">
        <v>0</v>
      </c>
      <c r="BW43" s="137">
        <v>0</v>
      </c>
      <c r="BX43" s="137">
        <v>0</v>
      </c>
      <c r="BY43" s="137">
        <v>0</v>
      </c>
      <c r="BZ43" s="137">
        <v>0</v>
      </c>
      <c r="CA43" s="137">
        <v>0</v>
      </c>
      <c r="CB43" s="137">
        <v>0</v>
      </c>
      <c r="CC43" s="137">
        <v>0</v>
      </c>
      <c r="CD43" s="137">
        <v>0</v>
      </c>
      <c r="CE43" s="137">
        <v>0</v>
      </c>
      <c r="CF43" s="137">
        <v>0</v>
      </c>
      <c r="CG43" s="137">
        <v>0</v>
      </c>
      <c r="CH43" s="137">
        <v>0</v>
      </c>
      <c r="CI43" s="137">
        <v>6430</v>
      </c>
      <c r="CJ43" s="137">
        <v>5640</v>
      </c>
      <c r="CK43" s="137">
        <v>5300</v>
      </c>
      <c r="CL43" s="137">
        <v>4870</v>
      </c>
      <c r="CM43" s="137">
        <v>5550</v>
      </c>
      <c r="CN43" s="137">
        <v>5340</v>
      </c>
      <c r="CO43" s="137">
        <v>5380</v>
      </c>
      <c r="CP43" s="137">
        <v>5820</v>
      </c>
      <c r="CQ43" s="137">
        <v>5610</v>
      </c>
      <c r="CR43" s="137">
        <v>5900</v>
      </c>
      <c r="CS43" s="137">
        <v>6160</v>
      </c>
      <c r="CT43" s="137">
        <v>5660</v>
      </c>
      <c r="CU43" s="137">
        <v>5290</v>
      </c>
      <c r="CV43" s="137">
        <v>5470</v>
      </c>
    </row>
    <row r="44" spans="1:100" x14ac:dyDescent="0.25">
      <c r="A44" s="367" t="s">
        <v>472</v>
      </c>
      <c r="B44" s="91" t="str">
        <f>参加条件計算!B44</f>
        <v>インフォテリア</v>
      </c>
      <c r="C44" s="341">
        <f>株価一覧!E43</f>
        <v>1340</v>
      </c>
      <c r="D44" s="364">
        <f ca="1">AVERAGE(OFFSET(A44,0,COUNTA(G44:XFD44)+5,1,-5))</f>
        <v>1394.6</v>
      </c>
      <c r="E44" s="339">
        <f t="shared" ref="E44:E48" ca="1" si="15">AVERAGE(OFFSET(A44,0,COUNTA(G44:XFD44)+5,1,-10))</f>
        <v>1392.6</v>
      </c>
      <c r="F44" s="340">
        <f t="shared" ref="F44:F48" ca="1" si="16">MIN(OFFSET(B44,0,COUNTA(G44:XFD44)+5,1,-10))</f>
        <v>1220</v>
      </c>
      <c r="G44" s="137">
        <v>0</v>
      </c>
      <c r="H44" s="137">
        <v>0</v>
      </c>
      <c r="I44" s="137">
        <v>0</v>
      </c>
      <c r="J44" s="137">
        <v>0</v>
      </c>
      <c r="K44" s="137">
        <v>0</v>
      </c>
      <c r="L44" s="137">
        <v>0</v>
      </c>
      <c r="M44" s="137">
        <v>0</v>
      </c>
      <c r="N44" s="137">
        <v>0</v>
      </c>
      <c r="O44" s="137">
        <v>0</v>
      </c>
      <c r="P44" s="137">
        <v>0</v>
      </c>
      <c r="Q44" s="137">
        <v>0</v>
      </c>
      <c r="R44" s="137">
        <v>0</v>
      </c>
      <c r="S44" s="137">
        <v>0</v>
      </c>
      <c r="T44" s="137">
        <v>0</v>
      </c>
      <c r="U44" s="137">
        <v>0</v>
      </c>
      <c r="V44" s="137">
        <v>0</v>
      </c>
      <c r="W44" s="137">
        <v>0</v>
      </c>
      <c r="X44" s="137">
        <v>0</v>
      </c>
      <c r="Y44" s="137">
        <v>0</v>
      </c>
      <c r="Z44" s="137">
        <v>0</v>
      </c>
      <c r="AA44" s="137">
        <v>0</v>
      </c>
      <c r="AB44" s="137">
        <v>0</v>
      </c>
      <c r="AC44" s="137">
        <v>0</v>
      </c>
      <c r="AD44" s="137">
        <v>0</v>
      </c>
      <c r="AE44" s="137">
        <v>0</v>
      </c>
      <c r="AF44" s="137">
        <v>0</v>
      </c>
      <c r="AG44" s="137">
        <v>0</v>
      </c>
      <c r="AH44" s="137">
        <v>0</v>
      </c>
      <c r="AI44" s="137">
        <v>0</v>
      </c>
      <c r="AJ44" s="137">
        <v>0</v>
      </c>
      <c r="AK44" s="137">
        <v>0</v>
      </c>
      <c r="AL44" s="137">
        <v>0</v>
      </c>
      <c r="AM44" s="137">
        <v>0</v>
      </c>
      <c r="AN44" s="137">
        <v>0</v>
      </c>
      <c r="AO44" s="137">
        <v>0</v>
      </c>
      <c r="AP44" s="137">
        <v>0</v>
      </c>
      <c r="AQ44" s="137">
        <v>0</v>
      </c>
      <c r="AR44" s="137">
        <v>0</v>
      </c>
      <c r="AS44" s="137">
        <v>0</v>
      </c>
      <c r="AT44" s="137">
        <v>0</v>
      </c>
      <c r="AU44" s="137">
        <v>0</v>
      </c>
      <c r="AV44" s="137">
        <v>0</v>
      </c>
      <c r="AW44" s="137">
        <v>0</v>
      </c>
      <c r="AX44" s="137">
        <v>0</v>
      </c>
      <c r="AY44" s="137">
        <v>0</v>
      </c>
      <c r="AZ44" s="137">
        <v>0</v>
      </c>
      <c r="BA44" s="137">
        <v>0</v>
      </c>
      <c r="BB44" s="137">
        <v>0</v>
      </c>
      <c r="BC44" s="137">
        <v>0</v>
      </c>
      <c r="BD44" s="137">
        <v>0</v>
      </c>
      <c r="BE44" s="137">
        <v>0</v>
      </c>
      <c r="BF44" s="137">
        <v>0</v>
      </c>
      <c r="BG44" s="137">
        <v>0</v>
      </c>
      <c r="BH44" s="137">
        <v>0</v>
      </c>
      <c r="BI44" s="137">
        <v>0</v>
      </c>
      <c r="BJ44" s="137">
        <v>0</v>
      </c>
      <c r="BK44" s="137">
        <v>0</v>
      </c>
      <c r="BL44" s="137">
        <v>0</v>
      </c>
      <c r="BM44" s="137">
        <v>0</v>
      </c>
      <c r="BN44" s="137">
        <v>0</v>
      </c>
      <c r="BO44" s="137">
        <v>0</v>
      </c>
      <c r="BP44" s="137">
        <v>0</v>
      </c>
      <c r="BQ44" s="137">
        <v>0</v>
      </c>
      <c r="BR44" s="137">
        <v>0</v>
      </c>
      <c r="BS44" s="137">
        <v>0</v>
      </c>
      <c r="BT44" s="137">
        <v>0</v>
      </c>
      <c r="BU44" s="137">
        <v>0</v>
      </c>
      <c r="BV44" s="137">
        <v>0</v>
      </c>
      <c r="BW44" s="137">
        <v>0</v>
      </c>
      <c r="BX44" s="137">
        <v>0</v>
      </c>
      <c r="BY44" s="137">
        <v>0</v>
      </c>
      <c r="BZ44" s="137">
        <v>0</v>
      </c>
      <c r="CA44" s="137">
        <v>0</v>
      </c>
      <c r="CB44" s="137">
        <v>0</v>
      </c>
      <c r="CC44" s="137">
        <v>0</v>
      </c>
      <c r="CD44" s="137">
        <v>0</v>
      </c>
      <c r="CE44" s="137">
        <v>0</v>
      </c>
      <c r="CF44" s="137">
        <v>0</v>
      </c>
      <c r="CG44" s="137">
        <v>0</v>
      </c>
      <c r="CH44" s="137">
        <v>0</v>
      </c>
      <c r="CI44" s="137">
        <v>0</v>
      </c>
      <c r="CJ44" s="137">
        <v>1080</v>
      </c>
      <c r="CK44" s="137">
        <v>1140</v>
      </c>
      <c r="CL44" s="137">
        <v>1178</v>
      </c>
      <c r="CM44" s="137">
        <v>1239</v>
      </c>
      <c r="CN44" s="137">
        <v>1220</v>
      </c>
      <c r="CO44" s="137">
        <v>1520</v>
      </c>
      <c r="CP44" s="137">
        <v>1484</v>
      </c>
      <c r="CQ44" s="137">
        <v>1490</v>
      </c>
      <c r="CR44" s="137">
        <v>1440</v>
      </c>
      <c r="CS44" s="137">
        <v>1417</v>
      </c>
      <c r="CT44" s="137">
        <v>1400</v>
      </c>
      <c r="CU44" s="137">
        <v>1376</v>
      </c>
      <c r="CV44" s="137">
        <v>1340</v>
      </c>
    </row>
    <row r="45" spans="1:100" x14ac:dyDescent="0.25">
      <c r="A45" s="367" t="s">
        <v>472</v>
      </c>
      <c r="B45" s="91" t="str">
        <f>参加条件計算!B45</f>
        <v>GNIグループ</v>
      </c>
      <c r="C45" s="341">
        <f>株価一覧!E44</f>
        <v>623</v>
      </c>
      <c r="D45" s="364">
        <f t="shared" ca="1" si="12"/>
        <v>635.4</v>
      </c>
      <c r="E45" s="339">
        <f t="shared" ca="1" si="15"/>
        <v>636</v>
      </c>
      <c r="F45" s="340">
        <f t="shared" ca="1" si="16"/>
        <v>616</v>
      </c>
      <c r="G45" s="137">
        <v>0</v>
      </c>
      <c r="H45" s="137">
        <v>0</v>
      </c>
      <c r="I45" s="137">
        <v>0</v>
      </c>
      <c r="J45" s="137">
        <v>0</v>
      </c>
      <c r="K45" s="137">
        <v>0</v>
      </c>
      <c r="L45" s="137">
        <v>0</v>
      </c>
      <c r="M45" s="137">
        <v>0</v>
      </c>
      <c r="N45" s="137">
        <v>0</v>
      </c>
      <c r="O45" s="137">
        <v>0</v>
      </c>
      <c r="P45" s="137">
        <v>0</v>
      </c>
      <c r="Q45" s="137">
        <v>0</v>
      </c>
      <c r="R45" s="137">
        <v>0</v>
      </c>
      <c r="S45" s="137">
        <v>0</v>
      </c>
      <c r="T45" s="137">
        <v>0</v>
      </c>
      <c r="U45" s="137">
        <v>0</v>
      </c>
      <c r="V45" s="137">
        <v>0</v>
      </c>
      <c r="W45" s="137">
        <v>0</v>
      </c>
      <c r="X45" s="137">
        <v>0</v>
      </c>
      <c r="Y45" s="137">
        <v>0</v>
      </c>
      <c r="Z45" s="137">
        <v>0</v>
      </c>
      <c r="AA45" s="137">
        <v>0</v>
      </c>
      <c r="AB45" s="137">
        <v>0</v>
      </c>
      <c r="AC45" s="137">
        <v>0</v>
      </c>
      <c r="AD45" s="137">
        <v>0</v>
      </c>
      <c r="AE45" s="137">
        <v>0</v>
      </c>
      <c r="AF45" s="137">
        <v>0</v>
      </c>
      <c r="AG45" s="137">
        <v>0</v>
      </c>
      <c r="AH45" s="137">
        <v>0</v>
      </c>
      <c r="AI45" s="137">
        <v>0</v>
      </c>
      <c r="AJ45" s="137">
        <v>0</v>
      </c>
      <c r="AK45" s="137">
        <v>0</v>
      </c>
      <c r="AL45" s="137">
        <v>0</v>
      </c>
      <c r="AM45" s="137">
        <v>0</v>
      </c>
      <c r="AN45" s="137">
        <v>0</v>
      </c>
      <c r="AO45" s="137">
        <v>0</v>
      </c>
      <c r="AP45" s="137">
        <v>0</v>
      </c>
      <c r="AQ45" s="137">
        <v>0</v>
      </c>
      <c r="AR45" s="137">
        <v>0</v>
      </c>
      <c r="AS45" s="137">
        <v>0</v>
      </c>
      <c r="AT45" s="137">
        <v>0</v>
      </c>
      <c r="AU45" s="137">
        <v>0</v>
      </c>
      <c r="AV45" s="137">
        <v>0</v>
      </c>
      <c r="AW45" s="137">
        <v>0</v>
      </c>
      <c r="AX45" s="137">
        <v>0</v>
      </c>
      <c r="AY45" s="137">
        <v>0</v>
      </c>
      <c r="AZ45" s="137">
        <v>0</v>
      </c>
      <c r="BA45" s="137">
        <v>0</v>
      </c>
      <c r="BB45" s="137">
        <v>0</v>
      </c>
      <c r="BC45" s="137">
        <v>0</v>
      </c>
      <c r="BD45" s="137">
        <v>0</v>
      </c>
      <c r="BE45" s="137">
        <v>0</v>
      </c>
      <c r="BF45" s="137">
        <v>0</v>
      </c>
      <c r="BG45" s="137">
        <v>0</v>
      </c>
      <c r="BH45" s="137">
        <v>0</v>
      </c>
      <c r="BI45" s="137">
        <v>0</v>
      </c>
      <c r="BJ45" s="137">
        <v>0</v>
      </c>
      <c r="BK45" s="137">
        <v>0</v>
      </c>
      <c r="BL45" s="137">
        <v>0</v>
      </c>
      <c r="BM45" s="137">
        <v>0</v>
      </c>
      <c r="BN45" s="137">
        <v>0</v>
      </c>
      <c r="BO45" s="137">
        <v>0</v>
      </c>
      <c r="BP45" s="137">
        <v>0</v>
      </c>
      <c r="BQ45" s="137">
        <v>0</v>
      </c>
      <c r="BR45" s="137">
        <v>0</v>
      </c>
      <c r="BS45" s="137">
        <v>0</v>
      </c>
      <c r="BT45" s="137">
        <v>0</v>
      </c>
      <c r="BU45" s="137">
        <v>0</v>
      </c>
      <c r="BV45" s="137">
        <v>0</v>
      </c>
      <c r="BW45" s="137">
        <v>0</v>
      </c>
      <c r="BX45" s="137">
        <v>0</v>
      </c>
      <c r="BY45" s="137">
        <v>0</v>
      </c>
      <c r="BZ45" s="137">
        <v>0</v>
      </c>
      <c r="CA45" s="137">
        <v>0</v>
      </c>
      <c r="CB45" s="137">
        <v>0</v>
      </c>
      <c r="CC45" s="137">
        <v>0</v>
      </c>
      <c r="CD45" s="137">
        <v>0</v>
      </c>
      <c r="CE45" s="137">
        <v>0</v>
      </c>
      <c r="CF45" s="137">
        <v>0</v>
      </c>
      <c r="CG45" s="137">
        <v>0</v>
      </c>
      <c r="CH45" s="137">
        <v>0</v>
      </c>
      <c r="CI45" s="137">
        <v>0</v>
      </c>
      <c r="CJ45" s="137">
        <v>641</v>
      </c>
      <c r="CK45" s="137">
        <v>664</v>
      </c>
      <c r="CL45" s="137">
        <v>663</v>
      </c>
      <c r="CM45" s="137">
        <v>658</v>
      </c>
      <c r="CN45" s="137">
        <v>616</v>
      </c>
      <c r="CO45" s="137">
        <v>623</v>
      </c>
      <c r="CP45" s="137">
        <v>631</v>
      </c>
      <c r="CQ45" s="137">
        <v>655</v>
      </c>
      <c r="CR45" s="137">
        <v>641</v>
      </c>
      <c r="CS45" s="137">
        <v>642</v>
      </c>
      <c r="CT45" s="137">
        <v>634</v>
      </c>
      <c r="CU45" s="137">
        <v>637</v>
      </c>
      <c r="CV45" s="137">
        <v>623</v>
      </c>
    </row>
    <row r="46" spans="1:100" x14ac:dyDescent="0.25">
      <c r="A46" s="367" t="str">
        <f>IPO監視一覧!H36</f>
        <v>B</v>
      </c>
      <c r="B46" s="91" t="str">
        <f>IPO監視一覧!B36</f>
        <v>ツナグ・ソリューションズ</v>
      </c>
      <c r="C46" s="341">
        <f>株価一覧!E45</f>
        <v>5250</v>
      </c>
      <c r="D46" s="364">
        <f t="shared" ca="1" si="12"/>
        <v>5187</v>
      </c>
      <c r="E46" s="339">
        <f t="shared" ca="1" si="15"/>
        <v>5422.5</v>
      </c>
      <c r="F46" s="340">
        <f t="shared" ca="1" si="16"/>
        <v>4845</v>
      </c>
      <c r="G46" s="137">
        <v>0</v>
      </c>
      <c r="H46" s="137">
        <v>0</v>
      </c>
      <c r="I46" s="137">
        <v>0</v>
      </c>
      <c r="J46" s="137">
        <v>0</v>
      </c>
      <c r="K46" s="137">
        <v>0</v>
      </c>
      <c r="L46" s="137">
        <v>0</v>
      </c>
      <c r="M46" s="137">
        <v>0</v>
      </c>
      <c r="N46" s="137">
        <v>0</v>
      </c>
      <c r="O46" s="137">
        <v>0</v>
      </c>
      <c r="P46" s="137">
        <v>0</v>
      </c>
      <c r="Q46" s="137">
        <v>0</v>
      </c>
      <c r="R46" s="137">
        <v>0</v>
      </c>
      <c r="S46" s="137">
        <v>0</v>
      </c>
      <c r="T46" s="137">
        <v>0</v>
      </c>
      <c r="U46" s="137">
        <v>0</v>
      </c>
      <c r="V46" s="137">
        <v>0</v>
      </c>
      <c r="W46" s="137">
        <v>0</v>
      </c>
      <c r="X46" s="137">
        <v>0</v>
      </c>
      <c r="Y46" s="137">
        <v>0</v>
      </c>
      <c r="Z46" s="137">
        <v>0</v>
      </c>
      <c r="AA46" s="137">
        <v>0</v>
      </c>
      <c r="AB46" s="137">
        <v>0</v>
      </c>
      <c r="AC46" s="137">
        <v>0</v>
      </c>
      <c r="AD46" s="137">
        <v>0</v>
      </c>
      <c r="AE46" s="137">
        <v>0</v>
      </c>
      <c r="AF46" s="137">
        <v>0</v>
      </c>
      <c r="AG46" s="137">
        <v>0</v>
      </c>
      <c r="AH46" s="137">
        <v>0</v>
      </c>
      <c r="AI46" s="137">
        <v>0</v>
      </c>
      <c r="AJ46" s="137">
        <v>0</v>
      </c>
      <c r="AK46" s="137">
        <v>0</v>
      </c>
      <c r="AL46" s="137">
        <v>0</v>
      </c>
      <c r="AM46" s="137">
        <v>0</v>
      </c>
      <c r="AN46" s="137">
        <v>0</v>
      </c>
      <c r="AO46" s="137">
        <v>0</v>
      </c>
      <c r="AP46" s="137">
        <v>0</v>
      </c>
      <c r="AQ46" s="137">
        <v>0</v>
      </c>
      <c r="AR46" s="137">
        <v>0</v>
      </c>
      <c r="AS46" s="137">
        <v>0</v>
      </c>
      <c r="AT46" s="137">
        <v>0</v>
      </c>
      <c r="AU46" s="137">
        <v>0</v>
      </c>
      <c r="AV46" s="137">
        <v>0</v>
      </c>
      <c r="AW46" s="137">
        <v>0</v>
      </c>
      <c r="AX46" s="137">
        <v>0</v>
      </c>
      <c r="AY46" s="137">
        <v>0</v>
      </c>
      <c r="AZ46" s="137">
        <v>0</v>
      </c>
      <c r="BA46" s="137">
        <v>0</v>
      </c>
      <c r="BB46" s="137">
        <v>0</v>
      </c>
      <c r="BC46" s="137">
        <v>0</v>
      </c>
      <c r="BD46" s="137">
        <v>0</v>
      </c>
      <c r="BE46" s="137">
        <v>0</v>
      </c>
      <c r="BF46" s="137">
        <v>0</v>
      </c>
      <c r="BG46" s="137">
        <v>0</v>
      </c>
      <c r="BH46" s="137">
        <v>0</v>
      </c>
      <c r="BI46" s="137">
        <v>0</v>
      </c>
      <c r="BJ46" s="137">
        <v>0</v>
      </c>
      <c r="BK46" s="137">
        <v>0</v>
      </c>
      <c r="BL46" s="137">
        <v>0</v>
      </c>
      <c r="BM46" s="137">
        <v>0</v>
      </c>
      <c r="BN46" s="137">
        <v>0</v>
      </c>
      <c r="BO46" s="137">
        <v>0</v>
      </c>
      <c r="BP46" s="137">
        <v>0</v>
      </c>
      <c r="BQ46" s="137">
        <v>0</v>
      </c>
      <c r="BR46" s="137">
        <v>0</v>
      </c>
      <c r="BS46" s="137">
        <v>0</v>
      </c>
      <c r="BT46" s="137">
        <v>0</v>
      </c>
      <c r="BU46" s="137">
        <v>0</v>
      </c>
      <c r="BV46" s="137">
        <v>0</v>
      </c>
      <c r="BW46" s="137">
        <v>0</v>
      </c>
      <c r="BX46" s="137">
        <v>0</v>
      </c>
      <c r="BY46" s="137">
        <v>0</v>
      </c>
      <c r="BZ46" s="137">
        <v>0</v>
      </c>
      <c r="CA46" s="137">
        <v>0</v>
      </c>
      <c r="CB46" s="137">
        <v>0</v>
      </c>
      <c r="CC46" s="137">
        <v>0</v>
      </c>
      <c r="CD46" s="137">
        <v>0</v>
      </c>
      <c r="CE46" s="137">
        <v>0</v>
      </c>
      <c r="CF46" s="137">
        <v>0</v>
      </c>
      <c r="CG46" s="137">
        <v>0</v>
      </c>
      <c r="CH46" s="137">
        <v>0</v>
      </c>
      <c r="CI46" s="137">
        <v>0</v>
      </c>
      <c r="CJ46" s="137">
        <v>0</v>
      </c>
      <c r="CK46" s="137">
        <v>0</v>
      </c>
      <c r="CL46" s="137">
        <v>4700</v>
      </c>
      <c r="CM46" s="137">
        <v>5400</v>
      </c>
      <c r="CN46" s="137">
        <v>6090</v>
      </c>
      <c r="CO46" s="137">
        <v>5650</v>
      </c>
      <c r="CP46" s="137">
        <v>5350</v>
      </c>
      <c r="CQ46" s="137">
        <v>5800</v>
      </c>
      <c r="CR46" s="137">
        <v>5540</v>
      </c>
      <c r="CS46" s="137">
        <v>5350</v>
      </c>
      <c r="CT46" s="137">
        <v>4950</v>
      </c>
      <c r="CU46" s="137">
        <v>4845</v>
      </c>
      <c r="CV46" s="137">
        <v>5250</v>
      </c>
    </row>
    <row r="47" spans="1:100" x14ac:dyDescent="0.25">
      <c r="A47" s="367" t="str">
        <f>IPO監視一覧!H37</f>
        <v>B</v>
      </c>
      <c r="B47" s="91" t="str">
        <f>IPO監視一覧!B37</f>
        <v>ＳＹＳホールディングス</v>
      </c>
      <c r="C47" s="341">
        <f>株価一覧!E46</f>
        <v>4115</v>
      </c>
      <c r="D47" s="364">
        <f t="shared" ca="1" si="12"/>
        <v>4107</v>
      </c>
      <c r="E47" s="339">
        <f t="shared" ca="1" si="15"/>
        <v>4195</v>
      </c>
      <c r="F47" s="340">
        <f t="shared" ca="1" si="16"/>
        <v>4000</v>
      </c>
      <c r="G47" s="137">
        <v>0</v>
      </c>
      <c r="H47" s="137">
        <v>0</v>
      </c>
      <c r="I47" s="137">
        <v>0</v>
      </c>
      <c r="J47" s="137">
        <v>0</v>
      </c>
      <c r="K47" s="137">
        <v>0</v>
      </c>
      <c r="L47" s="137">
        <v>0</v>
      </c>
      <c r="M47" s="137">
        <v>0</v>
      </c>
      <c r="N47" s="137">
        <v>0</v>
      </c>
      <c r="O47" s="137">
        <v>0</v>
      </c>
      <c r="P47" s="137">
        <v>0</v>
      </c>
      <c r="Q47" s="137">
        <v>0</v>
      </c>
      <c r="R47" s="137">
        <v>0</v>
      </c>
      <c r="S47" s="137">
        <v>0</v>
      </c>
      <c r="T47" s="137">
        <v>0</v>
      </c>
      <c r="U47" s="137">
        <v>0</v>
      </c>
      <c r="V47" s="137">
        <v>0</v>
      </c>
      <c r="W47" s="137">
        <v>0</v>
      </c>
      <c r="X47" s="137">
        <v>0</v>
      </c>
      <c r="Y47" s="137">
        <v>0</v>
      </c>
      <c r="Z47" s="137">
        <v>0</v>
      </c>
      <c r="AA47" s="137">
        <v>0</v>
      </c>
      <c r="AB47" s="137">
        <v>0</v>
      </c>
      <c r="AC47" s="137">
        <v>0</v>
      </c>
      <c r="AD47" s="137">
        <v>0</v>
      </c>
      <c r="AE47" s="137">
        <v>0</v>
      </c>
      <c r="AF47" s="137">
        <v>0</v>
      </c>
      <c r="AG47" s="137">
        <v>0</v>
      </c>
      <c r="AH47" s="137">
        <v>0</v>
      </c>
      <c r="AI47" s="137">
        <v>0</v>
      </c>
      <c r="AJ47" s="137">
        <v>0</v>
      </c>
      <c r="AK47" s="137">
        <v>0</v>
      </c>
      <c r="AL47" s="137">
        <v>0</v>
      </c>
      <c r="AM47" s="137">
        <v>0</v>
      </c>
      <c r="AN47" s="137">
        <v>0</v>
      </c>
      <c r="AO47" s="137">
        <v>0</v>
      </c>
      <c r="AP47" s="137">
        <v>0</v>
      </c>
      <c r="AQ47" s="137">
        <v>0</v>
      </c>
      <c r="AR47" s="137">
        <v>0</v>
      </c>
      <c r="AS47" s="137">
        <v>0</v>
      </c>
      <c r="AT47" s="137">
        <v>0</v>
      </c>
      <c r="AU47" s="137">
        <v>0</v>
      </c>
      <c r="AV47" s="137">
        <v>0</v>
      </c>
      <c r="AW47" s="137">
        <v>0</v>
      </c>
      <c r="AX47" s="137">
        <v>0</v>
      </c>
      <c r="AY47" s="137">
        <v>0</v>
      </c>
      <c r="AZ47" s="137">
        <v>0</v>
      </c>
      <c r="BA47" s="137">
        <v>0</v>
      </c>
      <c r="BB47" s="137">
        <v>0</v>
      </c>
      <c r="BC47" s="137">
        <v>0</v>
      </c>
      <c r="BD47" s="137">
        <v>0</v>
      </c>
      <c r="BE47" s="137">
        <v>0</v>
      </c>
      <c r="BF47" s="137">
        <v>0</v>
      </c>
      <c r="BG47" s="137">
        <v>0</v>
      </c>
      <c r="BH47" s="137">
        <v>0</v>
      </c>
      <c r="BI47" s="137">
        <v>0</v>
      </c>
      <c r="BJ47" s="137">
        <v>0</v>
      </c>
      <c r="BK47" s="137">
        <v>0</v>
      </c>
      <c r="BL47" s="137">
        <v>0</v>
      </c>
      <c r="BM47" s="137">
        <v>0</v>
      </c>
      <c r="BN47" s="137">
        <v>0</v>
      </c>
      <c r="BO47" s="137">
        <v>0</v>
      </c>
      <c r="BP47" s="137">
        <v>0</v>
      </c>
      <c r="BQ47" s="137">
        <v>0</v>
      </c>
      <c r="BR47" s="137">
        <v>0</v>
      </c>
      <c r="BS47" s="137">
        <v>0</v>
      </c>
      <c r="BT47" s="137">
        <v>0</v>
      </c>
      <c r="BU47" s="137">
        <v>0</v>
      </c>
      <c r="BV47" s="137">
        <v>0</v>
      </c>
      <c r="BW47" s="137">
        <v>0</v>
      </c>
      <c r="BX47" s="137">
        <v>0</v>
      </c>
      <c r="BY47" s="137">
        <v>0</v>
      </c>
      <c r="BZ47" s="137">
        <v>0</v>
      </c>
      <c r="CA47" s="137">
        <v>0</v>
      </c>
      <c r="CB47" s="137">
        <v>0</v>
      </c>
      <c r="CC47" s="137">
        <v>0</v>
      </c>
      <c r="CD47" s="137">
        <v>0</v>
      </c>
      <c r="CE47" s="137">
        <v>0</v>
      </c>
      <c r="CF47" s="137">
        <v>0</v>
      </c>
      <c r="CG47" s="137">
        <v>0</v>
      </c>
      <c r="CH47" s="137">
        <v>0</v>
      </c>
      <c r="CI47" s="137">
        <v>0</v>
      </c>
      <c r="CJ47" s="137">
        <v>0</v>
      </c>
      <c r="CK47" s="137">
        <v>0</v>
      </c>
      <c r="CL47" s="137">
        <v>4575</v>
      </c>
      <c r="CM47" s="137">
        <v>4475</v>
      </c>
      <c r="CN47" s="137">
        <v>4425</v>
      </c>
      <c r="CO47" s="137">
        <v>4270</v>
      </c>
      <c r="CP47" s="137">
        <v>4145</v>
      </c>
      <c r="CQ47" s="137">
        <v>4100</v>
      </c>
      <c r="CR47" s="137">
        <v>4240</v>
      </c>
      <c r="CS47" s="137">
        <v>4150</v>
      </c>
      <c r="CT47" s="137">
        <v>4030</v>
      </c>
      <c r="CU47" s="137">
        <v>4000</v>
      </c>
      <c r="CV47" s="137">
        <v>4115</v>
      </c>
    </row>
    <row r="48" spans="1:100" x14ac:dyDescent="0.25">
      <c r="A48" s="367" t="str">
        <f>IPO監視一覧!H38</f>
        <v>B</v>
      </c>
      <c r="B48" s="91" t="str">
        <f>IPO監視一覧!B38</f>
        <v>GameWith</v>
      </c>
      <c r="C48" s="341">
        <f>株価一覧!E47</f>
        <v>3595</v>
      </c>
      <c r="D48" s="364">
        <f t="shared" ca="1" si="12"/>
        <v>3851</v>
      </c>
      <c r="E48" s="339">
        <f t="shared" ca="1" si="15"/>
        <v>4024.5</v>
      </c>
      <c r="F48" s="340">
        <f t="shared" ca="1" si="16"/>
        <v>3595</v>
      </c>
      <c r="G48" s="137">
        <v>0</v>
      </c>
      <c r="H48" s="137">
        <v>0</v>
      </c>
      <c r="I48" s="137">
        <v>0</v>
      </c>
      <c r="J48" s="137">
        <v>0</v>
      </c>
      <c r="K48" s="137">
        <v>0</v>
      </c>
      <c r="L48" s="137">
        <v>0</v>
      </c>
      <c r="M48" s="137">
        <v>0</v>
      </c>
      <c r="N48" s="137">
        <v>0</v>
      </c>
      <c r="O48" s="137">
        <v>0</v>
      </c>
      <c r="P48" s="137">
        <v>0</v>
      </c>
      <c r="Q48" s="137">
        <v>0</v>
      </c>
      <c r="R48" s="137">
        <v>0</v>
      </c>
      <c r="S48" s="137">
        <v>0</v>
      </c>
      <c r="T48" s="137">
        <v>0</v>
      </c>
      <c r="U48" s="137">
        <v>0</v>
      </c>
      <c r="V48" s="137">
        <v>0</v>
      </c>
      <c r="W48" s="137">
        <v>0</v>
      </c>
      <c r="X48" s="137">
        <v>0</v>
      </c>
      <c r="Y48" s="137">
        <v>0</v>
      </c>
      <c r="Z48" s="137">
        <v>0</v>
      </c>
      <c r="AA48" s="137">
        <v>0</v>
      </c>
      <c r="AB48" s="137">
        <v>0</v>
      </c>
      <c r="AC48" s="137">
        <v>0</v>
      </c>
      <c r="AD48" s="137">
        <v>0</v>
      </c>
      <c r="AE48" s="137">
        <v>0</v>
      </c>
      <c r="AF48" s="137">
        <v>0</v>
      </c>
      <c r="AG48" s="137">
        <v>0</v>
      </c>
      <c r="AH48" s="137">
        <v>0</v>
      </c>
      <c r="AI48" s="137">
        <v>0</v>
      </c>
      <c r="AJ48" s="137">
        <v>0</v>
      </c>
      <c r="AK48" s="137">
        <v>0</v>
      </c>
      <c r="AL48" s="137">
        <v>0</v>
      </c>
      <c r="AM48" s="137">
        <v>0</v>
      </c>
      <c r="AN48" s="137">
        <v>0</v>
      </c>
      <c r="AO48" s="137">
        <v>0</v>
      </c>
      <c r="AP48" s="137">
        <v>0</v>
      </c>
      <c r="AQ48" s="137">
        <v>0</v>
      </c>
      <c r="AR48" s="137">
        <v>0</v>
      </c>
      <c r="AS48" s="137">
        <v>0</v>
      </c>
      <c r="AT48" s="137">
        <v>0</v>
      </c>
      <c r="AU48" s="137">
        <v>0</v>
      </c>
      <c r="AV48" s="137">
        <v>0</v>
      </c>
      <c r="AW48" s="137">
        <v>0</v>
      </c>
      <c r="AX48" s="137">
        <v>0</v>
      </c>
      <c r="AY48" s="137">
        <v>0</v>
      </c>
      <c r="AZ48" s="137">
        <v>0</v>
      </c>
      <c r="BA48" s="137">
        <v>0</v>
      </c>
      <c r="BB48" s="137">
        <v>0</v>
      </c>
      <c r="BC48" s="137">
        <v>0</v>
      </c>
      <c r="BD48" s="137">
        <v>0</v>
      </c>
      <c r="BE48" s="137">
        <v>0</v>
      </c>
      <c r="BF48" s="137">
        <v>0</v>
      </c>
      <c r="BG48" s="137">
        <v>0</v>
      </c>
      <c r="BH48" s="137">
        <v>0</v>
      </c>
      <c r="BI48" s="137">
        <v>0</v>
      </c>
      <c r="BJ48" s="137">
        <v>0</v>
      </c>
      <c r="BK48" s="137">
        <v>0</v>
      </c>
      <c r="BL48" s="137">
        <v>0</v>
      </c>
      <c r="BM48" s="137">
        <v>0</v>
      </c>
      <c r="BN48" s="137">
        <v>0</v>
      </c>
      <c r="BO48" s="137">
        <v>0</v>
      </c>
      <c r="BP48" s="137">
        <v>0</v>
      </c>
      <c r="BQ48" s="137">
        <v>0</v>
      </c>
      <c r="BR48" s="137">
        <v>0</v>
      </c>
      <c r="BS48" s="137">
        <v>0</v>
      </c>
      <c r="BT48" s="137">
        <v>0</v>
      </c>
      <c r="BU48" s="137">
        <v>0</v>
      </c>
      <c r="BV48" s="137">
        <v>0</v>
      </c>
      <c r="BW48" s="137">
        <v>0</v>
      </c>
      <c r="BX48" s="137">
        <v>0</v>
      </c>
      <c r="BY48" s="137">
        <v>0</v>
      </c>
      <c r="BZ48" s="137">
        <v>0</v>
      </c>
      <c r="CA48" s="137">
        <v>0</v>
      </c>
      <c r="CB48" s="137">
        <v>0</v>
      </c>
      <c r="CC48" s="137">
        <v>0</v>
      </c>
      <c r="CD48" s="137">
        <v>0</v>
      </c>
      <c r="CE48" s="137">
        <v>0</v>
      </c>
      <c r="CF48" s="137">
        <v>0</v>
      </c>
      <c r="CG48" s="137">
        <v>0</v>
      </c>
      <c r="CH48" s="137">
        <v>0</v>
      </c>
      <c r="CI48" s="137">
        <v>0</v>
      </c>
      <c r="CJ48" s="137">
        <v>0</v>
      </c>
      <c r="CK48" s="137">
        <v>0</v>
      </c>
      <c r="CL48" s="137">
        <v>4505</v>
      </c>
      <c r="CM48" s="137">
        <v>4250</v>
      </c>
      <c r="CN48" s="137">
        <v>4085</v>
      </c>
      <c r="CO48" s="137">
        <v>4350</v>
      </c>
      <c r="CP48" s="137">
        <v>4205</v>
      </c>
      <c r="CQ48" s="137">
        <v>4100</v>
      </c>
      <c r="CR48" s="137">
        <v>4000</v>
      </c>
      <c r="CS48" s="137">
        <v>4020</v>
      </c>
      <c r="CT48" s="137">
        <v>4010</v>
      </c>
      <c r="CU48" s="137">
        <v>3630</v>
      </c>
      <c r="CV48" s="137">
        <v>3595</v>
      </c>
    </row>
    <row r="49" spans="1:100" x14ac:dyDescent="0.25">
      <c r="A49" s="367" t="s">
        <v>472</v>
      </c>
      <c r="B49" s="91" t="str">
        <f>参加条件計算!B49</f>
        <v>アンジェス</v>
      </c>
      <c r="C49" s="341">
        <f>株価一覧!E48</f>
        <v>656</v>
      </c>
      <c r="D49" s="330">
        <f t="shared" ref="D49" ca="1" si="17">AVERAGE(OFFSET(A49,0,COUNTA(G49:XFD49)+5,1,-5))</f>
        <v>702.4</v>
      </c>
      <c r="E49" s="342">
        <f t="shared" ref="E49" ca="1" si="18">AVERAGE(OFFSET(A49,0,COUNTA(G49:XFD49)+5,1,-10))</f>
        <v>483.9</v>
      </c>
      <c r="F49" s="343">
        <f t="shared" ref="F49" ca="1" si="19">MIN(OFFSET(B49,0,COUNTA(G49:XFD49)+5,1,-10))</f>
        <v>0</v>
      </c>
      <c r="G49" s="137">
        <v>0</v>
      </c>
      <c r="H49" s="137">
        <v>0</v>
      </c>
      <c r="I49" s="137">
        <v>0</v>
      </c>
      <c r="J49" s="137">
        <v>0</v>
      </c>
      <c r="K49" s="137">
        <v>0</v>
      </c>
      <c r="L49" s="137">
        <v>0</v>
      </c>
      <c r="M49" s="137">
        <v>0</v>
      </c>
      <c r="N49" s="137">
        <v>0</v>
      </c>
      <c r="O49" s="137">
        <v>0</v>
      </c>
      <c r="P49" s="137">
        <v>0</v>
      </c>
      <c r="Q49" s="137">
        <v>0</v>
      </c>
      <c r="R49" s="137">
        <v>0</v>
      </c>
      <c r="S49" s="137">
        <v>0</v>
      </c>
      <c r="T49" s="137">
        <v>0</v>
      </c>
      <c r="U49" s="137">
        <v>0</v>
      </c>
      <c r="V49" s="137">
        <v>0</v>
      </c>
      <c r="W49" s="137">
        <v>0</v>
      </c>
      <c r="X49" s="137">
        <v>0</v>
      </c>
      <c r="Y49" s="137">
        <v>0</v>
      </c>
      <c r="Z49" s="137">
        <v>0</v>
      </c>
      <c r="AA49" s="137">
        <v>0</v>
      </c>
      <c r="AB49" s="137">
        <v>0</v>
      </c>
      <c r="AC49" s="137">
        <v>0</v>
      </c>
      <c r="AD49" s="137">
        <v>0</v>
      </c>
      <c r="AE49" s="137">
        <v>0</v>
      </c>
      <c r="AF49" s="137">
        <v>0</v>
      </c>
      <c r="AG49" s="137">
        <v>0</v>
      </c>
      <c r="AH49" s="137">
        <v>0</v>
      </c>
      <c r="AI49" s="137">
        <v>0</v>
      </c>
      <c r="AJ49" s="137">
        <v>0</v>
      </c>
      <c r="AK49" s="137">
        <v>0</v>
      </c>
      <c r="AL49" s="137">
        <v>0</v>
      </c>
      <c r="AM49" s="137">
        <v>0</v>
      </c>
      <c r="AN49" s="137">
        <v>0</v>
      </c>
      <c r="AO49" s="137">
        <v>0</v>
      </c>
      <c r="AP49" s="137">
        <v>0</v>
      </c>
      <c r="AQ49" s="137">
        <v>0</v>
      </c>
      <c r="AR49" s="137">
        <v>0</v>
      </c>
      <c r="AS49" s="137">
        <v>0</v>
      </c>
      <c r="AT49" s="137">
        <v>0</v>
      </c>
      <c r="AU49" s="137">
        <v>0</v>
      </c>
      <c r="AV49" s="137">
        <v>0</v>
      </c>
      <c r="AW49" s="137">
        <v>0</v>
      </c>
      <c r="AX49" s="137">
        <v>0</v>
      </c>
      <c r="AY49" s="137">
        <v>0</v>
      </c>
      <c r="AZ49" s="137">
        <v>0</v>
      </c>
      <c r="BA49" s="137">
        <v>0</v>
      </c>
      <c r="BB49" s="137">
        <v>0</v>
      </c>
      <c r="BC49" s="137">
        <v>0</v>
      </c>
      <c r="BD49" s="137">
        <v>0</v>
      </c>
      <c r="BE49" s="137">
        <v>0</v>
      </c>
      <c r="BF49" s="137">
        <v>0</v>
      </c>
      <c r="BG49" s="137">
        <v>0</v>
      </c>
      <c r="BH49" s="137">
        <v>0</v>
      </c>
      <c r="BI49" s="137">
        <v>0</v>
      </c>
      <c r="BJ49" s="137">
        <v>0</v>
      </c>
      <c r="BK49" s="137">
        <v>0</v>
      </c>
      <c r="BL49" s="137">
        <v>0</v>
      </c>
      <c r="BM49" s="137">
        <v>0</v>
      </c>
      <c r="BN49" s="137">
        <v>0</v>
      </c>
      <c r="BO49" s="137">
        <v>0</v>
      </c>
      <c r="BP49" s="137">
        <v>0</v>
      </c>
      <c r="BQ49" s="137">
        <v>0</v>
      </c>
      <c r="BR49" s="137">
        <v>0</v>
      </c>
      <c r="BS49" s="137">
        <v>0</v>
      </c>
      <c r="BT49" s="137">
        <v>0</v>
      </c>
      <c r="BU49" s="137">
        <v>0</v>
      </c>
      <c r="BV49" s="137">
        <v>0</v>
      </c>
      <c r="BW49" s="137">
        <v>0</v>
      </c>
      <c r="BX49" s="137">
        <v>0</v>
      </c>
      <c r="BY49" s="137">
        <v>0</v>
      </c>
      <c r="BZ49" s="137">
        <v>0</v>
      </c>
      <c r="CA49" s="137">
        <v>0</v>
      </c>
      <c r="CB49" s="137">
        <v>0</v>
      </c>
      <c r="CC49" s="137">
        <v>0</v>
      </c>
      <c r="CD49" s="137">
        <v>0</v>
      </c>
      <c r="CE49" s="137">
        <v>0</v>
      </c>
      <c r="CF49" s="137">
        <v>0</v>
      </c>
      <c r="CG49" s="137">
        <v>0</v>
      </c>
      <c r="CH49" s="137">
        <v>0</v>
      </c>
      <c r="CI49" s="137">
        <v>0</v>
      </c>
      <c r="CJ49" s="137">
        <v>0</v>
      </c>
      <c r="CK49" s="137">
        <v>0</v>
      </c>
      <c r="CL49" s="137">
        <v>0</v>
      </c>
      <c r="CM49" s="137">
        <v>0</v>
      </c>
      <c r="CN49" s="137">
        <v>0</v>
      </c>
      <c r="CO49" s="137">
        <v>0</v>
      </c>
      <c r="CP49" s="137">
        <v>652</v>
      </c>
      <c r="CQ49" s="137">
        <v>675</v>
      </c>
      <c r="CR49" s="137">
        <v>692</v>
      </c>
      <c r="CS49" s="137">
        <v>725</v>
      </c>
      <c r="CT49" s="137">
        <v>768</v>
      </c>
      <c r="CU49" s="137">
        <v>671</v>
      </c>
      <c r="CV49" s="137">
        <v>656</v>
      </c>
    </row>
    <row r="50" spans="1:100" x14ac:dyDescent="0.25">
      <c r="A50" s="367" t="s">
        <v>472</v>
      </c>
      <c r="B50" s="91" t="str">
        <f>参加条件計算!B50</f>
        <v>トレイダーズHD</v>
      </c>
      <c r="C50" s="341">
        <f>株価一覧!E49</f>
        <v>260</v>
      </c>
      <c r="D50" s="330">
        <f t="shared" ref="D50" ca="1" si="20">AVERAGE(OFFSET(A50,0,COUNTA(G50:XFD50)+5,1,-5))</f>
        <v>296.60000000000002</v>
      </c>
      <c r="E50" s="342">
        <f t="shared" ref="E50" ca="1" si="21">AVERAGE(OFFSET(A50,0,COUNTA(G50:XFD50)+5,1,-10))</f>
        <v>214.1</v>
      </c>
      <c r="F50" s="343">
        <f t="shared" ref="F50" ca="1" si="22">MIN(OFFSET(B50,0,COUNTA(G50:XFD50)+5,1,-10))</f>
        <v>0</v>
      </c>
      <c r="G50" s="137">
        <v>0</v>
      </c>
      <c r="H50" s="137">
        <v>0</v>
      </c>
      <c r="I50" s="137">
        <v>0</v>
      </c>
      <c r="J50" s="137">
        <v>0</v>
      </c>
      <c r="K50" s="137">
        <v>0</v>
      </c>
      <c r="L50" s="137">
        <v>0</v>
      </c>
      <c r="M50" s="137">
        <v>0</v>
      </c>
      <c r="N50" s="137">
        <v>0</v>
      </c>
      <c r="O50" s="137">
        <v>0</v>
      </c>
      <c r="P50" s="137">
        <v>0</v>
      </c>
      <c r="Q50" s="137">
        <v>0</v>
      </c>
      <c r="R50" s="137">
        <v>0</v>
      </c>
      <c r="S50" s="137">
        <v>0</v>
      </c>
      <c r="T50" s="137">
        <v>0</v>
      </c>
      <c r="U50" s="137">
        <v>0</v>
      </c>
      <c r="V50" s="137">
        <v>0</v>
      </c>
      <c r="W50" s="137">
        <v>0</v>
      </c>
      <c r="X50" s="137">
        <v>0</v>
      </c>
      <c r="Y50" s="137">
        <v>0</v>
      </c>
      <c r="Z50" s="137">
        <v>0</v>
      </c>
      <c r="AA50" s="137">
        <v>0</v>
      </c>
      <c r="AB50" s="137">
        <v>0</v>
      </c>
      <c r="AC50" s="137">
        <v>0</v>
      </c>
      <c r="AD50" s="137">
        <v>0</v>
      </c>
      <c r="AE50" s="137">
        <v>0</v>
      </c>
      <c r="AF50" s="137">
        <v>0</v>
      </c>
      <c r="AG50" s="137">
        <v>0</v>
      </c>
      <c r="AH50" s="137">
        <v>0</v>
      </c>
      <c r="AI50" s="137">
        <v>0</v>
      </c>
      <c r="AJ50" s="137">
        <v>0</v>
      </c>
      <c r="AK50" s="137">
        <v>0</v>
      </c>
      <c r="AL50" s="137">
        <v>0</v>
      </c>
      <c r="AM50" s="137">
        <v>0</v>
      </c>
      <c r="AN50" s="137">
        <v>0</v>
      </c>
      <c r="AO50" s="137">
        <v>0</v>
      </c>
      <c r="AP50" s="137">
        <v>0</v>
      </c>
      <c r="AQ50" s="137">
        <v>0</v>
      </c>
      <c r="AR50" s="137">
        <v>0</v>
      </c>
      <c r="AS50" s="137">
        <v>0</v>
      </c>
      <c r="AT50" s="137">
        <v>0</v>
      </c>
      <c r="AU50" s="137">
        <v>0</v>
      </c>
      <c r="AV50" s="137">
        <v>0</v>
      </c>
      <c r="AW50" s="137">
        <v>0</v>
      </c>
      <c r="AX50" s="137">
        <v>0</v>
      </c>
      <c r="AY50" s="137">
        <v>0</v>
      </c>
      <c r="AZ50" s="137">
        <v>0</v>
      </c>
      <c r="BA50" s="137">
        <v>0</v>
      </c>
      <c r="BB50" s="137">
        <v>0</v>
      </c>
      <c r="BC50" s="137">
        <v>0</v>
      </c>
      <c r="BD50" s="137">
        <v>0</v>
      </c>
      <c r="BE50" s="137">
        <v>0</v>
      </c>
      <c r="BF50" s="137">
        <v>0</v>
      </c>
      <c r="BG50" s="137">
        <v>0</v>
      </c>
      <c r="BH50" s="137">
        <v>0</v>
      </c>
      <c r="BI50" s="137">
        <v>0</v>
      </c>
      <c r="BJ50" s="137">
        <v>0</v>
      </c>
      <c r="BK50" s="137">
        <v>0</v>
      </c>
      <c r="BL50" s="137">
        <v>0</v>
      </c>
      <c r="BM50" s="137">
        <v>0</v>
      </c>
      <c r="BN50" s="137">
        <v>0</v>
      </c>
      <c r="BO50" s="137">
        <v>0</v>
      </c>
      <c r="BP50" s="137">
        <v>0</v>
      </c>
      <c r="BQ50" s="137">
        <v>0</v>
      </c>
      <c r="BR50" s="137">
        <v>0</v>
      </c>
      <c r="BS50" s="137">
        <v>0</v>
      </c>
      <c r="BT50" s="137">
        <v>0</v>
      </c>
      <c r="BU50" s="137">
        <v>0</v>
      </c>
      <c r="BV50" s="137">
        <v>0</v>
      </c>
      <c r="BW50" s="137">
        <v>0</v>
      </c>
      <c r="BX50" s="137">
        <v>0</v>
      </c>
      <c r="BY50" s="137">
        <v>0</v>
      </c>
      <c r="BZ50" s="137">
        <v>0</v>
      </c>
      <c r="CA50" s="137">
        <v>0</v>
      </c>
      <c r="CB50" s="137">
        <v>0</v>
      </c>
      <c r="CC50" s="137">
        <v>0</v>
      </c>
      <c r="CD50" s="137">
        <v>0</v>
      </c>
      <c r="CE50" s="137">
        <v>0</v>
      </c>
      <c r="CF50" s="137">
        <v>0</v>
      </c>
      <c r="CG50" s="137">
        <v>0</v>
      </c>
      <c r="CH50" s="137">
        <v>0</v>
      </c>
      <c r="CI50" s="137">
        <v>0</v>
      </c>
      <c r="CJ50" s="137">
        <v>0</v>
      </c>
      <c r="CK50" s="137">
        <v>0</v>
      </c>
      <c r="CL50" s="137">
        <v>0</v>
      </c>
      <c r="CM50" s="137">
        <v>0</v>
      </c>
      <c r="CN50" s="137">
        <v>0</v>
      </c>
      <c r="CO50" s="137">
        <v>0</v>
      </c>
      <c r="CP50" s="137">
        <v>328</v>
      </c>
      <c r="CQ50" s="137">
        <v>330</v>
      </c>
      <c r="CR50" s="137">
        <v>333</v>
      </c>
      <c r="CS50" s="137">
        <v>307</v>
      </c>
      <c r="CT50" s="137">
        <v>305</v>
      </c>
      <c r="CU50" s="137">
        <v>278</v>
      </c>
      <c r="CV50" s="137">
        <v>260</v>
      </c>
    </row>
    <row r="51" spans="1:100" x14ac:dyDescent="0.25">
      <c r="A51" s="367" t="str">
        <f>IPO監視一覧!H39</f>
        <v>B</v>
      </c>
      <c r="B51" s="91" t="str">
        <f>IPO監視一覧!B39</f>
        <v>ソウルドアウト</v>
      </c>
      <c r="C51" s="341">
        <f>株価一覧!E50</f>
        <v>2713</v>
      </c>
      <c r="D51" s="330">
        <f t="shared" ref="D51:D57" ca="1" si="23">AVERAGE(OFFSET(A51,0,COUNTA(G51:XFD51)+5,1,-5))</f>
        <v>1413.8</v>
      </c>
      <c r="E51" s="342">
        <f t="shared" ref="E51:E57" ca="1" si="24">AVERAGE(OFFSET(A51,0,COUNTA(G51:XFD51)+5,1,-10))</f>
        <v>706.9</v>
      </c>
      <c r="F51" s="343">
        <f t="shared" ref="F51:F57" ca="1" si="25">MIN(OFFSET(B51,0,COUNTA(G51:XFD51)+5,1,-10))</f>
        <v>0</v>
      </c>
      <c r="G51" s="137">
        <v>0</v>
      </c>
      <c r="H51" s="137">
        <v>0</v>
      </c>
      <c r="I51" s="137">
        <v>0</v>
      </c>
      <c r="J51" s="137">
        <v>0</v>
      </c>
      <c r="K51" s="137">
        <v>0</v>
      </c>
      <c r="L51" s="137">
        <v>0</v>
      </c>
      <c r="M51" s="137">
        <v>0</v>
      </c>
      <c r="N51" s="137">
        <v>0</v>
      </c>
      <c r="O51" s="137">
        <v>0</v>
      </c>
      <c r="P51" s="137">
        <v>0</v>
      </c>
      <c r="Q51" s="137">
        <v>0</v>
      </c>
      <c r="R51" s="137">
        <v>0</v>
      </c>
      <c r="S51" s="137">
        <v>0</v>
      </c>
      <c r="T51" s="137">
        <v>0</v>
      </c>
      <c r="U51" s="137">
        <v>0</v>
      </c>
      <c r="V51" s="137">
        <v>0</v>
      </c>
      <c r="W51" s="137">
        <v>0</v>
      </c>
      <c r="X51" s="137">
        <v>0</v>
      </c>
      <c r="Y51" s="137">
        <v>0</v>
      </c>
      <c r="Z51" s="137">
        <v>0</v>
      </c>
      <c r="AA51" s="137">
        <v>0</v>
      </c>
      <c r="AB51" s="137">
        <v>0</v>
      </c>
      <c r="AC51" s="137">
        <v>0</v>
      </c>
      <c r="AD51" s="137">
        <v>0</v>
      </c>
      <c r="AE51" s="137">
        <v>0</v>
      </c>
      <c r="AF51" s="137">
        <v>0</v>
      </c>
      <c r="AG51" s="137">
        <v>0</v>
      </c>
      <c r="AH51" s="137">
        <v>0</v>
      </c>
      <c r="AI51" s="137">
        <v>0</v>
      </c>
      <c r="AJ51" s="137">
        <v>0</v>
      </c>
      <c r="AK51" s="137">
        <v>0</v>
      </c>
      <c r="AL51" s="137">
        <v>0</v>
      </c>
      <c r="AM51" s="137">
        <v>0</v>
      </c>
      <c r="AN51" s="137">
        <v>0</v>
      </c>
      <c r="AO51" s="137">
        <v>0</v>
      </c>
      <c r="AP51" s="137">
        <v>0</v>
      </c>
      <c r="AQ51" s="137">
        <v>0</v>
      </c>
      <c r="AR51" s="137">
        <v>0</v>
      </c>
      <c r="AS51" s="137">
        <v>0</v>
      </c>
      <c r="AT51" s="137">
        <v>0</v>
      </c>
      <c r="AU51" s="137">
        <v>0</v>
      </c>
      <c r="AV51" s="137">
        <v>0</v>
      </c>
      <c r="AW51" s="137">
        <v>0</v>
      </c>
      <c r="AX51" s="137">
        <v>0</v>
      </c>
      <c r="AY51" s="137">
        <v>0</v>
      </c>
      <c r="AZ51" s="137">
        <v>0</v>
      </c>
      <c r="BA51" s="137">
        <v>0</v>
      </c>
      <c r="BB51" s="137">
        <v>0</v>
      </c>
      <c r="BC51" s="137">
        <v>0</v>
      </c>
      <c r="BD51" s="137">
        <v>0</v>
      </c>
      <c r="BE51" s="137">
        <v>0</v>
      </c>
      <c r="BF51" s="137">
        <v>0</v>
      </c>
      <c r="BG51" s="137">
        <v>0</v>
      </c>
      <c r="BH51" s="137">
        <v>0</v>
      </c>
      <c r="BI51" s="137">
        <v>0</v>
      </c>
      <c r="BJ51" s="137">
        <v>0</v>
      </c>
      <c r="BK51" s="137">
        <v>0</v>
      </c>
      <c r="BL51" s="137">
        <v>0</v>
      </c>
      <c r="BM51" s="137">
        <v>0</v>
      </c>
      <c r="BN51" s="137">
        <v>0</v>
      </c>
      <c r="BO51" s="137">
        <v>0</v>
      </c>
      <c r="BP51" s="137">
        <v>0</v>
      </c>
      <c r="BQ51" s="137">
        <v>0</v>
      </c>
      <c r="BR51" s="137">
        <v>0</v>
      </c>
      <c r="BS51" s="137">
        <v>0</v>
      </c>
      <c r="BT51" s="137">
        <v>0</v>
      </c>
      <c r="BU51" s="137">
        <v>0</v>
      </c>
      <c r="BV51" s="137">
        <v>0</v>
      </c>
      <c r="BW51" s="137">
        <v>0</v>
      </c>
      <c r="BX51" s="137">
        <v>0</v>
      </c>
      <c r="BY51" s="137">
        <v>0</v>
      </c>
      <c r="BZ51" s="137">
        <v>0</v>
      </c>
      <c r="CA51" s="137">
        <v>0</v>
      </c>
      <c r="CB51" s="137">
        <v>0</v>
      </c>
      <c r="CC51" s="137">
        <v>0</v>
      </c>
      <c r="CD51" s="137">
        <v>0</v>
      </c>
      <c r="CE51" s="137">
        <v>0</v>
      </c>
      <c r="CF51" s="137">
        <v>0</v>
      </c>
      <c r="CG51" s="137">
        <v>0</v>
      </c>
      <c r="CH51" s="137">
        <v>0</v>
      </c>
      <c r="CI51" s="137">
        <v>0</v>
      </c>
      <c r="CJ51" s="137">
        <v>0</v>
      </c>
      <c r="CK51" s="137">
        <v>0</v>
      </c>
      <c r="CL51" s="137">
        <v>0</v>
      </c>
      <c r="CM51" s="137">
        <v>0</v>
      </c>
      <c r="CN51" s="137">
        <v>0</v>
      </c>
      <c r="CO51" s="137">
        <v>0</v>
      </c>
      <c r="CP51" s="137">
        <v>0</v>
      </c>
      <c r="CQ51" s="137">
        <v>0</v>
      </c>
      <c r="CR51" s="137">
        <v>0</v>
      </c>
      <c r="CS51" s="137">
        <v>0</v>
      </c>
      <c r="CT51" s="137">
        <v>2143</v>
      </c>
      <c r="CU51" s="137">
        <v>2213</v>
      </c>
      <c r="CV51" s="137">
        <v>2713</v>
      </c>
    </row>
    <row r="52" spans="1:100" x14ac:dyDescent="0.25">
      <c r="A52" s="367" t="str">
        <f>IPO監視一覧!H40</f>
        <v>B</v>
      </c>
      <c r="B52" s="114" t="str">
        <f>IPO監視一覧!B40</f>
        <v>ユニフォームネクスト</v>
      </c>
      <c r="C52" s="341">
        <f>株価一覧!E51</f>
        <v>0</v>
      </c>
      <c r="D52" s="330">
        <f t="shared" ca="1" si="23"/>
        <v>0</v>
      </c>
      <c r="E52" s="342">
        <f t="shared" ca="1" si="24"/>
        <v>0</v>
      </c>
      <c r="F52" s="343">
        <f t="shared" ca="1" si="25"/>
        <v>0</v>
      </c>
      <c r="G52" s="137">
        <v>0</v>
      </c>
      <c r="H52" s="137">
        <v>0</v>
      </c>
      <c r="I52" s="137">
        <v>0</v>
      </c>
      <c r="J52" s="137">
        <v>0</v>
      </c>
      <c r="K52" s="137">
        <v>0</v>
      </c>
      <c r="L52" s="137">
        <v>0</v>
      </c>
      <c r="M52" s="137">
        <v>0</v>
      </c>
      <c r="N52" s="137">
        <v>0</v>
      </c>
      <c r="O52" s="137">
        <v>0</v>
      </c>
      <c r="P52" s="137">
        <v>0</v>
      </c>
      <c r="Q52" s="137">
        <v>0</v>
      </c>
      <c r="R52" s="137">
        <v>0</v>
      </c>
      <c r="S52" s="137">
        <v>0</v>
      </c>
      <c r="T52" s="137">
        <v>0</v>
      </c>
      <c r="U52" s="137">
        <v>0</v>
      </c>
      <c r="V52" s="137">
        <v>0</v>
      </c>
      <c r="W52" s="137">
        <v>0</v>
      </c>
      <c r="X52" s="137">
        <v>0</v>
      </c>
      <c r="Y52" s="137">
        <v>0</v>
      </c>
      <c r="Z52" s="137">
        <v>0</v>
      </c>
      <c r="AA52" s="137">
        <v>0</v>
      </c>
      <c r="AB52" s="137">
        <v>0</v>
      </c>
      <c r="AC52" s="137">
        <v>0</v>
      </c>
      <c r="AD52" s="137">
        <v>0</v>
      </c>
      <c r="AE52" s="137">
        <v>0</v>
      </c>
      <c r="AF52" s="137">
        <v>0</v>
      </c>
      <c r="AG52" s="137">
        <v>0</v>
      </c>
      <c r="AH52" s="137">
        <v>0</v>
      </c>
      <c r="AI52" s="137">
        <v>0</v>
      </c>
      <c r="AJ52" s="137">
        <v>0</v>
      </c>
      <c r="AK52" s="137">
        <v>0</v>
      </c>
      <c r="AL52" s="137">
        <v>0</v>
      </c>
      <c r="AM52" s="137">
        <v>0</v>
      </c>
      <c r="AN52" s="137">
        <v>0</v>
      </c>
      <c r="AO52" s="137">
        <v>0</v>
      </c>
      <c r="AP52" s="137">
        <v>0</v>
      </c>
      <c r="AQ52" s="137">
        <v>0</v>
      </c>
      <c r="AR52" s="137">
        <v>0</v>
      </c>
      <c r="AS52" s="137">
        <v>0</v>
      </c>
      <c r="AT52" s="137">
        <v>0</v>
      </c>
      <c r="AU52" s="137">
        <v>0</v>
      </c>
      <c r="AV52" s="137">
        <v>0</v>
      </c>
      <c r="AW52" s="137">
        <v>0</v>
      </c>
      <c r="AX52" s="137">
        <v>0</v>
      </c>
      <c r="AY52" s="137">
        <v>0</v>
      </c>
      <c r="AZ52" s="137">
        <v>0</v>
      </c>
      <c r="BA52" s="137">
        <v>0</v>
      </c>
      <c r="BB52" s="137">
        <v>0</v>
      </c>
      <c r="BC52" s="137">
        <v>0</v>
      </c>
      <c r="BD52" s="137">
        <v>0</v>
      </c>
      <c r="BE52" s="137">
        <v>0</v>
      </c>
      <c r="BF52" s="137">
        <v>0</v>
      </c>
      <c r="BG52" s="137">
        <v>0</v>
      </c>
      <c r="BH52" s="137">
        <v>0</v>
      </c>
      <c r="BI52" s="137">
        <v>0</v>
      </c>
      <c r="BJ52" s="137">
        <v>0</v>
      </c>
      <c r="BK52" s="137">
        <v>0</v>
      </c>
      <c r="BL52" s="137">
        <v>0</v>
      </c>
      <c r="BM52" s="137">
        <v>0</v>
      </c>
      <c r="BN52" s="137">
        <v>0</v>
      </c>
      <c r="BO52" s="137">
        <v>0</v>
      </c>
      <c r="BP52" s="137">
        <v>0</v>
      </c>
      <c r="BQ52" s="137">
        <v>0</v>
      </c>
      <c r="BR52" s="137">
        <v>0</v>
      </c>
      <c r="BS52" s="137">
        <v>0</v>
      </c>
      <c r="BT52" s="137">
        <v>0</v>
      </c>
      <c r="BU52" s="137">
        <v>0</v>
      </c>
      <c r="BV52" s="137">
        <v>0</v>
      </c>
      <c r="BW52" s="137">
        <v>0</v>
      </c>
      <c r="BX52" s="137">
        <v>0</v>
      </c>
      <c r="BY52" s="137">
        <v>0</v>
      </c>
      <c r="BZ52" s="137">
        <v>0</v>
      </c>
      <c r="CA52" s="137">
        <v>0</v>
      </c>
      <c r="CB52" s="137">
        <v>0</v>
      </c>
      <c r="CC52" s="137">
        <v>0</v>
      </c>
      <c r="CD52" s="137">
        <v>0</v>
      </c>
      <c r="CE52" s="137">
        <v>0</v>
      </c>
      <c r="CF52" s="137">
        <v>0</v>
      </c>
      <c r="CG52" s="137">
        <v>0</v>
      </c>
      <c r="CH52" s="137">
        <v>0</v>
      </c>
      <c r="CI52" s="137">
        <v>0</v>
      </c>
      <c r="CJ52" s="137">
        <v>0</v>
      </c>
      <c r="CK52" s="137">
        <v>0</v>
      </c>
      <c r="CL52" s="137">
        <v>0</v>
      </c>
      <c r="CM52" s="137">
        <v>0</v>
      </c>
      <c r="CN52" s="137">
        <v>0</v>
      </c>
      <c r="CO52" s="137">
        <v>0</v>
      </c>
      <c r="CP52" s="137">
        <v>0</v>
      </c>
      <c r="CQ52" s="137">
        <v>0</v>
      </c>
      <c r="CR52" s="137">
        <v>0</v>
      </c>
      <c r="CS52" s="137">
        <v>0</v>
      </c>
      <c r="CT52" s="137">
        <v>0</v>
      </c>
      <c r="CU52" s="137">
        <v>0</v>
      </c>
      <c r="CV52" s="137">
        <v>0</v>
      </c>
    </row>
    <row r="53" spans="1:100" x14ac:dyDescent="0.25">
      <c r="A53" s="367" t="str">
        <f>IPO監視一覧!H41</f>
        <v>D</v>
      </c>
      <c r="B53" s="114" t="str">
        <f>IPO監視一覧!B41</f>
        <v>ジェイ・エス・ビー</v>
      </c>
      <c r="C53" s="341">
        <f>株価一覧!E52</f>
        <v>0</v>
      </c>
      <c r="D53" s="330">
        <f t="shared" ca="1" si="23"/>
        <v>0</v>
      </c>
      <c r="E53" s="342">
        <f t="shared" ca="1" si="24"/>
        <v>0</v>
      </c>
      <c r="F53" s="343">
        <f t="shared" ca="1" si="25"/>
        <v>0</v>
      </c>
      <c r="G53" s="137">
        <v>0</v>
      </c>
      <c r="H53" s="137">
        <v>0</v>
      </c>
      <c r="I53" s="137">
        <v>0</v>
      </c>
      <c r="J53" s="137">
        <v>0</v>
      </c>
      <c r="K53" s="137">
        <v>0</v>
      </c>
      <c r="L53" s="137">
        <v>0</v>
      </c>
      <c r="M53" s="137">
        <v>0</v>
      </c>
      <c r="N53" s="137">
        <v>0</v>
      </c>
      <c r="O53" s="137">
        <v>0</v>
      </c>
      <c r="P53" s="137">
        <v>0</v>
      </c>
      <c r="Q53" s="137">
        <v>0</v>
      </c>
      <c r="R53" s="137">
        <v>0</v>
      </c>
      <c r="S53" s="137">
        <v>0</v>
      </c>
      <c r="T53" s="137">
        <v>0</v>
      </c>
      <c r="U53" s="137">
        <v>0</v>
      </c>
      <c r="V53" s="137">
        <v>0</v>
      </c>
      <c r="W53" s="137">
        <v>0</v>
      </c>
      <c r="X53" s="137">
        <v>0</v>
      </c>
      <c r="Y53" s="137">
        <v>0</v>
      </c>
      <c r="Z53" s="137">
        <v>0</v>
      </c>
      <c r="AA53" s="137">
        <v>0</v>
      </c>
      <c r="AB53" s="137">
        <v>0</v>
      </c>
      <c r="AC53" s="137">
        <v>0</v>
      </c>
      <c r="AD53" s="137">
        <v>0</v>
      </c>
      <c r="AE53" s="137">
        <v>0</v>
      </c>
      <c r="AF53" s="137">
        <v>0</v>
      </c>
      <c r="AG53" s="137">
        <v>0</v>
      </c>
      <c r="AH53" s="137">
        <v>0</v>
      </c>
      <c r="AI53" s="137">
        <v>0</v>
      </c>
      <c r="AJ53" s="137">
        <v>0</v>
      </c>
      <c r="AK53" s="137">
        <v>0</v>
      </c>
      <c r="AL53" s="137">
        <v>0</v>
      </c>
      <c r="AM53" s="137">
        <v>0</v>
      </c>
      <c r="AN53" s="137">
        <v>0</v>
      </c>
      <c r="AO53" s="137">
        <v>0</v>
      </c>
      <c r="AP53" s="137">
        <v>0</v>
      </c>
      <c r="AQ53" s="137">
        <v>0</v>
      </c>
      <c r="AR53" s="137">
        <v>0</v>
      </c>
      <c r="AS53" s="137">
        <v>0</v>
      </c>
      <c r="AT53" s="137">
        <v>0</v>
      </c>
      <c r="AU53" s="137">
        <v>0</v>
      </c>
      <c r="AV53" s="137">
        <v>0</v>
      </c>
      <c r="AW53" s="137">
        <v>0</v>
      </c>
      <c r="AX53" s="137">
        <v>0</v>
      </c>
      <c r="AY53" s="137">
        <v>0</v>
      </c>
      <c r="AZ53" s="137">
        <v>0</v>
      </c>
      <c r="BA53" s="137">
        <v>0</v>
      </c>
      <c r="BB53" s="137">
        <v>0</v>
      </c>
      <c r="BC53" s="137">
        <v>0</v>
      </c>
      <c r="BD53" s="137">
        <v>0</v>
      </c>
      <c r="BE53" s="137">
        <v>0</v>
      </c>
      <c r="BF53" s="137">
        <v>0</v>
      </c>
      <c r="BG53" s="137">
        <v>0</v>
      </c>
      <c r="BH53" s="137">
        <v>0</v>
      </c>
      <c r="BI53" s="137">
        <v>0</v>
      </c>
      <c r="BJ53" s="137">
        <v>0</v>
      </c>
      <c r="BK53" s="137">
        <v>0</v>
      </c>
      <c r="BL53" s="137">
        <v>0</v>
      </c>
      <c r="BM53" s="137">
        <v>0</v>
      </c>
      <c r="BN53" s="137">
        <v>0</v>
      </c>
      <c r="BO53" s="137">
        <v>0</v>
      </c>
      <c r="BP53" s="137">
        <v>0</v>
      </c>
      <c r="BQ53" s="137">
        <v>0</v>
      </c>
      <c r="BR53" s="137">
        <v>0</v>
      </c>
      <c r="BS53" s="137">
        <v>0</v>
      </c>
      <c r="BT53" s="137">
        <v>0</v>
      </c>
      <c r="BU53" s="137">
        <v>0</v>
      </c>
      <c r="BV53" s="137">
        <v>0</v>
      </c>
      <c r="BW53" s="137">
        <v>0</v>
      </c>
      <c r="BX53" s="137">
        <v>0</v>
      </c>
      <c r="BY53" s="137">
        <v>0</v>
      </c>
      <c r="BZ53" s="137">
        <v>0</v>
      </c>
      <c r="CA53" s="137">
        <v>0</v>
      </c>
      <c r="CB53" s="137">
        <v>0</v>
      </c>
      <c r="CC53" s="137">
        <v>0</v>
      </c>
      <c r="CD53" s="137">
        <v>0</v>
      </c>
      <c r="CE53" s="137">
        <v>0</v>
      </c>
      <c r="CF53" s="137">
        <v>0</v>
      </c>
      <c r="CG53" s="137">
        <v>0</v>
      </c>
      <c r="CH53" s="137">
        <v>0</v>
      </c>
      <c r="CI53" s="137">
        <v>0</v>
      </c>
      <c r="CJ53" s="137">
        <v>0</v>
      </c>
      <c r="CK53" s="137">
        <v>0</v>
      </c>
      <c r="CL53" s="137">
        <v>0</v>
      </c>
      <c r="CM53" s="137">
        <v>0</v>
      </c>
      <c r="CN53" s="137">
        <v>0</v>
      </c>
      <c r="CO53" s="137">
        <v>0</v>
      </c>
      <c r="CP53" s="137">
        <v>0</v>
      </c>
      <c r="CQ53" s="137">
        <v>0</v>
      </c>
      <c r="CR53" s="137">
        <v>0</v>
      </c>
      <c r="CS53" s="137">
        <v>0</v>
      </c>
      <c r="CT53" s="137">
        <v>0</v>
      </c>
      <c r="CU53" s="137">
        <v>0</v>
      </c>
      <c r="CV53" s="137">
        <v>0</v>
      </c>
    </row>
    <row r="54" spans="1:100" x14ac:dyDescent="0.25">
      <c r="A54" s="367" t="str">
        <f>IPO監視一覧!H42</f>
        <v>C</v>
      </c>
      <c r="B54" s="114" t="str">
        <f>IPO監視一覧!B42</f>
        <v>クロスフォー</v>
      </c>
      <c r="C54" s="341">
        <f>株価一覧!E53</f>
        <v>0</v>
      </c>
      <c r="D54" s="330">
        <f t="shared" ca="1" si="23"/>
        <v>0</v>
      </c>
      <c r="E54" s="342">
        <f t="shared" ca="1" si="24"/>
        <v>0</v>
      </c>
      <c r="F54" s="343">
        <f t="shared" ca="1" si="25"/>
        <v>0</v>
      </c>
      <c r="G54" s="137">
        <v>0</v>
      </c>
      <c r="H54" s="137">
        <v>0</v>
      </c>
      <c r="I54" s="137">
        <v>0</v>
      </c>
      <c r="J54" s="137">
        <v>0</v>
      </c>
      <c r="K54" s="137">
        <v>0</v>
      </c>
      <c r="L54" s="137">
        <v>0</v>
      </c>
      <c r="M54" s="137">
        <v>0</v>
      </c>
      <c r="N54" s="137">
        <v>0</v>
      </c>
      <c r="O54" s="137">
        <v>0</v>
      </c>
      <c r="P54" s="137">
        <v>0</v>
      </c>
      <c r="Q54" s="137">
        <v>0</v>
      </c>
      <c r="R54" s="137">
        <v>0</v>
      </c>
      <c r="S54" s="137">
        <v>0</v>
      </c>
      <c r="T54" s="137">
        <v>0</v>
      </c>
      <c r="U54" s="137">
        <v>0</v>
      </c>
      <c r="V54" s="137">
        <v>0</v>
      </c>
      <c r="W54" s="137">
        <v>0</v>
      </c>
      <c r="X54" s="137">
        <v>0</v>
      </c>
      <c r="Y54" s="137">
        <v>0</v>
      </c>
      <c r="Z54" s="137">
        <v>0</v>
      </c>
      <c r="AA54" s="137">
        <v>0</v>
      </c>
      <c r="AB54" s="137">
        <v>0</v>
      </c>
      <c r="AC54" s="137">
        <v>0</v>
      </c>
      <c r="AD54" s="137">
        <v>0</v>
      </c>
      <c r="AE54" s="137">
        <v>0</v>
      </c>
      <c r="AF54" s="137">
        <v>0</v>
      </c>
      <c r="AG54" s="137">
        <v>0</v>
      </c>
      <c r="AH54" s="137">
        <v>0</v>
      </c>
      <c r="AI54" s="137">
        <v>0</v>
      </c>
      <c r="AJ54" s="137">
        <v>0</v>
      </c>
      <c r="AK54" s="137">
        <v>0</v>
      </c>
      <c r="AL54" s="137">
        <v>0</v>
      </c>
      <c r="AM54" s="137">
        <v>0</v>
      </c>
      <c r="AN54" s="137">
        <v>0</v>
      </c>
      <c r="AO54" s="137">
        <v>0</v>
      </c>
      <c r="AP54" s="137">
        <v>0</v>
      </c>
      <c r="AQ54" s="137">
        <v>0</v>
      </c>
      <c r="AR54" s="137">
        <v>0</v>
      </c>
      <c r="AS54" s="137">
        <v>0</v>
      </c>
      <c r="AT54" s="137">
        <v>0</v>
      </c>
      <c r="AU54" s="137">
        <v>0</v>
      </c>
      <c r="AV54" s="137">
        <v>0</v>
      </c>
      <c r="AW54" s="137">
        <v>0</v>
      </c>
      <c r="AX54" s="137">
        <v>0</v>
      </c>
      <c r="AY54" s="137">
        <v>0</v>
      </c>
      <c r="AZ54" s="137">
        <v>0</v>
      </c>
      <c r="BA54" s="137">
        <v>0</v>
      </c>
      <c r="BB54" s="137">
        <v>0</v>
      </c>
      <c r="BC54" s="137">
        <v>0</v>
      </c>
      <c r="BD54" s="137">
        <v>0</v>
      </c>
      <c r="BE54" s="137">
        <v>0</v>
      </c>
      <c r="BF54" s="137">
        <v>0</v>
      </c>
      <c r="BG54" s="137">
        <v>0</v>
      </c>
      <c r="BH54" s="137">
        <v>0</v>
      </c>
      <c r="BI54" s="137">
        <v>0</v>
      </c>
      <c r="BJ54" s="137">
        <v>0</v>
      </c>
      <c r="BK54" s="137">
        <v>0</v>
      </c>
      <c r="BL54" s="137">
        <v>0</v>
      </c>
      <c r="BM54" s="137">
        <v>0</v>
      </c>
      <c r="BN54" s="137">
        <v>0</v>
      </c>
      <c r="BO54" s="137">
        <v>0</v>
      </c>
      <c r="BP54" s="137">
        <v>0</v>
      </c>
      <c r="BQ54" s="137">
        <v>0</v>
      </c>
      <c r="BR54" s="137">
        <v>0</v>
      </c>
      <c r="BS54" s="137">
        <v>0</v>
      </c>
      <c r="BT54" s="137">
        <v>0</v>
      </c>
      <c r="BU54" s="137">
        <v>0</v>
      </c>
      <c r="BV54" s="137">
        <v>0</v>
      </c>
      <c r="BW54" s="137">
        <v>0</v>
      </c>
      <c r="BX54" s="137">
        <v>0</v>
      </c>
      <c r="BY54" s="137">
        <v>0</v>
      </c>
      <c r="BZ54" s="137">
        <v>0</v>
      </c>
      <c r="CA54" s="137">
        <v>0</v>
      </c>
      <c r="CB54" s="137">
        <v>0</v>
      </c>
      <c r="CC54" s="137">
        <v>0</v>
      </c>
      <c r="CD54" s="137">
        <v>0</v>
      </c>
      <c r="CE54" s="137">
        <v>0</v>
      </c>
      <c r="CF54" s="137">
        <v>0</v>
      </c>
      <c r="CG54" s="137">
        <v>0</v>
      </c>
      <c r="CH54" s="137">
        <v>0</v>
      </c>
      <c r="CI54" s="137">
        <v>0</v>
      </c>
      <c r="CJ54" s="137">
        <v>0</v>
      </c>
      <c r="CK54" s="137">
        <v>0</v>
      </c>
      <c r="CL54" s="137">
        <v>0</v>
      </c>
      <c r="CM54" s="137">
        <v>0</v>
      </c>
      <c r="CN54" s="137">
        <v>0</v>
      </c>
      <c r="CO54" s="137">
        <v>0</v>
      </c>
      <c r="CP54" s="137">
        <v>0</v>
      </c>
      <c r="CQ54" s="137">
        <v>0</v>
      </c>
      <c r="CR54" s="137">
        <v>0</v>
      </c>
      <c r="CS54" s="137">
        <v>0</v>
      </c>
      <c r="CT54" s="137">
        <v>0</v>
      </c>
      <c r="CU54" s="137">
        <v>0</v>
      </c>
      <c r="CV54" s="137">
        <v>0</v>
      </c>
    </row>
    <row r="55" spans="1:100" x14ac:dyDescent="0.25">
      <c r="A55" s="367" t="str">
        <f>IPO監視一覧!H43</f>
        <v>A</v>
      </c>
      <c r="B55" s="114" t="str">
        <f>IPO監視一覧!B43</f>
        <v>シェアリングテクノロジー</v>
      </c>
      <c r="C55" s="341">
        <f>株価一覧!E54</f>
        <v>0</v>
      </c>
      <c r="D55" s="330">
        <f t="shared" ca="1" si="23"/>
        <v>0</v>
      </c>
      <c r="E55" s="342">
        <f t="shared" ca="1" si="24"/>
        <v>0</v>
      </c>
      <c r="F55" s="343">
        <f t="shared" ca="1" si="25"/>
        <v>0</v>
      </c>
      <c r="G55" s="137">
        <v>0</v>
      </c>
      <c r="H55" s="137">
        <v>0</v>
      </c>
      <c r="I55" s="137">
        <v>0</v>
      </c>
      <c r="J55" s="137">
        <v>0</v>
      </c>
      <c r="K55" s="137">
        <v>0</v>
      </c>
      <c r="L55" s="137">
        <v>0</v>
      </c>
      <c r="M55" s="137">
        <v>0</v>
      </c>
      <c r="N55" s="137">
        <v>0</v>
      </c>
      <c r="O55" s="137">
        <v>0</v>
      </c>
      <c r="P55" s="137">
        <v>0</v>
      </c>
      <c r="Q55" s="137">
        <v>0</v>
      </c>
      <c r="R55" s="137">
        <v>0</v>
      </c>
      <c r="S55" s="137">
        <v>0</v>
      </c>
      <c r="T55" s="137">
        <v>0</v>
      </c>
      <c r="U55" s="137">
        <v>0</v>
      </c>
      <c r="V55" s="137">
        <v>0</v>
      </c>
      <c r="W55" s="137">
        <v>0</v>
      </c>
      <c r="X55" s="137">
        <v>0</v>
      </c>
      <c r="Y55" s="137">
        <v>0</v>
      </c>
      <c r="Z55" s="137">
        <v>0</v>
      </c>
      <c r="AA55" s="137">
        <v>0</v>
      </c>
      <c r="AB55" s="137">
        <v>0</v>
      </c>
      <c r="AC55" s="137">
        <v>0</v>
      </c>
      <c r="AD55" s="137">
        <v>0</v>
      </c>
      <c r="AE55" s="137">
        <v>0</v>
      </c>
      <c r="AF55" s="137">
        <v>0</v>
      </c>
      <c r="AG55" s="137">
        <v>0</v>
      </c>
      <c r="AH55" s="137">
        <v>0</v>
      </c>
      <c r="AI55" s="137">
        <v>0</v>
      </c>
      <c r="AJ55" s="137">
        <v>0</v>
      </c>
      <c r="AK55" s="137">
        <v>0</v>
      </c>
      <c r="AL55" s="137">
        <v>0</v>
      </c>
      <c r="AM55" s="137">
        <v>0</v>
      </c>
      <c r="AN55" s="137">
        <v>0</v>
      </c>
      <c r="AO55" s="137">
        <v>0</v>
      </c>
      <c r="AP55" s="137">
        <v>0</v>
      </c>
      <c r="AQ55" s="137">
        <v>0</v>
      </c>
      <c r="AR55" s="137">
        <v>0</v>
      </c>
      <c r="AS55" s="137">
        <v>0</v>
      </c>
      <c r="AT55" s="137">
        <v>0</v>
      </c>
      <c r="AU55" s="137">
        <v>0</v>
      </c>
      <c r="AV55" s="137">
        <v>0</v>
      </c>
      <c r="AW55" s="137">
        <v>0</v>
      </c>
      <c r="AX55" s="137">
        <v>0</v>
      </c>
      <c r="AY55" s="137">
        <v>0</v>
      </c>
      <c r="AZ55" s="137">
        <v>0</v>
      </c>
      <c r="BA55" s="137">
        <v>0</v>
      </c>
      <c r="BB55" s="137">
        <v>0</v>
      </c>
      <c r="BC55" s="137">
        <v>0</v>
      </c>
      <c r="BD55" s="137">
        <v>0</v>
      </c>
      <c r="BE55" s="137">
        <v>0</v>
      </c>
      <c r="BF55" s="137">
        <v>0</v>
      </c>
      <c r="BG55" s="137">
        <v>0</v>
      </c>
      <c r="BH55" s="137">
        <v>0</v>
      </c>
      <c r="BI55" s="137">
        <v>0</v>
      </c>
      <c r="BJ55" s="137">
        <v>0</v>
      </c>
      <c r="BK55" s="137">
        <v>0</v>
      </c>
      <c r="BL55" s="137">
        <v>0</v>
      </c>
      <c r="BM55" s="137">
        <v>0</v>
      </c>
      <c r="BN55" s="137">
        <v>0</v>
      </c>
      <c r="BO55" s="137">
        <v>0</v>
      </c>
      <c r="BP55" s="137">
        <v>0</v>
      </c>
      <c r="BQ55" s="137">
        <v>0</v>
      </c>
      <c r="BR55" s="137">
        <v>0</v>
      </c>
      <c r="BS55" s="137">
        <v>0</v>
      </c>
      <c r="BT55" s="137">
        <v>0</v>
      </c>
      <c r="BU55" s="137">
        <v>0</v>
      </c>
      <c r="BV55" s="137">
        <v>0</v>
      </c>
      <c r="BW55" s="137">
        <v>0</v>
      </c>
      <c r="BX55" s="137">
        <v>0</v>
      </c>
      <c r="BY55" s="137">
        <v>0</v>
      </c>
      <c r="BZ55" s="137">
        <v>0</v>
      </c>
      <c r="CA55" s="137">
        <v>0</v>
      </c>
      <c r="CB55" s="137">
        <v>0</v>
      </c>
      <c r="CC55" s="137">
        <v>0</v>
      </c>
      <c r="CD55" s="137">
        <v>0</v>
      </c>
      <c r="CE55" s="137">
        <v>0</v>
      </c>
      <c r="CF55" s="137">
        <v>0</v>
      </c>
      <c r="CG55" s="137">
        <v>0</v>
      </c>
      <c r="CH55" s="137">
        <v>0</v>
      </c>
      <c r="CI55" s="137">
        <v>0</v>
      </c>
      <c r="CJ55" s="137">
        <v>0</v>
      </c>
      <c r="CK55" s="137">
        <v>0</v>
      </c>
      <c r="CL55" s="137">
        <v>0</v>
      </c>
      <c r="CM55" s="137">
        <v>0</v>
      </c>
      <c r="CN55" s="137">
        <v>0</v>
      </c>
      <c r="CO55" s="137">
        <v>0</v>
      </c>
      <c r="CP55" s="137">
        <v>0</v>
      </c>
      <c r="CQ55" s="137">
        <v>0</v>
      </c>
      <c r="CR55" s="137">
        <v>0</v>
      </c>
      <c r="CS55" s="137">
        <v>0</v>
      </c>
      <c r="CT55" s="137">
        <v>0</v>
      </c>
      <c r="CU55" s="137">
        <v>0</v>
      </c>
      <c r="CV55" s="137">
        <v>0</v>
      </c>
    </row>
    <row r="56" spans="1:100" x14ac:dyDescent="0.25">
      <c r="A56" s="367" t="str">
        <f>IPO監視一覧!H44</f>
        <v>A</v>
      </c>
      <c r="B56" s="114" t="str">
        <f>IPO監視一覧!B44</f>
        <v>トランザス</v>
      </c>
      <c r="C56" s="341">
        <f>株価一覧!E55</f>
        <v>0</v>
      </c>
      <c r="D56" s="330">
        <f t="shared" ca="1" si="23"/>
        <v>0</v>
      </c>
      <c r="E56" s="342">
        <f t="shared" ca="1" si="24"/>
        <v>0</v>
      </c>
      <c r="F56" s="343">
        <f t="shared" ca="1" si="25"/>
        <v>0</v>
      </c>
      <c r="G56" s="137">
        <v>0</v>
      </c>
      <c r="H56" s="137">
        <v>0</v>
      </c>
      <c r="I56" s="137">
        <v>0</v>
      </c>
      <c r="J56" s="137">
        <v>0</v>
      </c>
      <c r="K56" s="137">
        <v>0</v>
      </c>
      <c r="L56" s="137">
        <v>0</v>
      </c>
      <c r="M56" s="137">
        <v>0</v>
      </c>
      <c r="N56" s="137">
        <v>0</v>
      </c>
      <c r="O56" s="137">
        <v>0</v>
      </c>
      <c r="P56" s="137">
        <v>0</v>
      </c>
      <c r="Q56" s="137">
        <v>0</v>
      </c>
      <c r="R56" s="137">
        <v>0</v>
      </c>
      <c r="S56" s="137">
        <v>0</v>
      </c>
      <c r="T56" s="137">
        <v>0</v>
      </c>
      <c r="U56" s="137">
        <v>0</v>
      </c>
      <c r="V56" s="137">
        <v>0</v>
      </c>
      <c r="W56" s="137">
        <v>0</v>
      </c>
      <c r="X56" s="137">
        <v>0</v>
      </c>
      <c r="Y56" s="137">
        <v>0</v>
      </c>
      <c r="Z56" s="137">
        <v>0</v>
      </c>
      <c r="AA56" s="137">
        <v>0</v>
      </c>
      <c r="AB56" s="137">
        <v>0</v>
      </c>
      <c r="AC56" s="137">
        <v>0</v>
      </c>
      <c r="AD56" s="137">
        <v>0</v>
      </c>
      <c r="AE56" s="137">
        <v>0</v>
      </c>
      <c r="AF56" s="137">
        <v>0</v>
      </c>
      <c r="AG56" s="137">
        <v>0</v>
      </c>
      <c r="AH56" s="137">
        <v>0</v>
      </c>
      <c r="AI56" s="137">
        <v>0</v>
      </c>
      <c r="AJ56" s="137">
        <v>0</v>
      </c>
      <c r="AK56" s="137">
        <v>0</v>
      </c>
      <c r="AL56" s="137">
        <v>0</v>
      </c>
      <c r="AM56" s="137">
        <v>0</v>
      </c>
      <c r="AN56" s="137">
        <v>0</v>
      </c>
      <c r="AO56" s="137">
        <v>0</v>
      </c>
      <c r="AP56" s="137">
        <v>0</v>
      </c>
      <c r="AQ56" s="137">
        <v>0</v>
      </c>
      <c r="AR56" s="137">
        <v>0</v>
      </c>
      <c r="AS56" s="137">
        <v>0</v>
      </c>
      <c r="AT56" s="137">
        <v>0</v>
      </c>
      <c r="AU56" s="137">
        <v>0</v>
      </c>
      <c r="AV56" s="137">
        <v>0</v>
      </c>
      <c r="AW56" s="137">
        <v>0</v>
      </c>
      <c r="AX56" s="137">
        <v>0</v>
      </c>
      <c r="AY56" s="137">
        <v>0</v>
      </c>
      <c r="AZ56" s="137">
        <v>0</v>
      </c>
      <c r="BA56" s="137">
        <v>0</v>
      </c>
      <c r="BB56" s="137">
        <v>0</v>
      </c>
      <c r="BC56" s="137">
        <v>0</v>
      </c>
      <c r="BD56" s="137">
        <v>0</v>
      </c>
      <c r="BE56" s="137">
        <v>0</v>
      </c>
      <c r="BF56" s="137">
        <v>0</v>
      </c>
      <c r="BG56" s="137">
        <v>0</v>
      </c>
      <c r="BH56" s="137">
        <v>0</v>
      </c>
      <c r="BI56" s="137">
        <v>0</v>
      </c>
      <c r="BJ56" s="137">
        <v>0</v>
      </c>
      <c r="BK56" s="137">
        <v>0</v>
      </c>
      <c r="BL56" s="137">
        <v>0</v>
      </c>
      <c r="BM56" s="137">
        <v>0</v>
      </c>
      <c r="BN56" s="137">
        <v>0</v>
      </c>
      <c r="BO56" s="137">
        <v>0</v>
      </c>
      <c r="BP56" s="137">
        <v>0</v>
      </c>
      <c r="BQ56" s="137">
        <v>0</v>
      </c>
      <c r="BR56" s="137">
        <v>0</v>
      </c>
      <c r="BS56" s="137">
        <v>0</v>
      </c>
      <c r="BT56" s="137">
        <v>0</v>
      </c>
      <c r="BU56" s="137">
        <v>0</v>
      </c>
      <c r="BV56" s="137">
        <v>0</v>
      </c>
      <c r="BW56" s="137">
        <v>0</v>
      </c>
      <c r="BX56" s="137">
        <v>0</v>
      </c>
      <c r="BY56" s="137">
        <v>0</v>
      </c>
      <c r="BZ56" s="137">
        <v>0</v>
      </c>
      <c r="CA56" s="137">
        <v>0</v>
      </c>
      <c r="CB56" s="137">
        <v>0</v>
      </c>
      <c r="CC56" s="137">
        <v>0</v>
      </c>
      <c r="CD56" s="137">
        <v>0</v>
      </c>
      <c r="CE56" s="137">
        <v>0</v>
      </c>
      <c r="CF56" s="137">
        <v>0</v>
      </c>
      <c r="CG56" s="137">
        <v>0</v>
      </c>
      <c r="CH56" s="137">
        <v>0</v>
      </c>
      <c r="CI56" s="137">
        <v>0</v>
      </c>
      <c r="CJ56" s="137">
        <v>0</v>
      </c>
      <c r="CK56" s="137">
        <v>0</v>
      </c>
      <c r="CL56" s="137">
        <v>0</v>
      </c>
      <c r="CM56" s="137">
        <v>0</v>
      </c>
      <c r="CN56" s="137">
        <v>0</v>
      </c>
      <c r="CO56" s="137">
        <v>0</v>
      </c>
      <c r="CP56" s="137">
        <v>0</v>
      </c>
      <c r="CQ56" s="137">
        <v>0</v>
      </c>
      <c r="CR56" s="137">
        <v>0</v>
      </c>
      <c r="CS56" s="137">
        <v>0</v>
      </c>
      <c r="CT56" s="137">
        <v>0</v>
      </c>
      <c r="CU56" s="137">
        <v>0</v>
      </c>
      <c r="CV56" s="137">
        <v>0</v>
      </c>
    </row>
    <row r="57" spans="1:100" x14ac:dyDescent="0.25">
      <c r="A57" s="367">
        <f>IPO監視一覧!H45</f>
        <v>0</v>
      </c>
      <c r="B57" s="114">
        <f>IPO監視一覧!B45</f>
        <v>0</v>
      </c>
      <c r="C57" s="341">
        <f>株価一覧!E56</f>
        <v>0</v>
      </c>
      <c r="D57" s="330">
        <f t="shared" ca="1" si="23"/>
        <v>0</v>
      </c>
      <c r="E57" s="342">
        <f t="shared" ca="1" si="24"/>
        <v>0</v>
      </c>
      <c r="F57" s="343">
        <f t="shared" ca="1" si="25"/>
        <v>0</v>
      </c>
      <c r="G57" s="137">
        <v>0</v>
      </c>
      <c r="H57" s="137">
        <v>0</v>
      </c>
      <c r="I57" s="137">
        <v>0</v>
      </c>
      <c r="J57" s="137">
        <v>0</v>
      </c>
      <c r="K57" s="137">
        <v>0</v>
      </c>
      <c r="L57" s="137">
        <v>0</v>
      </c>
      <c r="M57" s="137">
        <v>0</v>
      </c>
      <c r="N57" s="137">
        <v>0</v>
      </c>
      <c r="O57" s="137">
        <v>0</v>
      </c>
      <c r="P57" s="137">
        <v>0</v>
      </c>
      <c r="Q57" s="137">
        <v>0</v>
      </c>
      <c r="R57" s="137">
        <v>0</v>
      </c>
      <c r="S57" s="137">
        <v>0</v>
      </c>
      <c r="T57" s="137">
        <v>0</v>
      </c>
      <c r="U57" s="137">
        <v>0</v>
      </c>
      <c r="V57" s="137">
        <v>0</v>
      </c>
      <c r="W57" s="137">
        <v>0</v>
      </c>
      <c r="X57" s="137">
        <v>0</v>
      </c>
      <c r="Y57" s="137">
        <v>0</v>
      </c>
      <c r="Z57" s="137">
        <v>0</v>
      </c>
      <c r="AA57" s="137">
        <v>0</v>
      </c>
      <c r="AB57" s="137">
        <v>0</v>
      </c>
      <c r="AC57" s="137">
        <v>0</v>
      </c>
      <c r="AD57" s="137">
        <v>0</v>
      </c>
      <c r="AE57" s="137">
        <v>0</v>
      </c>
      <c r="AF57" s="137">
        <v>0</v>
      </c>
      <c r="AG57" s="137">
        <v>0</v>
      </c>
      <c r="AH57" s="137">
        <v>0</v>
      </c>
      <c r="AI57" s="137">
        <v>0</v>
      </c>
      <c r="AJ57" s="137">
        <v>0</v>
      </c>
      <c r="AK57" s="137">
        <v>0</v>
      </c>
      <c r="AL57" s="137">
        <v>0</v>
      </c>
      <c r="AM57" s="137">
        <v>0</v>
      </c>
      <c r="AN57" s="137">
        <v>0</v>
      </c>
      <c r="AO57" s="137">
        <v>0</v>
      </c>
      <c r="AP57" s="137">
        <v>0</v>
      </c>
      <c r="AQ57" s="137">
        <v>0</v>
      </c>
      <c r="AR57" s="137">
        <v>0</v>
      </c>
      <c r="AS57" s="137">
        <v>0</v>
      </c>
      <c r="AT57" s="137">
        <v>0</v>
      </c>
      <c r="AU57" s="137">
        <v>0</v>
      </c>
      <c r="AV57" s="137">
        <v>0</v>
      </c>
      <c r="AW57" s="137">
        <v>0</v>
      </c>
      <c r="AX57" s="137">
        <v>0</v>
      </c>
      <c r="AY57" s="137">
        <v>0</v>
      </c>
      <c r="AZ57" s="137">
        <v>0</v>
      </c>
      <c r="BA57" s="137">
        <v>0</v>
      </c>
      <c r="BB57" s="137">
        <v>0</v>
      </c>
      <c r="BC57" s="137">
        <v>0</v>
      </c>
      <c r="BD57" s="137">
        <v>0</v>
      </c>
      <c r="BE57" s="137">
        <v>0</v>
      </c>
      <c r="BF57" s="137">
        <v>0</v>
      </c>
      <c r="BG57" s="137">
        <v>0</v>
      </c>
      <c r="BH57" s="137">
        <v>0</v>
      </c>
      <c r="BI57" s="137">
        <v>0</v>
      </c>
      <c r="BJ57" s="137">
        <v>0</v>
      </c>
      <c r="BK57" s="137">
        <v>0</v>
      </c>
      <c r="BL57" s="137">
        <v>0</v>
      </c>
      <c r="BM57" s="137">
        <v>0</v>
      </c>
      <c r="BN57" s="137">
        <v>0</v>
      </c>
      <c r="BO57" s="137">
        <v>0</v>
      </c>
      <c r="BP57" s="137">
        <v>0</v>
      </c>
      <c r="BQ57" s="137">
        <v>0</v>
      </c>
      <c r="BR57" s="137">
        <v>0</v>
      </c>
      <c r="BS57" s="137">
        <v>0</v>
      </c>
      <c r="BT57" s="137">
        <v>0</v>
      </c>
      <c r="BU57" s="137">
        <v>0</v>
      </c>
      <c r="BV57" s="137">
        <v>0</v>
      </c>
      <c r="BW57" s="137">
        <v>0</v>
      </c>
      <c r="BX57" s="137">
        <v>0</v>
      </c>
      <c r="BY57" s="137">
        <v>0</v>
      </c>
      <c r="BZ57" s="137">
        <v>0</v>
      </c>
      <c r="CA57" s="137">
        <v>0</v>
      </c>
      <c r="CB57" s="137">
        <v>0</v>
      </c>
      <c r="CC57" s="137">
        <v>0</v>
      </c>
      <c r="CD57" s="137">
        <v>0</v>
      </c>
      <c r="CE57" s="137">
        <v>0</v>
      </c>
      <c r="CF57" s="137">
        <v>0</v>
      </c>
      <c r="CG57" s="137">
        <v>0</v>
      </c>
      <c r="CH57" s="137">
        <v>0</v>
      </c>
      <c r="CI57" s="137">
        <v>0</v>
      </c>
      <c r="CJ57" s="137">
        <v>0</v>
      </c>
      <c r="CK57" s="137">
        <v>0</v>
      </c>
      <c r="CL57" s="137">
        <v>0</v>
      </c>
      <c r="CM57" s="137">
        <v>0</v>
      </c>
      <c r="CN57" s="137">
        <v>0</v>
      </c>
      <c r="CO57" s="137">
        <v>0</v>
      </c>
      <c r="CP57" s="137">
        <v>0</v>
      </c>
      <c r="CQ57" s="137">
        <v>0</v>
      </c>
      <c r="CR57" s="137">
        <v>0</v>
      </c>
      <c r="CS57" s="137">
        <v>0</v>
      </c>
      <c r="CT57" s="137">
        <v>0</v>
      </c>
      <c r="CU57" s="137">
        <v>0</v>
      </c>
      <c r="CV57" s="137">
        <v>0</v>
      </c>
    </row>
    <row r="58" spans="1:100" x14ac:dyDescent="0.25">
      <c r="B58" s="114"/>
      <c r="C58" s="347"/>
      <c r="D58" s="348"/>
      <c r="E58" s="348"/>
      <c r="F58" s="349"/>
      <c r="G58" s="137">
        <v>0</v>
      </c>
      <c r="H58" s="137">
        <v>0</v>
      </c>
      <c r="I58" s="137">
        <v>0</v>
      </c>
      <c r="J58" s="137">
        <v>0</v>
      </c>
      <c r="K58" s="137">
        <v>0</v>
      </c>
      <c r="L58" s="137">
        <v>0</v>
      </c>
      <c r="M58" s="137">
        <v>0</v>
      </c>
      <c r="N58" s="137">
        <v>0</v>
      </c>
      <c r="O58" s="137">
        <v>0</v>
      </c>
      <c r="P58" s="137">
        <v>0</v>
      </c>
      <c r="Q58" s="137">
        <v>0</v>
      </c>
      <c r="R58" s="137">
        <v>0</v>
      </c>
      <c r="S58" s="137">
        <v>0</v>
      </c>
      <c r="T58" s="137">
        <v>0</v>
      </c>
      <c r="U58" s="137">
        <v>0</v>
      </c>
      <c r="V58" s="137">
        <v>0</v>
      </c>
      <c r="W58" s="137">
        <v>0</v>
      </c>
      <c r="X58" s="137">
        <v>0</v>
      </c>
      <c r="Y58" s="137">
        <v>0</v>
      </c>
      <c r="Z58" s="137">
        <v>0</v>
      </c>
      <c r="AA58" s="137">
        <v>0</v>
      </c>
      <c r="AB58" s="137">
        <v>0</v>
      </c>
      <c r="AC58" s="137">
        <v>0</v>
      </c>
      <c r="AD58" s="137">
        <v>0</v>
      </c>
      <c r="AE58" s="137">
        <v>0</v>
      </c>
      <c r="AF58" s="137">
        <v>0</v>
      </c>
      <c r="AG58" s="137">
        <v>0</v>
      </c>
      <c r="AH58" s="137">
        <v>0</v>
      </c>
      <c r="AI58" s="137">
        <v>0</v>
      </c>
      <c r="AJ58" s="137">
        <v>0</v>
      </c>
      <c r="AK58" s="137">
        <v>0</v>
      </c>
      <c r="AL58" s="137">
        <v>0</v>
      </c>
      <c r="AM58" s="137">
        <v>0</v>
      </c>
      <c r="AN58" s="137">
        <v>0</v>
      </c>
      <c r="AO58" s="137">
        <v>0</v>
      </c>
      <c r="AP58" s="137">
        <v>0</v>
      </c>
      <c r="AQ58" s="137">
        <v>0</v>
      </c>
      <c r="AR58" s="137">
        <v>0</v>
      </c>
      <c r="AS58" s="137">
        <v>0</v>
      </c>
      <c r="AT58" s="137">
        <v>0</v>
      </c>
      <c r="AU58" s="137">
        <v>0</v>
      </c>
      <c r="AV58" s="137">
        <v>0</v>
      </c>
      <c r="AW58" s="137">
        <v>0</v>
      </c>
      <c r="AX58" s="137">
        <v>0</v>
      </c>
      <c r="AY58" s="137">
        <v>0</v>
      </c>
      <c r="AZ58" s="137">
        <v>0</v>
      </c>
      <c r="BA58" s="137">
        <v>0</v>
      </c>
      <c r="BB58" s="137">
        <v>0</v>
      </c>
      <c r="BC58" s="137">
        <v>0</v>
      </c>
      <c r="BD58" s="137">
        <v>0</v>
      </c>
      <c r="BE58" s="137">
        <v>0</v>
      </c>
      <c r="BF58" s="137">
        <v>0</v>
      </c>
      <c r="BG58" s="137">
        <v>0</v>
      </c>
      <c r="BH58" s="137">
        <v>0</v>
      </c>
      <c r="BI58" s="137">
        <v>0</v>
      </c>
      <c r="BJ58" s="137">
        <v>0</v>
      </c>
      <c r="BK58" s="137">
        <v>0</v>
      </c>
      <c r="BL58" s="137">
        <v>0</v>
      </c>
      <c r="BM58" s="137">
        <v>0</v>
      </c>
      <c r="BN58" s="137">
        <v>0</v>
      </c>
      <c r="BO58" s="137">
        <v>0</v>
      </c>
      <c r="BP58" s="137">
        <v>0</v>
      </c>
      <c r="BQ58" s="137">
        <v>0</v>
      </c>
      <c r="BR58" s="137">
        <v>0</v>
      </c>
      <c r="BS58" s="137">
        <v>0</v>
      </c>
      <c r="BT58" s="137">
        <v>0</v>
      </c>
      <c r="BU58" s="137">
        <v>0</v>
      </c>
      <c r="BV58" s="137">
        <v>0</v>
      </c>
      <c r="BW58" s="137">
        <v>0</v>
      </c>
      <c r="BX58" s="137">
        <v>0</v>
      </c>
      <c r="BY58" s="137">
        <v>0</v>
      </c>
      <c r="BZ58" s="137">
        <v>0</v>
      </c>
      <c r="CA58" s="137">
        <v>0</v>
      </c>
      <c r="CB58" s="137">
        <v>0</v>
      </c>
      <c r="CC58" s="137">
        <v>0</v>
      </c>
      <c r="CD58" s="137">
        <v>0</v>
      </c>
      <c r="CE58" s="137">
        <v>0</v>
      </c>
      <c r="CF58" s="137">
        <v>0</v>
      </c>
      <c r="CG58" s="137">
        <v>0</v>
      </c>
      <c r="CH58" s="137">
        <v>0</v>
      </c>
      <c r="CI58" s="137">
        <v>0</v>
      </c>
      <c r="CJ58" s="137">
        <v>0</v>
      </c>
      <c r="CK58" s="137">
        <v>0</v>
      </c>
      <c r="CL58" s="137">
        <v>0</v>
      </c>
      <c r="CM58" s="137">
        <v>0</v>
      </c>
      <c r="CN58" s="137">
        <v>0</v>
      </c>
      <c r="CO58" s="137">
        <v>0</v>
      </c>
      <c r="CP58" s="137">
        <v>0</v>
      </c>
      <c r="CQ58" s="137">
        <v>0</v>
      </c>
      <c r="CR58" s="137">
        <v>0</v>
      </c>
      <c r="CS58" s="137">
        <v>0</v>
      </c>
      <c r="CT58" s="137">
        <v>0</v>
      </c>
      <c r="CU58" s="137">
        <v>0</v>
      </c>
      <c r="CV58" s="137">
        <v>0</v>
      </c>
    </row>
    <row r="59" spans="1:100" x14ac:dyDescent="0.25">
      <c r="B59" s="114"/>
      <c r="C59" s="347"/>
      <c r="D59" s="348"/>
      <c r="E59" s="348"/>
      <c r="F59" s="349"/>
      <c r="G59" s="137">
        <v>0</v>
      </c>
      <c r="H59" s="137">
        <v>0</v>
      </c>
      <c r="I59" s="137">
        <v>0</v>
      </c>
      <c r="J59" s="137">
        <v>0</v>
      </c>
      <c r="K59" s="137">
        <v>0</v>
      </c>
      <c r="L59" s="137">
        <v>0</v>
      </c>
      <c r="M59" s="137">
        <v>0</v>
      </c>
      <c r="N59" s="137">
        <v>0</v>
      </c>
      <c r="O59" s="137">
        <v>0</v>
      </c>
      <c r="P59" s="137">
        <v>0</v>
      </c>
      <c r="Q59" s="137">
        <v>0</v>
      </c>
      <c r="R59" s="137">
        <v>0</v>
      </c>
      <c r="S59" s="137">
        <v>0</v>
      </c>
      <c r="T59" s="137">
        <v>0</v>
      </c>
      <c r="U59" s="137">
        <v>0</v>
      </c>
      <c r="V59" s="137">
        <v>0</v>
      </c>
      <c r="W59" s="137">
        <v>0</v>
      </c>
      <c r="X59" s="137">
        <v>0</v>
      </c>
      <c r="Y59" s="137">
        <v>0</v>
      </c>
      <c r="Z59" s="137">
        <v>0</v>
      </c>
      <c r="AA59" s="137">
        <v>0</v>
      </c>
      <c r="AB59" s="137">
        <v>0</v>
      </c>
      <c r="AC59" s="137">
        <v>0</v>
      </c>
      <c r="AD59" s="137">
        <v>0</v>
      </c>
      <c r="AE59" s="137">
        <v>0</v>
      </c>
      <c r="AF59" s="137">
        <v>0</v>
      </c>
      <c r="AG59" s="137">
        <v>0</v>
      </c>
      <c r="AH59" s="137">
        <v>0</v>
      </c>
      <c r="AI59" s="137">
        <v>0</v>
      </c>
      <c r="AJ59" s="137">
        <v>0</v>
      </c>
      <c r="AK59" s="137">
        <v>0</v>
      </c>
      <c r="AL59" s="137">
        <v>0</v>
      </c>
      <c r="AM59" s="137">
        <v>0</v>
      </c>
      <c r="AN59" s="137">
        <v>0</v>
      </c>
      <c r="AO59" s="137">
        <v>0</v>
      </c>
      <c r="AP59" s="137">
        <v>0</v>
      </c>
      <c r="AQ59" s="137">
        <v>0</v>
      </c>
      <c r="AR59" s="137">
        <v>0</v>
      </c>
      <c r="AS59" s="137">
        <v>0</v>
      </c>
      <c r="AT59" s="137">
        <v>0</v>
      </c>
      <c r="AU59" s="137">
        <v>0</v>
      </c>
      <c r="AV59" s="137">
        <v>0</v>
      </c>
      <c r="AW59" s="137">
        <v>0</v>
      </c>
      <c r="AX59" s="137">
        <v>0</v>
      </c>
      <c r="AY59" s="137">
        <v>0</v>
      </c>
      <c r="AZ59" s="137">
        <v>0</v>
      </c>
      <c r="BA59" s="137">
        <v>0</v>
      </c>
      <c r="BB59" s="137">
        <v>0</v>
      </c>
      <c r="BC59" s="137">
        <v>0</v>
      </c>
      <c r="BD59" s="137">
        <v>0</v>
      </c>
      <c r="BE59" s="137">
        <v>0</v>
      </c>
      <c r="BF59" s="137">
        <v>0</v>
      </c>
      <c r="BG59" s="137">
        <v>0</v>
      </c>
      <c r="BH59" s="137">
        <v>0</v>
      </c>
      <c r="BI59" s="137">
        <v>0</v>
      </c>
      <c r="BJ59" s="137">
        <v>0</v>
      </c>
      <c r="BK59" s="137">
        <v>0</v>
      </c>
      <c r="BL59" s="137">
        <v>0</v>
      </c>
      <c r="BM59" s="137">
        <v>0</v>
      </c>
      <c r="BN59" s="137">
        <v>0</v>
      </c>
      <c r="BO59" s="137">
        <v>0</v>
      </c>
      <c r="BP59" s="137">
        <v>0</v>
      </c>
      <c r="BQ59" s="137">
        <v>0</v>
      </c>
      <c r="BR59" s="137">
        <v>0</v>
      </c>
      <c r="BS59" s="137">
        <v>0</v>
      </c>
      <c r="BT59" s="137">
        <v>0</v>
      </c>
      <c r="BU59" s="137">
        <v>0</v>
      </c>
      <c r="BV59" s="137">
        <v>0</v>
      </c>
      <c r="BW59" s="137">
        <v>0</v>
      </c>
      <c r="BX59" s="137">
        <v>0</v>
      </c>
      <c r="BY59" s="137">
        <v>0</v>
      </c>
      <c r="BZ59" s="137">
        <v>0</v>
      </c>
      <c r="CA59" s="137">
        <v>0</v>
      </c>
      <c r="CB59" s="137">
        <v>0</v>
      </c>
      <c r="CC59" s="137">
        <v>0</v>
      </c>
      <c r="CD59" s="137">
        <v>0</v>
      </c>
      <c r="CE59" s="137">
        <v>0</v>
      </c>
      <c r="CF59" s="137">
        <v>0</v>
      </c>
      <c r="CG59" s="137">
        <v>0</v>
      </c>
      <c r="CH59" s="137">
        <v>0</v>
      </c>
      <c r="CI59" s="137">
        <v>0</v>
      </c>
      <c r="CJ59" s="137">
        <v>0</v>
      </c>
      <c r="CK59" s="137">
        <v>0</v>
      </c>
      <c r="CL59" s="137">
        <v>0</v>
      </c>
      <c r="CM59" s="137">
        <v>0</v>
      </c>
      <c r="CN59" s="137">
        <v>0</v>
      </c>
      <c r="CO59" s="137">
        <v>0</v>
      </c>
      <c r="CP59" s="137">
        <v>0</v>
      </c>
      <c r="CQ59" s="137">
        <v>0</v>
      </c>
      <c r="CR59" s="137">
        <v>0</v>
      </c>
      <c r="CS59" s="137">
        <v>0</v>
      </c>
      <c r="CT59" s="137">
        <v>0</v>
      </c>
      <c r="CU59" s="137">
        <v>0</v>
      </c>
      <c r="CV59" s="137">
        <v>0</v>
      </c>
    </row>
    <row r="60" spans="1:100" x14ac:dyDescent="0.25">
      <c r="B60" s="114"/>
      <c r="C60" s="347"/>
      <c r="D60" s="348"/>
      <c r="E60" s="348"/>
      <c r="F60" s="349"/>
      <c r="G60" s="137">
        <v>0</v>
      </c>
      <c r="H60" s="137">
        <v>0</v>
      </c>
      <c r="I60" s="137">
        <v>0</v>
      </c>
      <c r="J60" s="137">
        <v>0</v>
      </c>
      <c r="K60" s="137">
        <v>0</v>
      </c>
      <c r="L60" s="137">
        <v>0</v>
      </c>
      <c r="M60" s="137">
        <v>0</v>
      </c>
      <c r="N60" s="137">
        <v>0</v>
      </c>
      <c r="O60" s="137">
        <v>0</v>
      </c>
      <c r="P60" s="137">
        <v>0</v>
      </c>
      <c r="Q60" s="137">
        <v>0</v>
      </c>
      <c r="R60" s="137">
        <v>0</v>
      </c>
      <c r="S60" s="137">
        <v>0</v>
      </c>
      <c r="T60" s="137">
        <v>0</v>
      </c>
      <c r="U60" s="137">
        <v>0</v>
      </c>
      <c r="V60" s="137">
        <v>0</v>
      </c>
      <c r="W60" s="137">
        <v>0</v>
      </c>
      <c r="X60" s="137">
        <v>0</v>
      </c>
      <c r="Y60" s="137">
        <v>0</v>
      </c>
      <c r="Z60" s="137">
        <v>0</v>
      </c>
      <c r="AA60" s="137">
        <v>0</v>
      </c>
      <c r="AB60" s="137">
        <v>0</v>
      </c>
      <c r="AC60" s="137">
        <v>0</v>
      </c>
      <c r="AD60" s="137">
        <v>0</v>
      </c>
      <c r="AE60" s="137">
        <v>0</v>
      </c>
      <c r="AF60" s="137">
        <v>0</v>
      </c>
      <c r="AG60" s="137">
        <v>0</v>
      </c>
      <c r="AH60" s="137">
        <v>0</v>
      </c>
      <c r="AI60" s="137">
        <v>0</v>
      </c>
      <c r="AJ60" s="137">
        <v>0</v>
      </c>
      <c r="AK60" s="137">
        <v>0</v>
      </c>
      <c r="AL60" s="137">
        <v>0</v>
      </c>
      <c r="AM60" s="137">
        <v>0</v>
      </c>
      <c r="AN60" s="137">
        <v>0</v>
      </c>
      <c r="AO60" s="137">
        <v>0</v>
      </c>
      <c r="AP60" s="137">
        <v>0</v>
      </c>
      <c r="AQ60" s="137">
        <v>0</v>
      </c>
      <c r="AR60" s="137">
        <v>0</v>
      </c>
      <c r="AS60" s="137">
        <v>0</v>
      </c>
      <c r="AT60" s="137">
        <v>0</v>
      </c>
      <c r="AU60" s="137">
        <v>0</v>
      </c>
      <c r="AV60" s="137">
        <v>0</v>
      </c>
      <c r="AW60" s="137">
        <v>0</v>
      </c>
      <c r="AX60" s="137">
        <v>0</v>
      </c>
      <c r="AY60" s="137">
        <v>0</v>
      </c>
      <c r="AZ60" s="137">
        <v>0</v>
      </c>
      <c r="BA60" s="137">
        <v>0</v>
      </c>
      <c r="BB60" s="137">
        <v>0</v>
      </c>
      <c r="BC60" s="137">
        <v>0</v>
      </c>
      <c r="BD60" s="137">
        <v>0</v>
      </c>
      <c r="BE60" s="137">
        <v>0</v>
      </c>
      <c r="BF60" s="137">
        <v>0</v>
      </c>
      <c r="BG60" s="137">
        <v>0</v>
      </c>
      <c r="BH60" s="137">
        <v>0</v>
      </c>
      <c r="BI60" s="137">
        <v>0</v>
      </c>
      <c r="BJ60" s="137">
        <v>0</v>
      </c>
      <c r="BK60" s="137">
        <v>0</v>
      </c>
      <c r="BL60" s="137">
        <v>0</v>
      </c>
      <c r="BM60" s="137">
        <v>0</v>
      </c>
      <c r="BN60" s="137">
        <v>0</v>
      </c>
      <c r="BO60" s="137">
        <v>0</v>
      </c>
      <c r="BP60" s="137">
        <v>0</v>
      </c>
      <c r="BQ60" s="137">
        <v>0</v>
      </c>
      <c r="BR60" s="137">
        <v>0</v>
      </c>
      <c r="BS60" s="137">
        <v>0</v>
      </c>
      <c r="BT60" s="137">
        <v>0</v>
      </c>
      <c r="BU60" s="137">
        <v>0</v>
      </c>
      <c r="BV60" s="137">
        <v>0</v>
      </c>
      <c r="BW60" s="137">
        <v>0</v>
      </c>
      <c r="BX60" s="137">
        <v>0</v>
      </c>
      <c r="BY60" s="137">
        <v>0</v>
      </c>
      <c r="BZ60" s="137">
        <v>0</v>
      </c>
      <c r="CA60" s="137">
        <v>0</v>
      </c>
      <c r="CB60" s="137">
        <v>0</v>
      </c>
      <c r="CC60" s="137">
        <v>0</v>
      </c>
      <c r="CD60" s="137">
        <v>0</v>
      </c>
      <c r="CE60" s="137">
        <v>0</v>
      </c>
      <c r="CF60" s="137">
        <v>0</v>
      </c>
      <c r="CG60" s="137">
        <v>0</v>
      </c>
      <c r="CH60" s="137">
        <v>0</v>
      </c>
      <c r="CI60" s="137">
        <v>0</v>
      </c>
      <c r="CJ60" s="137">
        <v>0</v>
      </c>
      <c r="CK60" s="137">
        <v>0</v>
      </c>
      <c r="CL60" s="137">
        <v>0</v>
      </c>
      <c r="CM60" s="137">
        <v>0</v>
      </c>
      <c r="CN60" s="137">
        <v>0</v>
      </c>
      <c r="CO60" s="137">
        <v>0</v>
      </c>
      <c r="CP60" s="137">
        <v>0</v>
      </c>
      <c r="CQ60" s="137">
        <v>0</v>
      </c>
      <c r="CR60" s="137">
        <v>0</v>
      </c>
      <c r="CS60" s="137">
        <v>0</v>
      </c>
      <c r="CT60" s="137">
        <v>0</v>
      </c>
      <c r="CU60" s="137">
        <v>0</v>
      </c>
      <c r="CV60" s="137">
        <v>0</v>
      </c>
    </row>
    <row r="61" spans="1:100" x14ac:dyDescent="0.25">
      <c r="B61" s="114"/>
      <c r="C61" s="347"/>
      <c r="D61" s="348"/>
      <c r="E61" s="348"/>
      <c r="F61" s="349"/>
      <c r="G61" s="137">
        <v>0</v>
      </c>
      <c r="H61" s="137">
        <v>0</v>
      </c>
      <c r="I61" s="137">
        <v>0</v>
      </c>
      <c r="J61" s="137">
        <v>0</v>
      </c>
      <c r="K61" s="137">
        <v>0</v>
      </c>
      <c r="L61" s="137">
        <v>0</v>
      </c>
      <c r="M61" s="137">
        <v>0</v>
      </c>
      <c r="N61" s="137">
        <v>0</v>
      </c>
      <c r="O61" s="137">
        <v>0</v>
      </c>
      <c r="P61" s="137">
        <v>0</v>
      </c>
      <c r="Q61" s="137">
        <v>0</v>
      </c>
      <c r="R61" s="137">
        <v>0</v>
      </c>
      <c r="S61" s="137">
        <v>0</v>
      </c>
      <c r="T61" s="137">
        <v>0</v>
      </c>
      <c r="U61" s="137">
        <v>0</v>
      </c>
      <c r="V61" s="137">
        <v>0</v>
      </c>
      <c r="W61" s="137">
        <v>0</v>
      </c>
      <c r="X61" s="137">
        <v>0</v>
      </c>
      <c r="Y61" s="137">
        <v>0</v>
      </c>
      <c r="Z61" s="137">
        <v>0</v>
      </c>
      <c r="AA61" s="137">
        <v>0</v>
      </c>
      <c r="AB61" s="137">
        <v>0</v>
      </c>
      <c r="AC61" s="137">
        <v>0</v>
      </c>
      <c r="AD61" s="137">
        <v>0</v>
      </c>
      <c r="AE61" s="137">
        <v>0</v>
      </c>
      <c r="AF61" s="137">
        <v>0</v>
      </c>
      <c r="AG61" s="137">
        <v>0</v>
      </c>
      <c r="AH61" s="137">
        <v>0</v>
      </c>
      <c r="AI61" s="137">
        <v>0</v>
      </c>
      <c r="AJ61" s="137">
        <v>0</v>
      </c>
      <c r="AK61" s="137">
        <v>0</v>
      </c>
      <c r="AL61" s="137">
        <v>0</v>
      </c>
      <c r="AM61" s="137">
        <v>0</v>
      </c>
      <c r="AN61" s="137">
        <v>0</v>
      </c>
      <c r="AO61" s="137">
        <v>0</v>
      </c>
      <c r="AP61" s="137">
        <v>0</v>
      </c>
      <c r="AQ61" s="137">
        <v>0</v>
      </c>
      <c r="AR61" s="137">
        <v>0</v>
      </c>
      <c r="AS61" s="137">
        <v>0</v>
      </c>
      <c r="AT61" s="137">
        <v>0</v>
      </c>
      <c r="AU61" s="137">
        <v>0</v>
      </c>
      <c r="AV61" s="137">
        <v>0</v>
      </c>
      <c r="AW61" s="137">
        <v>0</v>
      </c>
      <c r="AX61" s="137">
        <v>0</v>
      </c>
      <c r="AY61" s="137">
        <v>0</v>
      </c>
      <c r="AZ61" s="137">
        <v>0</v>
      </c>
      <c r="BA61" s="137">
        <v>0</v>
      </c>
      <c r="BB61" s="137">
        <v>0</v>
      </c>
      <c r="BC61" s="137">
        <v>0</v>
      </c>
      <c r="BD61" s="137">
        <v>0</v>
      </c>
      <c r="BE61" s="137">
        <v>0</v>
      </c>
      <c r="BF61" s="137">
        <v>0</v>
      </c>
      <c r="BG61" s="137">
        <v>0</v>
      </c>
      <c r="BH61" s="137">
        <v>0</v>
      </c>
      <c r="BI61" s="137">
        <v>0</v>
      </c>
      <c r="BJ61" s="137">
        <v>0</v>
      </c>
      <c r="BK61" s="137">
        <v>0</v>
      </c>
      <c r="BL61" s="137">
        <v>0</v>
      </c>
      <c r="BM61" s="137">
        <v>0</v>
      </c>
      <c r="BN61" s="137">
        <v>0</v>
      </c>
      <c r="BO61" s="137">
        <v>0</v>
      </c>
      <c r="BP61" s="137">
        <v>0</v>
      </c>
      <c r="BQ61" s="137">
        <v>0</v>
      </c>
      <c r="BR61" s="137">
        <v>0</v>
      </c>
      <c r="BS61" s="137">
        <v>0</v>
      </c>
      <c r="BT61" s="137">
        <v>0</v>
      </c>
      <c r="BU61" s="137">
        <v>0</v>
      </c>
      <c r="BV61" s="137">
        <v>0</v>
      </c>
      <c r="BW61" s="137">
        <v>0</v>
      </c>
      <c r="BX61" s="137">
        <v>0</v>
      </c>
      <c r="BY61" s="137">
        <v>0</v>
      </c>
      <c r="BZ61" s="137">
        <v>0</v>
      </c>
      <c r="CA61" s="137">
        <v>0</v>
      </c>
      <c r="CB61" s="137">
        <v>0</v>
      </c>
      <c r="CC61" s="137">
        <v>0</v>
      </c>
      <c r="CD61" s="137">
        <v>0</v>
      </c>
      <c r="CE61" s="137">
        <v>0</v>
      </c>
      <c r="CF61" s="137">
        <v>0</v>
      </c>
      <c r="CG61" s="137">
        <v>0</v>
      </c>
      <c r="CH61" s="137">
        <v>0</v>
      </c>
      <c r="CI61" s="137">
        <v>0</v>
      </c>
      <c r="CJ61" s="137">
        <v>0</v>
      </c>
      <c r="CK61" s="137">
        <v>0</v>
      </c>
      <c r="CL61" s="137">
        <v>0</v>
      </c>
      <c r="CM61" s="137">
        <v>0</v>
      </c>
      <c r="CN61" s="137">
        <v>0</v>
      </c>
      <c r="CO61" s="137">
        <v>0</v>
      </c>
      <c r="CP61" s="137">
        <v>0</v>
      </c>
      <c r="CQ61" s="137">
        <v>0</v>
      </c>
      <c r="CR61" s="137">
        <v>0</v>
      </c>
      <c r="CS61" s="137">
        <v>0</v>
      </c>
      <c r="CT61" s="137">
        <v>0</v>
      </c>
      <c r="CU61" s="137">
        <v>0</v>
      </c>
      <c r="CV61" s="137">
        <v>0</v>
      </c>
    </row>
    <row r="62" spans="1:100" x14ac:dyDescent="0.25">
      <c r="B62" s="114"/>
      <c r="C62" s="347"/>
      <c r="D62" s="348"/>
      <c r="E62" s="348"/>
      <c r="F62" s="349"/>
      <c r="G62" s="137">
        <v>0</v>
      </c>
      <c r="H62" s="137">
        <v>0</v>
      </c>
      <c r="I62" s="137">
        <v>0</v>
      </c>
      <c r="J62" s="137">
        <v>0</v>
      </c>
      <c r="K62" s="137">
        <v>0</v>
      </c>
      <c r="L62" s="137">
        <v>0</v>
      </c>
      <c r="M62" s="137">
        <v>0</v>
      </c>
      <c r="N62" s="137">
        <v>0</v>
      </c>
      <c r="O62" s="137">
        <v>0</v>
      </c>
      <c r="P62" s="137">
        <v>0</v>
      </c>
      <c r="Q62" s="137">
        <v>0</v>
      </c>
      <c r="R62" s="137">
        <v>0</v>
      </c>
      <c r="S62" s="137">
        <v>0</v>
      </c>
      <c r="T62" s="137">
        <v>0</v>
      </c>
      <c r="U62" s="137">
        <v>0</v>
      </c>
      <c r="V62" s="137">
        <v>0</v>
      </c>
      <c r="W62" s="137">
        <v>0</v>
      </c>
      <c r="X62" s="137">
        <v>0</v>
      </c>
      <c r="Y62" s="137">
        <v>0</v>
      </c>
      <c r="Z62" s="137">
        <v>0</v>
      </c>
      <c r="AA62" s="137">
        <v>0</v>
      </c>
      <c r="AB62" s="137">
        <v>0</v>
      </c>
      <c r="AC62" s="137">
        <v>0</v>
      </c>
      <c r="AD62" s="137">
        <v>0</v>
      </c>
      <c r="AE62" s="137">
        <v>0</v>
      </c>
      <c r="AF62" s="137">
        <v>0</v>
      </c>
      <c r="AG62" s="137">
        <v>0</v>
      </c>
      <c r="AH62" s="137">
        <v>0</v>
      </c>
      <c r="AI62" s="137">
        <v>0</v>
      </c>
      <c r="AJ62" s="137">
        <v>0</v>
      </c>
      <c r="AK62" s="137">
        <v>0</v>
      </c>
      <c r="AL62" s="137">
        <v>0</v>
      </c>
      <c r="AM62" s="137">
        <v>0</v>
      </c>
      <c r="AN62" s="137">
        <v>0</v>
      </c>
      <c r="AO62" s="137">
        <v>0</v>
      </c>
      <c r="AP62" s="137">
        <v>0</v>
      </c>
      <c r="AQ62" s="137">
        <v>0</v>
      </c>
      <c r="AR62" s="137">
        <v>0</v>
      </c>
      <c r="AS62" s="137">
        <v>0</v>
      </c>
      <c r="AT62" s="137">
        <v>0</v>
      </c>
      <c r="AU62" s="137">
        <v>0</v>
      </c>
      <c r="AV62" s="137">
        <v>0</v>
      </c>
      <c r="AW62" s="137">
        <v>0</v>
      </c>
      <c r="AX62" s="137">
        <v>0</v>
      </c>
      <c r="AY62" s="137">
        <v>0</v>
      </c>
      <c r="AZ62" s="137">
        <v>0</v>
      </c>
      <c r="BA62" s="137">
        <v>0</v>
      </c>
      <c r="BB62" s="137">
        <v>0</v>
      </c>
      <c r="BC62" s="137">
        <v>0</v>
      </c>
      <c r="BD62" s="137">
        <v>0</v>
      </c>
      <c r="BE62" s="137">
        <v>0</v>
      </c>
      <c r="BF62" s="137">
        <v>0</v>
      </c>
      <c r="BG62" s="137">
        <v>0</v>
      </c>
      <c r="BH62" s="137">
        <v>0</v>
      </c>
      <c r="BI62" s="137">
        <v>0</v>
      </c>
      <c r="BJ62" s="137">
        <v>0</v>
      </c>
      <c r="BK62" s="137">
        <v>0</v>
      </c>
      <c r="BL62" s="137">
        <v>0</v>
      </c>
      <c r="BM62" s="137">
        <v>0</v>
      </c>
      <c r="BN62" s="137">
        <v>0</v>
      </c>
      <c r="BO62" s="137">
        <v>0</v>
      </c>
      <c r="BP62" s="137">
        <v>0</v>
      </c>
      <c r="BQ62" s="137">
        <v>0</v>
      </c>
      <c r="BR62" s="137">
        <v>0</v>
      </c>
      <c r="BS62" s="137">
        <v>0</v>
      </c>
      <c r="BT62" s="137">
        <v>0</v>
      </c>
      <c r="BU62" s="137">
        <v>0</v>
      </c>
      <c r="BV62" s="137">
        <v>0</v>
      </c>
      <c r="BW62" s="137">
        <v>0</v>
      </c>
      <c r="BX62" s="137">
        <v>0</v>
      </c>
      <c r="BY62" s="137">
        <v>0</v>
      </c>
      <c r="BZ62" s="137">
        <v>0</v>
      </c>
      <c r="CA62" s="137">
        <v>0</v>
      </c>
      <c r="CB62" s="137">
        <v>0</v>
      </c>
      <c r="CC62" s="137">
        <v>0</v>
      </c>
      <c r="CD62" s="137">
        <v>0</v>
      </c>
      <c r="CE62" s="137">
        <v>0</v>
      </c>
      <c r="CF62" s="137">
        <v>0</v>
      </c>
      <c r="CG62" s="137">
        <v>0</v>
      </c>
      <c r="CH62" s="137">
        <v>0</v>
      </c>
      <c r="CI62" s="137">
        <v>0</v>
      </c>
      <c r="CJ62" s="137">
        <v>0</v>
      </c>
      <c r="CK62" s="137">
        <v>0</v>
      </c>
      <c r="CL62" s="137">
        <v>0</v>
      </c>
      <c r="CM62" s="137">
        <v>0</v>
      </c>
      <c r="CN62" s="137">
        <v>0</v>
      </c>
      <c r="CO62" s="137">
        <v>0</v>
      </c>
      <c r="CP62" s="137">
        <v>0</v>
      </c>
      <c r="CQ62" s="137">
        <v>0</v>
      </c>
      <c r="CR62" s="137">
        <v>0</v>
      </c>
      <c r="CS62" s="137">
        <v>0</v>
      </c>
      <c r="CT62" s="137">
        <v>0</v>
      </c>
      <c r="CU62" s="137">
        <v>0</v>
      </c>
      <c r="CV62" s="137">
        <v>0</v>
      </c>
    </row>
    <row r="63" spans="1:100" x14ac:dyDescent="0.25">
      <c r="B63" s="114"/>
      <c r="C63" s="347"/>
      <c r="D63" s="348"/>
      <c r="E63" s="348"/>
      <c r="F63" s="349"/>
      <c r="G63" s="137">
        <v>0</v>
      </c>
      <c r="H63" s="137">
        <v>0</v>
      </c>
      <c r="I63" s="137">
        <v>0</v>
      </c>
      <c r="J63" s="137">
        <v>0</v>
      </c>
      <c r="K63" s="137">
        <v>0</v>
      </c>
      <c r="L63" s="137">
        <v>0</v>
      </c>
      <c r="M63" s="137">
        <v>0</v>
      </c>
      <c r="N63" s="137">
        <v>0</v>
      </c>
      <c r="O63" s="137">
        <v>0</v>
      </c>
      <c r="P63" s="137">
        <v>0</v>
      </c>
      <c r="Q63" s="137">
        <v>0</v>
      </c>
      <c r="R63" s="137">
        <v>0</v>
      </c>
      <c r="S63" s="137">
        <v>0</v>
      </c>
      <c r="T63" s="137">
        <v>0</v>
      </c>
      <c r="U63" s="137">
        <v>0</v>
      </c>
      <c r="V63" s="137">
        <v>0</v>
      </c>
      <c r="W63" s="137">
        <v>0</v>
      </c>
      <c r="X63" s="137">
        <v>0</v>
      </c>
      <c r="Y63" s="137">
        <v>0</v>
      </c>
      <c r="Z63" s="137">
        <v>0</v>
      </c>
      <c r="AA63" s="137">
        <v>0</v>
      </c>
      <c r="AB63" s="137">
        <v>0</v>
      </c>
      <c r="AC63" s="137">
        <v>0</v>
      </c>
      <c r="AD63" s="137">
        <v>0</v>
      </c>
      <c r="AE63" s="137">
        <v>0</v>
      </c>
      <c r="AF63" s="137">
        <v>0</v>
      </c>
      <c r="AG63" s="137">
        <v>0</v>
      </c>
      <c r="AH63" s="137">
        <v>0</v>
      </c>
      <c r="AI63" s="137">
        <v>0</v>
      </c>
      <c r="AJ63" s="137">
        <v>0</v>
      </c>
      <c r="AK63" s="137">
        <v>0</v>
      </c>
      <c r="AL63" s="137">
        <v>0</v>
      </c>
      <c r="AM63" s="137">
        <v>0</v>
      </c>
      <c r="AN63" s="137">
        <v>0</v>
      </c>
      <c r="AO63" s="137">
        <v>0</v>
      </c>
      <c r="AP63" s="137">
        <v>0</v>
      </c>
      <c r="AQ63" s="137">
        <v>0</v>
      </c>
      <c r="AR63" s="137">
        <v>0</v>
      </c>
      <c r="AS63" s="137">
        <v>0</v>
      </c>
      <c r="AT63" s="137">
        <v>0</v>
      </c>
      <c r="AU63" s="137">
        <v>0</v>
      </c>
      <c r="AV63" s="137">
        <v>0</v>
      </c>
      <c r="AW63" s="137">
        <v>0</v>
      </c>
      <c r="AX63" s="137">
        <v>0</v>
      </c>
      <c r="AY63" s="137">
        <v>0</v>
      </c>
      <c r="AZ63" s="137">
        <v>0</v>
      </c>
      <c r="BA63" s="137">
        <v>0</v>
      </c>
      <c r="BB63" s="137">
        <v>0</v>
      </c>
      <c r="BC63" s="137">
        <v>0</v>
      </c>
      <c r="BD63" s="137">
        <v>0</v>
      </c>
      <c r="BE63" s="137">
        <v>0</v>
      </c>
      <c r="BF63" s="137">
        <v>0</v>
      </c>
      <c r="BG63" s="137">
        <v>0</v>
      </c>
      <c r="BH63" s="137">
        <v>0</v>
      </c>
      <c r="BI63" s="137">
        <v>0</v>
      </c>
      <c r="BJ63" s="137">
        <v>0</v>
      </c>
      <c r="BK63" s="137">
        <v>0</v>
      </c>
      <c r="BL63" s="137">
        <v>0</v>
      </c>
      <c r="BM63" s="137">
        <v>0</v>
      </c>
      <c r="BN63" s="137">
        <v>0</v>
      </c>
      <c r="BO63" s="137">
        <v>0</v>
      </c>
      <c r="BP63" s="137">
        <v>0</v>
      </c>
      <c r="BQ63" s="137">
        <v>0</v>
      </c>
      <c r="BR63" s="137">
        <v>0</v>
      </c>
      <c r="BS63" s="137">
        <v>0</v>
      </c>
      <c r="BT63" s="137">
        <v>0</v>
      </c>
      <c r="BU63" s="137">
        <v>0</v>
      </c>
      <c r="BV63" s="137">
        <v>0</v>
      </c>
      <c r="BW63" s="137">
        <v>0</v>
      </c>
      <c r="BX63" s="137">
        <v>0</v>
      </c>
      <c r="BY63" s="137">
        <v>0</v>
      </c>
      <c r="BZ63" s="137">
        <v>0</v>
      </c>
      <c r="CA63" s="137">
        <v>0</v>
      </c>
      <c r="CB63" s="137">
        <v>0</v>
      </c>
      <c r="CC63" s="137">
        <v>0</v>
      </c>
      <c r="CD63" s="137">
        <v>0</v>
      </c>
      <c r="CE63" s="137">
        <v>0</v>
      </c>
      <c r="CF63" s="137">
        <v>0</v>
      </c>
      <c r="CG63" s="137">
        <v>0</v>
      </c>
      <c r="CH63" s="137">
        <v>0</v>
      </c>
      <c r="CI63" s="137">
        <v>0</v>
      </c>
      <c r="CJ63" s="137">
        <v>0</v>
      </c>
      <c r="CK63" s="137">
        <v>0</v>
      </c>
      <c r="CL63" s="137">
        <v>0</v>
      </c>
      <c r="CM63" s="137">
        <v>0</v>
      </c>
      <c r="CN63" s="137">
        <v>0</v>
      </c>
      <c r="CO63" s="137">
        <v>0</v>
      </c>
      <c r="CP63" s="137">
        <v>0</v>
      </c>
      <c r="CQ63" s="137">
        <v>0</v>
      </c>
      <c r="CR63" s="137">
        <v>0</v>
      </c>
      <c r="CS63" s="137">
        <v>0</v>
      </c>
      <c r="CT63" s="137">
        <v>0</v>
      </c>
      <c r="CU63" s="137">
        <v>0</v>
      </c>
      <c r="CV63" s="137">
        <v>0</v>
      </c>
    </row>
    <row r="64" spans="1:100" x14ac:dyDescent="0.25">
      <c r="B64" s="114"/>
      <c r="C64" s="347"/>
      <c r="D64" s="348"/>
      <c r="E64" s="348"/>
      <c r="F64" s="349"/>
      <c r="G64" s="137">
        <v>0</v>
      </c>
      <c r="H64" s="137">
        <v>0</v>
      </c>
      <c r="I64" s="137">
        <v>0</v>
      </c>
      <c r="J64" s="137">
        <v>0</v>
      </c>
      <c r="K64" s="137">
        <v>0</v>
      </c>
      <c r="L64" s="137">
        <v>0</v>
      </c>
      <c r="M64" s="137">
        <v>0</v>
      </c>
      <c r="N64" s="137">
        <v>0</v>
      </c>
      <c r="O64" s="137">
        <v>0</v>
      </c>
      <c r="P64" s="137">
        <v>0</v>
      </c>
      <c r="Q64" s="137">
        <v>0</v>
      </c>
      <c r="R64" s="137">
        <v>0</v>
      </c>
      <c r="S64" s="137">
        <v>0</v>
      </c>
      <c r="T64" s="137">
        <v>0</v>
      </c>
      <c r="U64" s="137">
        <v>0</v>
      </c>
      <c r="V64" s="137">
        <v>0</v>
      </c>
      <c r="W64" s="137">
        <v>0</v>
      </c>
      <c r="X64" s="137">
        <v>0</v>
      </c>
      <c r="Y64" s="137">
        <v>0</v>
      </c>
      <c r="Z64" s="137">
        <v>0</v>
      </c>
      <c r="AA64" s="137">
        <v>0</v>
      </c>
      <c r="AB64" s="137">
        <v>0</v>
      </c>
      <c r="AC64" s="137">
        <v>0</v>
      </c>
      <c r="AD64" s="137">
        <v>0</v>
      </c>
      <c r="AE64" s="137">
        <v>0</v>
      </c>
      <c r="AF64" s="137">
        <v>0</v>
      </c>
      <c r="AG64" s="137">
        <v>0</v>
      </c>
      <c r="AH64" s="137">
        <v>0</v>
      </c>
      <c r="AI64" s="137">
        <v>0</v>
      </c>
      <c r="AJ64" s="137">
        <v>0</v>
      </c>
      <c r="AK64" s="137">
        <v>0</v>
      </c>
      <c r="AL64" s="137">
        <v>0</v>
      </c>
      <c r="AM64" s="137">
        <v>0</v>
      </c>
      <c r="AN64" s="137">
        <v>0</v>
      </c>
      <c r="AO64" s="137">
        <v>0</v>
      </c>
      <c r="AP64" s="137">
        <v>0</v>
      </c>
      <c r="AQ64" s="137">
        <v>0</v>
      </c>
      <c r="AR64" s="137">
        <v>0</v>
      </c>
      <c r="AS64" s="137">
        <v>0</v>
      </c>
      <c r="AT64" s="137">
        <v>0</v>
      </c>
      <c r="AU64" s="137">
        <v>0</v>
      </c>
      <c r="AV64" s="137">
        <v>0</v>
      </c>
      <c r="AW64" s="137">
        <v>0</v>
      </c>
      <c r="AX64" s="137">
        <v>0</v>
      </c>
      <c r="AY64" s="137">
        <v>0</v>
      </c>
      <c r="AZ64" s="137">
        <v>0</v>
      </c>
      <c r="BA64" s="137">
        <v>0</v>
      </c>
      <c r="BB64" s="137">
        <v>0</v>
      </c>
      <c r="BC64" s="137">
        <v>0</v>
      </c>
      <c r="BD64" s="137">
        <v>0</v>
      </c>
      <c r="BE64" s="137">
        <v>0</v>
      </c>
      <c r="BF64" s="137">
        <v>0</v>
      </c>
      <c r="BG64" s="137">
        <v>0</v>
      </c>
      <c r="BH64" s="137">
        <v>0</v>
      </c>
      <c r="BI64" s="137">
        <v>0</v>
      </c>
      <c r="BJ64" s="137">
        <v>0</v>
      </c>
      <c r="BK64" s="137">
        <v>0</v>
      </c>
      <c r="BL64" s="137">
        <v>0</v>
      </c>
      <c r="BM64" s="137">
        <v>0</v>
      </c>
      <c r="BN64" s="137">
        <v>0</v>
      </c>
      <c r="BO64" s="137">
        <v>0</v>
      </c>
      <c r="BP64" s="137">
        <v>0</v>
      </c>
      <c r="BQ64" s="137">
        <v>0</v>
      </c>
      <c r="BR64" s="137">
        <v>0</v>
      </c>
      <c r="BS64" s="137">
        <v>0</v>
      </c>
      <c r="BT64" s="137">
        <v>0</v>
      </c>
      <c r="BU64" s="137">
        <v>0</v>
      </c>
      <c r="BV64" s="137">
        <v>0</v>
      </c>
      <c r="BW64" s="137">
        <v>0</v>
      </c>
      <c r="BX64" s="137">
        <v>0</v>
      </c>
      <c r="BY64" s="137">
        <v>0</v>
      </c>
      <c r="BZ64" s="137">
        <v>0</v>
      </c>
      <c r="CA64" s="137">
        <v>0</v>
      </c>
      <c r="CB64" s="137">
        <v>0</v>
      </c>
      <c r="CC64" s="137">
        <v>0</v>
      </c>
      <c r="CD64" s="137">
        <v>0</v>
      </c>
      <c r="CE64" s="137">
        <v>0</v>
      </c>
      <c r="CF64" s="137">
        <v>0</v>
      </c>
      <c r="CG64" s="137">
        <v>0</v>
      </c>
      <c r="CH64" s="137">
        <v>0</v>
      </c>
      <c r="CI64" s="137">
        <v>0</v>
      </c>
      <c r="CJ64" s="137">
        <v>0</v>
      </c>
      <c r="CK64" s="137">
        <v>0</v>
      </c>
      <c r="CL64" s="137">
        <v>0</v>
      </c>
      <c r="CM64" s="137">
        <v>0</v>
      </c>
      <c r="CN64" s="137">
        <v>0</v>
      </c>
      <c r="CO64" s="137">
        <v>0</v>
      </c>
      <c r="CP64" s="137">
        <v>0</v>
      </c>
      <c r="CQ64" s="137">
        <v>0</v>
      </c>
      <c r="CR64" s="137">
        <v>0</v>
      </c>
      <c r="CS64" s="137">
        <v>0</v>
      </c>
      <c r="CT64" s="137">
        <v>0</v>
      </c>
      <c r="CU64" s="137">
        <v>0</v>
      </c>
      <c r="CV64" s="137">
        <v>0</v>
      </c>
    </row>
    <row r="65" spans="2:100" x14ac:dyDescent="0.25">
      <c r="B65" s="114"/>
      <c r="C65" s="347"/>
      <c r="D65" s="348"/>
      <c r="E65" s="348"/>
      <c r="F65" s="349"/>
      <c r="G65" s="137">
        <v>0</v>
      </c>
      <c r="H65" s="137">
        <v>0</v>
      </c>
      <c r="I65" s="137">
        <v>0</v>
      </c>
      <c r="J65" s="137">
        <v>0</v>
      </c>
      <c r="K65" s="137">
        <v>0</v>
      </c>
      <c r="L65" s="137">
        <v>0</v>
      </c>
      <c r="M65" s="137">
        <v>0</v>
      </c>
      <c r="N65" s="137">
        <v>0</v>
      </c>
      <c r="O65" s="137">
        <v>0</v>
      </c>
      <c r="P65" s="137">
        <v>0</v>
      </c>
      <c r="Q65" s="137">
        <v>0</v>
      </c>
      <c r="R65" s="137">
        <v>0</v>
      </c>
      <c r="S65" s="137">
        <v>0</v>
      </c>
      <c r="T65" s="137">
        <v>0</v>
      </c>
      <c r="U65" s="137">
        <v>0</v>
      </c>
      <c r="V65" s="137">
        <v>0</v>
      </c>
      <c r="W65" s="137">
        <v>0</v>
      </c>
      <c r="X65" s="137">
        <v>0</v>
      </c>
      <c r="Y65" s="137">
        <v>0</v>
      </c>
      <c r="Z65" s="137">
        <v>0</v>
      </c>
      <c r="AA65" s="137">
        <v>0</v>
      </c>
      <c r="AB65" s="137">
        <v>0</v>
      </c>
      <c r="AC65" s="137">
        <v>0</v>
      </c>
      <c r="AD65" s="137">
        <v>0</v>
      </c>
      <c r="AE65" s="137">
        <v>0</v>
      </c>
      <c r="AF65" s="137">
        <v>0</v>
      </c>
      <c r="AG65" s="137">
        <v>0</v>
      </c>
      <c r="AH65" s="137">
        <v>0</v>
      </c>
      <c r="AI65" s="137">
        <v>0</v>
      </c>
      <c r="AJ65" s="137">
        <v>0</v>
      </c>
      <c r="AK65" s="137">
        <v>0</v>
      </c>
      <c r="AL65" s="137">
        <v>0</v>
      </c>
      <c r="AM65" s="137">
        <v>0</v>
      </c>
      <c r="AN65" s="137">
        <v>0</v>
      </c>
      <c r="AO65" s="137">
        <v>0</v>
      </c>
      <c r="AP65" s="137">
        <v>0</v>
      </c>
      <c r="AQ65" s="137">
        <v>0</v>
      </c>
      <c r="AR65" s="137">
        <v>0</v>
      </c>
      <c r="AS65" s="137">
        <v>0</v>
      </c>
      <c r="AT65" s="137">
        <v>0</v>
      </c>
      <c r="AU65" s="137">
        <v>0</v>
      </c>
      <c r="AV65" s="137">
        <v>0</v>
      </c>
      <c r="AW65" s="137">
        <v>0</v>
      </c>
      <c r="AX65" s="137">
        <v>0</v>
      </c>
      <c r="AY65" s="137">
        <v>0</v>
      </c>
      <c r="AZ65" s="137">
        <v>0</v>
      </c>
      <c r="BA65" s="137">
        <v>0</v>
      </c>
      <c r="BB65" s="137">
        <v>0</v>
      </c>
      <c r="BC65" s="137">
        <v>0</v>
      </c>
      <c r="BD65" s="137">
        <v>0</v>
      </c>
      <c r="BE65" s="137">
        <v>0</v>
      </c>
      <c r="BF65" s="137">
        <v>0</v>
      </c>
      <c r="BG65" s="137">
        <v>0</v>
      </c>
      <c r="BH65" s="137">
        <v>0</v>
      </c>
      <c r="BI65" s="137">
        <v>0</v>
      </c>
      <c r="BJ65" s="137">
        <v>0</v>
      </c>
      <c r="BK65" s="137">
        <v>0</v>
      </c>
      <c r="BL65" s="137">
        <v>0</v>
      </c>
      <c r="BM65" s="137">
        <v>0</v>
      </c>
      <c r="BN65" s="137">
        <v>0</v>
      </c>
      <c r="BO65" s="137">
        <v>0</v>
      </c>
      <c r="BP65" s="137">
        <v>0</v>
      </c>
      <c r="BQ65" s="137">
        <v>0</v>
      </c>
      <c r="BR65" s="137">
        <v>0</v>
      </c>
      <c r="BS65" s="137">
        <v>0</v>
      </c>
      <c r="BT65" s="137">
        <v>0</v>
      </c>
      <c r="BU65" s="137">
        <v>0</v>
      </c>
      <c r="BV65" s="137">
        <v>0</v>
      </c>
      <c r="BW65" s="137">
        <v>0</v>
      </c>
      <c r="BX65" s="137">
        <v>0</v>
      </c>
      <c r="BY65" s="137">
        <v>0</v>
      </c>
      <c r="BZ65" s="137">
        <v>0</v>
      </c>
      <c r="CA65" s="137">
        <v>0</v>
      </c>
      <c r="CB65" s="137">
        <v>0</v>
      </c>
      <c r="CC65" s="137">
        <v>0</v>
      </c>
      <c r="CD65" s="137">
        <v>0</v>
      </c>
      <c r="CE65" s="137">
        <v>0</v>
      </c>
      <c r="CF65" s="137">
        <v>0</v>
      </c>
      <c r="CG65" s="137">
        <v>0</v>
      </c>
      <c r="CH65" s="137">
        <v>0</v>
      </c>
      <c r="CI65" s="137">
        <v>0</v>
      </c>
      <c r="CJ65" s="137">
        <v>0</v>
      </c>
      <c r="CK65" s="137">
        <v>0</v>
      </c>
      <c r="CL65" s="137">
        <v>0</v>
      </c>
      <c r="CM65" s="137">
        <v>0</v>
      </c>
      <c r="CN65" s="137">
        <v>0</v>
      </c>
      <c r="CO65" s="137">
        <v>0</v>
      </c>
      <c r="CP65" s="137">
        <v>0</v>
      </c>
      <c r="CQ65" s="137">
        <v>0</v>
      </c>
      <c r="CR65" s="137">
        <v>0</v>
      </c>
      <c r="CS65" s="137">
        <v>0</v>
      </c>
      <c r="CT65" s="137">
        <v>0</v>
      </c>
      <c r="CU65" s="137">
        <v>0</v>
      </c>
      <c r="CV65" s="137">
        <v>0</v>
      </c>
    </row>
    <row r="66" spans="2:100" x14ac:dyDescent="0.25">
      <c r="B66" s="114"/>
      <c r="C66" s="347"/>
      <c r="D66" s="348"/>
      <c r="E66" s="348"/>
      <c r="F66" s="349"/>
      <c r="G66" s="137">
        <v>0</v>
      </c>
      <c r="H66" s="137">
        <v>0</v>
      </c>
      <c r="I66" s="137">
        <v>0</v>
      </c>
      <c r="J66" s="137">
        <v>0</v>
      </c>
      <c r="K66" s="137">
        <v>0</v>
      </c>
      <c r="L66" s="137">
        <v>0</v>
      </c>
      <c r="M66" s="137">
        <v>0</v>
      </c>
      <c r="N66" s="137">
        <v>0</v>
      </c>
      <c r="O66" s="137">
        <v>0</v>
      </c>
      <c r="P66" s="137">
        <v>0</v>
      </c>
      <c r="Q66" s="137">
        <v>0</v>
      </c>
      <c r="R66" s="137">
        <v>0</v>
      </c>
      <c r="S66" s="137">
        <v>0</v>
      </c>
      <c r="T66" s="137">
        <v>0</v>
      </c>
      <c r="U66" s="137">
        <v>0</v>
      </c>
      <c r="V66" s="137">
        <v>0</v>
      </c>
      <c r="W66" s="137">
        <v>0</v>
      </c>
      <c r="X66" s="137">
        <v>0</v>
      </c>
      <c r="Y66" s="137">
        <v>0</v>
      </c>
      <c r="Z66" s="137">
        <v>0</v>
      </c>
      <c r="AA66" s="137">
        <v>0</v>
      </c>
      <c r="AB66" s="137">
        <v>0</v>
      </c>
      <c r="AC66" s="137">
        <v>0</v>
      </c>
      <c r="AD66" s="137">
        <v>0</v>
      </c>
      <c r="AE66" s="137">
        <v>0</v>
      </c>
      <c r="AF66" s="137">
        <v>0</v>
      </c>
      <c r="AG66" s="137">
        <v>0</v>
      </c>
      <c r="AH66" s="137">
        <v>0</v>
      </c>
      <c r="AI66" s="137">
        <v>0</v>
      </c>
      <c r="AJ66" s="137">
        <v>0</v>
      </c>
      <c r="AK66" s="137">
        <v>0</v>
      </c>
      <c r="AL66" s="137">
        <v>0</v>
      </c>
      <c r="AM66" s="137">
        <v>0</v>
      </c>
      <c r="AN66" s="137">
        <v>0</v>
      </c>
      <c r="AO66" s="137">
        <v>0</v>
      </c>
      <c r="AP66" s="137">
        <v>0</v>
      </c>
      <c r="AQ66" s="137">
        <v>0</v>
      </c>
      <c r="AR66" s="137">
        <v>0</v>
      </c>
      <c r="AS66" s="137">
        <v>0</v>
      </c>
      <c r="AT66" s="137">
        <v>0</v>
      </c>
      <c r="AU66" s="137">
        <v>0</v>
      </c>
      <c r="AV66" s="137">
        <v>0</v>
      </c>
      <c r="AW66" s="137">
        <v>0</v>
      </c>
      <c r="AX66" s="137">
        <v>0</v>
      </c>
      <c r="AY66" s="137">
        <v>0</v>
      </c>
      <c r="AZ66" s="137">
        <v>0</v>
      </c>
      <c r="BA66" s="137">
        <v>0</v>
      </c>
      <c r="BB66" s="137">
        <v>0</v>
      </c>
      <c r="BC66" s="137">
        <v>0</v>
      </c>
      <c r="BD66" s="137">
        <v>0</v>
      </c>
      <c r="BE66" s="137">
        <v>0</v>
      </c>
      <c r="BF66" s="137">
        <v>0</v>
      </c>
      <c r="BG66" s="137">
        <v>0</v>
      </c>
      <c r="BH66" s="137">
        <v>0</v>
      </c>
      <c r="BI66" s="137">
        <v>0</v>
      </c>
      <c r="BJ66" s="137">
        <v>0</v>
      </c>
      <c r="BK66" s="137">
        <v>0</v>
      </c>
      <c r="BL66" s="137">
        <v>0</v>
      </c>
      <c r="BM66" s="137">
        <v>0</v>
      </c>
      <c r="BN66" s="137">
        <v>0</v>
      </c>
      <c r="BO66" s="137">
        <v>0</v>
      </c>
      <c r="BP66" s="137">
        <v>0</v>
      </c>
      <c r="BQ66" s="137">
        <v>0</v>
      </c>
      <c r="BR66" s="137">
        <v>0</v>
      </c>
      <c r="BS66" s="137">
        <v>0</v>
      </c>
      <c r="BT66" s="137">
        <v>0</v>
      </c>
      <c r="BU66" s="137">
        <v>0</v>
      </c>
      <c r="BV66" s="137">
        <v>0</v>
      </c>
      <c r="BW66" s="137">
        <v>0</v>
      </c>
      <c r="BX66" s="137">
        <v>0</v>
      </c>
      <c r="BY66" s="137">
        <v>0</v>
      </c>
      <c r="BZ66" s="137">
        <v>0</v>
      </c>
      <c r="CA66" s="137">
        <v>0</v>
      </c>
      <c r="CB66" s="137">
        <v>0</v>
      </c>
      <c r="CC66" s="137">
        <v>0</v>
      </c>
      <c r="CD66" s="137">
        <v>0</v>
      </c>
      <c r="CE66" s="137">
        <v>0</v>
      </c>
      <c r="CF66" s="137">
        <v>0</v>
      </c>
      <c r="CG66" s="137">
        <v>0</v>
      </c>
      <c r="CH66" s="137">
        <v>0</v>
      </c>
      <c r="CI66" s="137">
        <v>0</v>
      </c>
      <c r="CJ66" s="137">
        <v>0</v>
      </c>
      <c r="CK66" s="137">
        <v>0</v>
      </c>
      <c r="CL66" s="137">
        <v>0</v>
      </c>
      <c r="CM66" s="137">
        <v>0</v>
      </c>
      <c r="CN66" s="137">
        <v>0</v>
      </c>
      <c r="CO66" s="137">
        <v>0</v>
      </c>
      <c r="CP66" s="137">
        <v>0</v>
      </c>
      <c r="CQ66" s="137">
        <v>0</v>
      </c>
      <c r="CR66" s="137">
        <v>0</v>
      </c>
      <c r="CS66" s="137">
        <v>0</v>
      </c>
      <c r="CT66" s="137">
        <v>0</v>
      </c>
      <c r="CU66" s="137">
        <v>0</v>
      </c>
      <c r="CV66" s="137">
        <v>0</v>
      </c>
    </row>
    <row r="67" spans="2:100" x14ac:dyDescent="0.25">
      <c r="B67" s="114"/>
      <c r="C67" s="347"/>
      <c r="D67" s="348"/>
      <c r="E67" s="348"/>
      <c r="F67" s="349"/>
      <c r="G67" s="137">
        <v>0</v>
      </c>
      <c r="H67" s="137">
        <v>0</v>
      </c>
      <c r="I67" s="137">
        <v>0</v>
      </c>
      <c r="J67" s="137">
        <v>0</v>
      </c>
      <c r="K67" s="137">
        <v>0</v>
      </c>
      <c r="L67" s="137">
        <v>0</v>
      </c>
      <c r="M67" s="137">
        <v>0</v>
      </c>
      <c r="N67" s="137">
        <v>0</v>
      </c>
      <c r="O67" s="137">
        <v>0</v>
      </c>
      <c r="P67" s="137">
        <v>0</v>
      </c>
      <c r="Q67" s="137">
        <v>0</v>
      </c>
      <c r="R67" s="137">
        <v>0</v>
      </c>
      <c r="S67" s="137">
        <v>0</v>
      </c>
      <c r="T67" s="137">
        <v>0</v>
      </c>
      <c r="U67" s="137">
        <v>0</v>
      </c>
      <c r="V67" s="137">
        <v>0</v>
      </c>
      <c r="W67" s="137">
        <v>0</v>
      </c>
      <c r="X67" s="137">
        <v>0</v>
      </c>
      <c r="Y67" s="137">
        <v>0</v>
      </c>
      <c r="Z67" s="137">
        <v>0</v>
      </c>
      <c r="AA67" s="137">
        <v>0</v>
      </c>
      <c r="AB67" s="137">
        <v>0</v>
      </c>
      <c r="AC67" s="137">
        <v>0</v>
      </c>
      <c r="AD67" s="137">
        <v>0</v>
      </c>
      <c r="AE67" s="137">
        <v>0</v>
      </c>
      <c r="AF67" s="137">
        <v>0</v>
      </c>
      <c r="AG67" s="137">
        <v>0</v>
      </c>
      <c r="AH67" s="137">
        <v>0</v>
      </c>
      <c r="AI67" s="137">
        <v>0</v>
      </c>
      <c r="AJ67" s="137">
        <v>0</v>
      </c>
      <c r="AK67" s="137">
        <v>0</v>
      </c>
      <c r="AL67" s="137">
        <v>0</v>
      </c>
      <c r="AM67" s="137">
        <v>0</v>
      </c>
      <c r="AN67" s="137">
        <v>0</v>
      </c>
      <c r="AO67" s="137">
        <v>0</v>
      </c>
      <c r="AP67" s="137">
        <v>0</v>
      </c>
      <c r="AQ67" s="137">
        <v>0</v>
      </c>
      <c r="AR67" s="137">
        <v>0</v>
      </c>
      <c r="AS67" s="137">
        <v>0</v>
      </c>
      <c r="AT67" s="137">
        <v>0</v>
      </c>
      <c r="AU67" s="137">
        <v>0</v>
      </c>
      <c r="AV67" s="137">
        <v>0</v>
      </c>
      <c r="AW67" s="137">
        <v>0</v>
      </c>
      <c r="AX67" s="137">
        <v>0</v>
      </c>
      <c r="AY67" s="137">
        <v>0</v>
      </c>
      <c r="AZ67" s="137">
        <v>0</v>
      </c>
      <c r="BA67" s="137">
        <v>0</v>
      </c>
      <c r="BB67" s="137">
        <v>0</v>
      </c>
      <c r="BC67" s="137">
        <v>0</v>
      </c>
      <c r="BD67" s="137">
        <v>0</v>
      </c>
      <c r="BE67" s="137">
        <v>0</v>
      </c>
      <c r="BF67" s="137">
        <v>0</v>
      </c>
      <c r="BG67" s="137">
        <v>0</v>
      </c>
      <c r="BH67" s="137">
        <v>0</v>
      </c>
      <c r="BI67" s="137">
        <v>0</v>
      </c>
      <c r="BJ67" s="137">
        <v>0</v>
      </c>
      <c r="BK67" s="137">
        <v>0</v>
      </c>
      <c r="BL67" s="137">
        <v>0</v>
      </c>
      <c r="BM67" s="137">
        <v>0</v>
      </c>
      <c r="BN67" s="137">
        <v>0</v>
      </c>
      <c r="BO67" s="137">
        <v>0</v>
      </c>
      <c r="BP67" s="137">
        <v>0</v>
      </c>
      <c r="BQ67" s="137">
        <v>0</v>
      </c>
      <c r="BR67" s="137">
        <v>0</v>
      </c>
      <c r="BS67" s="137">
        <v>0</v>
      </c>
      <c r="BT67" s="137">
        <v>0</v>
      </c>
      <c r="BU67" s="137">
        <v>0</v>
      </c>
      <c r="BV67" s="137">
        <v>0</v>
      </c>
      <c r="BW67" s="137">
        <v>0</v>
      </c>
      <c r="BX67" s="137">
        <v>0</v>
      </c>
      <c r="BY67" s="137">
        <v>0</v>
      </c>
      <c r="BZ67" s="137">
        <v>0</v>
      </c>
      <c r="CA67" s="137">
        <v>0</v>
      </c>
      <c r="CB67" s="137">
        <v>0</v>
      </c>
      <c r="CC67" s="137">
        <v>0</v>
      </c>
      <c r="CD67" s="137">
        <v>0</v>
      </c>
      <c r="CE67" s="137">
        <v>0</v>
      </c>
      <c r="CF67" s="137">
        <v>0</v>
      </c>
      <c r="CG67" s="137">
        <v>0</v>
      </c>
      <c r="CH67" s="137">
        <v>0</v>
      </c>
      <c r="CI67" s="137">
        <v>0</v>
      </c>
      <c r="CJ67" s="137">
        <v>0</v>
      </c>
      <c r="CK67" s="137">
        <v>0</v>
      </c>
      <c r="CL67" s="137">
        <v>0</v>
      </c>
      <c r="CM67" s="137">
        <v>0</v>
      </c>
      <c r="CN67" s="137">
        <v>0</v>
      </c>
      <c r="CO67" s="137">
        <v>0</v>
      </c>
      <c r="CP67" s="137">
        <v>0</v>
      </c>
      <c r="CQ67" s="137">
        <v>0</v>
      </c>
      <c r="CR67" s="137">
        <v>0</v>
      </c>
      <c r="CS67" s="137">
        <v>0</v>
      </c>
      <c r="CT67" s="137">
        <v>0</v>
      </c>
      <c r="CU67" s="137">
        <v>0</v>
      </c>
      <c r="CV67" s="137">
        <v>0</v>
      </c>
    </row>
    <row r="68" spans="2:100" x14ac:dyDescent="0.25">
      <c r="B68" s="114"/>
      <c r="C68" s="347"/>
      <c r="D68" s="348"/>
      <c r="E68" s="348"/>
      <c r="F68" s="349"/>
      <c r="G68" s="137">
        <v>0</v>
      </c>
      <c r="H68" s="137">
        <v>0</v>
      </c>
      <c r="I68" s="137">
        <v>0</v>
      </c>
      <c r="J68" s="137">
        <v>0</v>
      </c>
      <c r="K68" s="137">
        <v>0</v>
      </c>
      <c r="L68" s="137">
        <v>0</v>
      </c>
      <c r="M68" s="137">
        <v>0</v>
      </c>
      <c r="N68" s="137">
        <v>0</v>
      </c>
      <c r="O68" s="137">
        <v>0</v>
      </c>
      <c r="P68" s="137">
        <v>0</v>
      </c>
      <c r="Q68" s="137">
        <v>0</v>
      </c>
      <c r="R68" s="137">
        <v>0</v>
      </c>
      <c r="S68" s="137">
        <v>0</v>
      </c>
      <c r="T68" s="137">
        <v>0</v>
      </c>
      <c r="U68" s="137">
        <v>0</v>
      </c>
      <c r="V68" s="137">
        <v>0</v>
      </c>
      <c r="W68" s="137">
        <v>0</v>
      </c>
      <c r="X68" s="137">
        <v>0</v>
      </c>
      <c r="Y68" s="137">
        <v>0</v>
      </c>
      <c r="Z68" s="137">
        <v>0</v>
      </c>
      <c r="AA68" s="137">
        <v>0</v>
      </c>
      <c r="AB68" s="137">
        <v>0</v>
      </c>
      <c r="AC68" s="137">
        <v>0</v>
      </c>
      <c r="AD68" s="137">
        <v>0</v>
      </c>
      <c r="AE68" s="137">
        <v>0</v>
      </c>
      <c r="AF68" s="137">
        <v>0</v>
      </c>
      <c r="AG68" s="137">
        <v>0</v>
      </c>
      <c r="AH68" s="137">
        <v>0</v>
      </c>
      <c r="AI68" s="137">
        <v>0</v>
      </c>
      <c r="AJ68" s="137">
        <v>0</v>
      </c>
      <c r="AK68" s="137">
        <v>0</v>
      </c>
      <c r="AL68" s="137">
        <v>0</v>
      </c>
      <c r="AM68" s="137">
        <v>0</v>
      </c>
      <c r="AN68" s="137">
        <v>0</v>
      </c>
      <c r="AO68" s="137">
        <v>0</v>
      </c>
      <c r="AP68" s="137">
        <v>0</v>
      </c>
      <c r="AQ68" s="137">
        <v>0</v>
      </c>
      <c r="AR68" s="137">
        <v>0</v>
      </c>
      <c r="AS68" s="137">
        <v>0</v>
      </c>
      <c r="AT68" s="137">
        <v>0</v>
      </c>
      <c r="AU68" s="137">
        <v>0</v>
      </c>
      <c r="AV68" s="137">
        <v>0</v>
      </c>
      <c r="AW68" s="137">
        <v>0</v>
      </c>
      <c r="AX68" s="137">
        <v>0</v>
      </c>
      <c r="AY68" s="137">
        <v>0</v>
      </c>
      <c r="AZ68" s="137">
        <v>0</v>
      </c>
      <c r="BA68" s="137">
        <v>0</v>
      </c>
      <c r="BB68" s="137">
        <v>0</v>
      </c>
      <c r="BC68" s="137">
        <v>0</v>
      </c>
      <c r="BD68" s="137">
        <v>0</v>
      </c>
      <c r="BE68" s="137">
        <v>0</v>
      </c>
      <c r="BF68" s="137">
        <v>0</v>
      </c>
      <c r="BG68" s="137">
        <v>0</v>
      </c>
      <c r="BH68" s="137">
        <v>0</v>
      </c>
      <c r="BI68" s="137">
        <v>0</v>
      </c>
      <c r="BJ68" s="137">
        <v>0</v>
      </c>
      <c r="BK68" s="137">
        <v>0</v>
      </c>
      <c r="BL68" s="137">
        <v>0</v>
      </c>
      <c r="BM68" s="137">
        <v>0</v>
      </c>
      <c r="BN68" s="137">
        <v>0</v>
      </c>
      <c r="BO68" s="137">
        <v>0</v>
      </c>
      <c r="BP68" s="137">
        <v>0</v>
      </c>
      <c r="BQ68" s="137">
        <v>0</v>
      </c>
      <c r="BR68" s="137">
        <v>0</v>
      </c>
      <c r="BS68" s="137">
        <v>0</v>
      </c>
      <c r="BT68" s="137">
        <v>0</v>
      </c>
      <c r="BU68" s="137">
        <v>0</v>
      </c>
      <c r="BV68" s="137">
        <v>0</v>
      </c>
      <c r="BW68" s="137">
        <v>0</v>
      </c>
      <c r="BX68" s="137">
        <v>0</v>
      </c>
      <c r="BY68" s="137">
        <v>0</v>
      </c>
      <c r="BZ68" s="137">
        <v>0</v>
      </c>
      <c r="CA68" s="137">
        <v>0</v>
      </c>
      <c r="CB68" s="137">
        <v>0</v>
      </c>
      <c r="CC68" s="137">
        <v>0</v>
      </c>
      <c r="CD68" s="137">
        <v>0</v>
      </c>
      <c r="CE68" s="137">
        <v>0</v>
      </c>
      <c r="CF68" s="137">
        <v>0</v>
      </c>
      <c r="CG68" s="137">
        <v>0</v>
      </c>
      <c r="CH68" s="137">
        <v>0</v>
      </c>
      <c r="CI68" s="137">
        <v>0</v>
      </c>
      <c r="CJ68" s="137">
        <v>0</v>
      </c>
      <c r="CK68" s="137">
        <v>0</v>
      </c>
      <c r="CL68" s="137">
        <v>0</v>
      </c>
      <c r="CM68" s="137">
        <v>0</v>
      </c>
      <c r="CN68" s="137">
        <v>0</v>
      </c>
      <c r="CO68" s="137">
        <v>0</v>
      </c>
      <c r="CP68" s="137">
        <v>0</v>
      </c>
      <c r="CQ68" s="137">
        <v>0</v>
      </c>
      <c r="CR68" s="137">
        <v>0</v>
      </c>
      <c r="CS68" s="137">
        <v>0</v>
      </c>
      <c r="CT68" s="137">
        <v>0</v>
      </c>
      <c r="CU68" s="137">
        <v>0</v>
      </c>
      <c r="CV68" s="137">
        <v>0</v>
      </c>
    </row>
    <row r="69" spans="2:100" x14ac:dyDescent="0.25">
      <c r="B69" s="114"/>
      <c r="C69" s="347"/>
      <c r="D69" s="348"/>
      <c r="E69" s="348"/>
      <c r="F69" s="349"/>
      <c r="G69" s="137">
        <v>0</v>
      </c>
      <c r="H69" s="137">
        <v>0</v>
      </c>
      <c r="I69" s="137">
        <v>0</v>
      </c>
      <c r="J69" s="137">
        <v>0</v>
      </c>
      <c r="K69" s="137">
        <v>0</v>
      </c>
      <c r="L69" s="137">
        <v>0</v>
      </c>
      <c r="M69" s="137">
        <v>0</v>
      </c>
      <c r="N69" s="137">
        <v>0</v>
      </c>
      <c r="O69" s="137">
        <v>0</v>
      </c>
      <c r="P69" s="137">
        <v>0</v>
      </c>
      <c r="Q69" s="137">
        <v>0</v>
      </c>
      <c r="R69" s="137">
        <v>0</v>
      </c>
      <c r="S69" s="137">
        <v>0</v>
      </c>
      <c r="T69" s="137">
        <v>0</v>
      </c>
      <c r="U69" s="137">
        <v>0</v>
      </c>
      <c r="V69" s="137">
        <v>0</v>
      </c>
      <c r="W69" s="137">
        <v>0</v>
      </c>
      <c r="X69" s="137">
        <v>0</v>
      </c>
      <c r="Y69" s="137">
        <v>0</v>
      </c>
      <c r="Z69" s="137">
        <v>0</v>
      </c>
      <c r="AA69" s="137">
        <v>0</v>
      </c>
      <c r="AB69" s="137">
        <v>0</v>
      </c>
      <c r="AC69" s="137">
        <v>0</v>
      </c>
      <c r="AD69" s="137">
        <v>0</v>
      </c>
      <c r="AE69" s="137">
        <v>0</v>
      </c>
      <c r="AF69" s="137">
        <v>0</v>
      </c>
      <c r="AG69" s="137">
        <v>0</v>
      </c>
      <c r="AH69" s="137">
        <v>0</v>
      </c>
      <c r="AI69" s="137">
        <v>0</v>
      </c>
      <c r="AJ69" s="137">
        <v>0</v>
      </c>
      <c r="AK69" s="137">
        <v>0</v>
      </c>
      <c r="AL69" s="137">
        <v>0</v>
      </c>
      <c r="AM69" s="137">
        <v>0</v>
      </c>
      <c r="AN69" s="137">
        <v>0</v>
      </c>
      <c r="AO69" s="137">
        <v>0</v>
      </c>
      <c r="AP69" s="137">
        <v>0</v>
      </c>
      <c r="AQ69" s="137">
        <v>0</v>
      </c>
      <c r="AR69" s="137">
        <v>0</v>
      </c>
      <c r="AS69" s="137">
        <v>0</v>
      </c>
      <c r="AT69" s="137">
        <v>0</v>
      </c>
      <c r="AU69" s="137">
        <v>0</v>
      </c>
      <c r="AV69" s="137">
        <v>0</v>
      </c>
      <c r="AW69" s="137">
        <v>0</v>
      </c>
      <c r="AX69" s="137">
        <v>0</v>
      </c>
      <c r="AY69" s="137">
        <v>0</v>
      </c>
      <c r="AZ69" s="137">
        <v>0</v>
      </c>
      <c r="BA69" s="137">
        <v>0</v>
      </c>
      <c r="BB69" s="137">
        <v>0</v>
      </c>
      <c r="BC69" s="137">
        <v>0</v>
      </c>
      <c r="BD69" s="137">
        <v>0</v>
      </c>
      <c r="BE69" s="137">
        <v>0</v>
      </c>
      <c r="BF69" s="137">
        <v>0</v>
      </c>
      <c r="BG69" s="137">
        <v>0</v>
      </c>
      <c r="BH69" s="137">
        <v>0</v>
      </c>
      <c r="BI69" s="137">
        <v>0</v>
      </c>
      <c r="BJ69" s="137">
        <v>0</v>
      </c>
      <c r="BK69" s="137">
        <v>0</v>
      </c>
      <c r="BL69" s="137">
        <v>0</v>
      </c>
      <c r="BM69" s="137">
        <v>0</v>
      </c>
      <c r="BN69" s="137">
        <v>0</v>
      </c>
      <c r="BO69" s="137">
        <v>0</v>
      </c>
      <c r="BP69" s="137">
        <v>0</v>
      </c>
      <c r="BQ69" s="137">
        <v>0</v>
      </c>
      <c r="BR69" s="137">
        <v>0</v>
      </c>
      <c r="BS69" s="137">
        <v>0</v>
      </c>
      <c r="BT69" s="137">
        <v>0</v>
      </c>
      <c r="BU69" s="137">
        <v>0</v>
      </c>
      <c r="BV69" s="137">
        <v>0</v>
      </c>
      <c r="BW69" s="137">
        <v>0</v>
      </c>
      <c r="BX69" s="137">
        <v>0</v>
      </c>
      <c r="BY69" s="137">
        <v>0</v>
      </c>
      <c r="BZ69" s="137">
        <v>0</v>
      </c>
      <c r="CA69" s="137">
        <v>0</v>
      </c>
      <c r="CB69" s="137">
        <v>0</v>
      </c>
      <c r="CC69" s="137">
        <v>0</v>
      </c>
      <c r="CD69" s="137">
        <v>0</v>
      </c>
      <c r="CE69" s="137">
        <v>0</v>
      </c>
      <c r="CF69" s="137">
        <v>0</v>
      </c>
      <c r="CG69" s="137">
        <v>0</v>
      </c>
      <c r="CH69" s="137">
        <v>0</v>
      </c>
      <c r="CI69" s="137">
        <v>0</v>
      </c>
      <c r="CJ69" s="137">
        <v>0</v>
      </c>
      <c r="CK69" s="137">
        <v>0</v>
      </c>
      <c r="CL69" s="137">
        <v>0</v>
      </c>
      <c r="CM69" s="137">
        <v>0</v>
      </c>
      <c r="CN69" s="137">
        <v>0</v>
      </c>
      <c r="CO69" s="137">
        <v>0</v>
      </c>
      <c r="CP69" s="137">
        <v>0</v>
      </c>
      <c r="CQ69" s="137">
        <v>0</v>
      </c>
      <c r="CR69" s="137">
        <v>0</v>
      </c>
      <c r="CS69" s="137">
        <v>0</v>
      </c>
      <c r="CT69" s="137">
        <v>0</v>
      </c>
      <c r="CU69" s="137">
        <v>0</v>
      </c>
      <c r="CV69" s="137">
        <v>0</v>
      </c>
    </row>
    <row r="70" spans="2:100" x14ac:dyDescent="0.25">
      <c r="B70" s="114"/>
      <c r="C70" s="347"/>
      <c r="D70" s="348"/>
      <c r="E70" s="348"/>
      <c r="F70" s="349"/>
      <c r="G70" s="137">
        <v>0</v>
      </c>
      <c r="H70" s="137">
        <v>0</v>
      </c>
      <c r="I70" s="137">
        <v>0</v>
      </c>
      <c r="J70" s="137">
        <v>0</v>
      </c>
      <c r="K70" s="137">
        <v>0</v>
      </c>
      <c r="L70" s="137">
        <v>0</v>
      </c>
      <c r="M70" s="137">
        <v>0</v>
      </c>
      <c r="N70" s="137">
        <v>0</v>
      </c>
      <c r="O70" s="137">
        <v>0</v>
      </c>
      <c r="P70" s="137">
        <v>0</v>
      </c>
      <c r="Q70" s="137">
        <v>0</v>
      </c>
      <c r="R70" s="137">
        <v>0</v>
      </c>
      <c r="S70" s="137">
        <v>0</v>
      </c>
      <c r="T70" s="137">
        <v>0</v>
      </c>
      <c r="U70" s="137">
        <v>0</v>
      </c>
      <c r="V70" s="137">
        <v>0</v>
      </c>
      <c r="W70" s="137">
        <v>0</v>
      </c>
      <c r="X70" s="137">
        <v>0</v>
      </c>
      <c r="Y70" s="137">
        <v>0</v>
      </c>
      <c r="Z70" s="137">
        <v>0</v>
      </c>
      <c r="AA70" s="137">
        <v>0</v>
      </c>
      <c r="AB70" s="137">
        <v>0</v>
      </c>
      <c r="AC70" s="137">
        <v>0</v>
      </c>
      <c r="AD70" s="137">
        <v>0</v>
      </c>
      <c r="AE70" s="137">
        <v>0</v>
      </c>
      <c r="AF70" s="137">
        <v>0</v>
      </c>
      <c r="AG70" s="137">
        <v>0</v>
      </c>
      <c r="AH70" s="137">
        <v>0</v>
      </c>
      <c r="AI70" s="137">
        <v>0</v>
      </c>
      <c r="AJ70" s="137">
        <v>0</v>
      </c>
      <c r="AK70" s="137">
        <v>0</v>
      </c>
      <c r="AL70" s="137">
        <v>0</v>
      </c>
      <c r="AM70" s="137">
        <v>0</v>
      </c>
      <c r="AN70" s="137">
        <v>0</v>
      </c>
      <c r="AO70" s="137">
        <v>0</v>
      </c>
      <c r="AP70" s="137">
        <v>0</v>
      </c>
      <c r="AQ70" s="137">
        <v>0</v>
      </c>
      <c r="AR70" s="137">
        <v>0</v>
      </c>
      <c r="AS70" s="137">
        <v>0</v>
      </c>
      <c r="AT70" s="137">
        <v>0</v>
      </c>
      <c r="AU70" s="137">
        <v>0</v>
      </c>
      <c r="AV70" s="137">
        <v>0</v>
      </c>
      <c r="AW70" s="137">
        <v>0</v>
      </c>
      <c r="AX70" s="137">
        <v>0</v>
      </c>
      <c r="AY70" s="137">
        <v>0</v>
      </c>
      <c r="AZ70" s="137">
        <v>0</v>
      </c>
      <c r="BA70" s="137">
        <v>0</v>
      </c>
      <c r="BB70" s="137">
        <v>0</v>
      </c>
      <c r="BC70" s="137">
        <v>0</v>
      </c>
      <c r="BD70" s="137">
        <v>0</v>
      </c>
      <c r="BE70" s="137">
        <v>0</v>
      </c>
      <c r="BF70" s="137">
        <v>0</v>
      </c>
      <c r="BG70" s="137">
        <v>0</v>
      </c>
      <c r="BH70" s="137">
        <v>0</v>
      </c>
      <c r="BI70" s="137">
        <v>0</v>
      </c>
      <c r="BJ70" s="137">
        <v>0</v>
      </c>
      <c r="BK70" s="137">
        <v>0</v>
      </c>
      <c r="BL70" s="137">
        <v>0</v>
      </c>
      <c r="BM70" s="137">
        <v>0</v>
      </c>
      <c r="BN70" s="137">
        <v>0</v>
      </c>
      <c r="BO70" s="137">
        <v>0</v>
      </c>
      <c r="BP70" s="137">
        <v>0</v>
      </c>
      <c r="BQ70" s="137">
        <v>0</v>
      </c>
      <c r="BR70" s="137">
        <v>0</v>
      </c>
      <c r="BS70" s="137">
        <v>0</v>
      </c>
      <c r="BT70" s="137">
        <v>0</v>
      </c>
      <c r="BU70" s="137">
        <v>0</v>
      </c>
      <c r="BV70" s="137">
        <v>0</v>
      </c>
      <c r="BW70" s="137">
        <v>0</v>
      </c>
      <c r="BX70" s="137">
        <v>0</v>
      </c>
      <c r="BY70" s="137">
        <v>0</v>
      </c>
      <c r="BZ70" s="137">
        <v>0</v>
      </c>
      <c r="CA70" s="137">
        <v>0</v>
      </c>
      <c r="CB70" s="137">
        <v>0</v>
      </c>
      <c r="CC70" s="137">
        <v>0</v>
      </c>
      <c r="CD70" s="137">
        <v>0</v>
      </c>
      <c r="CE70" s="137">
        <v>0</v>
      </c>
      <c r="CF70" s="137">
        <v>0</v>
      </c>
      <c r="CG70" s="137">
        <v>0</v>
      </c>
      <c r="CH70" s="137">
        <v>0</v>
      </c>
      <c r="CI70" s="137">
        <v>0</v>
      </c>
      <c r="CJ70" s="137">
        <v>0</v>
      </c>
      <c r="CK70" s="137">
        <v>0</v>
      </c>
      <c r="CL70" s="137">
        <v>0</v>
      </c>
      <c r="CM70" s="137">
        <v>0</v>
      </c>
      <c r="CN70" s="137">
        <v>0</v>
      </c>
      <c r="CO70" s="137">
        <v>0</v>
      </c>
      <c r="CP70" s="137">
        <v>0</v>
      </c>
      <c r="CQ70" s="137">
        <v>0</v>
      </c>
      <c r="CR70" s="137">
        <v>0</v>
      </c>
      <c r="CS70" s="137">
        <v>0</v>
      </c>
      <c r="CT70" s="137">
        <v>0</v>
      </c>
      <c r="CU70" s="137">
        <v>0</v>
      </c>
      <c r="CV70" s="137">
        <v>0</v>
      </c>
    </row>
    <row r="71" spans="2:100" x14ac:dyDescent="0.25">
      <c r="B71" s="114"/>
      <c r="C71" s="347"/>
      <c r="D71" s="348"/>
      <c r="E71" s="348"/>
      <c r="F71" s="349"/>
      <c r="G71" s="137">
        <v>0</v>
      </c>
      <c r="H71" s="137">
        <v>0</v>
      </c>
      <c r="I71" s="137">
        <v>0</v>
      </c>
      <c r="J71" s="137">
        <v>0</v>
      </c>
      <c r="K71" s="137">
        <v>0</v>
      </c>
      <c r="L71" s="137">
        <v>0</v>
      </c>
      <c r="M71" s="137">
        <v>0</v>
      </c>
      <c r="N71" s="137">
        <v>0</v>
      </c>
      <c r="O71" s="137">
        <v>0</v>
      </c>
      <c r="P71" s="137">
        <v>0</v>
      </c>
      <c r="Q71" s="137">
        <v>0</v>
      </c>
      <c r="R71" s="137">
        <v>0</v>
      </c>
      <c r="S71" s="137">
        <v>0</v>
      </c>
      <c r="T71" s="137">
        <v>0</v>
      </c>
      <c r="U71" s="137">
        <v>0</v>
      </c>
      <c r="V71" s="137">
        <v>0</v>
      </c>
      <c r="W71" s="137">
        <v>0</v>
      </c>
      <c r="X71" s="137">
        <v>0</v>
      </c>
      <c r="Y71" s="137">
        <v>0</v>
      </c>
      <c r="Z71" s="137">
        <v>0</v>
      </c>
      <c r="AA71" s="137">
        <v>0</v>
      </c>
      <c r="AB71" s="137">
        <v>0</v>
      </c>
      <c r="AC71" s="137">
        <v>0</v>
      </c>
      <c r="AD71" s="137">
        <v>0</v>
      </c>
      <c r="AE71" s="137">
        <v>0</v>
      </c>
      <c r="AF71" s="137">
        <v>0</v>
      </c>
      <c r="AG71" s="137">
        <v>0</v>
      </c>
      <c r="AH71" s="137">
        <v>0</v>
      </c>
      <c r="AI71" s="137">
        <v>0</v>
      </c>
      <c r="AJ71" s="137">
        <v>0</v>
      </c>
      <c r="AK71" s="137">
        <v>0</v>
      </c>
      <c r="AL71" s="137">
        <v>0</v>
      </c>
      <c r="AM71" s="137">
        <v>0</v>
      </c>
      <c r="AN71" s="137">
        <v>0</v>
      </c>
      <c r="AO71" s="137">
        <v>0</v>
      </c>
      <c r="AP71" s="137">
        <v>0</v>
      </c>
      <c r="AQ71" s="137">
        <v>0</v>
      </c>
      <c r="AR71" s="137">
        <v>0</v>
      </c>
      <c r="AS71" s="137">
        <v>0</v>
      </c>
      <c r="AT71" s="137">
        <v>0</v>
      </c>
      <c r="AU71" s="137">
        <v>0</v>
      </c>
      <c r="AV71" s="137">
        <v>0</v>
      </c>
      <c r="AW71" s="137">
        <v>0</v>
      </c>
      <c r="AX71" s="137">
        <v>0</v>
      </c>
      <c r="AY71" s="137">
        <v>0</v>
      </c>
      <c r="AZ71" s="137">
        <v>0</v>
      </c>
      <c r="BA71" s="137">
        <v>0</v>
      </c>
      <c r="BB71" s="137">
        <v>0</v>
      </c>
      <c r="BC71" s="137">
        <v>0</v>
      </c>
      <c r="BD71" s="137">
        <v>0</v>
      </c>
      <c r="BE71" s="137">
        <v>0</v>
      </c>
      <c r="BF71" s="137">
        <v>0</v>
      </c>
      <c r="BG71" s="137">
        <v>0</v>
      </c>
      <c r="BH71" s="137">
        <v>0</v>
      </c>
      <c r="BI71" s="137">
        <v>0</v>
      </c>
      <c r="BJ71" s="137">
        <v>0</v>
      </c>
      <c r="BK71" s="137">
        <v>0</v>
      </c>
      <c r="BL71" s="137">
        <v>0</v>
      </c>
      <c r="BM71" s="137">
        <v>0</v>
      </c>
      <c r="BN71" s="137">
        <v>0</v>
      </c>
      <c r="BO71" s="137">
        <v>0</v>
      </c>
      <c r="BP71" s="137">
        <v>0</v>
      </c>
      <c r="BQ71" s="137">
        <v>0</v>
      </c>
      <c r="BR71" s="137">
        <v>0</v>
      </c>
      <c r="BS71" s="137">
        <v>0</v>
      </c>
      <c r="BT71" s="137">
        <v>0</v>
      </c>
      <c r="BU71" s="137">
        <v>0</v>
      </c>
      <c r="BV71" s="137">
        <v>0</v>
      </c>
      <c r="BW71" s="137">
        <v>0</v>
      </c>
      <c r="BX71" s="137">
        <v>0</v>
      </c>
      <c r="BY71" s="137">
        <v>0</v>
      </c>
      <c r="BZ71" s="137">
        <v>0</v>
      </c>
      <c r="CA71" s="137">
        <v>0</v>
      </c>
      <c r="CB71" s="137">
        <v>0</v>
      </c>
      <c r="CC71" s="137">
        <v>0</v>
      </c>
      <c r="CD71" s="137">
        <v>0</v>
      </c>
      <c r="CE71" s="137">
        <v>0</v>
      </c>
      <c r="CF71" s="137">
        <v>0</v>
      </c>
      <c r="CG71" s="137">
        <v>0</v>
      </c>
      <c r="CH71" s="137">
        <v>0</v>
      </c>
      <c r="CI71" s="137">
        <v>0</v>
      </c>
      <c r="CJ71" s="137">
        <v>0</v>
      </c>
      <c r="CK71" s="137">
        <v>0</v>
      </c>
      <c r="CL71" s="137">
        <v>0</v>
      </c>
      <c r="CM71" s="137">
        <v>0</v>
      </c>
      <c r="CN71" s="137">
        <v>0</v>
      </c>
      <c r="CO71" s="137">
        <v>0</v>
      </c>
      <c r="CP71" s="137">
        <v>0</v>
      </c>
      <c r="CQ71" s="137">
        <v>0</v>
      </c>
      <c r="CR71" s="137">
        <v>0</v>
      </c>
      <c r="CS71" s="137">
        <v>0</v>
      </c>
      <c r="CT71" s="137">
        <v>0</v>
      </c>
      <c r="CU71" s="137">
        <v>0</v>
      </c>
      <c r="CV71" s="137">
        <v>0</v>
      </c>
    </row>
    <row r="72" spans="2:100" x14ac:dyDescent="0.25">
      <c r="B72" s="114"/>
      <c r="C72" s="347"/>
      <c r="D72" s="348"/>
      <c r="E72" s="348"/>
      <c r="F72" s="349"/>
      <c r="G72" s="137">
        <v>0</v>
      </c>
      <c r="H72" s="137">
        <v>0</v>
      </c>
      <c r="I72" s="137">
        <v>0</v>
      </c>
      <c r="J72" s="137">
        <v>0</v>
      </c>
      <c r="K72" s="137">
        <v>0</v>
      </c>
      <c r="L72" s="137">
        <v>0</v>
      </c>
      <c r="M72" s="137">
        <v>0</v>
      </c>
      <c r="N72" s="137">
        <v>0</v>
      </c>
      <c r="O72" s="137">
        <v>0</v>
      </c>
      <c r="P72" s="137">
        <v>0</v>
      </c>
      <c r="Q72" s="137">
        <v>0</v>
      </c>
      <c r="R72" s="137">
        <v>0</v>
      </c>
      <c r="S72" s="137">
        <v>0</v>
      </c>
      <c r="T72" s="137">
        <v>0</v>
      </c>
      <c r="U72" s="137">
        <v>0</v>
      </c>
      <c r="V72" s="137">
        <v>0</v>
      </c>
      <c r="W72" s="137">
        <v>0</v>
      </c>
      <c r="X72" s="137">
        <v>0</v>
      </c>
      <c r="Y72" s="137">
        <v>0</v>
      </c>
      <c r="Z72" s="137">
        <v>0</v>
      </c>
      <c r="AA72" s="137">
        <v>0</v>
      </c>
      <c r="AB72" s="137">
        <v>0</v>
      </c>
      <c r="AC72" s="137">
        <v>0</v>
      </c>
      <c r="AD72" s="137">
        <v>0</v>
      </c>
      <c r="AE72" s="137">
        <v>0</v>
      </c>
      <c r="AF72" s="137">
        <v>0</v>
      </c>
      <c r="AG72" s="137">
        <v>0</v>
      </c>
      <c r="AH72" s="137">
        <v>0</v>
      </c>
      <c r="AI72" s="137">
        <v>0</v>
      </c>
      <c r="AJ72" s="137">
        <v>0</v>
      </c>
      <c r="AK72" s="137">
        <v>0</v>
      </c>
      <c r="AL72" s="137">
        <v>0</v>
      </c>
      <c r="AM72" s="137">
        <v>0</v>
      </c>
      <c r="AN72" s="137">
        <v>0</v>
      </c>
      <c r="AO72" s="137">
        <v>0</v>
      </c>
      <c r="AP72" s="137">
        <v>0</v>
      </c>
      <c r="AQ72" s="137">
        <v>0</v>
      </c>
      <c r="AR72" s="137">
        <v>0</v>
      </c>
      <c r="AS72" s="137">
        <v>0</v>
      </c>
      <c r="AT72" s="137">
        <v>0</v>
      </c>
      <c r="AU72" s="137">
        <v>0</v>
      </c>
      <c r="AV72" s="137">
        <v>0</v>
      </c>
      <c r="AW72" s="137">
        <v>0</v>
      </c>
      <c r="AX72" s="137">
        <v>0</v>
      </c>
      <c r="AY72" s="137">
        <v>0</v>
      </c>
      <c r="AZ72" s="137">
        <v>0</v>
      </c>
      <c r="BA72" s="137">
        <v>0</v>
      </c>
      <c r="BB72" s="137">
        <v>0</v>
      </c>
      <c r="BC72" s="137">
        <v>0</v>
      </c>
      <c r="BD72" s="137">
        <v>0</v>
      </c>
      <c r="BE72" s="137">
        <v>0</v>
      </c>
      <c r="BF72" s="137">
        <v>0</v>
      </c>
      <c r="BG72" s="137">
        <v>0</v>
      </c>
      <c r="BH72" s="137">
        <v>0</v>
      </c>
      <c r="BI72" s="137">
        <v>0</v>
      </c>
      <c r="BJ72" s="137">
        <v>0</v>
      </c>
      <c r="BK72" s="137">
        <v>0</v>
      </c>
      <c r="BL72" s="137">
        <v>0</v>
      </c>
      <c r="BM72" s="137">
        <v>0</v>
      </c>
      <c r="BN72" s="137">
        <v>0</v>
      </c>
      <c r="BO72" s="137">
        <v>0</v>
      </c>
      <c r="BP72" s="137">
        <v>0</v>
      </c>
      <c r="BQ72" s="137">
        <v>0</v>
      </c>
      <c r="BR72" s="137">
        <v>0</v>
      </c>
      <c r="BS72" s="137">
        <v>0</v>
      </c>
      <c r="BT72" s="137">
        <v>0</v>
      </c>
      <c r="BU72" s="137">
        <v>0</v>
      </c>
      <c r="BV72" s="137">
        <v>0</v>
      </c>
      <c r="BW72" s="137">
        <v>0</v>
      </c>
      <c r="BX72" s="137">
        <v>0</v>
      </c>
      <c r="BY72" s="137">
        <v>0</v>
      </c>
      <c r="BZ72" s="137">
        <v>0</v>
      </c>
      <c r="CA72" s="137">
        <v>0</v>
      </c>
      <c r="CB72" s="137">
        <v>0</v>
      </c>
      <c r="CC72" s="137">
        <v>0</v>
      </c>
      <c r="CD72" s="137">
        <v>0</v>
      </c>
      <c r="CE72" s="137">
        <v>0</v>
      </c>
      <c r="CF72" s="137">
        <v>0</v>
      </c>
      <c r="CG72" s="137">
        <v>0</v>
      </c>
      <c r="CH72" s="137">
        <v>0</v>
      </c>
      <c r="CI72" s="137">
        <v>0</v>
      </c>
      <c r="CJ72" s="137">
        <v>0</v>
      </c>
      <c r="CK72" s="137">
        <v>0</v>
      </c>
      <c r="CL72" s="137">
        <v>0</v>
      </c>
      <c r="CM72" s="137">
        <v>0</v>
      </c>
      <c r="CN72" s="137">
        <v>0</v>
      </c>
      <c r="CO72" s="137">
        <v>0</v>
      </c>
      <c r="CP72" s="137">
        <v>0</v>
      </c>
      <c r="CQ72" s="137">
        <v>0</v>
      </c>
      <c r="CR72" s="137">
        <v>0</v>
      </c>
      <c r="CS72" s="137">
        <v>0</v>
      </c>
      <c r="CT72" s="137">
        <v>0</v>
      </c>
      <c r="CU72" s="137">
        <v>0</v>
      </c>
      <c r="CV72" s="137">
        <v>0</v>
      </c>
    </row>
    <row r="73" spans="2:100" x14ac:dyDescent="0.25">
      <c r="B73" s="114"/>
      <c r="C73" s="347"/>
      <c r="D73" s="348"/>
      <c r="E73" s="348"/>
      <c r="F73" s="349"/>
      <c r="G73" s="137">
        <v>0</v>
      </c>
      <c r="H73" s="137">
        <v>0</v>
      </c>
      <c r="I73" s="137">
        <v>0</v>
      </c>
      <c r="J73" s="137">
        <v>0</v>
      </c>
      <c r="K73" s="137">
        <v>0</v>
      </c>
      <c r="L73" s="137">
        <v>0</v>
      </c>
      <c r="M73" s="137">
        <v>0</v>
      </c>
      <c r="N73" s="137">
        <v>0</v>
      </c>
      <c r="O73" s="137">
        <v>0</v>
      </c>
      <c r="P73" s="137">
        <v>0</v>
      </c>
      <c r="Q73" s="137">
        <v>0</v>
      </c>
      <c r="R73" s="137">
        <v>0</v>
      </c>
      <c r="S73" s="137">
        <v>0</v>
      </c>
      <c r="T73" s="137">
        <v>0</v>
      </c>
      <c r="U73" s="137">
        <v>0</v>
      </c>
      <c r="V73" s="137">
        <v>0</v>
      </c>
      <c r="W73" s="137">
        <v>0</v>
      </c>
      <c r="X73" s="137">
        <v>0</v>
      </c>
      <c r="Y73" s="137">
        <v>0</v>
      </c>
      <c r="Z73" s="137">
        <v>0</v>
      </c>
      <c r="AA73" s="137">
        <v>0</v>
      </c>
      <c r="AB73" s="137">
        <v>0</v>
      </c>
      <c r="AC73" s="137">
        <v>0</v>
      </c>
      <c r="AD73" s="137">
        <v>0</v>
      </c>
      <c r="AE73" s="137">
        <v>0</v>
      </c>
      <c r="AF73" s="137">
        <v>0</v>
      </c>
      <c r="AG73" s="137">
        <v>0</v>
      </c>
      <c r="AH73" s="137">
        <v>0</v>
      </c>
      <c r="AI73" s="137">
        <v>0</v>
      </c>
      <c r="AJ73" s="137">
        <v>0</v>
      </c>
      <c r="AK73" s="137">
        <v>0</v>
      </c>
      <c r="AL73" s="137">
        <v>0</v>
      </c>
      <c r="AM73" s="137">
        <v>0</v>
      </c>
      <c r="AN73" s="137">
        <v>0</v>
      </c>
      <c r="AO73" s="137">
        <v>0</v>
      </c>
      <c r="AP73" s="137">
        <v>0</v>
      </c>
      <c r="AQ73" s="137">
        <v>0</v>
      </c>
      <c r="AR73" s="137">
        <v>0</v>
      </c>
      <c r="AS73" s="137">
        <v>0</v>
      </c>
      <c r="AT73" s="137">
        <v>0</v>
      </c>
      <c r="AU73" s="137">
        <v>0</v>
      </c>
      <c r="AV73" s="137">
        <v>0</v>
      </c>
      <c r="AW73" s="137">
        <v>0</v>
      </c>
      <c r="AX73" s="137">
        <v>0</v>
      </c>
      <c r="AY73" s="137">
        <v>0</v>
      </c>
      <c r="AZ73" s="137">
        <v>0</v>
      </c>
      <c r="BA73" s="137">
        <v>0</v>
      </c>
      <c r="BB73" s="137">
        <v>0</v>
      </c>
      <c r="BC73" s="137">
        <v>0</v>
      </c>
      <c r="BD73" s="137">
        <v>0</v>
      </c>
      <c r="BE73" s="137">
        <v>0</v>
      </c>
      <c r="BF73" s="137">
        <v>0</v>
      </c>
      <c r="BG73" s="137">
        <v>0</v>
      </c>
      <c r="BH73" s="137">
        <v>0</v>
      </c>
      <c r="BI73" s="137">
        <v>0</v>
      </c>
      <c r="BJ73" s="137">
        <v>0</v>
      </c>
      <c r="BK73" s="137">
        <v>0</v>
      </c>
      <c r="BL73" s="137">
        <v>0</v>
      </c>
      <c r="BM73" s="137">
        <v>0</v>
      </c>
      <c r="BN73" s="137">
        <v>0</v>
      </c>
      <c r="BO73" s="137">
        <v>0</v>
      </c>
      <c r="BP73" s="137">
        <v>0</v>
      </c>
      <c r="BQ73" s="137">
        <v>0</v>
      </c>
      <c r="BR73" s="137">
        <v>0</v>
      </c>
      <c r="BS73" s="137">
        <v>0</v>
      </c>
      <c r="BT73" s="137">
        <v>0</v>
      </c>
      <c r="BU73" s="137">
        <v>0</v>
      </c>
      <c r="BV73" s="137">
        <v>0</v>
      </c>
      <c r="BW73" s="137">
        <v>0</v>
      </c>
      <c r="BX73" s="137">
        <v>0</v>
      </c>
      <c r="BY73" s="137">
        <v>0</v>
      </c>
      <c r="BZ73" s="137">
        <v>0</v>
      </c>
      <c r="CA73" s="137">
        <v>0</v>
      </c>
      <c r="CB73" s="137">
        <v>0</v>
      </c>
      <c r="CC73" s="137">
        <v>0</v>
      </c>
      <c r="CD73" s="137">
        <v>0</v>
      </c>
      <c r="CE73" s="137">
        <v>0</v>
      </c>
      <c r="CF73" s="137">
        <v>0</v>
      </c>
      <c r="CG73" s="137">
        <v>0</v>
      </c>
      <c r="CH73" s="137">
        <v>0</v>
      </c>
      <c r="CI73" s="137">
        <v>0</v>
      </c>
      <c r="CJ73" s="137">
        <v>0</v>
      </c>
      <c r="CK73" s="137">
        <v>0</v>
      </c>
      <c r="CL73" s="137">
        <v>0</v>
      </c>
      <c r="CM73" s="137">
        <v>0</v>
      </c>
      <c r="CN73" s="137">
        <v>0</v>
      </c>
      <c r="CO73" s="137">
        <v>0</v>
      </c>
      <c r="CP73" s="137">
        <v>0</v>
      </c>
      <c r="CQ73" s="137">
        <v>0</v>
      </c>
      <c r="CR73" s="137">
        <v>0</v>
      </c>
      <c r="CS73" s="137">
        <v>0</v>
      </c>
      <c r="CT73" s="137">
        <v>0</v>
      </c>
      <c r="CU73" s="137">
        <v>0</v>
      </c>
      <c r="CV73" s="137">
        <v>0</v>
      </c>
    </row>
    <row r="74" spans="2:100" x14ac:dyDescent="0.25">
      <c r="B74" s="114"/>
      <c r="C74" s="347"/>
      <c r="D74" s="348"/>
      <c r="E74" s="348"/>
      <c r="F74" s="349"/>
      <c r="G74" s="137">
        <v>0</v>
      </c>
      <c r="H74" s="137">
        <v>0</v>
      </c>
      <c r="I74" s="137">
        <v>0</v>
      </c>
      <c r="J74" s="137">
        <v>0</v>
      </c>
      <c r="K74" s="137">
        <v>0</v>
      </c>
      <c r="L74" s="137">
        <v>0</v>
      </c>
      <c r="M74" s="137">
        <v>0</v>
      </c>
      <c r="N74" s="137">
        <v>0</v>
      </c>
      <c r="O74" s="137">
        <v>0</v>
      </c>
      <c r="P74" s="137">
        <v>0</v>
      </c>
      <c r="Q74" s="137">
        <v>0</v>
      </c>
      <c r="R74" s="137">
        <v>0</v>
      </c>
      <c r="S74" s="137">
        <v>0</v>
      </c>
      <c r="T74" s="137">
        <v>0</v>
      </c>
      <c r="U74" s="137">
        <v>0</v>
      </c>
      <c r="V74" s="137">
        <v>0</v>
      </c>
      <c r="W74" s="137">
        <v>0</v>
      </c>
      <c r="X74" s="137">
        <v>0</v>
      </c>
      <c r="Y74" s="137">
        <v>0</v>
      </c>
      <c r="Z74" s="137">
        <v>0</v>
      </c>
      <c r="AA74" s="137">
        <v>0</v>
      </c>
      <c r="AB74" s="137">
        <v>0</v>
      </c>
      <c r="AC74" s="137">
        <v>0</v>
      </c>
      <c r="AD74" s="137">
        <v>0</v>
      </c>
      <c r="AE74" s="137">
        <v>0</v>
      </c>
      <c r="AF74" s="137">
        <v>0</v>
      </c>
      <c r="AG74" s="137">
        <v>0</v>
      </c>
      <c r="AH74" s="137">
        <v>0</v>
      </c>
      <c r="AI74" s="137">
        <v>0</v>
      </c>
      <c r="AJ74" s="137">
        <v>0</v>
      </c>
      <c r="AK74" s="137">
        <v>0</v>
      </c>
      <c r="AL74" s="137">
        <v>0</v>
      </c>
      <c r="AM74" s="137">
        <v>0</v>
      </c>
      <c r="AN74" s="137">
        <v>0</v>
      </c>
      <c r="AO74" s="137">
        <v>0</v>
      </c>
      <c r="AP74" s="137">
        <v>0</v>
      </c>
      <c r="AQ74" s="137">
        <v>0</v>
      </c>
      <c r="AR74" s="137">
        <v>0</v>
      </c>
      <c r="AS74" s="137">
        <v>0</v>
      </c>
      <c r="AT74" s="137">
        <v>0</v>
      </c>
      <c r="AU74" s="137">
        <v>0</v>
      </c>
      <c r="AV74" s="137">
        <v>0</v>
      </c>
      <c r="AW74" s="137">
        <v>0</v>
      </c>
      <c r="AX74" s="137">
        <v>0</v>
      </c>
      <c r="AY74" s="137">
        <v>0</v>
      </c>
      <c r="AZ74" s="137">
        <v>0</v>
      </c>
      <c r="BA74" s="137">
        <v>0</v>
      </c>
      <c r="BB74" s="137">
        <v>0</v>
      </c>
      <c r="BC74" s="137">
        <v>0</v>
      </c>
      <c r="BD74" s="137">
        <v>0</v>
      </c>
      <c r="BE74" s="137">
        <v>0</v>
      </c>
      <c r="BF74" s="137">
        <v>0</v>
      </c>
      <c r="BG74" s="137">
        <v>0</v>
      </c>
      <c r="BH74" s="137">
        <v>0</v>
      </c>
      <c r="BI74" s="137">
        <v>0</v>
      </c>
      <c r="BJ74" s="137">
        <v>0</v>
      </c>
      <c r="BK74" s="137">
        <v>0</v>
      </c>
      <c r="BL74" s="137">
        <v>0</v>
      </c>
      <c r="BM74" s="137">
        <v>0</v>
      </c>
      <c r="BN74" s="137">
        <v>0</v>
      </c>
      <c r="BO74" s="137">
        <v>0</v>
      </c>
      <c r="BP74" s="137">
        <v>0</v>
      </c>
      <c r="BQ74" s="137">
        <v>0</v>
      </c>
      <c r="BR74" s="137">
        <v>0</v>
      </c>
      <c r="BS74" s="137">
        <v>0</v>
      </c>
      <c r="BT74" s="137">
        <v>0</v>
      </c>
      <c r="BU74" s="137">
        <v>0</v>
      </c>
      <c r="BV74" s="137">
        <v>0</v>
      </c>
      <c r="BW74" s="137">
        <v>0</v>
      </c>
      <c r="BX74" s="137">
        <v>0</v>
      </c>
      <c r="BY74" s="137">
        <v>0</v>
      </c>
      <c r="BZ74" s="137">
        <v>0</v>
      </c>
      <c r="CA74" s="137">
        <v>0</v>
      </c>
      <c r="CB74" s="137">
        <v>0</v>
      </c>
      <c r="CC74" s="137">
        <v>0</v>
      </c>
      <c r="CD74" s="137">
        <v>0</v>
      </c>
      <c r="CE74" s="137">
        <v>0</v>
      </c>
      <c r="CF74" s="137">
        <v>0</v>
      </c>
      <c r="CG74" s="137">
        <v>0</v>
      </c>
      <c r="CH74" s="137">
        <v>0</v>
      </c>
      <c r="CI74" s="137">
        <v>0</v>
      </c>
      <c r="CJ74" s="137">
        <v>0</v>
      </c>
      <c r="CK74" s="137">
        <v>0</v>
      </c>
      <c r="CL74" s="137">
        <v>0</v>
      </c>
      <c r="CM74" s="137">
        <v>0</v>
      </c>
      <c r="CN74" s="137">
        <v>0</v>
      </c>
      <c r="CO74" s="137">
        <v>0</v>
      </c>
      <c r="CP74" s="137">
        <v>0</v>
      </c>
      <c r="CQ74" s="137">
        <v>0</v>
      </c>
      <c r="CR74" s="137">
        <v>0</v>
      </c>
      <c r="CS74" s="137">
        <v>0</v>
      </c>
      <c r="CT74" s="137">
        <v>0</v>
      </c>
      <c r="CU74" s="137">
        <v>0</v>
      </c>
      <c r="CV74" s="137">
        <v>0</v>
      </c>
    </row>
    <row r="75" spans="2:100" x14ac:dyDescent="0.25">
      <c r="B75" s="114"/>
      <c r="C75" s="347"/>
      <c r="D75" s="348"/>
      <c r="E75" s="348"/>
      <c r="F75" s="349"/>
      <c r="G75" s="137">
        <v>0</v>
      </c>
      <c r="H75" s="137">
        <v>0</v>
      </c>
      <c r="I75" s="137">
        <v>0</v>
      </c>
      <c r="J75" s="137">
        <v>0</v>
      </c>
      <c r="K75" s="137">
        <v>0</v>
      </c>
      <c r="L75" s="137">
        <v>0</v>
      </c>
      <c r="M75" s="137">
        <v>0</v>
      </c>
      <c r="N75" s="137">
        <v>0</v>
      </c>
      <c r="O75" s="137">
        <v>0</v>
      </c>
      <c r="P75" s="137">
        <v>0</v>
      </c>
      <c r="Q75" s="137">
        <v>0</v>
      </c>
      <c r="R75" s="137">
        <v>0</v>
      </c>
      <c r="S75" s="137">
        <v>0</v>
      </c>
      <c r="T75" s="137">
        <v>0</v>
      </c>
      <c r="U75" s="137">
        <v>0</v>
      </c>
      <c r="V75" s="137">
        <v>0</v>
      </c>
      <c r="W75" s="137">
        <v>0</v>
      </c>
      <c r="X75" s="137">
        <v>0</v>
      </c>
      <c r="Y75" s="137">
        <v>0</v>
      </c>
      <c r="Z75" s="137">
        <v>0</v>
      </c>
      <c r="AA75" s="137">
        <v>0</v>
      </c>
      <c r="AB75" s="137">
        <v>0</v>
      </c>
      <c r="AC75" s="137">
        <v>0</v>
      </c>
      <c r="AD75" s="137">
        <v>0</v>
      </c>
      <c r="AE75" s="137">
        <v>0</v>
      </c>
      <c r="AF75" s="137">
        <v>0</v>
      </c>
      <c r="AG75" s="137">
        <v>0</v>
      </c>
      <c r="AH75" s="137">
        <v>0</v>
      </c>
      <c r="AI75" s="137">
        <v>0</v>
      </c>
      <c r="AJ75" s="137">
        <v>0</v>
      </c>
      <c r="AK75" s="137">
        <v>0</v>
      </c>
      <c r="AL75" s="137">
        <v>0</v>
      </c>
      <c r="AM75" s="137">
        <v>0</v>
      </c>
      <c r="AN75" s="137">
        <v>0</v>
      </c>
      <c r="AO75" s="137">
        <v>0</v>
      </c>
      <c r="AP75" s="137">
        <v>0</v>
      </c>
      <c r="AQ75" s="137">
        <v>0</v>
      </c>
      <c r="AR75" s="137">
        <v>0</v>
      </c>
      <c r="AS75" s="137">
        <v>0</v>
      </c>
      <c r="AT75" s="137">
        <v>0</v>
      </c>
      <c r="AU75" s="137">
        <v>0</v>
      </c>
      <c r="AV75" s="137">
        <v>0</v>
      </c>
      <c r="AW75" s="137">
        <v>0</v>
      </c>
      <c r="AX75" s="137">
        <v>0</v>
      </c>
      <c r="AY75" s="137">
        <v>0</v>
      </c>
      <c r="AZ75" s="137">
        <v>0</v>
      </c>
      <c r="BA75" s="137">
        <v>0</v>
      </c>
      <c r="BB75" s="137">
        <v>0</v>
      </c>
      <c r="BC75" s="137">
        <v>0</v>
      </c>
      <c r="BD75" s="137">
        <v>0</v>
      </c>
      <c r="BE75" s="137">
        <v>0</v>
      </c>
      <c r="BF75" s="137">
        <v>0</v>
      </c>
      <c r="BG75" s="137">
        <v>0</v>
      </c>
      <c r="BH75" s="137">
        <v>0</v>
      </c>
      <c r="BI75" s="137">
        <v>0</v>
      </c>
      <c r="BJ75" s="137">
        <v>0</v>
      </c>
      <c r="BK75" s="137">
        <v>0</v>
      </c>
      <c r="BL75" s="137">
        <v>0</v>
      </c>
      <c r="BM75" s="137">
        <v>0</v>
      </c>
      <c r="BN75" s="137">
        <v>0</v>
      </c>
      <c r="BO75" s="137">
        <v>0</v>
      </c>
      <c r="BP75" s="137">
        <v>0</v>
      </c>
      <c r="BQ75" s="137">
        <v>0</v>
      </c>
      <c r="BR75" s="137">
        <v>0</v>
      </c>
      <c r="BS75" s="137">
        <v>0</v>
      </c>
      <c r="BT75" s="137">
        <v>0</v>
      </c>
      <c r="BU75" s="137">
        <v>0</v>
      </c>
      <c r="BV75" s="137">
        <v>0</v>
      </c>
      <c r="BW75" s="137">
        <v>0</v>
      </c>
      <c r="BX75" s="137">
        <v>0</v>
      </c>
      <c r="BY75" s="137">
        <v>0</v>
      </c>
      <c r="BZ75" s="137">
        <v>0</v>
      </c>
      <c r="CA75" s="137">
        <v>0</v>
      </c>
      <c r="CB75" s="137">
        <v>0</v>
      </c>
      <c r="CC75" s="137">
        <v>0</v>
      </c>
      <c r="CD75" s="137">
        <v>0</v>
      </c>
      <c r="CE75" s="137">
        <v>0</v>
      </c>
      <c r="CF75" s="137">
        <v>0</v>
      </c>
      <c r="CG75" s="137">
        <v>0</v>
      </c>
      <c r="CH75" s="137">
        <v>0</v>
      </c>
      <c r="CI75" s="137">
        <v>0</v>
      </c>
      <c r="CJ75" s="137">
        <v>0</v>
      </c>
      <c r="CK75" s="137">
        <v>0</v>
      </c>
      <c r="CL75" s="137">
        <v>0</v>
      </c>
      <c r="CM75" s="137">
        <v>0</v>
      </c>
      <c r="CN75" s="137">
        <v>0</v>
      </c>
      <c r="CO75" s="137">
        <v>0</v>
      </c>
      <c r="CP75" s="137">
        <v>0</v>
      </c>
      <c r="CQ75" s="137">
        <v>0</v>
      </c>
      <c r="CR75" s="137">
        <v>0</v>
      </c>
      <c r="CS75" s="137">
        <v>0</v>
      </c>
      <c r="CT75" s="137">
        <v>0</v>
      </c>
      <c r="CU75" s="137">
        <v>0</v>
      </c>
      <c r="CV75" s="137">
        <v>0</v>
      </c>
    </row>
    <row r="76" spans="2:100" x14ac:dyDescent="0.25">
      <c r="B76" s="114"/>
      <c r="C76" s="347"/>
      <c r="D76" s="348"/>
      <c r="E76" s="348"/>
      <c r="F76" s="349"/>
      <c r="G76" s="137">
        <v>0</v>
      </c>
      <c r="H76" s="137">
        <v>0</v>
      </c>
      <c r="I76" s="137">
        <v>0</v>
      </c>
      <c r="J76" s="137">
        <v>0</v>
      </c>
      <c r="K76" s="137">
        <v>0</v>
      </c>
      <c r="L76" s="137">
        <v>0</v>
      </c>
      <c r="M76" s="137">
        <v>0</v>
      </c>
      <c r="N76" s="137">
        <v>0</v>
      </c>
      <c r="O76" s="137">
        <v>0</v>
      </c>
      <c r="P76" s="137">
        <v>0</v>
      </c>
      <c r="Q76" s="137">
        <v>0</v>
      </c>
      <c r="R76" s="137">
        <v>0</v>
      </c>
      <c r="S76" s="137">
        <v>0</v>
      </c>
      <c r="T76" s="137">
        <v>0</v>
      </c>
      <c r="U76" s="137">
        <v>0</v>
      </c>
      <c r="V76" s="137">
        <v>0</v>
      </c>
      <c r="W76" s="137">
        <v>0</v>
      </c>
      <c r="X76" s="137">
        <v>0</v>
      </c>
      <c r="Y76" s="137">
        <v>0</v>
      </c>
      <c r="Z76" s="137">
        <v>0</v>
      </c>
      <c r="AA76" s="137">
        <v>0</v>
      </c>
      <c r="AB76" s="137">
        <v>0</v>
      </c>
      <c r="AC76" s="137">
        <v>0</v>
      </c>
      <c r="AD76" s="137">
        <v>0</v>
      </c>
      <c r="AE76" s="137">
        <v>0</v>
      </c>
      <c r="AF76" s="137">
        <v>0</v>
      </c>
      <c r="AG76" s="137">
        <v>0</v>
      </c>
      <c r="AH76" s="137">
        <v>0</v>
      </c>
      <c r="AI76" s="137">
        <v>0</v>
      </c>
      <c r="AJ76" s="137">
        <v>0</v>
      </c>
      <c r="AK76" s="137">
        <v>0</v>
      </c>
      <c r="AL76" s="137">
        <v>0</v>
      </c>
      <c r="AM76" s="137">
        <v>0</v>
      </c>
      <c r="AN76" s="137">
        <v>0</v>
      </c>
      <c r="AO76" s="137">
        <v>0</v>
      </c>
      <c r="AP76" s="137">
        <v>0</v>
      </c>
      <c r="AQ76" s="137">
        <v>0</v>
      </c>
      <c r="AR76" s="137">
        <v>0</v>
      </c>
      <c r="AS76" s="137">
        <v>0</v>
      </c>
      <c r="AT76" s="137">
        <v>0</v>
      </c>
      <c r="AU76" s="137">
        <v>0</v>
      </c>
      <c r="AV76" s="137">
        <v>0</v>
      </c>
      <c r="AW76" s="137">
        <v>0</v>
      </c>
      <c r="AX76" s="137">
        <v>0</v>
      </c>
      <c r="AY76" s="137">
        <v>0</v>
      </c>
      <c r="AZ76" s="137">
        <v>0</v>
      </c>
      <c r="BA76" s="137">
        <v>0</v>
      </c>
      <c r="BB76" s="137">
        <v>0</v>
      </c>
      <c r="BC76" s="137">
        <v>0</v>
      </c>
      <c r="BD76" s="137">
        <v>0</v>
      </c>
      <c r="BE76" s="137">
        <v>0</v>
      </c>
      <c r="BF76" s="137">
        <v>0</v>
      </c>
      <c r="BG76" s="137">
        <v>0</v>
      </c>
      <c r="BH76" s="137">
        <v>0</v>
      </c>
      <c r="BI76" s="137">
        <v>0</v>
      </c>
      <c r="BJ76" s="137">
        <v>0</v>
      </c>
      <c r="BK76" s="137">
        <v>0</v>
      </c>
      <c r="BL76" s="137">
        <v>0</v>
      </c>
      <c r="BM76" s="137">
        <v>0</v>
      </c>
      <c r="BN76" s="137">
        <v>0</v>
      </c>
      <c r="BO76" s="137">
        <v>0</v>
      </c>
      <c r="BP76" s="137">
        <v>0</v>
      </c>
      <c r="BQ76" s="137">
        <v>0</v>
      </c>
      <c r="BR76" s="137">
        <v>0</v>
      </c>
      <c r="BS76" s="137">
        <v>0</v>
      </c>
      <c r="BT76" s="137">
        <v>0</v>
      </c>
      <c r="BU76" s="137">
        <v>0</v>
      </c>
      <c r="BV76" s="137">
        <v>0</v>
      </c>
      <c r="BW76" s="137">
        <v>0</v>
      </c>
      <c r="BX76" s="137">
        <v>0</v>
      </c>
      <c r="BY76" s="137">
        <v>0</v>
      </c>
      <c r="BZ76" s="137">
        <v>0</v>
      </c>
      <c r="CA76" s="137">
        <v>0</v>
      </c>
      <c r="CB76" s="137">
        <v>0</v>
      </c>
      <c r="CC76" s="137">
        <v>0</v>
      </c>
      <c r="CD76" s="137">
        <v>0</v>
      </c>
      <c r="CE76" s="137">
        <v>0</v>
      </c>
      <c r="CF76" s="137">
        <v>0</v>
      </c>
      <c r="CG76" s="137">
        <v>0</v>
      </c>
      <c r="CH76" s="137">
        <v>0</v>
      </c>
      <c r="CI76" s="137">
        <v>0</v>
      </c>
      <c r="CJ76" s="137">
        <v>0</v>
      </c>
      <c r="CK76" s="137">
        <v>0</v>
      </c>
      <c r="CL76" s="137">
        <v>0</v>
      </c>
      <c r="CM76" s="137">
        <v>0</v>
      </c>
      <c r="CN76" s="137">
        <v>0</v>
      </c>
      <c r="CO76" s="137">
        <v>0</v>
      </c>
      <c r="CP76" s="137">
        <v>0</v>
      </c>
      <c r="CQ76" s="137">
        <v>0</v>
      </c>
      <c r="CR76" s="137">
        <v>0</v>
      </c>
      <c r="CS76" s="137">
        <v>0</v>
      </c>
      <c r="CT76" s="137">
        <v>0</v>
      </c>
      <c r="CU76" s="137">
        <v>0</v>
      </c>
      <c r="CV76" s="137">
        <v>0</v>
      </c>
    </row>
    <row r="77" spans="2:100" x14ac:dyDescent="0.25">
      <c r="B77" s="114"/>
      <c r="C77" s="347"/>
      <c r="D77" s="348"/>
      <c r="E77" s="348"/>
      <c r="F77" s="349"/>
      <c r="G77" s="137">
        <v>0</v>
      </c>
      <c r="H77" s="137">
        <v>0</v>
      </c>
      <c r="I77" s="137">
        <v>0</v>
      </c>
      <c r="J77" s="137">
        <v>0</v>
      </c>
      <c r="K77" s="137">
        <v>0</v>
      </c>
      <c r="L77" s="137">
        <v>0</v>
      </c>
      <c r="M77" s="137">
        <v>0</v>
      </c>
      <c r="N77" s="137">
        <v>0</v>
      </c>
      <c r="O77" s="137">
        <v>0</v>
      </c>
      <c r="P77" s="137">
        <v>0</v>
      </c>
      <c r="Q77" s="137">
        <v>0</v>
      </c>
      <c r="R77" s="137">
        <v>0</v>
      </c>
      <c r="S77" s="137">
        <v>0</v>
      </c>
      <c r="T77" s="137">
        <v>0</v>
      </c>
      <c r="U77" s="137">
        <v>0</v>
      </c>
      <c r="V77" s="137">
        <v>0</v>
      </c>
      <c r="W77" s="137">
        <v>0</v>
      </c>
      <c r="X77" s="137">
        <v>0</v>
      </c>
      <c r="Y77" s="137">
        <v>0</v>
      </c>
      <c r="Z77" s="137">
        <v>0</v>
      </c>
      <c r="AA77" s="137">
        <v>0</v>
      </c>
      <c r="AB77" s="137">
        <v>0</v>
      </c>
      <c r="AC77" s="137">
        <v>0</v>
      </c>
      <c r="AD77" s="137">
        <v>0</v>
      </c>
      <c r="AE77" s="137">
        <v>0</v>
      </c>
      <c r="AF77" s="137">
        <v>0</v>
      </c>
      <c r="AG77" s="137">
        <v>0</v>
      </c>
      <c r="AH77" s="137">
        <v>0</v>
      </c>
      <c r="AI77" s="137">
        <v>0</v>
      </c>
      <c r="AJ77" s="137">
        <v>0</v>
      </c>
      <c r="AK77" s="137">
        <v>0</v>
      </c>
      <c r="AL77" s="137">
        <v>0</v>
      </c>
      <c r="AM77" s="137">
        <v>0</v>
      </c>
      <c r="AN77" s="137">
        <v>0</v>
      </c>
      <c r="AO77" s="137">
        <v>0</v>
      </c>
      <c r="AP77" s="137">
        <v>0</v>
      </c>
      <c r="AQ77" s="137">
        <v>0</v>
      </c>
      <c r="AR77" s="137">
        <v>0</v>
      </c>
      <c r="AS77" s="137">
        <v>0</v>
      </c>
      <c r="AT77" s="137">
        <v>0</v>
      </c>
      <c r="AU77" s="137">
        <v>0</v>
      </c>
      <c r="AV77" s="137">
        <v>0</v>
      </c>
      <c r="AW77" s="137">
        <v>0</v>
      </c>
      <c r="AX77" s="137">
        <v>0</v>
      </c>
      <c r="AY77" s="137">
        <v>0</v>
      </c>
      <c r="AZ77" s="137">
        <v>0</v>
      </c>
      <c r="BA77" s="137">
        <v>0</v>
      </c>
      <c r="BB77" s="137">
        <v>0</v>
      </c>
      <c r="BC77" s="137">
        <v>0</v>
      </c>
      <c r="BD77" s="137">
        <v>0</v>
      </c>
      <c r="BE77" s="137">
        <v>0</v>
      </c>
      <c r="BF77" s="137">
        <v>0</v>
      </c>
      <c r="BG77" s="137">
        <v>0</v>
      </c>
      <c r="BH77" s="137">
        <v>0</v>
      </c>
      <c r="BI77" s="137">
        <v>0</v>
      </c>
      <c r="BJ77" s="137">
        <v>0</v>
      </c>
      <c r="BK77" s="137">
        <v>0</v>
      </c>
      <c r="BL77" s="137">
        <v>0</v>
      </c>
      <c r="BM77" s="137">
        <v>0</v>
      </c>
      <c r="BN77" s="137">
        <v>0</v>
      </c>
      <c r="BO77" s="137">
        <v>0</v>
      </c>
      <c r="BP77" s="137">
        <v>0</v>
      </c>
      <c r="BQ77" s="137">
        <v>0</v>
      </c>
      <c r="BR77" s="137">
        <v>0</v>
      </c>
      <c r="BS77" s="137">
        <v>0</v>
      </c>
      <c r="BT77" s="137">
        <v>0</v>
      </c>
      <c r="BU77" s="137">
        <v>0</v>
      </c>
      <c r="BV77" s="137">
        <v>0</v>
      </c>
      <c r="BW77" s="137">
        <v>0</v>
      </c>
      <c r="BX77" s="137">
        <v>0</v>
      </c>
      <c r="BY77" s="137">
        <v>0</v>
      </c>
      <c r="BZ77" s="137">
        <v>0</v>
      </c>
      <c r="CA77" s="137">
        <v>0</v>
      </c>
      <c r="CB77" s="137">
        <v>0</v>
      </c>
      <c r="CC77" s="137">
        <v>0</v>
      </c>
      <c r="CD77" s="137">
        <v>0</v>
      </c>
      <c r="CE77" s="137">
        <v>0</v>
      </c>
      <c r="CF77" s="137">
        <v>0</v>
      </c>
      <c r="CG77" s="137">
        <v>0</v>
      </c>
      <c r="CH77" s="137">
        <v>0</v>
      </c>
      <c r="CI77" s="137">
        <v>0</v>
      </c>
      <c r="CJ77" s="137">
        <v>0</v>
      </c>
      <c r="CK77" s="137">
        <v>0</v>
      </c>
      <c r="CL77" s="137">
        <v>0</v>
      </c>
      <c r="CM77" s="137">
        <v>0</v>
      </c>
      <c r="CN77" s="137">
        <v>0</v>
      </c>
      <c r="CO77" s="137">
        <v>0</v>
      </c>
      <c r="CP77" s="137">
        <v>0</v>
      </c>
      <c r="CQ77" s="137">
        <v>0</v>
      </c>
      <c r="CR77" s="137">
        <v>0</v>
      </c>
      <c r="CS77" s="137">
        <v>0</v>
      </c>
      <c r="CT77" s="137">
        <v>0</v>
      </c>
      <c r="CU77" s="137">
        <v>0</v>
      </c>
      <c r="CV77" s="137">
        <v>0</v>
      </c>
    </row>
  </sheetData>
  <phoneticPr fontId="2"/>
  <conditionalFormatting sqref="A1:XFD1048576">
    <cfRule type="expression" dxfId="2" priority="1">
      <formula>CELL("ROW")=ROW()</formula>
    </cfRule>
  </conditionalFormatting>
  <pageMargins left="0.7" right="0.7" top="0.75" bottom="0.75" header="0.3" footer="0.3"/>
  <pageSetup paperSize="9" orientation="portrait" horizontalDpi="300" verticalDpi="3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1:T203"/>
  <sheetViews>
    <sheetView topLeftCell="A188" zoomScale="145" zoomScaleNormal="145" workbookViewId="0">
      <selection activeCell="I209" sqref="I209"/>
    </sheetView>
  </sheetViews>
  <sheetFormatPr defaultColWidth="8" defaultRowHeight="15.75" x14ac:dyDescent="0.25"/>
  <cols>
    <col min="1" max="1" width="9.109375" style="60" bestFit="1" customWidth="1"/>
    <col min="2" max="2" width="8.6640625" style="60" bestFit="1" customWidth="1"/>
    <col min="3" max="3" width="8.21875" style="60" customWidth="1"/>
    <col min="4" max="4" width="8.21875" style="60" hidden="1" customWidth="1"/>
    <col min="5" max="5" width="8.21875" style="60" customWidth="1"/>
    <col min="6" max="6" width="8.21875" style="60" hidden="1" customWidth="1"/>
    <col min="7" max="7" width="8.21875" style="60" customWidth="1"/>
    <col min="8" max="8" width="8.21875" style="60" hidden="1" customWidth="1"/>
    <col min="9" max="9" width="8.21875" style="60" customWidth="1"/>
    <col min="10" max="10" width="8.21875" style="60" hidden="1" customWidth="1"/>
    <col min="11" max="11" width="8.21875" style="60" customWidth="1"/>
    <col min="12" max="12" width="8.21875" style="60" hidden="1" customWidth="1"/>
    <col min="13" max="13" width="8.21875" style="60" customWidth="1"/>
    <col min="14" max="14" width="8.21875" style="60" hidden="1" customWidth="1"/>
    <col min="15" max="15" width="8.21875" style="60" customWidth="1"/>
    <col min="16" max="16" width="8.21875" style="60" hidden="1" customWidth="1"/>
    <col min="17" max="17" width="8" style="60"/>
    <col min="18" max="18" width="0" style="60" hidden="1" customWidth="1"/>
    <col min="19" max="19" width="8" style="60"/>
    <col min="20" max="20" width="11.5546875" style="60" bestFit="1" customWidth="1"/>
    <col min="21" max="16384" width="8" style="60"/>
  </cols>
  <sheetData>
    <row r="1" spans="1:20" ht="16.5" thickBot="1" x14ac:dyDescent="0.3">
      <c r="A1" s="145"/>
      <c r="B1" s="146" t="s">
        <v>160</v>
      </c>
      <c r="C1" s="147" t="s">
        <v>161</v>
      </c>
      <c r="D1" s="147"/>
      <c r="E1" s="147" t="s">
        <v>162</v>
      </c>
      <c r="F1" s="147"/>
      <c r="G1" s="147" t="s">
        <v>44</v>
      </c>
      <c r="H1" s="147"/>
      <c r="I1" s="147" t="s">
        <v>163</v>
      </c>
      <c r="J1" s="147"/>
      <c r="K1" s="147" t="s">
        <v>58</v>
      </c>
      <c r="L1" s="148"/>
      <c r="M1" s="149" t="s">
        <v>65</v>
      </c>
      <c r="N1" s="150"/>
    </row>
    <row r="2" spans="1:20" ht="16.5" thickBot="1" x14ac:dyDescent="0.3">
      <c r="A2" s="151" t="s">
        <v>164</v>
      </c>
      <c r="B2" s="152" t="s">
        <v>165</v>
      </c>
      <c r="C2" s="34"/>
      <c r="D2" s="34"/>
      <c r="E2" s="34"/>
      <c r="F2" s="34"/>
      <c r="G2" s="34"/>
      <c r="H2" s="34"/>
      <c r="I2" s="34"/>
      <c r="J2" s="34"/>
      <c r="K2" s="34"/>
      <c r="L2" s="34"/>
      <c r="M2" s="34"/>
      <c r="N2" s="144"/>
    </row>
    <row r="3" spans="1:20" x14ac:dyDescent="0.25">
      <c r="A3" s="153" t="s">
        <v>166</v>
      </c>
      <c r="B3" s="154"/>
      <c r="C3" s="36" t="s">
        <v>167</v>
      </c>
      <c r="D3" s="36"/>
      <c r="E3" s="36" t="s">
        <v>168</v>
      </c>
      <c r="F3" s="36"/>
      <c r="G3" s="36"/>
      <c r="H3" s="36"/>
      <c r="I3" s="36"/>
      <c r="J3" s="36"/>
      <c r="K3" s="36"/>
      <c r="L3" s="36"/>
      <c r="M3" s="36"/>
      <c r="N3" s="144"/>
      <c r="S3" s="60" t="s">
        <v>169</v>
      </c>
      <c r="T3" s="155" t="s">
        <v>170</v>
      </c>
    </row>
    <row r="4" spans="1:20" ht="16.5" thickBot="1" x14ac:dyDescent="0.3">
      <c r="A4" s="156" t="s">
        <v>171</v>
      </c>
      <c r="B4" s="157"/>
      <c r="C4" s="37"/>
      <c r="D4" s="37"/>
      <c r="E4" s="37"/>
      <c r="F4" s="37"/>
      <c r="G4" s="37" t="s">
        <v>172</v>
      </c>
      <c r="H4" s="37"/>
      <c r="I4" s="37" t="s">
        <v>173</v>
      </c>
      <c r="J4" s="37"/>
      <c r="K4" s="37" t="s">
        <v>174</v>
      </c>
      <c r="L4" s="37"/>
      <c r="M4" s="37" t="s">
        <v>175</v>
      </c>
      <c r="N4" s="144"/>
      <c r="S4" s="60" t="s">
        <v>176</v>
      </c>
      <c r="T4" s="158">
        <v>42795</v>
      </c>
    </row>
    <row r="5" spans="1:20" x14ac:dyDescent="0.25">
      <c r="A5" s="159" t="s">
        <v>177</v>
      </c>
      <c r="B5" s="144"/>
      <c r="C5" s="144"/>
      <c r="D5" s="144"/>
      <c r="E5" s="144"/>
      <c r="F5" s="144"/>
      <c r="G5" s="144"/>
      <c r="H5" s="144"/>
      <c r="I5" s="144"/>
      <c r="J5" s="144"/>
      <c r="K5" s="144"/>
      <c r="L5" s="144"/>
      <c r="M5" s="144"/>
      <c r="N5" s="144"/>
      <c r="T5" s="160"/>
    </row>
    <row r="6" spans="1:20" ht="16.5" thickBot="1" x14ac:dyDescent="0.3"/>
    <row r="7" spans="1:20" ht="16.5" thickBot="1" x14ac:dyDescent="0.3">
      <c r="A7" s="145"/>
      <c r="B7" s="146" t="s">
        <v>160</v>
      </c>
      <c r="C7" s="147" t="s">
        <v>161</v>
      </c>
      <c r="D7" s="147"/>
      <c r="E7" s="147" t="s">
        <v>162</v>
      </c>
      <c r="F7" s="147"/>
      <c r="G7" s="147" t="s">
        <v>44</v>
      </c>
      <c r="H7" s="147"/>
      <c r="I7" s="147" t="s">
        <v>163</v>
      </c>
      <c r="J7" s="147"/>
      <c r="K7" s="147" t="s">
        <v>58</v>
      </c>
      <c r="L7" s="148"/>
      <c r="M7" s="149" t="s">
        <v>178</v>
      </c>
      <c r="N7" s="150"/>
    </row>
    <row r="8" spans="1:20" ht="16.5" thickBot="1" x14ac:dyDescent="0.3">
      <c r="A8" s="151" t="s">
        <v>164</v>
      </c>
      <c r="B8" s="152" t="s">
        <v>165</v>
      </c>
      <c r="C8" s="34"/>
      <c r="D8" s="34"/>
      <c r="E8" s="34"/>
      <c r="F8" s="34"/>
      <c r="G8" s="34"/>
      <c r="H8" s="34"/>
      <c r="I8" s="34"/>
      <c r="J8" s="34"/>
      <c r="K8" s="34"/>
      <c r="L8" s="34"/>
      <c r="M8" s="34"/>
      <c r="N8" s="144"/>
    </row>
    <row r="9" spans="1:20" x14ac:dyDescent="0.25">
      <c r="A9" s="153" t="s">
        <v>166</v>
      </c>
      <c r="B9" s="154"/>
      <c r="C9" s="36" t="s">
        <v>167</v>
      </c>
      <c r="D9" s="36"/>
      <c r="E9" s="36" t="s">
        <v>168</v>
      </c>
      <c r="F9" s="36"/>
      <c r="G9" s="36"/>
      <c r="H9" s="36"/>
      <c r="I9" s="36"/>
      <c r="J9" s="36"/>
      <c r="K9" s="36"/>
      <c r="L9" s="36"/>
      <c r="M9" s="36"/>
      <c r="N9" s="144"/>
      <c r="S9" s="60" t="s">
        <v>169</v>
      </c>
      <c r="T9" s="155" t="s">
        <v>170</v>
      </c>
    </row>
    <row r="10" spans="1:20" ht="16.5" thickBot="1" x14ac:dyDescent="0.3">
      <c r="A10" s="156" t="s">
        <v>171</v>
      </c>
      <c r="B10" s="157"/>
      <c r="C10" s="37"/>
      <c r="D10" s="37"/>
      <c r="E10" s="37"/>
      <c r="F10" s="37"/>
      <c r="G10" s="37" t="s">
        <v>172</v>
      </c>
      <c r="H10" s="37"/>
      <c r="I10" s="161" t="s">
        <v>179</v>
      </c>
      <c r="J10" s="161"/>
      <c r="K10" s="161" t="s">
        <v>180</v>
      </c>
      <c r="L10" s="161"/>
      <c r="M10" s="37" t="s">
        <v>175</v>
      </c>
      <c r="N10" s="144"/>
      <c r="S10" s="60" t="s">
        <v>176</v>
      </c>
      <c r="T10" s="158">
        <v>42796</v>
      </c>
    </row>
    <row r="11" spans="1:20" x14ac:dyDescent="0.25">
      <c r="A11" s="159" t="s">
        <v>181</v>
      </c>
      <c r="B11" s="60" t="s">
        <v>182</v>
      </c>
    </row>
    <row r="12" spans="1:20" ht="16.5" thickBot="1" x14ac:dyDescent="0.3"/>
    <row r="13" spans="1:20" ht="16.5" thickBot="1" x14ac:dyDescent="0.3">
      <c r="A13" s="145"/>
      <c r="B13" s="146" t="s">
        <v>160</v>
      </c>
      <c r="C13" s="147" t="s">
        <v>183</v>
      </c>
      <c r="D13" s="147"/>
      <c r="E13" s="147" t="s">
        <v>162</v>
      </c>
      <c r="F13" s="147"/>
      <c r="G13" s="147" t="s">
        <v>184</v>
      </c>
      <c r="H13" s="147"/>
      <c r="I13" s="147" t="s">
        <v>185</v>
      </c>
      <c r="J13" s="147"/>
      <c r="K13" s="147" t="s">
        <v>58</v>
      </c>
      <c r="L13" s="148"/>
      <c r="M13" s="149" t="s">
        <v>178</v>
      </c>
      <c r="N13" s="150"/>
    </row>
    <row r="14" spans="1:20" ht="16.5" thickBot="1" x14ac:dyDescent="0.3">
      <c r="A14" s="151" t="s">
        <v>164</v>
      </c>
      <c r="B14" s="152" t="s">
        <v>165</v>
      </c>
      <c r="C14" s="34"/>
      <c r="D14" s="34"/>
      <c r="E14" s="34"/>
      <c r="F14" s="34"/>
      <c r="G14" s="34"/>
      <c r="H14" s="34"/>
      <c r="I14" s="34"/>
      <c r="J14" s="34"/>
      <c r="K14" s="34"/>
      <c r="L14" s="34"/>
      <c r="M14" s="34"/>
      <c r="N14" s="144"/>
    </row>
    <row r="15" spans="1:20" x14ac:dyDescent="0.25">
      <c r="A15" s="153" t="s">
        <v>166</v>
      </c>
      <c r="B15" s="154"/>
      <c r="C15" s="36" t="s">
        <v>167</v>
      </c>
      <c r="D15" s="36"/>
      <c r="E15" s="36" t="s">
        <v>168</v>
      </c>
      <c r="F15" s="36"/>
      <c r="G15" s="36"/>
      <c r="H15" s="36"/>
      <c r="I15" s="36"/>
      <c r="J15" s="36"/>
      <c r="K15" s="36"/>
      <c r="L15" s="36"/>
      <c r="M15" s="36"/>
      <c r="N15" s="144"/>
      <c r="S15" s="60" t="s">
        <v>169</v>
      </c>
      <c r="T15" s="155" t="s">
        <v>170</v>
      </c>
    </row>
    <row r="16" spans="1:20" ht="16.5" thickBot="1" x14ac:dyDescent="0.3">
      <c r="A16" s="156" t="s">
        <v>171</v>
      </c>
      <c r="B16" s="157"/>
      <c r="C16" s="37"/>
      <c r="D16" s="37"/>
      <c r="E16" s="37"/>
      <c r="F16" s="37"/>
      <c r="G16" s="161" t="s">
        <v>173</v>
      </c>
      <c r="H16" s="161"/>
      <c r="I16" s="161" t="s">
        <v>173</v>
      </c>
      <c r="J16" s="161"/>
      <c r="K16" s="37" t="s">
        <v>180</v>
      </c>
      <c r="L16" s="37"/>
      <c r="M16" s="37" t="s">
        <v>175</v>
      </c>
      <c r="N16" s="144"/>
      <c r="S16" s="60" t="s">
        <v>176</v>
      </c>
      <c r="T16" s="158">
        <v>42801</v>
      </c>
    </row>
    <row r="17" spans="1:20" x14ac:dyDescent="0.25">
      <c r="A17" s="159" t="s">
        <v>181</v>
      </c>
      <c r="B17" s="60" t="s">
        <v>186</v>
      </c>
    </row>
    <row r="18" spans="1:20" ht="16.5" thickBot="1" x14ac:dyDescent="0.3"/>
    <row r="19" spans="1:20" ht="16.5" thickBot="1" x14ac:dyDescent="0.3">
      <c r="A19" s="145"/>
      <c r="B19" s="146" t="s">
        <v>160</v>
      </c>
      <c r="C19" s="147" t="s">
        <v>183</v>
      </c>
      <c r="D19" s="147"/>
      <c r="E19" s="147" t="s">
        <v>162</v>
      </c>
      <c r="F19" s="147"/>
      <c r="G19" s="147" t="s">
        <v>184</v>
      </c>
      <c r="H19" s="147"/>
      <c r="I19" s="147" t="s">
        <v>185</v>
      </c>
      <c r="J19" s="147"/>
      <c r="K19" s="147" t="s">
        <v>58</v>
      </c>
      <c r="L19" s="148"/>
      <c r="M19" s="149" t="s">
        <v>178</v>
      </c>
      <c r="N19" s="150"/>
    </row>
    <row r="20" spans="1:20" ht="16.5" thickBot="1" x14ac:dyDescent="0.3">
      <c r="A20" s="151" t="s">
        <v>164</v>
      </c>
      <c r="B20" s="152" t="s">
        <v>165</v>
      </c>
      <c r="C20" s="34"/>
      <c r="D20" s="34"/>
      <c r="E20" s="34"/>
      <c r="F20" s="34"/>
      <c r="G20" s="34"/>
      <c r="H20" s="34"/>
      <c r="I20" s="34"/>
      <c r="J20" s="34"/>
      <c r="K20" s="34"/>
      <c r="L20" s="34"/>
      <c r="M20" s="34"/>
      <c r="N20" s="144"/>
    </row>
    <row r="21" spans="1:20" x14ac:dyDescent="0.25">
      <c r="A21" s="153" t="s">
        <v>166</v>
      </c>
      <c r="B21" s="154"/>
      <c r="C21" s="36" t="s">
        <v>167</v>
      </c>
      <c r="D21" s="36"/>
      <c r="E21" s="36" t="s">
        <v>168</v>
      </c>
      <c r="F21" s="36"/>
      <c r="G21" s="36"/>
      <c r="H21" s="36"/>
      <c r="I21" s="36"/>
      <c r="J21" s="36"/>
      <c r="K21" s="36"/>
      <c r="L21" s="36"/>
      <c r="M21" s="36"/>
      <c r="N21" s="144"/>
      <c r="S21" s="60" t="s">
        <v>169</v>
      </c>
      <c r="T21" s="155" t="s">
        <v>170</v>
      </c>
    </row>
    <row r="22" spans="1:20" ht="16.5" thickBot="1" x14ac:dyDescent="0.3">
      <c r="A22" s="156" t="s">
        <v>171</v>
      </c>
      <c r="B22" s="157"/>
      <c r="C22" s="37"/>
      <c r="D22" s="37"/>
      <c r="E22" s="37"/>
      <c r="F22" s="37"/>
      <c r="G22" s="161" t="s">
        <v>179</v>
      </c>
      <c r="H22" s="161"/>
      <c r="I22" s="161" t="s">
        <v>172</v>
      </c>
      <c r="J22" s="161"/>
      <c r="K22" s="37" t="s">
        <v>180</v>
      </c>
      <c r="L22" s="37"/>
      <c r="M22" s="37" t="s">
        <v>175</v>
      </c>
      <c r="N22" s="144"/>
      <c r="S22" s="60" t="s">
        <v>176</v>
      </c>
      <c r="T22" s="158">
        <v>42802</v>
      </c>
    </row>
    <row r="23" spans="1:20" x14ac:dyDescent="0.25">
      <c r="A23" s="159" t="s">
        <v>181</v>
      </c>
      <c r="B23" s="60" t="s">
        <v>187</v>
      </c>
    </row>
    <row r="24" spans="1:20" ht="16.5" thickBot="1" x14ac:dyDescent="0.3"/>
    <row r="25" spans="1:20" ht="16.5" thickBot="1" x14ac:dyDescent="0.3">
      <c r="A25" s="145"/>
      <c r="B25" s="146" t="s">
        <v>160</v>
      </c>
      <c r="C25" s="147" t="s">
        <v>183</v>
      </c>
      <c r="D25" s="147"/>
      <c r="E25" s="147" t="s">
        <v>162</v>
      </c>
      <c r="F25" s="147"/>
      <c r="G25" s="147" t="s">
        <v>184</v>
      </c>
      <c r="H25" s="147"/>
      <c r="I25" s="147" t="s">
        <v>185</v>
      </c>
      <c r="J25" s="147"/>
      <c r="K25" s="147" t="s">
        <v>58</v>
      </c>
      <c r="L25" s="148"/>
      <c r="M25" s="149" t="s">
        <v>178</v>
      </c>
      <c r="N25" s="150"/>
    </row>
    <row r="26" spans="1:20" ht="16.5" thickBot="1" x14ac:dyDescent="0.3">
      <c r="A26" s="151" t="s">
        <v>164</v>
      </c>
      <c r="B26" s="162" t="s">
        <v>188</v>
      </c>
      <c r="C26" s="34"/>
      <c r="D26" s="34"/>
      <c r="E26" s="34"/>
      <c r="F26" s="34"/>
      <c r="G26" s="34"/>
      <c r="H26" s="34"/>
      <c r="I26" s="34"/>
      <c r="J26" s="34"/>
      <c r="K26" s="34"/>
      <c r="L26" s="34"/>
      <c r="M26" s="34"/>
      <c r="N26" s="144"/>
    </row>
    <row r="27" spans="1:20" x14ac:dyDescent="0.25">
      <c r="A27" s="153" t="s">
        <v>166</v>
      </c>
      <c r="B27" s="154"/>
      <c r="C27" s="36" t="s">
        <v>167</v>
      </c>
      <c r="D27" s="36"/>
      <c r="E27" s="36" t="s">
        <v>168</v>
      </c>
      <c r="F27" s="36"/>
      <c r="G27" s="36"/>
      <c r="H27" s="36"/>
      <c r="I27" s="36"/>
      <c r="J27" s="36"/>
      <c r="K27" s="36"/>
      <c r="L27" s="36"/>
      <c r="M27" s="36"/>
      <c r="N27" s="144"/>
      <c r="S27" s="60" t="s">
        <v>169</v>
      </c>
      <c r="T27" s="155" t="s">
        <v>170</v>
      </c>
    </row>
    <row r="28" spans="1:20" ht="16.5" thickBot="1" x14ac:dyDescent="0.3">
      <c r="A28" s="156" t="s">
        <v>171</v>
      </c>
      <c r="B28" s="157"/>
      <c r="C28" s="37"/>
      <c r="D28" s="37"/>
      <c r="E28" s="37"/>
      <c r="F28" s="37"/>
      <c r="G28" s="163" t="s">
        <v>179</v>
      </c>
      <c r="H28" s="163"/>
      <c r="I28" s="163" t="s">
        <v>172</v>
      </c>
      <c r="J28" s="163"/>
      <c r="K28" s="37" t="s">
        <v>180</v>
      </c>
      <c r="L28" s="37"/>
      <c r="M28" s="161" t="s">
        <v>189</v>
      </c>
      <c r="N28" s="164"/>
      <c r="S28" s="60" t="s">
        <v>190</v>
      </c>
      <c r="T28" s="158">
        <v>42803</v>
      </c>
    </row>
    <row r="29" spans="1:20" x14ac:dyDescent="0.25">
      <c r="A29" s="159" t="s">
        <v>181</v>
      </c>
      <c r="B29" s="60" t="s">
        <v>191</v>
      </c>
    </row>
    <row r="30" spans="1:20" ht="16.5" thickBot="1" x14ac:dyDescent="0.3"/>
    <row r="31" spans="1:20" ht="16.5" thickBot="1" x14ac:dyDescent="0.3">
      <c r="A31" s="145"/>
      <c r="B31" s="146" t="s">
        <v>160</v>
      </c>
      <c r="C31" s="147" t="s">
        <v>183</v>
      </c>
      <c r="D31" s="147"/>
      <c r="E31" s="147" t="s">
        <v>162</v>
      </c>
      <c r="F31" s="147"/>
      <c r="G31" s="147" t="s">
        <v>184</v>
      </c>
      <c r="H31" s="147"/>
      <c r="I31" s="147" t="s">
        <v>185</v>
      </c>
      <c r="J31" s="147"/>
      <c r="K31" s="147" t="s">
        <v>58</v>
      </c>
      <c r="L31" s="148"/>
      <c r="M31" s="149" t="s">
        <v>178</v>
      </c>
      <c r="N31" s="150"/>
    </row>
    <row r="32" spans="1:20" ht="16.5" thickBot="1" x14ac:dyDescent="0.3">
      <c r="A32" s="151" t="s">
        <v>164</v>
      </c>
      <c r="B32" s="152" t="s">
        <v>188</v>
      </c>
      <c r="C32" s="34"/>
      <c r="D32" s="34"/>
      <c r="E32" s="34"/>
      <c r="F32" s="34"/>
      <c r="G32" s="34"/>
      <c r="H32" s="34"/>
      <c r="I32" s="34"/>
      <c r="J32" s="34"/>
      <c r="K32" s="34"/>
      <c r="L32" s="34"/>
      <c r="M32" s="34"/>
      <c r="N32" s="144"/>
    </row>
    <row r="33" spans="1:20" x14ac:dyDescent="0.25">
      <c r="A33" s="153" t="s">
        <v>166</v>
      </c>
      <c r="B33" s="154"/>
      <c r="C33" s="36" t="s">
        <v>167</v>
      </c>
      <c r="D33" s="36"/>
      <c r="E33" s="36" t="s">
        <v>168</v>
      </c>
      <c r="F33" s="36"/>
      <c r="G33" s="36"/>
      <c r="H33" s="36"/>
      <c r="I33" s="36"/>
      <c r="J33" s="36"/>
      <c r="K33" s="36"/>
      <c r="L33" s="36"/>
      <c r="M33" s="36"/>
      <c r="N33" s="144"/>
      <c r="S33" s="60" t="s">
        <v>169</v>
      </c>
      <c r="T33" s="155" t="s">
        <v>170</v>
      </c>
    </row>
    <row r="34" spans="1:20" ht="16.5" thickBot="1" x14ac:dyDescent="0.3">
      <c r="A34" s="156" t="s">
        <v>171</v>
      </c>
      <c r="B34" s="157"/>
      <c r="C34" s="37"/>
      <c r="D34" s="37"/>
      <c r="E34" s="37"/>
      <c r="F34" s="37"/>
      <c r="G34" s="161" t="s">
        <v>192</v>
      </c>
      <c r="H34" s="161"/>
      <c r="I34" s="163" t="s">
        <v>172</v>
      </c>
      <c r="J34" s="163"/>
      <c r="K34" s="165" t="s">
        <v>180</v>
      </c>
      <c r="L34" s="165"/>
      <c r="M34" s="37" t="s">
        <v>189</v>
      </c>
      <c r="N34" s="144"/>
      <c r="S34" s="60" t="s">
        <v>190</v>
      </c>
      <c r="T34" s="158">
        <v>42805</v>
      </c>
    </row>
    <row r="35" spans="1:20" x14ac:dyDescent="0.25">
      <c r="A35" s="159" t="s">
        <v>181</v>
      </c>
      <c r="B35" s="60" t="s">
        <v>193</v>
      </c>
      <c r="K35" s="60" t="s">
        <v>194</v>
      </c>
    </row>
    <row r="36" spans="1:20" ht="16.5" thickBot="1" x14ac:dyDescent="0.3"/>
    <row r="37" spans="1:20" ht="16.5" thickBot="1" x14ac:dyDescent="0.3">
      <c r="A37" s="145"/>
      <c r="B37" s="146" t="s">
        <v>160</v>
      </c>
      <c r="C37" s="147" t="s">
        <v>183</v>
      </c>
      <c r="D37" s="147"/>
      <c r="E37" s="147" t="s">
        <v>162</v>
      </c>
      <c r="F37" s="147"/>
      <c r="G37" s="147" t="s">
        <v>184</v>
      </c>
      <c r="H37" s="147"/>
      <c r="I37" s="147" t="s">
        <v>185</v>
      </c>
      <c r="J37" s="147"/>
      <c r="K37" s="147" t="s">
        <v>58</v>
      </c>
      <c r="L37" s="148"/>
      <c r="M37" s="149" t="s">
        <v>178</v>
      </c>
      <c r="N37" s="150"/>
    </row>
    <row r="38" spans="1:20" ht="16.5" thickBot="1" x14ac:dyDescent="0.3">
      <c r="A38" s="151" t="s">
        <v>164</v>
      </c>
      <c r="B38" s="152" t="s">
        <v>188</v>
      </c>
      <c r="C38" s="34"/>
      <c r="D38" s="34"/>
      <c r="E38" s="34"/>
      <c r="F38" s="34"/>
      <c r="G38" s="34"/>
      <c r="H38" s="34"/>
      <c r="I38" s="34"/>
      <c r="J38" s="34"/>
      <c r="K38" s="34"/>
      <c r="L38" s="34"/>
      <c r="M38" s="34"/>
      <c r="N38" s="144"/>
    </row>
    <row r="39" spans="1:20" x14ac:dyDescent="0.25">
      <c r="A39" s="153" t="s">
        <v>166</v>
      </c>
      <c r="B39" s="154"/>
      <c r="C39" s="166" t="s">
        <v>195</v>
      </c>
      <c r="D39" s="166"/>
      <c r="E39" s="36" t="s">
        <v>168</v>
      </c>
      <c r="F39" s="36"/>
      <c r="G39" s="36"/>
      <c r="H39" s="36"/>
      <c r="I39" s="36"/>
      <c r="J39" s="36"/>
      <c r="K39" s="36"/>
      <c r="L39" s="36"/>
      <c r="M39" s="36"/>
      <c r="N39" s="144"/>
      <c r="S39" s="60" t="s">
        <v>196</v>
      </c>
      <c r="T39" s="155" t="s">
        <v>170</v>
      </c>
    </row>
    <row r="40" spans="1:20" ht="16.5" thickBot="1" x14ac:dyDescent="0.3">
      <c r="A40" s="156" t="s">
        <v>171</v>
      </c>
      <c r="B40" s="157"/>
      <c r="C40" s="37"/>
      <c r="D40" s="37"/>
      <c r="E40" s="37"/>
      <c r="F40" s="37"/>
      <c r="G40" s="161" t="s">
        <v>197</v>
      </c>
      <c r="H40" s="161"/>
      <c r="I40" s="161" t="s">
        <v>198</v>
      </c>
      <c r="J40" s="161"/>
      <c r="K40" s="165" t="s">
        <v>180</v>
      </c>
      <c r="L40" s="165"/>
      <c r="M40" s="161" t="s">
        <v>199</v>
      </c>
      <c r="N40" s="164"/>
      <c r="S40" s="60" t="s">
        <v>200</v>
      </c>
      <c r="T40" s="158">
        <v>42807</v>
      </c>
    </row>
    <row r="41" spans="1:20" x14ac:dyDescent="0.25">
      <c r="A41" s="159" t="s">
        <v>181</v>
      </c>
      <c r="B41" s="60" t="s">
        <v>201</v>
      </c>
      <c r="I41" s="60" t="s">
        <v>202</v>
      </c>
    </row>
    <row r="42" spans="1:20" ht="16.5" thickBot="1" x14ac:dyDescent="0.3"/>
    <row r="43" spans="1:20" ht="16.5" thickBot="1" x14ac:dyDescent="0.3">
      <c r="A43" s="145"/>
      <c r="B43" s="146" t="s">
        <v>160</v>
      </c>
      <c r="C43" s="147" t="s">
        <v>183</v>
      </c>
      <c r="D43" s="147"/>
      <c r="E43" s="147" t="s">
        <v>162</v>
      </c>
      <c r="F43" s="147"/>
      <c r="G43" s="147" t="s">
        <v>184</v>
      </c>
      <c r="H43" s="147"/>
      <c r="I43" s="147" t="s">
        <v>185</v>
      </c>
      <c r="J43" s="147"/>
      <c r="K43" s="147" t="s">
        <v>58</v>
      </c>
      <c r="L43" s="148"/>
      <c r="M43" s="149" t="s">
        <v>178</v>
      </c>
      <c r="N43" s="150"/>
    </row>
    <row r="44" spans="1:20" ht="16.5" thickBot="1" x14ac:dyDescent="0.3">
      <c r="A44" s="151" t="s">
        <v>164</v>
      </c>
      <c r="B44" s="152" t="s">
        <v>188</v>
      </c>
      <c r="C44" s="34"/>
      <c r="D44" s="34"/>
      <c r="E44" s="34"/>
      <c r="F44" s="34"/>
      <c r="G44" s="34"/>
      <c r="H44" s="34"/>
      <c r="I44" s="34"/>
      <c r="J44" s="34"/>
      <c r="K44" s="34"/>
      <c r="L44" s="34"/>
      <c r="M44" s="34"/>
      <c r="N44" s="144"/>
    </row>
    <row r="45" spans="1:20" x14ac:dyDescent="0.25">
      <c r="A45" s="153" t="s">
        <v>166</v>
      </c>
      <c r="B45" s="154"/>
      <c r="C45" s="166" t="s">
        <v>195</v>
      </c>
      <c r="D45" s="166"/>
      <c r="E45" s="36" t="s">
        <v>168</v>
      </c>
      <c r="F45" s="36"/>
      <c r="G45" s="36"/>
      <c r="H45" s="36"/>
      <c r="I45" s="36"/>
      <c r="J45" s="36"/>
      <c r="K45" s="36"/>
      <c r="L45" s="36"/>
      <c r="M45" s="36"/>
      <c r="N45" s="144"/>
      <c r="S45" s="60" t="s">
        <v>196</v>
      </c>
      <c r="T45" s="155" t="s">
        <v>170</v>
      </c>
    </row>
    <row r="46" spans="1:20" ht="16.5" thickBot="1" x14ac:dyDescent="0.3">
      <c r="A46" s="156" t="s">
        <v>171</v>
      </c>
      <c r="B46" s="157"/>
      <c r="C46" s="37"/>
      <c r="D46" s="37"/>
      <c r="E46" s="37"/>
      <c r="F46" s="37"/>
      <c r="G46" s="161" t="s">
        <v>197</v>
      </c>
      <c r="H46" s="161"/>
      <c r="I46" s="161" t="s">
        <v>189</v>
      </c>
      <c r="J46" s="161"/>
      <c r="K46" s="161" t="s">
        <v>203</v>
      </c>
      <c r="L46" s="161"/>
      <c r="M46" s="37" t="s">
        <v>199</v>
      </c>
      <c r="N46" s="144"/>
      <c r="S46" s="60" t="s">
        <v>200</v>
      </c>
      <c r="T46" s="158">
        <v>42809</v>
      </c>
    </row>
    <row r="47" spans="1:20" x14ac:dyDescent="0.25">
      <c r="A47" s="159" t="s">
        <v>181</v>
      </c>
    </row>
    <row r="48" spans="1:20" ht="16.5" thickBot="1" x14ac:dyDescent="0.3"/>
    <row r="49" spans="1:20" ht="16.5" thickBot="1" x14ac:dyDescent="0.3">
      <c r="A49" s="145"/>
      <c r="B49" s="146" t="s">
        <v>160</v>
      </c>
      <c r="C49" s="147" t="s">
        <v>183</v>
      </c>
      <c r="D49" s="147"/>
      <c r="E49" s="147" t="s">
        <v>162</v>
      </c>
      <c r="F49" s="147"/>
      <c r="G49" s="147" t="s">
        <v>184</v>
      </c>
      <c r="H49" s="147"/>
      <c r="I49" s="147" t="s">
        <v>185</v>
      </c>
      <c r="J49" s="147"/>
      <c r="K49" s="147" t="s">
        <v>58</v>
      </c>
      <c r="L49" s="148"/>
      <c r="M49" s="149" t="s">
        <v>178</v>
      </c>
      <c r="N49" s="150"/>
    </row>
    <row r="50" spans="1:20" ht="16.5" thickBot="1" x14ac:dyDescent="0.3">
      <c r="A50" s="151" t="s">
        <v>164</v>
      </c>
      <c r="B50" s="162" t="str">
        <f>CONCATENATE((N52+L52+J52+H52+F51+D51),"万")</f>
        <v>301万</v>
      </c>
      <c r="C50" s="34"/>
      <c r="D50" s="34"/>
      <c r="E50" s="34"/>
      <c r="F50" s="34"/>
      <c r="G50" s="34"/>
      <c r="H50" s="34"/>
      <c r="I50" s="34"/>
      <c r="J50" s="34"/>
      <c r="K50" s="34"/>
      <c r="L50" s="34"/>
      <c r="M50" s="34"/>
      <c r="N50" s="144"/>
    </row>
    <row r="51" spans="1:20" x14ac:dyDescent="0.25">
      <c r="A51" s="153" t="s">
        <v>166</v>
      </c>
      <c r="B51" s="154"/>
      <c r="C51" s="166" t="s">
        <v>204</v>
      </c>
      <c r="D51" s="166" t="str">
        <f>LEFT(C51,LEN(C51)-1)</f>
        <v>13</v>
      </c>
      <c r="E51" s="166" t="s">
        <v>205</v>
      </c>
      <c r="F51" s="166" t="str">
        <f>LEFT(E51,LEN(E51)-1)</f>
        <v>4</v>
      </c>
      <c r="G51" s="36"/>
      <c r="H51" s="36"/>
      <c r="I51" s="36"/>
      <c r="J51" s="36"/>
      <c r="K51" s="36"/>
      <c r="L51" s="36"/>
      <c r="M51" s="36"/>
      <c r="N51" s="144"/>
      <c r="S51" s="60" t="str">
        <f>CONCATENATE((D51+F51),"万")</f>
        <v>17万</v>
      </c>
      <c r="T51" s="155" t="s">
        <v>170</v>
      </c>
    </row>
    <row r="52" spans="1:20" ht="16.5" thickBot="1" x14ac:dyDescent="0.3">
      <c r="A52" s="156" t="s">
        <v>171</v>
      </c>
      <c r="B52" s="157"/>
      <c r="C52" s="37"/>
      <c r="D52" s="37"/>
      <c r="E52" s="37"/>
      <c r="F52" s="37"/>
      <c r="G52" s="163" t="s">
        <v>197</v>
      </c>
      <c r="H52" s="163" t="str">
        <f>LEFT(G52,LEN(G52)-1)</f>
        <v>23</v>
      </c>
      <c r="I52" s="163" t="s">
        <v>189</v>
      </c>
      <c r="J52" s="163" t="str">
        <f>LEFT(I52,LEN(I52)-1)</f>
        <v>95</v>
      </c>
      <c r="K52" s="163" t="s">
        <v>203</v>
      </c>
      <c r="L52" s="163" t="str">
        <f>LEFT(K52,LEN(K52)-1)</f>
        <v>65</v>
      </c>
      <c r="M52" s="161" t="s">
        <v>206</v>
      </c>
      <c r="N52" s="164" t="str">
        <f>LEFT(M52,LEN(M52)-1)</f>
        <v>101</v>
      </c>
      <c r="S52" s="60" t="str">
        <f>CONCATENATE((H52+J52+L52+N52),"万")</f>
        <v>284万</v>
      </c>
      <c r="T52" s="158">
        <v>42810</v>
      </c>
    </row>
    <row r="53" spans="1:20" x14ac:dyDescent="0.25">
      <c r="A53" s="159" t="s">
        <v>177</v>
      </c>
      <c r="B53" s="60" t="s">
        <v>207</v>
      </c>
    </row>
    <row r="54" spans="1:20" ht="16.5" thickBot="1" x14ac:dyDescent="0.3"/>
    <row r="55" spans="1:20" ht="16.5" thickBot="1" x14ac:dyDescent="0.3">
      <c r="A55" s="145"/>
      <c r="B55" s="146" t="s">
        <v>160</v>
      </c>
      <c r="C55" s="147" t="s">
        <v>161</v>
      </c>
      <c r="D55" s="147"/>
      <c r="E55" s="147" t="s">
        <v>162</v>
      </c>
      <c r="F55" s="147"/>
      <c r="G55" s="147" t="s">
        <v>44</v>
      </c>
      <c r="H55" s="147"/>
      <c r="I55" s="147" t="s">
        <v>163</v>
      </c>
      <c r="J55" s="147"/>
      <c r="K55" s="147" t="s">
        <v>58</v>
      </c>
      <c r="L55" s="148"/>
      <c r="M55" s="149" t="s">
        <v>178</v>
      </c>
      <c r="N55" s="150"/>
    </row>
    <row r="56" spans="1:20" ht="16.5" thickBot="1" x14ac:dyDescent="0.3">
      <c r="A56" s="151" t="s">
        <v>164</v>
      </c>
      <c r="B56" s="162" t="str">
        <f>CONCATENATE((N58+L58+J58+H58+F57+D57),"万")</f>
        <v>305万</v>
      </c>
      <c r="C56" s="34"/>
      <c r="D56" s="34"/>
      <c r="E56" s="34"/>
      <c r="F56" s="34"/>
      <c r="G56" s="34"/>
      <c r="H56" s="34"/>
      <c r="I56" s="34"/>
      <c r="J56" s="34"/>
      <c r="K56" s="34"/>
      <c r="L56" s="34"/>
      <c r="M56" s="34"/>
      <c r="N56" s="144"/>
    </row>
    <row r="57" spans="1:20" x14ac:dyDescent="0.25">
      <c r="A57" s="153" t="s">
        <v>166</v>
      </c>
      <c r="B57" s="154"/>
      <c r="C57" s="166" t="s">
        <v>208</v>
      </c>
      <c r="D57" s="166" t="str">
        <f>LEFT(C57,LEN(C57)-1)</f>
        <v>18</v>
      </c>
      <c r="E57" s="91" t="s">
        <v>205</v>
      </c>
      <c r="F57" s="166" t="str">
        <f>LEFT(E57,LEN(E57)-1)</f>
        <v>4</v>
      </c>
      <c r="G57" s="36"/>
      <c r="H57" s="36"/>
      <c r="I57" s="36"/>
      <c r="J57" s="36"/>
      <c r="K57" s="36"/>
      <c r="L57" s="36"/>
      <c r="M57" s="36"/>
      <c r="N57" s="144"/>
      <c r="S57" s="60" t="str">
        <f>CONCATENATE((D57+F57),"万")</f>
        <v>22万</v>
      </c>
      <c r="T57" s="155" t="s">
        <v>170</v>
      </c>
    </row>
    <row r="58" spans="1:20" ht="16.5" thickBot="1" x14ac:dyDescent="0.3">
      <c r="A58" s="156" t="s">
        <v>171</v>
      </c>
      <c r="B58" s="157"/>
      <c r="C58" s="37"/>
      <c r="D58" s="37"/>
      <c r="E58" s="37"/>
      <c r="F58" s="37"/>
      <c r="G58" s="163" t="s">
        <v>197</v>
      </c>
      <c r="H58" s="163" t="str">
        <f>LEFT(G58,LEN(G58)-1)</f>
        <v>23</v>
      </c>
      <c r="I58" s="161" t="s">
        <v>179</v>
      </c>
      <c r="J58" s="161" t="str">
        <f>LEFT(I58,LEN(I58)-1)</f>
        <v>80</v>
      </c>
      <c r="K58" s="161" t="s">
        <v>209</v>
      </c>
      <c r="L58" s="163" t="str">
        <f>LEFT(K58,LEN(K58)-1)</f>
        <v>75</v>
      </c>
      <c r="M58" s="161" t="s">
        <v>210</v>
      </c>
      <c r="N58" s="164" t="str">
        <f>LEFT(M58,LEN(M58)-1)</f>
        <v>105</v>
      </c>
      <c r="S58" s="60" t="str">
        <f>CONCATENATE((H58+J58+L58+N58),"万")</f>
        <v>283万</v>
      </c>
      <c r="T58" s="158">
        <v>42812</v>
      </c>
    </row>
    <row r="59" spans="1:20" x14ac:dyDescent="0.25">
      <c r="A59" s="159" t="s">
        <v>177</v>
      </c>
      <c r="B59" s="60" t="s">
        <v>211</v>
      </c>
    </row>
    <row r="60" spans="1:20" ht="16.5" thickBot="1" x14ac:dyDescent="0.3"/>
    <row r="61" spans="1:20" ht="16.5" thickBot="1" x14ac:dyDescent="0.3">
      <c r="A61" s="145"/>
      <c r="B61" s="146" t="s">
        <v>160</v>
      </c>
      <c r="C61" s="147" t="s">
        <v>161</v>
      </c>
      <c r="D61" s="147"/>
      <c r="E61" s="147" t="s">
        <v>162</v>
      </c>
      <c r="F61" s="147"/>
      <c r="G61" s="147" t="s">
        <v>44</v>
      </c>
      <c r="H61" s="147"/>
      <c r="I61" s="147" t="s">
        <v>163</v>
      </c>
      <c r="J61" s="147"/>
      <c r="K61" s="147" t="s">
        <v>58</v>
      </c>
      <c r="L61" s="148"/>
      <c r="M61" s="149" t="s">
        <v>178</v>
      </c>
      <c r="N61" s="150"/>
    </row>
    <row r="62" spans="1:20" ht="16.5" thickBot="1" x14ac:dyDescent="0.3">
      <c r="A62" s="151" t="s">
        <v>164</v>
      </c>
      <c r="B62" s="167" t="str">
        <f>CONCATENATE((N64+L64+J64+H64+F63+D63),"万")</f>
        <v>289万</v>
      </c>
      <c r="C62" s="84"/>
      <c r="D62" s="34"/>
      <c r="E62" s="34"/>
      <c r="F62" s="34"/>
      <c r="G62" s="34"/>
      <c r="H62" s="34"/>
      <c r="I62" s="34"/>
      <c r="J62" s="34"/>
      <c r="K62" s="34"/>
      <c r="L62" s="34"/>
      <c r="M62" s="34"/>
      <c r="N62" s="144"/>
    </row>
    <row r="63" spans="1:20" x14ac:dyDescent="0.25">
      <c r="A63" s="153" t="s">
        <v>166</v>
      </c>
      <c r="B63" s="168"/>
      <c r="C63" s="91" t="s">
        <v>208</v>
      </c>
      <c r="D63" s="166" t="str">
        <f>LEFT(C63,LEN(C63)-1)</f>
        <v>18</v>
      </c>
      <c r="E63" s="91" t="s">
        <v>205</v>
      </c>
      <c r="F63" s="166" t="str">
        <f>LEFT(E63,LEN(E63)-1)</f>
        <v>4</v>
      </c>
      <c r="G63" s="36"/>
      <c r="H63" s="36"/>
      <c r="I63" s="36"/>
      <c r="J63" s="36"/>
      <c r="K63" s="36"/>
      <c r="L63" s="36"/>
      <c r="M63" s="36"/>
      <c r="N63" s="144"/>
      <c r="S63" s="60" t="str">
        <f>CONCATENATE((D63+F63),"万")</f>
        <v>22万</v>
      </c>
      <c r="T63" s="155" t="s">
        <v>170</v>
      </c>
    </row>
    <row r="64" spans="1:20" ht="16.5" thickBot="1" x14ac:dyDescent="0.3">
      <c r="A64" s="156" t="s">
        <v>171</v>
      </c>
      <c r="B64" s="157"/>
      <c r="C64" s="37"/>
      <c r="D64" s="37"/>
      <c r="E64" s="37"/>
      <c r="F64" s="37"/>
      <c r="G64" s="161" t="s">
        <v>212</v>
      </c>
      <c r="H64" s="163" t="str">
        <f>LEFT(G64,LEN(G64)-1)</f>
        <v>10</v>
      </c>
      <c r="I64" s="163" t="s">
        <v>179</v>
      </c>
      <c r="J64" s="163" t="str">
        <f>LEFT(I64,LEN(I64)-1)</f>
        <v>80</v>
      </c>
      <c r="K64" s="163" t="s">
        <v>209</v>
      </c>
      <c r="L64" s="163" t="str">
        <f>LEFT(K64,LEN(K64)-1)</f>
        <v>75</v>
      </c>
      <c r="M64" s="161" t="s">
        <v>213</v>
      </c>
      <c r="N64" s="164" t="str">
        <f>LEFT(M64,LEN(M64)-1)</f>
        <v>102</v>
      </c>
      <c r="S64" s="60" t="str">
        <f>CONCATENATE((H64+J64+L64+N64),"万")</f>
        <v>267万</v>
      </c>
      <c r="T64" s="158">
        <v>42815</v>
      </c>
    </row>
    <row r="65" spans="1:20" x14ac:dyDescent="0.25">
      <c r="A65" s="159" t="s">
        <v>177</v>
      </c>
      <c r="B65" s="60" t="s">
        <v>214</v>
      </c>
    </row>
    <row r="66" spans="1:20" ht="16.5" thickBot="1" x14ac:dyDescent="0.3"/>
    <row r="67" spans="1:20" ht="16.5" thickBot="1" x14ac:dyDescent="0.3">
      <c r="A67" s="145"/>
      <c r="B67" s="146" t="s">
        <v>160</v>
      </c>
      <c r="C67" s="147" t="s">
        <v>161</v>
      </c>
      <c r="D67" s="147"/>
      <c r="E67" s="147" t="s">
        <v>162</v>
      </c>
      <c r="F67" s="147"/>
      <c r="G67" s="147" t="s">
        <v>44</v>
      </c>
      <c r="H67" s="147"/>
      <c r="I67" s="147" t="s">
        <v>163</v>
      </c>
      <c r="J67" s="147"/>
      <c r="K67" s="147" t="s">
        <v>58</v>
      </c>
      <c r="L67" s="148"/>
      <c r="M67" s="149" t="s">
        <v>178</v>
      </c>
      <c r="N67" s="150"/>
    </row>
    <row r="68" spans="1:20" ht="16.5" thickBot="1" x14ac:dyDescent="0.3">
      <c r="A68" s="151" t="s">
        <v>164</v>
      </c>
      <c r="B68" s="167" t="str">
        <f>CONCATENATE((N70+L70+J70+H70+F69+D69),"万")</f>
        <v>289万</v>
      </c>
      <c r="C68" s="84"/>
      <c r="D68" s="34"/>
      <c r="E68" s="34"/>
      <c r="F68" s="34"/>
      <c r="G68" s="34"/>
      <c r="H68" s="34"/>
      <c r="I68" s="34"/>
      <c r="J68" s="34"/>
      <c r="K68" s="34"/>
      <c r="L68" s="34"/>
      <c r="M68" s="34"/>
      <c r="N68" s="144"/>
    </row>
    <row r="69" spans="1:20" x14ac:dyDescent="0.25">
      <c r="A69" s="153" t="s">
        <v>166</v>
      </c>
      <c r="B69" s="168"/>
      <c r="C69" s="91" t="s">
        <v>208</v>
      </c>
      <c r="D69" s="166" t="str">
        <f>LEFT(C69,LEN(C69)-1)</f>
        <v>18</v>
      </c>
      <c r="E69" s="91" t="s">
        <v>205</v>
      </c>
      <c r="F69" s="166" t="str">
        <f>LEFT(E69,LEN(E69)-1)</f>
        <v>4</v>
      </c>
      <c r="G69" s="36"/>
      <c r="H69" s="36"/>
      <c r="I69" s="36"/>
      <c r="J69" s="36"/>
      <c r="K69" s="36"/>
      <c r="L69" s="36"/>
      <c r="M69" s="36"/>
      <c r="N69" s="144"/>
      <c r="S69" s="60" t="str">
        <f>CONCATENATE((D69+F69),"万")</f>
        <v>22万</v>
      </c>
      <c r="T69" s="155" t="s">
        <v>170</v>
      </c>
    </row>
    <row r="70" spans="1:20" ht="16.5" thickBot="1" x14ac:dyDescent="0.3">
      <c r="A70" s="156" t="s">
        <v>171</v>
      </c>
      <c r="B70" s="157"/>
      <c r="C70" s="37"/>
      <c r="D70" s="37"/>
      <c r="E70" s="37"/>
      <c r="F70" s="37"/>
      <c r="G70" s="161" t="s">
        <v>212</v>
      </c>
      <c r="H70" s="163" t="str">
        <f>LEFT(G70,LEN(G70)-1)</f>
        <v>10</v>
      </c>
      <c r="I70" s="163" t="s">
        <v>179</v>
      </c>
      <c r="J70" s="163" t="str">
        <f>LEFT(I70,LEN(I70)-1)</f>
        <v>80</v>
      </c>
      <c r="K70" s="163" t="s">
        <v>209</v>
      </c>
      <c r="L70" s="163" t="str">
        <f>LEFT(K70,LEN(K70)-1)</f>
        <v>75</v>
      </c>
      <c r="M70" s="161" t="s">
        <v>213</v>
      </c>
      <c r="N70" s="164" t="str">
        <f>LEFT(M70,LEN(M70)-1)</f>
        <v>102</v>
      </c>
      <c r="S70" s="60" t="str">
        <f>CONCATENATE((H70+J70+L70+N70),"万")</f>
        <v>267万</v>
      </c>
      <c r="T70" s="158">
        <v>42816</v>
      </c>
    </row>
    <row r="71" spans="1:20" x14ac:dyDescent="0.25">
      <c r="A71" s="159" t="s">
        <v>177</v>
      </c>
      <c r="B71" s="60" t="s">
        <v>215</v>
      </c>
    </row>
    <row r="72" spans="1:20" ht="16.5" thickBot="1" x14ac:dyDescent="0.3"/>
    <row r="73" spans="1:20" ht="16.5" thickBot="1" x14ac:dyDescent="0.3">
      <c r="A73" s="145"/>
      <c r="B73" s="146" t="s">
        <v>160</v>
      </c>
      <c r="C73" s="147" t="s">
        <v>161</v>
      </c>
      <c r="D73" s="147"/>
      <c r="E73" s="147" t="s">
        <v>162</v>
      </c>
      <c r="F73" s="147"/>
      <c r="G73" s="147" t="s">
        <v>44</v>
      </c>
      <c r="H73" s="147"/>
      <c r="I73" s="147" t="s">
        <v>163</v>
      </c>
      <c r="J73" s="147"/>
      <c r="K73" s="147" t="s">
        <v>58</v>
      </c>
      <c r="L73" s="148"/>
      <c r="M73" s="149" t="s">
        <v>178</v>
      </c>
      <c r="N73" s="150"/>
    </row>
    <row r="74" spans="1:20" ht="16.5" thickBot="1" x14ac:dyDescent="0.3">
      <c r="A74" s="151" t="s">
        <v>164</v>
      </c>
      <c r="B74" s="162" t="str">
        <f>CONCATENATE((N76+L76+J76+H76+F75+D75),"万")</f>
        <v>307万</v>
      </c>
      <c r="C74" s="84"/>
      <c r="D74" s="34"/>
      <c r="E74" s="34"/>
      <c r="F74" s="34"/>
      <c r="G74" s="34"/>
      <c r="H74" s="34"/>
      <c r="I74" s="34"/>
      <c r="J74" s="34"/>
      <c r="K74" s="34"/>
      <c r="L74" s="34"/>
      <c r="M74" s="34"/>
      <c r="N74" s="144"/>
    </row>
    <row r="75" spans="1:20" x14ac:dyDescent="0.25">
      <c r="A75" s="153" t="s">
        <v>166</v>
      </c>
      <c r="B75" s="168"/>
      <c r="C75" s="166" t="s">
        <v>216</v>
      </c>
      <c r="D75" s="166" t="str">
        <f>LEFT(C75,LEN(C75)-1)</f>
        <v>37</v>
      </c>
      <c r="E75" s="91" t="s">
        <v>205</v>
      </c>
      <c r="F75" s="166" t="str">
        <f>LEFT(E75,LEN(E75)-1)</f>
        <v>4</v>
      </c>
      <c r="G75" s="36"/>
      <c r="H75" s="36"/>
      <c r="I75" s="36"/>
      <c r="J75" s="36"/>
      <c r="K75" s="36"/>
      <c r="L75" s="36"/>
      <c r="M75" s="36"/>
      <c r="N75" s="144"/>
      <c r="S75" s="60" t="str">
        <f>CONCATENATE((D75+F75),"万")</f>
        <v>41万</v>
      </c>
      <c r="T75" s="155" t="s">
        <v>170</v>
      </c>
    </row>
    <row r="76" spans="1:20" ht="16.5" thickBot="1" x14ac:dyDescent="0.3">
      <c r="A76" s="156" t="s">
        <v>171</v>
      </c>
      <c r="B76" s="157"/>
      <c r="C76" s="37"/>
      <c r="D76" s="37"/>
      <c r="E76" s="37"/>
      <c r="F76" s="37"/>
      <c r="G76" s="161" t="s">
        <v>217</v>
      </c>
      <c r="H76" s="163" t="str">
        <f>LEFT(G76,LEN(G76)-1)</f>
        <v>33</v>
      </c>
      <c r="I76" s="161" t="s">
        <v>174</v>
      </c>
      <c r="J76" s="163" t="str">
        <f>LEFT(I76,LEN(I76)-1)</f>
        <v>50</v>
      </c>
      <c r="K76" s="161" t="s">
        <v>218</v>
      </c>
      <c r="L76" s="163" t="str">
        <f>LEFT(K76,LEN(K76)-1)</f>
        <v>73</v>
      </c>
      <c r="M76" s="161" t="s">
        <v>219</v>
      </c>
      <c r="N76" s="164" t="str">
        <f>LEFT(M76,LEN(M76)-1)</f>
        <v>110</v>
      </c>
      <c r="S76" s="60" t="str">
        <f>CONCATENATE((H76+J76+L76+N76),"万")</f>
        <v>266万</v>
      </c>
      <c r="T76" s="158">
        <v>42817</v>
      </c>
    </row>
    <row r="77" spans="1:20" x14ac:dyDescent="0.25">
      <c r="A77" s="159" t="s">
        <v>177</v>
      </c>
      <c r="B77" s="60" t="s">
        <v>220</v>
      </c>
    </row>
    <row r="78" spans="1:20" ht="16.5" thickBot="1" x14ac:dyDescent="0.3"/>
    <row r="79" spans="1:20" ht="16.5" thickBot="1" x14ac:dyDescent="0.3">
      <c r="A79" s="145"/>
      <c r="B79" s="146" t="s">
        <v>160</v>
      </c>
      <c r="C79" s="147" t="s">
        <v>161</v>
      </c>
      <c r="D79" s="147"/>
      <c r="E79" s="147" t="s">
        <v>162</v>
      </c>
      <c r="F79" s="147"/>
      <c r="G79" s="147" t="s">
        <v>44</v>
      </c>
      <c r="H79" s="147"/>
      <c r="I79" s="147" t="s">
        <v>163</v>
      </c>
      <c r="J79" s="147"/>
      <c r="K79" s="147" t="s">
        <v>58</v>
      </c>
      <c r="L79" s="148"/>
      <c r="M79" s="149" t="s">
        <v>178</v>
      </c>
      <c r="N79" s="150"/>
    </row>
    <row r="80" spans="1:20" ht="16.5" thickBot="1" x14ac:dyDescent="0.3">
      <c r="A80" s="151" t="s">
        <v>164</v>
      </c>
      <c r="B80" s="162" t="str">
        <f>CONCATENATE((N82+L82+J82+H82+F81+D81),"万")</f>
        <v>316万</v>
      </c>
      <c r="C80" s="84"/>
      <c r="D80" s="34"/>
      <c r="E80" s="34"/>
      <c r="F80" s="34"/>
      <c r="G80" s="34"/>
      <c r="H80" s="34"/>
      <c r="I80" s="34"/>
      <c r="J80" s="34"/>
      <c r="K80" s="34"/>
      <c r="L80" s="34"/>
      <c r="M80" s="34"/>
      <c r="N80" s="144"/>
    </row>
    <row r="81" spans="1:20" x14ac:dyDescent="0.25">
      <c r="A81" s="153" t="s">
        <v>166</v>
      </c>
      <c r="B81" s="168"/>
      <c r="C81" s="166" t="s">
        <v>197</v>
      </c>
      <c r="D81" s="166" t="str">
        <f>LEFT(C81,LEN(C81)-1)</f>
        <v>23</v>
      </c>
      <c r="E81" s="91" t="s">
        <v>205</v>
      </c>
      <c r="F81" s="166" t="str">
        <f>LEFT(E81,LEN(E81)-1)</f>
        <v>4</v>
      </c>
      <c r="G81" s="36"/>
      <c r="H81" s="36"/>
      <c r="I81" s="36"/>
      <c r="J81" s="36"/>
      <c r="K81" s="36"/>
      <c r="L81" s="36"/>
      <c r="M81" s="36"/>
      <c r="N81" s="144"/>
      <c r="S81" s="60" t="str">
        <f>CONCATENATE((D81+F81),"万")</f>
        <v>27万</v>
      </c>
      <c r="T81" s="155" t="s">
        <v>170</v>
      </c>
    </row>
    <row r="82" spans="1:20" ht="16.5" thickBot="1" x14ac:dyDescent="0.3">
      <c r="A82" s="156" t="s">
        <v>171</v>
      </c>
      <c r="B82" s="157"/>
      <c r="C82" s="37"/>
      <c r="D82" s="37"/>
      <c r="E82" s="37"/>
      <c r="F82" s="37"/>
      <c r="G82" s="163" t="s">
        <v>217</v>
      </c>
      <c r="H82" s="163" t="str">
        <f>LEFT(G82,LEN(G82)-1)</f>
        <v>33</v>
      </c>
      <c r="I82" s="163" t="s">
        <v>174</v>
      </c>
      <c r="J82" s="163" t="str">
        <f>LEFT(I82,LEN(I82)-1)</f>
        <v>50</v>
      </c>
      <c r="K82" s="163" t="s">
        <v>218</v>
      </c>
      <c r="L82" s="163" t="str">
        <f>LEFT(K82,LEN(K82)-1)</f>
        <v>73</v>
      </c>
      <c r="M82" s="161" t="s">
        <v>221</v>
      </c>
      <c r="N82" s="164" t="str">
        <f>LEFT(M82,LEN(M82)-1)</f>
        <v>133</v>
      </c>
      <c r="S82" s="60" t="str">
        <f>CONCATENATE((H82+J82+L82+N82),"万")</f>
        <v>289万</v>
      </c>
      <c r="T82" s="158">
        <v>42821</v>
      </c>
    </row>
    <row r="83" spans="1:20" x14ac:dyDescent="0.25">
      <c r="A83" s="159" t="s">
        <v>177</v>
      </c>
      <c r="B83" s="60" t="s">
        <v>222</v>
      </c>
    </row>
    <row r="84" spans="1:20" ht="16.5" thickBot="1" x14ac:dyDescent="0.3"/>
    <row r="85" spans="1:20" ht="16.5" thickBot="1" x14ac:dyDescent="0.3">
      <c r="A85" s="145"/>
      <c r="B85" s="146" t="s">
        <v>160</v>
      </c>
      <c r="C85" s="147" t="s">
        <v>161</v>
      </c>
      <c r="D85" s="147"/>
      <c r="E85" s="147" t="s">
        <v>162</v>
      </c>
      <c r="F85" s="147"/>
      <c r="G85" s="147" t="s">
        <v>44</v>
      </c>
      <c r="H85" s="147"/>
      <c r="I85" s="147" t="s">
        <v>163</v>
      </c>
      <c r="J85" s="147"/>
      <c r="K85" s="147" t="s">
        <v>58</v>
      </c>
      <c r="L85" s="148"/>
      <c r="M85" s="149" t="s">
        <v>178</v>
      </c>
      <c r="N85" s="150"/>
    </row>
    <row r="86" spans="1:20" ht="16.5" thickBot="1" x14ac:dyDescent="0.3">
      <c r="A86" s="151" t="s">
        <v>164</v>
      </c>
      <c r="B86" s="162" t="str">
        <f>CONCATENATE((N88+L88+J88+H88+F87+D87),"万")</f>
        <v>312万</v>
      </c>
      <c r="C86" s="84"/>
      <c r="D86" s="34"/>
      <c r="E86" s="34"/>
      <c r="F86" s="34"/>
      <c r="G86" s="34"/>
      <c r="H86" s="34"/>
      <c r="I86" s="34"/>
      <c r="J86" s="34"/>
      <c r="K86" s="34"/>
      <c r="L86" s="34"/>
      <c r="M86" s="34"/>
      <c r="N86" s="144"/>
    </row>
    <row r="87" spans="1:20" x14ac:dyDescent="0.25">
      <c r="A87" s="153" t="s">
        <v>166</v>
      </c>
      <c r="B87" s="168"/>
      <c r="C87" s="91" t="s">
        <v>197</v>
      </c>
      <c r="D87" s="166" t="str">
        <f>LEFT(C87,LEN(C87)-1)</f>
        <v>23</v>
      </c>
      <c r="E87" s="91" t="s">
        <v>205</v>
      </c>
      <c r="F87" s="166" t="str">
        <f>LEFT(E87,LEN(E87)-1)</f>
        <v>4</v>
      </c>
      <c r="G87" s="36"/>
      <c r="H87" s="36"/>
      <c r="I87" s="36"/>
      <c r="J87" s="36"/>
      <c r="K87" s="36"/>
      <c r="L87" s="36"/>
      <c r="M87" s="36"/>
      <c r="N87" s="144"/>
      <c r="S87" s="60" t="str">
        <f>CONCATENATE((D87+F87),"万")</f>
        <v>27万</v>
      </c>
      <c r="T87" s="155" t="s">
        <v>170</v>
      </c>
    </row>
    <row r="88" spans="1:20" ht="16.5" thickBot="1" x14ac:dyDescent="0.3">
      <c r="A88" s="156" t="s">
        <v>171</v>
      </c>
      <c r="B88" s="157"/>
      <c r="C88" s="37"/>
      <c r="D88" s="37"/>
      <c r="E88" s="37"/>
      <c r="F88" s="37"/>
      <c r="G88" s="163" t="s">
        <v>217</v>
      </c>
      <c r="H88" s="163" t="str">
        <f>LEFT(G88,LEN(G88)-1)</f>
        <v>33</v>
      </c>
      <c r="I88" s="163" t="s">
        <v>174</v>
      </c>
      <c r="J88" s="163" t="str">
        <f>LEFT(I88,LEN(I88)-1)</f>
        <v>50</v>
      </c>
      <c r="K88" s="161" t="s">
        <v>223</v>
      </c>
      <c r="L88" s="163" t="str">
        <f>LEFT(K88,LEN(K88)-1)</f>
        <v>71</v>
      </c>
      <c r="M88" s="161" t="s">
        <v>224</v>
      </c>
      <c r="N88" s="164" t="str">
        <f>LEFT(M88,LEN(M88)-1)</f>
        <v>131</v>
      </c>
      <c r="S88" s="60" t="str">
        <f>CONCATENATE((H88+J88+L88+N88),"万")</f>
        <v>285万</v>
      </c>
      <c r="T88" s="158">
        <v>42824</v>
      </c>
    </row>
    <row r="89" spans="1:20" x14ac:dyDescent="0.25">
      <c r="A89" s="159" t="s">
        <v>177</v>
      </c>
      <c r="B89" s="60" t="s">
        <v>225</v>
      </c>
    </row>
    <row r="90" spans="1:20" ht="16.5" thickBot="1" x14ac:dyDescent="0.3"/>
    <row r="91" spans="1:20" ht="16.5" thickBot="1" x14ac:dyDescent="0.3">
      <c r="A91" s="145"/>
      <c r="B91" s="146" t="s">
        <v>160</v>
      </c>
      <c r="C91" s="147" t="s">
        <v>161</v>
      </c>
      <c r="D91" s="147"/>
      <c r="E91" s="147" t="s">
        <v>162</v>
      </c>
      <c r="F91" s="147"/>
      <c r="G91" s="147" t="s">
        <v>44</v>
      </c>
      <c r="H91" s="147"/>
      <c r="I91" s="147" t="s">
        <v>163</v>
      </c>
      <c r="J91" s="147"/>
      <c r="K91" s="147" t="s">
        <v>58</v>
      </c>
      <c r="L91" s="148"/>
      <c r="M91" s="149" t="s">
        <v>178</v>
      </c>
      <c r="N91" s="150"/>
    </row>
    <row r="92" spans="1:20" ht="16.5" thickBot="1" x14ac:dyDescent="0.3">
      <c r="A92" s="151" t="s">
        <v>164</v>
      </c>
      <c r="B92" s="162" t="str">
        <f>CONCATENATE((N94+L94+J94+H94+F93+D93),"万")</f>
        <v>312万</v>
      </c>
      <c r="C92" s="84"/>
      <c r="D92" s="34"/>
      <c r="E92" s="34"/>
      <c r="F92" s="34"/>
      <c r="G92" s="34"/>
      <c r="H92" s="34"/>
      <c r="I92" s="34"/>
      <c r="J92" s="34"/>
      <c r="K92" s="34"/>
      <c r="L92" s="34"/>
      <c r="M92" s="34"/>
      <c r="N92" s="144"/>
    </row>
    <row r="93" spans="1:20" x14ac:dyDescent="0.25">
      <c r="A93" s="153" t="s">
        <v>166</v>
      </c>
      <c r="B93" s="168"/>
      <c r="C93" s="166" t="s">
        <v>226</v>
      </c>
      <c r="D93" s="166" t="str">
        <f>LEFT(C93,LEN(C93)-1)</f>
        <v>53</v>
      </c>
      <c r="E93" s="91" t="s">
        <v>205</v>
      </c>
      <c r="F93" s="166" t="str">
        <f>LEFT(E93,LEN(E93)-1)</f>
        <v>4</v>
      </c>
      <c r="G93" s="36"/>
      <c r="H93" s="36"/>
      <c r="I93" s="36"/>
      <c r="J93" s="36"/>
      <c r="K93" s="36"/>
      <c r="L93" s="36"/>
      <c r="M93" s="36"/>
      <c r="N93" s="144"/>
      <c r="S93" s="60" t="str">
        <f>CONCATENATE((D93+F93),"万")</f>
        <v>57万</v>
      </c>
      <c r="T93" s="155" t="s">
        <v>170</v>
      </c>
    </row>
    <row r="94" spans="1:20" ht="16.5" thickBot="1" x14ac:dyDescent="0.3">
      <c r="A94" s="156" t="s">
        <v>171</v>
      </c>
      <c r="B94" s="157"/>
      <c r="C94" s="37"/>
      <c r="D94" s="37"/>
      <c r="E94" s="37"/>
      <c r="F94" s="37"/>
      <c r="G94" s="163" t="s">
        <v>217</v>
      </c>
      <c r="H94" s="163" t="str">
        <f>LEFT(G94,LEN(G94)-1)</f>
        <v>33</v>
      </c>
      <c r="I94" s="163" t="s">
        <v>174</v>
      </c>
      <c r="J94" s="163" t="str">
        <f>LEFT(I94,LEN(I94)-1)</f>
        <v>50</v>
      </c>
      <c r="K94" s="161" t="s">
        <v>227</v>
      </c>
      <c r="L94" s="163" t="str">
        <f>LEFT(K94,LEN(K94)-1)</f>
        <v>41</v>
      </c>
      <c r="M94" s="163" t="s">
        <v>224</v>
      </c>
      <c r="N94" s="164" t="str">
        <f>LEFT(M94,LEN(M94)-1)</f>
        <v>131</v>
      </c>
      <c r="S94" s="60" t="str">
        <f>CONCATENATE((H94+J94+L94+N94),"万")</f>
        <v>255万</v>
      </c>
      <c r="T94" s="158">
        <v>42827</v>
      </c>
    </row>
    <row r="95" spans="1:20" x14ac:dyDescent="0.25">
      <c r="A95" s="159" t="s">
        <v>228</v>
      </c>
      <c r="B95" s="60" t="s">
        <v>229</v>
      </c>
    </row>
    <row r="96" spans="1:20" ht="16.5" thickBot="1" x14ac:dyDescent="0.3"/>
    <row r="97" spans="1:20" ht="16.5" thickBot="1" x14ac:dyDescent="0.3">
      <c r="A97" s="145"/>
      <c r="B97" s="146" t="s">
        <v>160</v>
      </c>
      <c r="C97" s="147" t="s">
        <v>230</v>
      </c>
      <c r="D97" s="147"/>
      <c r="E97" s="147" t="s">
        <v>162</v>
      </c>
      <c r="F97" s="147"/>
      <c r="G97" s="147" t="s">
        <v>231</v>
      </c>
      <c r="H97" s="147"/>
      <c r="I97" s="147" t="s">
        <v>232</v>
      </c>
      <c r="J97" s="147"/>
      <c r="K97" s="147" t="s">
        <v>58</v>
      </c>
      <c r="L97" s="148"/>
      <c r="M97" s="149" t="s">
        <v>178</v>
      </c>
      <c r="N97" s="150"/>
    </row>
    <row r="98" spans="1:20" ht="16.5" thickBot="1" x14ac:dyDescent="0.3">
      <c r="A98" s="151" t="s">
        <v>164</v>
      </c>
      <c r="B98" s="162" t="str">
        <f>CONCATENATE((N100+L100+J100+H100+F99+D99),"万")</f>
        <v>312万</v>
      </c>
      <c r="C98" s="84"/>
      <c r="D98" s="34"/>
      <c r="E98" s="34"/>
      <c r="F98" s="34"/>
      <c r="G98" s="34"/>
      <c r="H98" s="34"/>
      <c r="I98" s="34"/>
      <c r="J98" s="34"/>
      <c r="K98" s="34"/>
      <c r="L98" s="34"/>
      <c r="M98" s="34"/>
      <c r="N98" s="144"/>
    </row>
    <row r="99" spans="1:20" x14ac:dyDescent="0.25">
      <c r="A99" s="153" t="s">
        <v>166</v>
      </c>
      <c r="B99" s="168"/>
      <c r="C99" s="166" t="s">
        <v>204</v>
      </c>
      <c r="D99" s="166" t="str">
        <f>LEFT(C99,LEN(C99)-1)</f>
        <v>13</v>
      </c>
      <c r="E99" s="91" t="s">
        <v>205</v>
      </c>
      <c r="F99" s="166" t="str">
        <f>LEFT(E99,LEN(E99)-1)</f>
        <v>4</v>
      </c>
      <c r="G99" s="36"/>
      <c r="H99" s="36"/>
      <c r="I99" s="36"/>
      <c r="J99" s="36"/>
      <c r="K99" s="36"/>
      <c r="L99" s="36"/>
      <c r="M99" s="36"/>
      <c r="N99" s="144"/>
      <c r="S99" s="60" t="str">
        <f>CONCATENATE((D99+F99),"万")</f>
        <v>17万</v>
      </c>
      <c r="T99" s="155" t="s">
        <v>170</v>
      </c>
    </row>
    <row r="100" spans="1:20" ht="16.5" thickBot="1" x14ac:dyDescent="0.3">
      <c r="A100" s="156" t="s">
        <v>171</v>
      </c>
      <c r="B100" s="157"/>
      <c r="C100" s="37"/>
      <c r="D100" s="37"/>
      <c r="E100" s="37"/>
      <c r="F100" s="37"/>
      <c r="G100" s="163" t="s">
        <v>217</v>
      </c>
      <c r="H100" s="163" t="str">
        <f>LEFT(G100,LEN(G100)-1)</f>
        <v>33</v>
      </c>
      <c r="I100" s="163" t="s">
        <v>174</v>
      </c>
      <c r="J100" s="163" t="str">
        <f>LEFT(I100,LEN(I100)-1)</f>
        <v>50</v>
      </c>
      <c r="K100" s="163" t="s">
        <v>227</v>
      </c>
      <c r="L100" s="163" t="str">
        <f>LEFT(K100,LEN(K100)-1)</f>
        <v>41</v>
      </c>
      <c r="M100" s="161" t="s">
        <v>233</v>
      </c>
      <c r="N100" s="164" t="str">
        <f>LEFT(M100,LEN(M100)-1)</f>
        <v>171</v>
      </c>
      <c r="S100" s="60" t="str">
        <f>CONCATENATE((H100+J100+L100+N100),"万")</f>
        <v>295万</v>
      </c>
      <c r="T100" s="158">
        <v>42828</v>
      </c>
    </row>
    <row r="101" spans="1:20" x14ac:dyDescent="0.25">
      <c r="A101" s="159" t="s">
        <v>177</v>
      </c>
      <c r="B101" s="60" t="s">
        <v>234</v>
      </c>
    </row>
    <row r="102" spans="1:20" ht="16.5" thickBot="1" x14ac:dyDescent="0.3"/>
    <row r="103" spans="1:20" ht="16.5" thickBot="1" x14ac:dyDescent="0.3">
      <c r="A103" s="145"/>
      <c r="B103" s="146" t="s">
        <v>160</v>
      </c>
      <c r="C103" s="147" t="s">
        <v>161</v>
      </c>
      <c r="D103" s="147"/>
      <c r="E103" s="147" t="s">
        <v>162</v>
      </c>
      <c r="F103" s="147"/>
      <c r="G103" s="147" t="s">
        <v>44</v>
      </c>
      <c r="H103" s="147"/>
      <c r="I103" s="147" t="s">
        <v>163</v>
      </c>
      <c r="J103" s="147"/>
      <c r="K103" s="147" t="s">
        <v>58</v>
      </c>
      <c r="L103" s="148"/>
      <c r="M103" s="149" t="s">
        <v>178</v>
      </c>
      <c r="N103" s="150"/>
    </row>
    <row r="104" spans="1:20" ht="16.5" thickBot="1" x14ac:dyDescent="0.3">
      <c r="A104" s="151" t="s">
        <v>164</v>
      </c>
      <c r="B104" s="162" t="str">
        <f>CONCATENATE((N106+L106+J106+H106+F105+D105),"万")</f>
        <v>288万</v>
      </c>
      <c r="C104" s="84"/>
      <c r="D104" s="34"/>
      <c r="E104" s="34"/>
      <c r="F104" s="34"/>
      <c r="G104" s="34"/>
      <c r="H104" s="34"/>
      <c r="I104" s="34"/>
      <c r="J104" s="34"/>
      <c r="K104" s="34"/>
      <c r="L104" s="34"/>
      <c r="M104" s="34"/>
      <c r="N104" s="144"/>
    </row>
    <row r="105" spans="1:20" x14ac:dyDescent="0.25">
      <c r="A105" s="153" t="s">
        <v>166</v>
      </c>
      <c r="B105" s="168"/>
      <c r="C105" s="166" t="s">
        <v>235</v>
      </c>
      <c r="D105" s="166" t="str">
        <f>LEFT(C105,LEN(C105)-1)</f>
        <v>11</v>
      </c>
      <c r="E105" s="91" t="s">
        <v>205</v>
      </c>
      <c r="F105" s="166" t="str">
        <f>LEFT(E105,LEN(E105)-1)</f>
        <v>4</v>
      </c>
      <c r="G105" s="36"/>
      <c r="H105" s="36"/>
      <c r="I105" s="36"/>
      <c r="J105" s="36"/>
      <c r="K105" s="36"/>
      <c r="L105" s="36"/>
      <c r="M105" s="36"/>
      <c r="N105" s="144"/>
      <c r="S105" s="60" t="str">
        <f>CONCATENATE((D105+F105),"万")</f>
        <v>15万</v>
      </c>
      <c r="T105" s="155" t="s">
        <v>170</v>
      </c>
    </row>
    <row r="106" spans="1:20" ht="16.5" thickBot="1" x14ac:dyDescent="0.3">
      <c r="A106" s="156" t="s">
        <v>171</v>
      </c>
      <c r="B106" s="157"/>
      <c r="C106" s="37"/>
      <c r="D106" s="37"/>
      <c r="E106" s="37"/>
      <c r="F106" s="37"/>
      <c r="G106" s="163" t="s">
        <v>217</v>
      </c>
      <c r="H106" s="163" t="str">
        <f>LEFT(G106,LEN(G106)-1)</f>
        <v>33</v>
      </c>
      <c r="I106" s="163" t="s">
        <v>174</v>
      </c>
      <c r="J106" s="163" t="str">
        <f>LEFT(I106,LEN(I106)-1)</f>
        <v>50</v>
      </c>
      <c r="K106" s="163" t="s">
        <v>227</v>
      </c>
      <c r="L106" s="163" t="str">
        <f>LEFT(K106,LEN(K106)-1)</f>
        <v>41</v>
      </c>
      <c r="M106" s="161" t="s">
        <v>236</v>
      </c>
      <c r="N106" s="164" t="str">
        <f>LEFT(M106,LEN(M106)-1)</f>
        <v>149</v>
      </c>
      <c r="S106" s="60" t="str">
        <f>CONCATENATE((H106+J106+L106+N106),"万")</f>
        <v>273万</v>
      </c>
      <c r="T106" s="158">
        <v>42832</v>
      </c>
    </row>
    <row r="107" spans="1:20" x14ac:dyDescent="0.25">
      <c r="A107" s="159" t="s">
        <v>228</v>
      </c>
      <c r="B107" s="60" t="s">
        <v>237</v>
      </c>
    </row>
    <row r="108" spans="1:20" ht="16.5" thickBot="1" x14ac:dyDescent="0.3"/>
    <row r="109" spans="1:20" ht="16.5" thickBot="1" x14ac:dyDescent="0.3">
      <c r="A109" s="145"/>
      <c r="B109" s="146" t="s">
        <v>160</v>
      </c>
      <c r="C109" s="147" t="s">
        <v>230</v>
      </c>
      <c r="D109" s="147"/>
      <c r="E109" s="147" t="s">
        <v>162</v>
      </c>
      <c r="F109" s="147"/>
      <c r="G109" s="147" t="s">
        <v>231</v>
      </c>
      <c r="H109" s="147"/>
      <c r="I109" s="147" t="s">
        <v>232</v>
      </c>
      <c r="J109" s="147"/>
      <c r="K109" s="147" t="s">
        <v>58</v>
      </c>
      <c r="L109" s="148"/>
      <c r="M109" s="149" t="s">
        <v>178</v>
      </c>
      <c r="N109" s="150"/>
      <c r="Q109" s="149" t="s">
        <v>238</v>
      </c>
      <c r="R109" s="150"/>
    </row>
    <row r="110" spans="1:20" ht="16.5" thickBot="1" x14ac:dyDescent="0.3">
      <c r="A110" s="151" t="s">
        <v>164</v>
      </c>
      <c r="B110" s="162" t="str">
        <f>CONCATENATE((N112+L112+J112+H112+F111+D111+R112),"万")</f>
        <v>288万</v>
      </c>
      <c r="C110" s="84"/>
      <c r="D110" s="34"/>
      <c r="E110" s="34"/>
      <c r="F110" s="34"/>
      <c r="G110" s="34"/>
      <c r="H110" s="34"/>
      <c r="I110" s="34"/>
      <c r="J110" s="34"/>
      <c r="K110" s="34"/>
      <c r="L110" s="34"/>
      <c r="M110" s="34"/>
      <c r="N110" s="144"/>
      <c r="Q110" s="34"/>
      <c r="R110" s="144"/>
    </row>
    <row r="111" spans="1:20" x14ac:dyDescent="0.25">
      <c r="A111" s="153" t="s">
        <v>166</v>
      </c>
      <c r="B111" s="168"/>
      <c r="C111" s="166" t="s">
        <v>239</v>
      </c>
      <c r="D111" s="166" t="str">
        <f>LEFT(C111,LEN(C111)-1)</f>
        <v>9</v>
      </c>
      <c r="E111" s="91" t="s">
        <v>205</v>
      </c>
      <c r="F111" s="166" t="str">
        <f>LEFT(E111,LEN(E111)-1)</f>
        <v>4</v>
      </c>
      <c r="G111" s="36"/>
      <c r="H111" s="36"/>
      <c r="I111" s="36"/>
      <c r="J111" s="36"/>
      <c r="K111" s="36"/>
      <c r="L111" s="36"/>
      <c r="M111" s="36"/>
      <c r="N111" s="144"/>
      <c r="Q111" s="36"/>
      <c r="R111" s="144"/>
      <c r="S111" s="60" t="str">
        <f>CONCATENATE((D111+F111),"万")</f>
        <v>13万</v>
      </c>
      <c r="T111" s="155" t="s">
        <v>170</v>
      </c>
    </row>
    <row r="112" spans="1:20" ht="16.5" thickBot="1" x14ac:dyDescent="0.3">
      <c r="A112" s="156" t="s">
        <v>171</v>
      </c>
      <c r="B112" s="157"/>
      <c r="C112" s="37"/>
      <c r="D112" s="37"/>
      <c r="E112" s="37"/>
      <c r="F112" s="37"/>
      <c r="G112" s="163" t="s">
        <v>217</v>
      </c>
      <c r="H112" s="163" t="str">
        <f>LEFT(G112,LEN(G112)-1)</f>
        <v>33</v>
      </c>
      <c r="I112" s="163" t="s">
        <v>174</v>
      </c>
      <c r="J112" s="163" t="str">
        <f>LEFT(I112,LEN(I112)-1)</f>
        <v>50</v>
      </c>
      <c r="K112" s="161" t="s">
        <v>240</v>
      </c>
      <c r="L112" s="163" t="str">
        <f>LEFT(K112,LEN(K112)-1)</f>
        <v>26</v>
      </c>
      <c r="M112" s="161" t="s">
        <v>241</v>
      </c>
      <c r="N112" s="164" t="str">
        <f>LEFT(M112,LEN(M112)-1)</f>
        <v>151</v>
      </c>
      <c r="Q112" s="161" t="s">
        <v>242</v>
      </c>
      <c r="R112" s="164" t="str">
        <f>LEFT(Q112,LEN(Q112)-1)</f>
        <v>15</v>
      </c>
      <c r="S112" s="60" t="str">
        <f>CONCATENATE((H112+J112+L112+N112+R112),"万")</f>
        <v>275万</v>
      </c>
      <c r="T112" s="158">
        <v>42835</v>
      </c>
    </row>
    <row r="113" spans="1:20" x14ac:dyDescent="0.25">
      <c r="A113" s="159" t="s">
        <v>228</v>
      </c>
      <c r="B113" s="60" t="s">
        <v>243</v>
      </c>
    </row>
    <row r="114" spans="1:20" ht="16.5" thickBot="1" x14ac:dyDescent="0.3"/>
    <row r="115" spans="1:20" ht="16.5" thickBot="1" x14ac:dyDescent="0.3">
      <c r="A115" s="145"/>
      <c r="B115" s="146" t="s">
        <v>160</v>
      </c>
      <c r="C115" s="147" t="s">
        <v>230</v>
      </c>
      <c r="D115" s="147"/>
      <c r="E115" s="147" t="s">
        <v>162</v>
      </c>
      <c r="F115" s="147"/>
      <c r="G115" s="147" t="s">
        <v>231</v>
      </c>
      <c r="H115" s="147"/>
      <c r="I115" s="147" t="s">
        <v>232</v>
      </c>
      <c r="J115" s="147"/>
      <c r="K115" s="147" t="s">
        <v>58</v>
      </c>
      <c r="L115" s="148"/>
      <c r="M115" s="149" t="s">
        <v>178</v>
      </c>
      <c r="N115" s="150"/>
      <c r="Q115" s="149" t="s">
        <v>238</v>
      </c>
      <c r="R115" s="150"/>
    </row>
    <row r="116" spans="1:20" ht="16.5" thickBot="1" x14ac:dyDescent="0.3">
      <c r="A116" s="151" t="s">
        <v>164</v>
      </c>
      <c r="B116" s="162" t="str">
        <f>CONCATENATE((N118+L118+J118+H118+F117+D117+R118),"万")</f>
        <v>284万</v>
      </c>
      <c r="C116" s="84"/>
      <c r="D116" s="34"/>
      <c r="E116" s="34"/>
      <c r="F116" s="34"/>
      <c r="G116" s="34"/>
      <c r="H116" s="34"/>
      <c r="I116" s="34"/>
      <c r="J116" s="34"/>
      <c r="K116" s="34"/>
      <c r="L116" s="34"/>
      <c r="M116" s="34"/>
      <c r="N116" s="144"/>
      <c r="Q116" s="34"/>
      <c r="R116" s="144"/>
    </row>
    <row r="117" spans="1:20" x14ac:dyDescent="0.25">
      <c r="A117" s="153" t="s">
        <v>166</v>
      </c>
      <c r="B117" s="168"/>
      <c r="C117" s="91" t="s">
        <v>239</v>
      </c>
      <c r="D117" s="166" t="str">
        <f>LEFT(C117,LEN(C117)-1)</f>
        <v>9</v>
      </c>
      <c r="E117" s="91" t="s">
        <v>205</v>
      </c>
      <c r="F117" s="166" t="str">
        <f>LEFT(E117,LEN(E117)-1)</f>
        <v>4</v>
      </c>
      <c r="G117" s="36"/>
      <c r="H117" s="36"/>
      <c r="I117" s="36"/>
      <c r="J117" s="36"/>
      <c r="K117" s="36"/>
      <c r="L117" s="36"/>
      <c r="M117" s="36"/>
      <c r="N117" s="144"/>
      <c r="Q117" s="36"/>
      <c r="R117" s="144"/>
      <c r="S117" s="60" t="str">
        <f>CONCATENATE((D117+F117),"万")</f>
        <v>13万</v>
      </c>
      <c r="T117" s="155" t="s">
        <v>170</v>
      </c>
    </row>
    <row r="118" spans="1:20" ht="16.5" thickBot="1" x14ac:dyDescent="0.3">
      <c r="A118" s="156" t="s">
        <v>171</v>
      </c>
      <c r="B118" s="157"/>
      <c r="C118" s="37"/>
      <c r="D118" s="37"/>
      <c r="E118" s="37"/>
      <c r="F118" s="37"/>
      <c r="G118" s="163" t="s">
        <v>217</v>
      </c>
      <c r="H118" s="163" t="str">
        <f>LEFT(G118,LEN(G118)-1)</f>
        <v>33</v>
      </c>
      <c r="I118" s="163" t="s">
        <v>174</v>
      </c>
      <c r="J118" s="163" t="str">
        <f>LEFT(I118,LEN(I118)-1)</f>
        <v>50</v>
      </c>
      <c r="K118" s="163" t="s">
        <v>240</v>
      </c>
      <c r="L118" s="163" t="str">
        <f>LEFT(K118,LEN(K118)-1)</f>
        <v>26</v>
      </c>
      <c r="M118" s="161" t="s">
        <v>244</v>
      </c>
      <c r="N118" s="164" t="str">
        <f>LEFT(M118,LEN(M118)-1)</f>
        <v>147</v>
      </c>
      <c r="Q118" s="163" t="s">
        <v>242</v>
      </c>
      <c r="R118" s="164" t="str">
        <f>LEFT(Q118,LEN(Q118)-1)</f>
        <v>15</v>
      </c>
      <c r="S118" s="60" t="str">
        <f>CONCATENATE((H118+J118+L118+N118+R118),"万")</f>
        <v>271万</v>
      </c>
      <c r="T118" s="158">
        <v>42836</v>
      </c>
    </row>
    <row r="119" spans="1:20" x14ac:dyDescent="0.25">
      <c r="A119" s="159" t="s">
        <v>228</v>
      </c>
      <c r="B119" s="60" t="s">
        <v>245</v>
      </c>
    </row>
    <row r="120" spans="1:20" ht="16.5" thickBot="1" x14ac:dyDescent="0.3"/>
    <row r="121" spans="1:20" ht="16.5" thickBot="1" x14ac:dyDescent="0.3">
      <c r="A121" s="145"/>
      <c r="B121" s="146" t="s">
        <v>160</v>
      </c>
      <c r="C121" s="147" t="s">
        <v>230</v>
      </c>
      <c r="D121" s="147"/>
      <c r="E121" s="147" t="s">
        <v>162</v>
      </c>
      <c r="F121" s="147"/>
      <c r="G121" s="147" t="s">
        <v>231</v>
      </c>
      <c r="H121" s="147"/>
      <c r="I121" s="147" t="s">
        <v>232</v>
      </c>
      <c r="J121" s="147"/>
      <c r="K121" s="147" t="s">
        <v>58</v>
      </c>
      <c r="L121" s="148"/>
      <c r="M121" s="149" t="s">
        <v>178</v>
      </c>
      <c r="N121" s="150"/>
      <c r="Q121" s="149" t="s">
        <v>238</v>
      </c>
      <c r="R121" s="150"/>
    </row>
    <row r="122" spans="1:20" ht="16.5" thickBot="1" x14ac:dyDescent="0.3">
      <c r="A122" s="151" t="s">
        <v>164</v>
      </c>
      <c r="B122" s="162" t="str">
        <f>CONCATENATE((N124+L124+J124+H124+F123+D123+R124),"万")</f>
        <v>294万</v>
      </c>
      <c r="C122" s="84"/>
      <c r="D122" s="34"/>
      <c r="E122" s="34"/>
      <c r="F122" s="34"/>
      <c r="G122" s="34"/>
      <c r="H122" s="34"/>
      <c r="I122" s="34"/>
      <c r="J122" s="34"/>
      <c r="K122" s="34"/>
      <c r="L122" s="34"/>
      <c r="M122" s="34"/>
      <c r="N122" s="144"/>
      <c r="Q122" s="34"/>
      <c r="R122" s="144"/>
    </row>
    <row r="123" spans="1:20" x14ac:dyDescent="0.25">
      <c r="A123" s="153" t="s">
        <v>166</v>
      </c>
      <c r="B123" s="168"/>
      <c r="C123" s="91" t="s">
        <v>239</v>
      </c>
      <c r="D123" s="166" t="str">
        <f>LEFT(C123,LEN(C123)-1)</f>
        <v>9</v>
      </c>
      <c r="E123" s="91" t="s">
        <v>205</v>
      </c>
      <c r="F123" s="166" t="str">
        <f>LEFT(E123,LEN(E123)-1)</f>
        <v>4</v>
      </c>
      <c r="G123" s="36"/>
      <c r="H123" s="36"/>
      <c r="I123" s="36"/>
      <c r="J123" s="36"/>
      <c r="K123" s="36"/>
      <c r="L123" s="36"/>
      <c r="M123" s="36"/>
      <c r="N123" s="144"/>
      <c r="Q123" s="36"/>
      <c r="R123" s="144"/>
      <c r="S123" s="60" t="str">
        <f>CONCATENATE((D123+F123),"万")</f>
        <v>13万</v>
      </c>
      <c r="T123" s="155" t="s">
        <v>170</v>
      </c>
    </row>
    <row r="124" spans="1:20" ht="16.5" thickBot="1" x14ac:dyDescent="0.3">
      <c r="A124" s="156" t="s">
        <v>171</v>
      </c>
      <c r="B124" s="157"/>
      <c r="C124" s="37"/>
      <c r="D124" s="37"/>
      <c r="E124" s="37"/>
      <c r="F124" s="37"/>
      <c r="G124" s="163" t="s">
        <v>217</v>
      </c>
      <c r="H124" s="163" t="str">
        <f>LEFT(G124,LEN(G124)-1)</f>
        <v>33</v>
      </c>
      <c r="I124" s="163" t="s">
        <v>174</v>
      </c>
      <c r="J124" s="163" t="str">
        <f>LEFT(I124,LEN(I124)-1)</f>
        <v>50</v>
      </c>
      <c r="K124" s="163" t="s">
        <v>240</v>
      </c>
      <c r="L124" s="163" t="str">
        <f>LEFT(K124,LEN(K124)-1)</f>
        <v>26</v>
      </c>
      <c r="M124" s="161" t="s">
        <v>246</v>
      </c>
      <c r="N124" s="164" t="str">
        <f>LEFT(M124,LEN(M124)-1)</f>
        <v>157</v>
      </c>
      <c r="Q124" s="163" t="s">
        <v>242</v>
      </c>
      <c r="R124" s="164" t="str">
        <f>LEFT(Q124,LEN(Q124)-1)</f>
        <v>15</v>
      </c>
      <c r="S124" s="60" t="str">
        <f>CONCATENATE((H124+J124+L124+N124+R124),"万")</f>
        <v>281万</v>
      </c>
      <c r="T124" s="158">
        <v>42843</v>
      </c>
    </row>
    <row r="125" spans="1:20" x14ac:dyDescent="0.25">
      <c r="A125" s="159" t="s">
        <v>228</v>
      </c>
      <c r="B125" s="60" t="s">
        <v>247</v>
      </c>
    </row>
    <row r="126" spans="1:20" ht="16.5" thickBot="1" x14ac:dyDescent="0.3"/>
    <row r="127" spans="1:20" ht="16.5" thickBot="1" x14ac:dyDescent="0.3">
      <c r="A127" s="145"/>
      <c r="B127" s="146" t="s">
        <v>160</v>
      </c>
      <c r="C127" s="147" t="s">
        <v>230</v>
      </c>
      <c r="D127" s="147"/>
      <c r="E127" s="147" t="s">
        <v>162</v>
      </c>
      <c r="F127" s="147"/>
      <c r="G127" s="147" t="s">
        <v>231</v>
      </c>
      <c r="H127" s="147"/>
      <c r="I127" s="147" t="s">
        <v>232</v>
      </c>
      <c r="J127" s="147"/>
      <c r="K127" s="147" t="s">
        <v>58</v>
      </c>
      <c r="L127" s="148"/>
      <c r="M127" s="149" t="s">
        <v>178</v>
      </c>
      <c r="N127" s="150"/>
      <c r="Q127" s="149" t="s">
        <v>238</v>
      </c>
      <c r="R127" s="150"/>
    </row>
    <row r="128" spans="1:20" ht="16.5" thickBot="1" x14ac:dyDescent="0.3">
      <c r="A128" s="151" t="s">
        <v>164</v>
      </c>
      <c r="B128" s="162" t="str">
        <f>CONCATENATE((N130+L130+J130+H130+F129+D129+R130),"万")</f>
        <v>299万</v>
      </c>
      <c r="C128" s="84"/>
      <c r="D128" s="34"/>
      <c r="E128" s="34"/>
      <c r="F128" s="34"/>
      <c r="G128" s="34"/>
      <c r="H128" s="34"/>
      <c r="I128" s="34"/>
      <c r="J128" s="34"/>
      <c r="K128" s="34"/>
      <c r="L128" s="34"/>
      <c r="M128" s="34"/>
      <c r="N128" s="144"/>
      <c r="Q128" s="34"/>
      <c r="R128" s="144"/>
    </row>
    <row r="129" spans="1:20" x14ac:dyDescent="0.25">
      <c r="A129" s="153" t="s">
        <v>166</v>
      </c>
      <c r="B129" s="168"/>
      <c r="C129" s="91" t="s">
        <v>239</v>
      </c>
      <c r="D129" s="166" t="str">
        <f>LEFT(C129,LEN(C129)-1)</f>
        <v>9</v>
      </c>
      <c r="E129" s="91" t="s">
        <v>205</v>
      </c>
      <c r="F129" s="166" t="str">
        <f>LEFT(E129,LEN(E129)-1)</f>
        <v>4</v>
      </c>
      <c r="G129" s="36"/>
      <c r="H129" s="36"/>
      <c r="I129" s="36"/>
      <c r="J129" s="36"/>
      <c r="K129" s="36"/>
      <c r="L129" s="36"/>
      <c r="M129" s="36"/>
      <c r="N129" s="144"/>
      <c r="Q129" s="36"/>
      <c r="R129" s="144"/>
      <c r="S129" s="60" t="str">
        <f>CONCATENATE((D129+F129),"万")</f>
        <v>13万</v>
      </c>
      <c r="T129" s="155" t="s">
        <v>170</v>
      </c>
    </row>
    <row r="130" spans="1:20" ht="16.5" thickBot="1" x14ac:dyDescent="0.3">
      <c r="A130" s="156" t="s">
        <v>171</v>
      </c>
      <c r="B130" s="157"/>
      <c r="C130" s="37"/>
      <c r="D130" s="37"/>
      <c r="E130" s="37"/>
      <c r="F130" s="37"/>
      <c r="G130" s="161" t="s">
        <v>248</v>
      </c>
      <c r="H130" s="163" t="str">
        <f>LEFT(G130,LEN(G130)-1)</f>
        <v>34</v>
      </c>
      <c r="I130" s="163" t="s">
        <v>174</v>
      </c>
      <c r="J130" s="163" t="str">
        <f>LEFT(I130,LEN(I130)-1)</f>
        <v>50</v>
      </c>
      <c r="K130" s="163" t="s">
        <v>240</v>
      </c>
      <c r="L130" s="163" t="str">
        <f>LEFT(K130,LEN(K130)-1)</f>
        <v>26</v>
      </c>
      <c r="M130" s="161" t="s">
        <v>249</v>
      </c>
      <c r="N130" s="164" t="str">
        <f>LEFT(M130,LEN(M130)-1)</f>
        <v>161</v>
      </c>
      <c r="Q130" s="163" t="s">
        <v>242</v>
      </c>
      <c r="R130" s="164" t="str">
        <f>LEFT(Q130,LEN(Q130)-1)</f>
        <v>15</v>
      </c>
      <c r="S130" s="60" t="str">
        <f>CONCATENATE((H130+J130+L130+N130+R130),"万")</f>
        <v>286万</v>
      </c>
      <c r="T130" s="158">
        <v>42845</v>
      </c>
    </row>
    <row r="131" spans="1:20" x14ac:dyDescent="0.25">
      <c r="A131" s="159" t="s">
        <v>228</v>
      </c>
      <c r="B131" s="60" t="s">
        <v>250</v>
      </c>
    </row>
    <row r="132" spans="1:20" ht="16.5" thickBot="1" x14ac:dyDescent="0.3"/>
    <row r="133" spans="1:20" ht="16.5" thickBot="1" x14ac:dyDescent="0.3">
      <c r="A133" s="145"/>
      <c r="B133" s="146" t="s">
        <v>160</v>
      </c>
      <c r="C133" s="147" t="s">
        <v>230</v>
      </c>
      <c r="D133" s="147"/>
      <c r="E133" s="147" t="s">
        <v>162</v>
      </c>
      <c r="F133" s="147"/>
      <c r="G133" s="147" t="s">
        <v>231</v>
      </c>
      <c r="H133" s="147"/>
      <c r="I133" s="147" t="s">
        <v>232</v>
      </c>
      <c r="J133" s="147"/>
      <c r="K133" s="147" t="s">
        <v>58</v>
      </c>
      <c r="L133" s="148"/>
      <c r="M133" s="149" t="s">
        <v>178</v>
      </c>
      <c r="N133" s="150"/>
      <c r="Q133" s="149" t="s">
        <v>238</v>
      </c>
      <c r="R133" s="150"/>
    </row>
    <row r="134" spans="1:20" ht="16.5" thickBot="1" x14ac:dyDescent="0.3">
      <c r="A134" s="151" t="s">
        <v>164</v>
      </c>
      <c r="B134" s="162" t="str">
        <f>CONCATENATE((N136+L136+J136+H136+F135+D135+R136),"万")</f>
        <v>302万</v>
      </c>
      <c r="C134" s="84"/>
      <c r="D134" s="34"/>
      <c r="E134" s="34"/>
      <c r="F134" s="34"/>
      <c r="G134" s="34"/>
      <c r="H134" s="34"/>
      <c r="I134" s="34"/>
      <c r="J134" s="34"/>
      <c r="K134" s="34"/>
      <c r="L134" s="34"/>
      <c r="M134" s="34"/>
      <c r="N134" s="144"/>
      <c r="Q134" s="34"/>
      <c r="R134" s="144"/>
    </row>
    <row r="135" spans="1:20" x14ac:dyDescent="0.25">
      <c r="A135" s="153" t="s">
        <v>166</v>
      </c>
      <c r="B135" s="168"/>
      <c r="C135" s="91" t="s">
        <v>239</v>
      </c>
      <c r="D135" s="166" t="str">
        <f>LEFT(C135,LEN(C135)-1)</f>
        <v>9</v>
      </c>
      <c r="E135" s="91" t="s">
        <v>205</v>
      </c>
      <c r="F135" s="166" t="str">
        <f>LEFT(E135,LEN(E135)-1)</f>
        <v>4</v>
      </c>
      <c r="G135" s="36"/>
      <c r="H135" s="36"/>
      <c r="I135" s="36"/>
      <c r="J135" s="36"/>
      <c r="K135" s="36"/>
      <c r="L135" s="36"/>
      <c r="M135" s="36"/>
      <c r="N135" s="144"/>
      <c r="Q135" s="36"/>
      <c r="R135" s="144"/>
      <c r="S135" s="60" t="str">
        <f>CONCATENATE((D135+F135),"万")</f>
        <v>13万</v>
      </c>
      <c r="T135" s="155" t="s">
        <v>170</v>
      </c>
    </row>
    <row r="136" spans="1:20" ht="16.5" thickBot="1" x14ac:dyDescent="0.3">
      <c r="A136" s="156" t="s">
        <v>171</v>
      </c>
      <c r="B136" s="157"/>
      <c r="C136" s="37"/>
      <c r="D136" s="37"/>
      <c r="E136" s="37"/>
      <c r="F136" s="37"/>
      <c r="G136" s="163" t="s">
        <v>248</v>
      </c>
      <c r="H136" s="163" t="str">
        <f>LEFT(G136,LEN(G136)-1)</f>
        <v>34</v>
      </c>
      <c r="I136" s="163" t="s">
        <v>174</v>
      </c>
      <c r="J136" s="163" t="str">
        <f>LEFT(I136,LEN(I136)-1)</f>
        <v>50</v>
      </c>
      <c r="K136" s="163" t="s">
        <v>240</v>
      </c>
      <c r="L136" s="163" t="str">
        <f>LEFT(K136,LEN(K136)-1)</f>
        <v>26</v>
      </c>
      <c r="M136" s="161" t="s">
        <v>251</v>
      </c>
      <c r="N136" s="164" t="str">
        <f>LEFT(M136,LEN(M136)-1)</f>
        <v>164</v>
      </c>
      <c r="Q136" s="163" t="s">
        <v>242</v>
      </c>
      <c r="R136" s="164" t="str">
        <f>LEFT(Q136,LEN(Q136)-1)</f>
        <v>15</v>
      </c>
      <c r="S136" s="60" t="str">
        <f>CONCATENATE((H136+J136+L136+N136+R136),"万")</f>
        <v>289万</v>
      </c>
      <c r="T136" s="158">
        <v>42847</v>
      </c>
    </row>
    <row r="137" spans="1:20" x14ac:dyDescent="0.25">
      <c r="A137" s="159" t="s">
        <v>228</v>
      </c>
      <c r="B137" s="60" t="s">
        <v>252</v>
      </c>
    </row>
    <row r="138" spans="1:20" ht="16.5" thickBot="1" x14ac:dyDescent="0.3"/>
    <row r="139" spans="1:20" ht="16.5" thickBot="1" x14ac:dyDescent="0.3">
      <c r="A139" s="145"/>
      <c r="B139" s="146" t="s">
        <v>160</v>
      </c>
      <c r="C139" s="147" t="s">
        <v>230</v>
      </c>
      <c r="D139" s="147"/>
      <c r="E139" s="147" t="s">
        <v>162</v>
      </c>
      <c r="F139" s="147"/>
      <c r="G139" s="147" t="s">
        <v>231</v>
      </c>
      <c r="H139" s="147"/>
      <c r="I139" s="147" t="s">
        <v>232</v>
      </c>
      <c r="J139" s="147"/>
      <c r="K139" s="147" t="s">
        <v>58</v>
      </c>
      <c r="L139" s="148"/>
      <c r="M139" s="149" t="s">
        <v>178</v>
      </c>
      <c r="N139" s="150"/>
      <c r="Q139" s="149" t="s">
        <v>238</v>
      </c>
      <c r="R139" s="150"/>
    </row>
    <row r="140" spans="1:20" ht="16.5" thickBot="1" x14ac:dyDescent="0.3">
      <c r="A140" s="151" t="s">
        <v>164</v>
      </c>
      <c r="B140" s="162" t="str">
        <f>CONCATENATE((N142+L142+J142+H142+F141+D141+R142),"万")</f>
        <v>277万</v>
      </c>
      <c r="C140" s="84"/>
      <c r="D140" s="34"/>
      <c r="E140" s="34"/>
      <c r="F140" s="34"/>
      <c r="G140" s="34"/>
      <c r="H140" s="34"/>
      <c r="I140" s="34"/>
      <c r="J140" s="34"/>
      <c r="K140" s="34"/>
      <c r="L140" s="34"/>
      <c r="M140" s="34"/>
      <c r="N140" s="144"/>
      <c r="Q140" s="34"/>
      <c r="R140" s="144"/>
    </row>
    <row r="141" spans="1:20" x14ac:dyDescent="0.25">
      <c r="A141" s="153" t="s">
        <v>166</v>
      </c>
      <c r="B141" s="168"/>
      <c r="C141" s="166" t="s">
        <v>212</v>
      </c>
      <c r="D141" s="166" t="str">
        <f>LEFT(C141,LEN(C141)-1)</f>
        <v>10</v>
      </c>
      <c r="E141" s="166" t="s">
        <v>253</v>
      </c>
      <c r="F141" s="166" t="str">
        <f>LEFT(E141,LEN(E141)-1)</f>
        <v>2</v>
      </c>
      <c r="G141" s="36"/>
      <c r="H141" s="36"/>
      <c r="I141" s="36"/>
      <c r="J141" s="36"/>
      <c r="K141" s="36"/>
      <c r="L141" s="36"/>
      <c r="M141" s="36"/>
      <c r="N141" s="144"/>
      <c r="Q141" s="36"/>
      <c r="R141" s="144"/>
      <c r="S141" s="60" t="str">
        <f>CONCATENATE((D141+F141),"万")</f>
        <v>12万</v>
      </c>
      <c r="T141" s="155" t="s">
        <v>170</v>
      </c>
    </row>
    <row r="142" spans="1:20" ht="16.5" thickBot="1" x14ac:dyDescent="0.3">
      <c r="A142" s="156" t="s">
        <v>171</v>
      </c>
      <c r="B142" s="157"/>
      <c r="C142" s="37"/>
      <c r="D142" s="37"/>
      <c r="E142" s="37"/>
      <c r="F142" s="37"/>
      <c r="G142" s="163" t="s">
        <v>248</v>
      </c>
      <c r="H142" s="163" t="str">
        <f>LEFT(G142,LEN(G142)-1)</f>
        <v>34</v>
      </c>
      <c r="I142" s="163" t="s">
        <v>174</v>
      </c>
      <c r="J142" s="163" t="str">
        <f>LEFT(I142,LEN(I142)-1)</f>
        <v>50</v>
      </c>
      <c r="K142" s="163" t="s">
        <v>240</v>
      </c>
      <c r="L142" s="163" t="str">
        <f>LEFT(K142,LEN(K142)-1)</f>
        <v>26</v>
      </c>
      <c r="M142" s="161" t="s">
        <v>254</v>
      </c>
      <c r="N142" s="164" t="str">
        <f>LEFT(M142,LEN(M142)-1)</f>
        <v>140</v>
      </c>
      <c r="Q142" s="163" t="s">
        <v>242</v>
      </c>
      <c r="R142" s="164" t="str">
        <f>LEFT(Q142,LEN(Q142)-1)</f>
        <v>15</v>
      </c>
      <c r="S142" s="60" t="str">
        <f>CONCATENATE((H142+J142+L142+N142+R142),"万")</f>
        <v>265万</v>
      </c>
      <c r="T142" s="158">
        <v>42864</v>
      </c>
    </row>
    <row r="143" spans="1:20" x14ac:dyDescent="0.25">
      <c r="A143" s="159" t="s">
        <v>228</v>
      </c>
      <c r="B143" s="60" t="s">
        <v>255</v>
      </c>
    </row>
    <row r="144" spans="1:20" ht="16.5" thickBot="1" x14ac:dyDescent="0.3"/>
    <row r="145" spans="1:20" ht="16.5" thickBot="1" x14ac:dyDescent="0.3">
      <c r="A145" s="145"/>
      <c r="B145" s="146" t="s">
        <v>160</v>
      </c>
      <c r="C145" s="147" t="s">
        <v>230</v>
      </c>
      <c r="D145" s="147"/>
      <c r="E145" s="147" t="s">
        <v>162</v>
      </c>
      <c r="F145" s="147"/>
      <c r="G145" s="147" t="s">
        <v>231</v>
      </c>
      <c r="H145" s="147"/>
      <c r="I145" s="147" t="s">
        <v>232</v>
      </c>
      <c r="J145" s="147"/>
      <c r="K145" s="147" t="s">
        <v>58</v>
      </c>
      <c r="L145" s="148"/>
      <c r="M145" s="149" t="s">
        <v>178</v>
      </c>
      <c r="N145" s="150"/>
      <c r="Q145" s="149" t="s">
        <v>238</v>
      </c>
      <c r="R145" s="150"/>
    </row>
    <row r="146" spans="1:20" ht="16.5" thickBot="1" x14ac:dyDescent="0.3">
      <c r="A146" s="151" t="s">
        <v>164</v>
      </c>
      <c r="B146" s="162" t="str">
        <f>CONCATENATE((N148+L148+J148+H148+F147+D147+R148),"万")</f>
        <v>280万</v>
      </c>
      <c r="C146" s="84"/>
      <c r="D146" s="34"/>
      <c r="E146" s="34"/>
      <c r="F146" s="34"/>
      <c r="G146" s="34"/>
      <c r="H146" s="34"/>
      <c r="I146" s="34"/>
      <c r="J146" s="34"/>
      <c r="K146" s="34"/>
      <c r="L146" s="34"/>
      <c r="M146" s="34"/>
      <c r="N146" s="144"/>
      <c r="Q146" s="34"/>
      <c r="R146" s="144"/>
    </row>
    <row r="147" spans="1:20" x14ac:dyDescent="0.25">
      <c r="A147" s="153" t="s">
        <v>166</v>
      </c>
      <c r="B147" s="168"/>
      <c r="C147" s="91" t="s">
        <v>212</v>
      </c>
      <c r="D147" s="91" t="str">
        <f>LEFT(C147,LEN(C147)-1)</f>
        <v>10</v>
      </c>
      <c r="E147" s="91" t="s">
        <v>253</v>
      </c>
      <c r="F147" s="166" t="str">
        <f>LEFT(E147,LEN(E147)-1)</f>
        <v>2</v>
      </c>
      <c r="G147" s="36"/>
      <c r="H147" s="36"/>
      <c r="I147" s="36"/>
      <c r="J147" s="36"/>
      <c r="K147" s="36"/>
      <c r="L147" s="36"/>
      <c r="M147" s="36"/>
      <c r="N147" s="144"/>
      <c r="Q147" s="36"/>
      <c r="R147" s="144"/>
      <c r="S147" s="60" t="str">
        <f>CONCATENATE((D147+F147),"万")</f>
        <v>12万</v>
      </c>
      <c r="T147" s="155" t="s">
        <v>170</v>
      </c>
    </row>
    <row r="148" spans="1:20" ht="16.5" thickBot="1" x14ac:dyDescent="0.3">
      <c r="A148" s="156" t="s">
        <v>171</v>
      </c>
      <c r="B148" s="157"/>
      <c r="C148" s="37"/>
      <c r="D148" s="37"/>
      <c r="E148" s="37"/>
      <c r="F148" s="37"/>
      <c r="G148" s="163" t="s">
        <v>248</v>
      </c>
      <c r="H148" s="163" t="str">
        <f>LEFT(G148,LEN(G148)-1)</f>
        <v>34</v>
      </c>
      <c r="I148" s="163" t="s">
        <v>174</v>
      </c>
      <c r="J148" s="163" t="str">
        <f>LEFT(I148,LEN(I148)-1)</f>
        <v>50</v>
      </c>
      <c r="K148" s="163" t="s">
        <v>240</v>
      </c>
      <c r="L148" s="163" t="str">
        <f>LEFT(K148,LEN(K148)-1)</f>
        <v>26</v>
      </c>
      <c r="M148" s="161" t="s">
        <v>256</v>
      </c>
      <c r="N148" s="164" t="str">
        <f>LEFT(M148,LEN(M148)-1)</f>
        <v>143</v>
      </c>
      <c r="Q148" s="163" t="s">
        <v>242</v>
      </c>
      <c r="R148" s="164" t="str">
        <f>LEFT(Q148,LEN(Q148)-1)</f>
        <v>15</v>
      </c>
      <c r="S148" s="60" t="str">
        <f>CONCATENATE((H148+J148+L148+N148+R148),"万")</f>
        <v>268万</v>
      </c>
      <c r="T148" s="158">
        <v>42865</v>
      </c>
    </row>
    <row r="149" spans="1:20" x14ac:dyDescent="0.25">
      <c r="A149" s="159" t="s">
        <v>228</v>
      </c>
      <c r="B149" s="60" t="s">
        <v>257</v>
      </c>
    </row>
    <row r="150" spans="1:20" ht="16.5" thickBot="1" x14ac:dyDescent="0.3"/>
    <row r="151" spans="1:20" ht="16.5" thickBot="1" x14ac:dyDescent="0.3">
      <c r="A151" s="145"/>
      <c r="B151" s="146" t="s">
        <v>160</v>
      </c>
      <c r="C151" s="147" t="s">
        <v>230</v>
      </c>
      <c r="D151" s="147"/>
      <c r="E151" s="147" t="s">
        <v>162</v>
      </c>
      <c r="F151" s="147"/>
      <c r="G151" s="147" t="s">
        <v>231</v>
      </c>
      <c r="H151" s="147"/>
      <c r="I151" s="147" t="s">
        <v>232</v>
      </c>
      <c r="J151" s="147"/>
      <c r="K151" s="147" t="s">
        <v>58</v>
      </c>
      <c r="L151" s="148"/>
      <c r="M151" s="149" t="s">
        <v>178</v>
      </c>
      <c r="N151" s="150"/>
      <c r="Q151" s="149" t="s">
        <v>238</v>
      </c>
      <c r="R151" s="150"/>
    </row>
    <row r="152" spans="1:20" ht="16.5" thickBot="1" x14ac:dyDescent="0.3">
      <c r="A152" s="151" t="s">
        <v>164</v>
      </c>
      <c r="B152" s="162" t="str">
        <f>CONCATENATE((N154+L154+J154+H154+F153+D153+R154),"万")</f>
        <v>277万</v>
      </c>
      <c r="C152" s="84"/>
      <c r="D152" s="34"/>
      <c r="E152" s="34"/>
      <c r="F152" s="34"/>
      <c r="G152" s="34"/>
      <c r="H152" s="34"/>
      <c r="I152" s="34"/>
      <c r="J152" s="34"/>
      <c r="K152" s="34"/>
      <c r="L152" s="34"/>
      <c r="M152" s="34"/>
      <c r="N152" s="144"/>
      <c r="Q152" s="34"/>
      <c r="R152" s="144"/>
    </row>
    <row r="153" spans="1:20" x14ac:dyDescent="0.25">
      <c r="A153" s="153" t="s">
        <v>166</v>
      </c>
      <c r="B153" s="168"/>
      <c r="C153" s="91" t="s">
        <v>212</v>
      </c>
      <c r="D153" s="91" t="str">
        <f>LEFT(C153,LEN(C153)-1)</f>
        <v>10</v>
      </c>
      <c r="E153" s="91" t="s">
        <v>253</v>
      </c>
      <c r="F153" s="166" t="str">
        <f>LEFT(E153,LEN(E153)-1)</f>
        <v>2</v>
      </c>
      <c r="G153" s="36"/>
      <c r="H153" s="36"/>
      <c r="I153" s="36"/>
      <c r="J153" s="36"/>
      <c r="K153" s="36"/>
      <c r="L153" s="36"/>
      <c r="M153" s="36"/>
      <c r="N153" s="144"/>
      <c r="Q153" s="36"/>
      <c r="R153" s="144"/>
      <c r="S153" s="60" t="str">
        <f>CONCATENATE((D153+F153),"万")</f>
        <v>12万</v>
      </c>
      <c r="T153" s="155" t="s">
        <v>170</v>
      </c>
    </row>
    <row r="154" spans="1:20" ht="16.5" thickBot="1" x14ac:dyDescent="0.3">
      <c r="A154" s="156" t="s">
        <v>171</v>
      </c>
      <c r="B154" s="157"/>
      <c r="C154" s="37"/>
      <c r="D154" s="37"/>
      <c r="E154" s="37"/>
      <c r="F154" s="37"/>
      <c r="G154" s="163" t="s">
        <v>248</v>
      </c>
      <c r="H154" s="163" t="str">
        <f>LEFT(G154,LEN(G154)-1)</f>
        <v>34</v>
      </c>
      <c r="I154" s="163" t="s">
        <v>174</v>
      </c>
      <c r="J154" s="163" t="str">
        <f>LEFT(I154,LEN(I154)-1)</f>
        <v>50</v>
      </c>
      <c r="K154" s="163" t="s">
        <v>240</v>
      </c>
      <c r="L154" s="163" t="str">
        <f>LEFT(K154,LEN(K154)-1)</f>
        <v>26</v>
      </c>
      <c r="M154" s="161" t="s">
        <v>254</v>
      </c>
      <c r="N154" s="164" t="str">
        <f>LEFT(M154,LEN(M154)-1)</f>
        <v>140</v>
      </c>
      <c r="Q154" s="163" t="s">
        <v>242</v>
      </c>
      <c r="R154" s="164" t="str">
        <f>LEFT(Q154,LEN(Q154)-1)</f>
        <v>15</v>
      </c>
      <c r="S154" s="60" t="str">
        <f>CONCATENATE((H154+J154+L154+N154+R154),"万")</f>
        <v>265万</v>
      </c>
      <c r="T154" s="158">
        <v>42866</v>
      </c>
    </row>
    <row r="155" spans="1:20" x14ac:dyDescent="0.25">
      <c r="A155" s="159" t="s">
        <v>228</v>
      </c>
      <c r="B155" s="60" t="s">
        <v>258</v>
      </c>
    </row>
    <row r="156" spans="1:20" ht="16.5" thickBot="1" x14ac:dyDescent="0.3"/>
    <row r="157" spans="1:20" ht="16.5" thickBot="1" x14ac:dyDescent="0.3">
      <c r="A157" s="145"/>
      <c r="B157" s="146" t="s">
        <v>160</v>
      </c>
      <c r="C157" s="147" t="s">
        <v>230</v>
      </c>
      <c r="D157" s="147"/>
      <c r="E157" s="147" t="s">
        <v>162</v>
      </c>
      <c r="F157" s="147"/>
      <c r="G157" s="147" t="s">
        <v>231</v>
      </c>
      <c r="H157" s="147"/>
      <c r="I157" s="147" t="s">
        <v>232</v>
      </c>
      <c r="J157" s="147"/>
      <c r="K157" s="147" t="s">
        <v>58</v>
      </c>
      <c r="L157" s="148"/>
      <c r="M157" s="149" t="s">
        <v>178</v>
      </c>
      <c r="N157" s="150"/>
      <c r="Q157" s="149" t="s">
        <v>238</v>
      </c>
      <c r="R157" s="150"/>
    </row>
    <row r="158" spans="1:20" ht="16.5" thickBot="1" x14ac:dyDescent="0.3">
      <c r="A158" s="151" t="s">
        <v>164</v>
      </c>
      <c r="B158" s="162" t="str">
        <f>CONCATENATE((N160+L160+J160+H160+F159+D159+R160),"万")</f>
        <v>279万</v>
      </c>
      <c r="C158" s="84"/>
      <c r="D158" s="34"/>
      <c r="E158" s="34"/>
      <c r="F158" s="34"/>
      <c r="G158" s="34"/>
      <c r="H158" s="34"/>
      <c r="I158" s="34"/>
      <c r="J158" s="34"/>
      <c r="K158" s="34"/>
      <c r="L158" s="34"/>
      <c r="M158" s="34"/>
      <c r="N158" s="144"/>
      <c r="Q158" s="34"/>
      <c r="R158" s="144"/>
    </row>
    <row r="159" spans="1:20" x14ac:dyDescent="0.25">
      <c r="A159" s="153" t="s">
        <v>166</v>
      </c>
      <c r="B159" s="168"/>
      <c r="C159" s="166" t="s">
        <v>259</v>
      </c>
      <c r="D159" s="91" t="str">
        <f>LEFT(C159,LEN(C159)-1)</f>
        <v>8</v>
      </c>
      <c r="E159" s="91" t="s">
        <v>253</v>
      </c>
      <c r="F159" s="166" t="str">
        <f>LEFT(E159,LEN(E159)-1)</f>
        <v>2</v>
      </c>
      <c r="G159" s="36"/>
      <c r="H159" s="36"/>
      <c r="I159" s="36"/>
      <c r="J159" s="36"/>
      <c r="K159" s="36"/>
      <c r="L159" s="36"/>
      <c r="M159" s="36"/>
      <c r="N159" s="144"/>
      <c r="Q159" s="36"/>
      <c r="R159" s="144"/>
      <c r="S159" s="60" t="str">
        <f>CONCATENATE((D159+F159),"万")</f>
        <v>10万</v>
      </c>
      <c r="T159" s="155" t="s">
        <v>170</v>
      </c>
    </row>
    <row r="160" spans="1:20" ht="16.5" thickBot="1" x14ac:dyDescent="0.3">
      <c r="A160" s="156" t="s">
        <v>171</v>
      </c>
      <c r="B160" s="157"/>
      <c r="C160" s="37"/>
      <c r="D160" s="37"/>
      <c r="E160" s="37"/>
      <c r="F160" s="37"/>
      <c r="G160" s="163" t="s">
        <v>248</v>
      </c>
      <c r="H160" s="163" t="str">
        <f>LEFT(G160,LEN(G160)-1)</f>
        <v>34</v>
      </c>
      <c r="I160" s="163" t="s">
        <v>174</v>
      </c>
      <c r="J160" s="163" t="str">
        <f>LEFT(I160,LEN(I160)-1)</f>
        <v>50</v>
      </c>
      <c r="K160" s="163" t="s">
        <v>240</v>
      </c>
      <c r="L160" s="163" t="str">
        <f>LEFT(K160,LEN(K160)-1)</f>
        <v>26</v>
      </c>
      <c r="M160" s="161" t="s">
        <v>260</v>
      </c>
      <c r="N160" s="164" t="str">
        <f>LEFT(M160,LEN(M160)-1)</f>
        <v>144</v>
      </c>
      <c r="Q160" s="163" t="s">
        <v>242</v>
      </c>
      <c r="R160" s="164" t="str">
        <f>LEFT(Q160,LEN(Q160)-1)</f>
        <v>15</v>
      </c>
      <c r="S160" s="60" t="str">
        <f>CONCATENATE((H160+J160+L160+N160+R160),"万")</f>
        <v>269万</v>
      </c>
      <c r="T160" s="158">
        <v>42871</v>
      </c>
    </row>
    <row r="161" spans="1:20" x14ac:dyDescent="0.25">
      <c r="A161" s="159" t="s">
        <v>228</v>
      </c>
      <c r="B161" s="60" t="s">
        <v>261</v>
      </c>
    </row>
    <row r="162" spans="1:20" ht="16.5" thickBot="1" x14ac:dyDescent="0.3"/>
    <row r="163" spans="1:20" ht="16.5" thickBot="1" x14ac:dyDescent="0.3">
      <c r="A163" s="145"/>
      <c r="B163" s="146" t="s">
        <v>160</v>
      </c>
      <c r="C163" s="147" t="s">
        <v>230</v>
      </c>
      <c r="D163" s="147"/>
      <c r="E163" s="147" t="s">
        <v>162</v>
      </c>
      <c r="F163" s="147"/>
      <c r="G163" s="147" t="s">
        <v>231</v>
      </c>
      <c r="H163" s="147"/>
      <c r="I163" s="147" t="s">
        <v>232</v>
      </c>
      <c r="J163" s="147"/>
      <c r="K163" s="147" t="s">
        <v>58</v>
      </c>
      <c r="L163" s="148"/>
      <c r="M163" s="149" t="s">
        <v>178</v>
      </c>
      <c r="N163" s="150"/>
      <c r="Q163" s="149" t="s">
        <v>238</v>
      </c>
      <c r="R163" s="150"/>
    </row>
    <row r="164" spans="1:20" ht="16.5" thickBot="1" x14ac:dyDescent="0.3">
      <c r="A164" s="151" t="s">
        <v>164</v>
      </c>
      <c r="B164" s="162" t="str">
        <f>CONCATENATE((N166+L166+J166+H166+F165+D165+R166),"万")</f>
        <v>281万</v>
      </c>
      <c r="C164" s="84"/>
      <c r="D164" s="34"/>
      <c r="E164" s="34"/>
      <c r="F164" s="34"/>
      <c r="G164" s="34"/>
      <c r="H164" s="34"/>
      <c r="I164" s="34"/>
      <c r="J164" s="34"/>
      <c r="K164" s="34"/>
      <c r="L164" s="34"/>
      <c r="M164" s="34"/>
      <c r="N164" s="144"/>
      <c r="Q164" s="34"/>
      <c r="R164" s="144"/>
    </row>
    <row r="165" spans="1:20" x14ac:dyDescent="0.25">
      <c r="A165" s="153" t="s">
        <v>166</v>
      </c>
      <c r="B165" s="168"/>
      <c r="C165" s="91" t="s">
        <v>259</v>
      </c>
      <c r="D165" s="91" t="str">
        <f>LEFT(C165,LEN(C165)-1)</f>
        <v>8</v>
      </c>
      <c r="E165" s="91" t="s">
        <v>253</v>
      </c>
      <c r="F165" s="166" t="str">
        <f>LEFT(E165,LEN(E165)-1)</f>
        <v>2</v>
      </c>
      <c r="G165" s="36"/>
      <c r="H165" s="36"/>
      <c r="I165" s="36"/>
      <c r="J165" s="36"/>
      <c r="K165" s="36"/>
      <c r="L165" s="36"/>
      <c r="M165" s="36"/>
      <c r="N165" s="144"/>
      <c r="Q165" s="36"/>
      <c r="R165" s="144"/>
      <c r="S165" s="60" t="str">
        <f>CONCATENATE((D165+F165),"万")</f>
        <v>10万</v>
      </c>
      <c r="T165" s="155" t="s">
        <v>170</v>
      </c>
    </row>
    <row r="166" spans="1:20" ht="16.5" thickBot="1" x14ac:dyDescent="0.3">
      <c r="A166" s="156" t="s">
        <v>171</v>
      </c>
      <c r="B166" s="157"/>
      <c r="C166" s="37"/>
      <c r="D166" s="37"/>
      <c r="E166" s="37"/>
      <c r="F166" s="37"/>
      <c r="G166" s="163" t="s">
        <v>248</v>
      </c>
      <c r="H166" s="163" t="str">
        <f>LEFT(G166,LEN(G166)-1)</f>
        <v>34</v>
      </c>
      <c r="I166" s="163" t="s">
        <v>174</v>
      </c>
      <c r="J166" s="163" t="str">
        <f>LEFT(I166,LEN(I166)-1)</f>
        <v>50</v>
      </c>
      <c r="K166" s="163" t="s">
        <v>240</v>
      </c>
      <c r="L166" s="163" t="str">
        <f>LEFT(K166,LEN(K166)-1)</f>
        <v>26</v>
      </c>
      <c r="M166" s="161" t="s">
        <v>262</v>
      </c>
      <c r="N166" s="164" t="str">
        <f>LEFT(M166,LEN(M166)-1)</f>
        <v>146</v>
      </c>
      <c r="Q166" s="163" t="s">
        <v>242</v>
      </c>
      <c r="R166" s="164" t="str">
        <f>LEFT(Q166,LEN(Q166)-1)</f>
        <v>15</v>
      </c>
      <c r="S166" s="60" t="str">
        <f>CONCATENATE((H166+J166+L166+N166+R166),"万")</f>
        <v>271万</v>
      </c>
      <c r="T166" s="158">
        <v>42872</v>
      </c>
    </row>
    <row r="167" spans="1:20" x14ac:dyDescent="0.25">
      <c r="A167" s="159" t="s">
        <v>228</v>
      </c>
      <c r="B167" s="60" t="s">
        <v>263</v>
      </c>
    </row>
    <row r="168" spans="1:20" ht="16.5" thickBot="1" x14ac:dyDescent="0.3"/>
    <row r="169" spans="1:20" ht="16.5" thickBot="1" x14ac:dyDescent="0.3">
      <c r="A169" s="145"/>
      <c r="B169" s="146" t="s">
        <v>160</v>
      </c>
      <c r="C169" s="147" t="s">
        <v>230</v>
      </c>
      <c r="D169" s="147"/>
      <c r="E169" s="147" t="s">
        <v>162</v>
      </c>
      <c r="F169" s="147"/>
      <c r="G169" s="147" t="s">
        <v>231</v>
      </c>
      <c r="H169" s="147"/>
      <c r="I169" s="147" t="s">
        <v>232</v>
      </c>
      <c r="J169" s="147"/>
      <c r="K169" s="147" t="s">
        <v>58</v>
      </c>
      <c r="L169" s="148"/>
      <c r="M169" s="149" t="s">
        <v>178</v>
      </c>
      <c r="N169" s="150"/>
      <c r="Q169" s="149" t="s">
        <v>238</v>
      </c>
      <c r="R169" s="150"/>
    </row>
    <row r="170" spans="1:20" ht="16.5" thickBot="1" x14ac:dyDescent="0.3">
      <c r="A170" s="151" t="s">
        <v>164</v>
      </c>
      <c r="B170" s="162" t="str">
        <f>CONCATENATE((N172+L172+J172+H172+F171+D171+R172),"万")</f>
        <v>290万</v>
      </c>
      <c r="C170" s="84"/>
      <c r="D170" s="34"/>
      <c r="E170" s="34"/>
      <c r="F170" s="34"/>
      <c r="G170" s="34"/>
      <c r="H170" s="34"/>
      <c r="I170" s="34"/>
      <c r="J170" s="34"/>
      <c r="K170" s="34"/>
      <c r="L170" s="34"/>
      <c r="M170" s="34"/>
      <c r="N170" s="144"/>
      <c r="Q170" s="34"/>
      <c r="R170" s="144"/>
    </row>
    <row r="171" spans="1:20" x14ac:dyDescent="0.25">
      <c r="A171" s="153" t="s">
        <v>166</v>
      </c>
      <c r="B171" s="168"/>
      <c r="C171" s="91" t="s">
        <v>259</v>
      </c>
      <c r="D171" s="91" t="str">
        <f>LEFT(C171,LEN(C171)-1)</f>
        <v>8</v>
      </c>
      <c r="E171" s="166" t="s">
        <v>264</v>
      </c>
      <c r="F171" s="166" t="str">
        <f>LEFT(E171,LEN(E171)-1)</f>
        <v>3</v>
      </c>
      <c r="G171" s="36"/>
      <c r="H171" s="36"/>
      <c r="I171" s="36"/>
      <c r="J171" s="36"/>
      <c r="K171" s="36"/>
      <c r="L171" s="36"/>
      <c r="M171" s="36"/>
      <c r="N171" s="144"/>
      <c r="Q171" s="36"/>
      <c r="R171" s="144"/>
      <c r="S171" s="60" t="str">
        <f>CONCATENATE((D171+F171),"万")</f>
        <v>11万</v>
      </c>
      <c r="T171" s="155" t="s">
        <v>170</v>
      </c>
    </row>
    <row r="172" spans="1:20" ht="16.5" thickBot="1" x14ac:dyDescent="0.3">
      <c r="A172" s="156" t="s">
        <v>171</v>
      </c>
      <c r="B172" s="157"/>
      <c r="C172" s="37"/>
      <c r="D172" s="37"/>
      <c r="E172" s="37"/>
      <c r="F172" s="37"/>
      <c r="G172" s="161" t="s">
        <v>265</v>
      </c>
      <c r="H172" s="163" t="str">
        <f>LEFT(G172,LEN(G172)-1)</f>
        <v>35</v>
      </c>
      <c r="I172" s="163" t="s">
        <v>174</v>
      </c>
      <c r="J172" s="163" t="str">
        <f>LEFT(I172,LEN(I172)-1)</f>
        <v>50</v>
      </c>
      <c r="K172" s="163" t="s">
        <v>240</v>
      </c>
      <c r="L172" s="163" t="str">
        <f>LEFT(K172,LEN(K172)-1)</f>
        <v>26</v>
      </c>
      <c r="M172" s="161" t="s">
        <v>266</v>
      </c>
      <c r="N172" s="164" t="str">
        <f>LEFT(M172,LEN(M172)-1)</f>
        <v>153</v>
      </c>
      <c r="Q172" s="163" t="s">
        <v>242</v>
      </c>
      <c r="R172" s="164" t="str">
        <f>LEFT(Q172,LEN(Q172)-1)</f>
        <v>15</v>
      </c>
      <c r="S172" s="60" t="str">
        <f>CONCATENATE((H172+J172+L172+N172+R172),"万")</f>
        <v>279万</v>
      </c>
      <c r="T172" s="158">
        <v>42874</v>
      </c>
    </row>
    <row r="173" spans="1:20" x14ac:dyDescent="0.25">
      <c r="A173" s="159" t="s">
        <v>177</v>
      </c>
      <c r="B173" s="60" t="s">
        <v>267</v>
      </c>
    </row>
    <row r="174" spans="1:20" ht="16.5" thickBot="1" x14ac:dyDescent="0.3"/>
    <row r="175" spans="1:20" ht="16.5" thickBot="1" x14ac:dyDescent="0.3">
      <c r="A175" s="145"/>
      <c r="B175" s="146" t="s">
        <v>160</v>
      </c>
      <c r="C175" s="147" t="s">
        <v>161</v>
      </c>
      <c r="D175" s="147"/>
      <c r="E175" s="147" t="s">
        <v>162</v>
      </c>
      <c r="F175" s="147"/>
      <c r="G175" s="147" t="s">
        <v>184</v>
      </c>
      <c r="H175" s="147"/>
      <c r="I175" s="147" t="s">
        <v>163</v>
      </c>
      <c r="J175" s="147"/>
      <c r="K175" s="147" t="s">
        <v>58</v>
      </c>
      <c r="L175" s="148"/>
      <c r="M175" s="149" t="s">
        <v>178</v>
      </c>
      <c r="N175" s="150"/>
      <c r="Q175" s="149" t="s">
        <v>238</v>
      </c>
      <c r="R175" s="150"/>
    </row>
    <row r="176" spans="1:20" ht="16.5" thickBot="1" x14ac:dyDescent="0.3">
      <c r="A176" s="151" t="s">
        <v>164</v>
      </c>
      <c r="B176" s="167" t="str">
        <f>CONCATENATE((N178+L178+J178+H178+F177+D177+R178),"万")</f>
        <v>290万</v>
      </c>
      <c r="C176" s="84"/>
      <c r="D176" s="84"/>
      <c r="E176" s="84"/>
      <c r="F176" s="84"/>
      <c r="G176" s="84"/>
      <c r="H176" s="84"/>
      <c r="I176" s="84"/>
      <c r="J176" s="84"/>
      <c r="K176" s="84"/>
      <c r="L176" s="84"/>
      <c r="M176" s="84"/>
      <c r="N176" s="144"/>
      <c r="Q176" s="34"/>
      <c r="R176" s="144"/>
    </row>
    <row r="177" spans="1:20" x14ac:dyDescent="0.25">
      <c r="A177" s="153" t="s">
        <v>166</v>
      </c>
      <c r="B177" s="168"/>
      <c r="C177" s="91" t="s">
        <v>259</v>
      </c>
      <c r="D177" s="91" t="str">
        <f>LEFT(C177,LEN(C177)-1)</f>
        <v>8</v>
      </c>
      <c r="E177" s="91" t="s">
        <v>264</v>
      </c>
      <c r="F177" s="91" t="str">
        <f>LEFT(E177,LEN(E177)-1)</f>
        <v>3</v>
      </c>
      <c r="G177" s="91"/>
      <c r="H177" s="91"/>
      <c r="I177" s="91"/>
      <c r="J177" s="91"/>
      <c r="K177" s="91"/>
      <c r="L177" s="91"/>
      <c r="M177" s="91"/>
      <c r="N177" s="144"/>
      <c r="Q177" s="36"/>
      <c r="R177" s="144"/>
      <c r="S177" s="60" t="str">
        <f>CONCATENATE((D177+F177),"万")</f>
        <v>11万</v>
      </c>
      <c r="T177" s="155" t="s">
        <v>170</v>
      </c>
    </row>
    <row r="178" spans="1:20" ht="16.5" thickBot="1" x14ac:dyDescent="0.3">
      <c r="A178" s="156" t="s">
        <v>171</v>
      </c>
      <c r="B178" s="350"/>
      <c r="C178" s="163"/>
      <c r="D178" s="163"/>
      <c r="E178" s="163"/>
      <c r="F178" s="163"/>
      <c r="G178" s="163" t="s">
        <v>265</v>
      </c>
      <c r="H178" s="163" t="str">
        <f>LEFT(G178,LEN(G178)-1)</f>
        <v>35</v>
      </c>
      <c r="I178" s="163" t="s">
        <v>174</v>
      </c>
      <c r="J178" s="163" t="str">
        <f>LEFT(I178,LEN(I178)-1)</f>
        <v>50</v>
      </c>
      <c r="K178" s="163" t="s">
        <v>240</v>
      </c>
      <c r="L178" s="163" t="str">
        <f>LEFT(K178,LEN(K178)-1)</f>
        <v>26</v>
      </c>
      <c r="M178" s="163" t="s">
        <v>266</v>
      </c>
      <c r="N178" s="164" t="str">
        <f>LEFT(M178,LEN(M178)-1)</f>
        <v>153</v>
      </c>
      <c r="Q178" s="163" t="s">
        <v>242</v>
      </c>
      <c r="R178" s="164" t="str">
        <f>LEFT(Q178,LEN(Q178)-1)</f>
        <v>15</v>
      </c>
      <c r="S178" s="60" t="str">
        <f>CONCATENATE((H178+J178+L178+N178+R178),"万")</f>
        <v>279万</v>
      </c>
      <c r="T178" s="158">
        <v>42879</v>
      </c>
    </row>
    <row r="179" spans="1:20" x14ac:dyDescent="0.25">
      <c r="A179" s="159" t="s">
        <v>177</v>
      </c>
      <c r="B179" s="60" t="s">
        <v>459</v>
      </c>
    </row>
    <row r="180" spans="1:20" ht="16.5" thickBot="1" x14ac:dyDescent="0.3"/>
    <row r="181" spans="1:20" ht="16.5" thickBot="1" x14ac:dyDescent="0.3">
      <c r="A181" s="145"/>
      <c r="B181" s="146" t="s">
        <v>160</v>
      </c>
      <c r="C181" s="147" t="s">
        <v>161</v>
      </c>
      <c r="D181" s="147"/>
      <c r="E181" s="147" t="s">
        <v>162</v>
      </c>
      <c r="F181" s="147"/>
      <c r="G181" s="147" t="s">
        <v>184</v>
      </c>
      <c r="H181" s="147"/>
      <c r="I181" s="147" t="s">
        <v>163</v>
      </c>
      <c r="J181" s="147"/>
      <c r="K181" s="147" t="s">
        <v>58</v>
      </c>
      <c r="L181" s="148"/>
      <c r="M181" s="149" t="s">
        <v>178</v>
      </c>
      <c r="N181" s="150"/>
      <c r="Q181" s="149" t="s">
        <v>238</v>
      </c>
      <c r="R181" s="150"/>
    </row>
    <row r="182" spans="1:20" ht="16.5" thickBot="1" x14ac:dyDescent="0.3">
      <c r="A182" s="151" t="s">
        <v>164</v>
      </c>
      <c r="B182" s="167" t="str">
        <f>CONCATENATE((N184+L184+J184+H184+F183+D183+R184),"万")</f>
        <v>301万</v>
      </c>
      <c r="C182" s="84"/>
      <c r="D182" s="84"/>
      <c r="E182" s="84"/>
      <c r="F182" s="84"/>
      <c r="G182" s="84"/>
      <c r="H182" s="84"/>
      <c r="I182" s="84"/>
      <c r="J182" s="84"/>
      <c r="K182" s="84"/>
      <c r="L182" s="84"/>
      <c r="M182" s="84"/>
      <c r="N182" s="144"/>
      <c r="Q182" s="34"/>
      <c r="R182" s="144"/>
    </row>
    <row r="183" spans="1:20" x14ac:dyDescent="0.25">
      <c r="A183" s="153" t="s">
        <v>166</v>
      </c>
      <c r="B183" s="168"/>
      <c r="C183" s="166" t="s">
        <v>197</v>
      </c>
      <c r="D183" s="91" t="str">
        <f>LEFT(C183,LEN(C183)-1)</f>
        <v>23</v>
      </c>
      <c r="E183" s="166" t="s">
        <v>253</v>
      </c>
      <c r="F183" s="91" t="str">
        <f>LEFT(E183,LEN(E183)-1)</f>
        <v>2</v>
      </c>
      <c r="G183" s="91"/>
      <c r="H183" s="91"/>
      <c r="I183" s="91"/>
      <c r="J183" s="91"/>
      <c r="K183" s="91"/>
      <c r="L183" s="91"/>
      <c r="M183" s="91"/>
      <c r="N183" s="144"/>
      <c r="Q183" s="36"/>
      <c r="R183" s="144"/>
      <c r="S183" s="60" t="str">
        <f>CONCATENATE((D183+F183),"万")</f>
        <v>25万</v>
      </c>
      <c r="T183" s="155" t="s">
        <v>170</v>
      </c>
    </row>
    <row r="184" spans="1:20" ht="16.5" thickBot="1" x14ac:dyDescent="0.3">
      <c r="A184" s="156" t="s">
        <v>171</v>
      </c>
      <c r="B184" s="350"/>
      <c r="C184" s="163"/>
      <c r="D184" s="163"/>
      <c r="E184" s="163"/>
      <c r="F184" s="163"/>
      <c r="G184" s="163" t="s">
        <v>265</v>
      </c>
      <c r="H184" s="163" t="str">
        <f>LEFT(G184,LEN(G184)-1)</f>
        <v>35</v>
      </c>
      <c r="I184" s="163" t="s">
        <v>174</v>
      </c>
      <c r="J184" s="163" t="str">
        <f>LEFT(I184,LEN(I184)-1)</f>
        <v>50</v>
      </c>
      <c r="K184" s="163" t="s">
        <v>240</v>
      </c>
      <c r="L184" s="163" t="str">
        <f>LEFT(K184,LEN(K184)-1)</f>
        <v>26</v>
      </c>
      <c r="M184" s="161" t="s">
        <v>470</v>
      </c>
      <c r="N184" s="164" t="str">
        <f>LEFT(M184,LEN(M184)-1)</f>
        <v>150</v>
      </c>
      <c r="Q184" s="163" t="s">
        <v>242</v>
      </c>
      <c r="R184" s="164" t="str">
        <f>LEFT(Q184,LEN(Q184)-1)</f>
        <v>15</v>
      </c>
      <c r="S184" s="60" t="str">
        <f>CONCATENATE((H184+J184+L184+N184+R184),"万")</f>
        <v>276万</v>
      </c>
      <c r="T184" s="158">
        <v>42886</v>
      </c>
    </row>
    <row r="185" spans="1:20" x14ac:dyDescent="0.25">
      <c r="A185" s="159" t="s">
        <v>177</v>
      </c>
      <c r="B185" s="60" t="s">
        <v>471</v>
      </c>
    </row>
    <row r="186" spans="1:20" ht="16.5" thickBot="1" x14ac:dyDescent="0.3"/>
    <row r="187" spans="1:20" ht="16.5" thickBot="1" x14ac:dyDescent="0.3">
      <c r="A187" s="145"/>
      <c r="B187" s="146" t="s">
        <v>160</v>
      </c>
      <c r="C187" s="147" t="s">
        <v>161</v>
      </c>
      <c r="D187" s="147"/>
      <c r="E187" s="147" t="s">
        <v>162</v>
      </c>
      <c r="F187" s="147"/>
      <c r="G187" s="147" t="s">
        <v>184</v>
      </c>
      <c r="H187" s="147"/>
      <c r="I187" s="147" t="s">
        <v>163</v>
      </c>
      <c r="J187" s="147"/>
      <c r="K187" s="147" t="s">
        <v>58</v>
      </c>
      <c r="L187" s="148"/>
      <c r="M187" s="149" t="s">
        <v>178</v>
      </c>
      <c r="N187" s="150"/>
      <c r="O187" s="149" t="s">
        <v>475</v>
      </c>
      <c r="P187" s="150"/>
      <c r="Q187" s="149" t="s">
        <v>238</v>
      </c>
      <c r="R187" s="150"/>
    </row>
    <row r="188" spans="1:20" ht="16.5" thickBot="1" x14ac:dyDescent="0.3">
      <c r="A188" s="151" t="s">
        <v>164</v>
      </c>
      <c r="B188" s="167" t="str">
        <f>CONCATENATE((N190+L190+J190+H190+F189+D189+R190+P190),"万")</f>
        <v>306万</v>
      </c>
      <c r="C188" s="84"/>
      <c r="D188" s="84"/>
      <c r="E188" s="84"/>
      <c r="F188" s="84"/>
      <c r="G188" s="84"/>
      <c r="H188" s="84"/>
      <c r="I188" s="84"/>
      <c r="J188" s="84"/>
      <c r="K188" s="84"/>
      <c r="L188" s="84"/>
      <c r="M188" s="84"/>
      <c r="N188" s="144"/>
      <c r="O188" s="84"/>
      <c r="P188" s="144"/>
      <c r="Q188" s="34"/>
      <c r="R188" s="144"/>
    </row>
    <row r="189" spans="1:20" x14ac:dyDescent="0.25">
      <c r="A189" s="153" t="s">
        <v>166</v>
      </c>
      <c r="B189" s="168"/>
      <c r="C189" s="166" t="s">
        <v>477</v>
      </c>
      <c r="D189" s="91" t="str">
        <f>LEFT(C189,LEN(C189)-1)</f>
        <v>19</v>
      </c>
      <c r="E189" s="91" t="s">
        <v>253</v>
      </c>
      <c r="F189" s="91" t="str">
        <f>LEFT(E189,LEN(E189)-1)</f>
        <v>2</v>
      </c>
      <c r="G189" s="91"/>
      <c r="H189" s="91"/>
      <c r="I189" s="91"/>
      <c r="J189" s="91"/>
      <c r="K189" s="91"/>
      <c r="L189" s="91"/>
      <c r="M189" s="91"/>
      <c r="N189" s="144"/>
      <c r="O189" s="91"/>
      <c r="P189" s="144"/>
      <c r="Q189" s="36"/>
      <c r="R189" s="144"/>
      <c r="S189" s="60" t="str">
        <f>CONCATENATE((D189+F189),"万")</f>
        <v>21万</v>
      </c>
      <c r="T189" s="155" t="s">
        <v>170</v>
      </c>
    </row>
    <row r="190" spans="1:20" ht="16.5" thickBot="1" x14ac:dyDescent="0.3">
      <c r="A190" s="156" t="s">
        <v>171</v>
      </c>
      <c r="B190" s="350"/>
      <c r="C190" s="163"/>
      <c r="D190" s="163"/>
      <c r="E190" s="163"/>
      <c r="F190" s="163"/>
      <c r="G190" s="163" t="s">
        <v>265</v>
      </c>
      <c r="H190" s="163" t="str">
        <f>LEFT(G190,LEN(G190)-1)</f>
        <v>35</v>
      </c>
      <c r="I190" s="163" t="s">
        <v>174</v>
      </c>
      <c r="J190" s="163" t="str">
        <f>LEFT(I190,LEN(I190)-1)</f>
        <v>50</v>
      </c>
      <c r="K190" s="163" t="s">
        <v>240</v>
      </c>
      <c r="L190" s="163" t="str">
        <f>LEFT(K190,LEN(K190)-1)</f>
        <v>26</v>
      </c>
      <c r="M190" s="161" t="s">
        <v>474</v>
      </c>
      <c r="N190" s="164" t="str">
        <f>LEFT(M190,LEN(M190)-1)</f>
        <v>154</v>
      </c>
      <c r="O190" s="161" t="s">
        <v>168</v>
      </c>
      <c r="P190" s="164" t="str">
        <f>LEFT(O190,LEN(O190)-1)</f>
        <v>5</v>
      </c>
      <c r="Q190" s="163" t="s">
        <v>242</v>
      </c>
      <c r="R190" s="164" t="str">
        <f>LEFT(Q190,LEN(Q190)-1)</f>
        <v>15</v>
      </c>
      <c r="S190" s="60" t="str">
        <f>CONCATENATE((H190+J190+L190+N190+R190+P190),"万")</f>
        <v>285万</v>
      </c>
      <c r="T190" s="158">
        <v>42891</v>
      </c>
    </row>
    <row r="191" spans="1:20" x14ac:dyDescent="0.25">
      <c r="A191" s="159" t="s">
        <v>177</v>
      </c>
      <c r="B191" s="60" t="s">
        <v>478</v>
      </c>
    </row>
    <row r="192" spans="1:20" ht="16.5" thickBot="1" x14ac:dyDescent="0.3"/>
    <row r="193" spans="1:20" ht="16.5" thickBot="1" x14ac:dyDescent="0.3">
      <c r="A193" s="145"/>
      <c r="B193" s="146" t="s">
        <v>160</v>
      </c>
      <c r="C193" s="147" t="s">
        <v>161</v>
      </c>
      <c r="D193" s="147"/>
      <c r="E193" s="147" t="s">
        <v>162</v>
      </c>
      <c r="F193" s="147"/>
      <c r="G193" s="147" t="s">
        <v>184</v>
      </c>
      <c r="H193" s="147"/>
      <c r="I193" s="147" t="s">
        <v>163</v>
      </c>
      <c r="J193" s="147"/>
      <c r="K193" s="147" t="s">
        <v>58</v>
      </c>
      <c r="L193" s="148"/>
      <c r="M193" s="149" t="s">
        <v>178</v>
      </c>
      <c r="N193" s="150"/>
      <c r="O193" s="149" t="s">
        <v>475</v>
      </c>
      <c r="P193" s="150"/>
      <c r="Q193" s="149" t="s">
        <v>238</v>
      </c>
      <c r="R193" s="150"/>
    </row>
    <row r="194" spans="1:20" ht="16.5" thickBot="1" x14ac:dyDescent="0.3">
      <c r="A194" s="151" t="s">
        <v>164</v>
      </c>
      <c r="B194" s="167" t="str">
        <f>CONCATENATE((N196+L196+J196+H196+F195+D195+R196+P196),"万")</f>
        <v>290万</v>
      </c>
      <c r="C194" s="84"/>
      <c r="D194" s="84"/>
      <c r="E194" s="84"/>
      <c r="F194" s="84"/>
      <c r="G194" s="84"/>
      <c r="H194" s="84"/>
      <c r="I194" s="84"/>
      <c r="J194" s="84"/>
      <c r="K194" s="84"/>
      <c r="L194" s="84"/>
      <c r="M194" s="84"/>
      <c r="N194" s="144"/>
      <c r="O194" s="84"/>
      <c r="P194" s="144"/>
      <c r="Q194" s="34"/>
      <c r="R194" s="144"/>
    </row>
    <row r="195" spans="1:20" x14ac:dyDescent="0.25">
      <c r="A195" s="153" t="s">
        <v>166</v>
      </c>
      <c r="B195" s="168"/>
      <c r="C195" s="166" t="s">
        <v>484</v>
      </c>
      <c r="D195" s="91" t="str">
        <f>LEFT(C195,LEN(C195)-1)</f>
        <v>17</v>
      </c>
      <c r="E195" s="91" t="s">
        <v>253</v>
      </c>
      <c r="F195" s="91" t="str">
        <f>LEFT(E195,LEN(E195)-1)</f>
        <v>2</v>
      </c>
      <c r="G195" s="91"/>
      <c r="H195" s="91"/>
      <c r="I195" s="91"/>
      <c r="J195" s="91"/>
      <c r="K195" s="91"/>
      <c r="L195" s="91"/>
      <c r="M195" s="91"/>
      <c r="N195" s="144"/>
      <c r="O195" s="91"/>
      <c r="P195" s="144"/>
      <c r="Q195" s="36"/>
      <c r="R195" s="144"/>
      <c r="S195" s="60" t="str">
        <f>CONCATENATE((D195+F195),"万")</f>
        <v>19万</v>
      </c>
      <c r="T195" s="155" t="s">
        <v>170</v>
      </c>
    </row>
    <row r="196" spans="1:20" ht="16.5" thickBot="1" x14ac:dyDescent="0.3">
      <c r="A196" s="156" t="s">
        <v>171</v>
      </c>
      <c r="B196" s="350"/>
      <c r="C196" s="163"/>
      <c r="D196" s="163"/>
      <c r="E196" s="163"/>
      <c r="F196" s="163"/>
      <c r="G196" s="163" t="s">
        <v>265</v>
      </c>
      <c r="H196" s="163" t="str">
        <f>LEFT(G196,LEN(G196)-1)</f>
        <v>35</v>
      </c>
      <c r="I196" s="163" t="s">
        <v>174</v>
      </c>
      <c r="J196" s="163" t="str">
        <f>LEFT(I196,LEN(I196)-1)</f>
        <v>50</v>
      </c>
      <c r="K196" s="163" t="s">
        <v>240</v>
      </c>
      <c r="L196" s="163" t="str">
        <f>LEFT(K196,LEN(K196)-1)</f>
        <v>26</v>
      </c>
      <c r="M196" s="161" t="s">
        <v>254</v>
      </c>
      <c r="N196" s="164" t="str">
        <f>LEFT(M196,LEN(M196)-1)</f>
        <v>140</v>
      </c>
      <c r="O196" s="161" t="s">
        <v>168</v>
      </c>
      <c r="P196" s="164" t="str">
        <f>LEFT(O196,LEN(O196)-1)</f>
        <v>5</v>
      </c>
      <c r="Q196" s="163" t="s">
        <v>242</v>
      </c>
      <c r="R196" s="164" t="str">
        <f>LEFT(Q196,LEN(Q196)-1)</f>
        <v>15</v>
      </c>
      <c r="S196" s="60" t="str">
        <f>CONCATENATE((H196+J196+L196+N196+R196+P196),"万")</f>
        <v>271万</v>
      </c>
      <c r="T196" s="158">
        <v>42901</v>
      </c>
    </row>
    <row r="197" spans="1:20" x14ac:dyDescent="0.25">
      <c r="A197" s="159" t="s">
        <v>177</v>
      </c>
    </row>
    <row r="198" spans="1:20" ht="16.5" thickBot="1" x14ac:dyDescent="0.3"/>
    <row r="199" spans="1:20" ht="16.5" thickBot="1" x14ac:dyDescent="0.3">
      <c r="A199" s="145"/>
      <c r="B199" s="146" t="s">
        <v>160</v>
      </c>
      <c r="C199" s="147" t="s">
        <v>161</v>
      </c>
      <c r="D199" s="147"/>
      <c r="E199" s="147" t="s">
        <v>162</v>
      </c>
      <c r="F199" s="147"/>
      <c r="G199" s="147" t="s">
        <v>184</v>
      </c>
      <c r="H199" s="147"/>
      <c r="I199" s="147" t="s">
        <v>163</v>
      </c>
      <c r="J199" s="147"/>
      <c r="K199" s="147" t="s">
        <v>58</v>
      </c>
      <c r="L199" s="148"/>
      <c r="M199" s="149" t="s">
        <v>178</v>
      </c>
      <c r="N199" s="150"/>
      <c r="O199" s="149" t="s">
        <v>475</v>
      </c>
      <c r="P199" s="150"/>
      <c r="Q199" s="149" t="s">
        <v>238</v>
      </c>
      <c r="R199" s="150"/>
    </row>
    <row r="200" spans="1:20" ht="16.5" thickBot="1" x14ac:dyDescent="0.3">
      <c r="A200" s="151" t="s">
        <v>164</v>
      </c>
      <c r="B200" s="167" t="str">
        <f>CONCATENATE((N202+L202+J202+H202+F201+D201+R202+P202),"万")</f>
        <v>352万</v>
      </c>
      <c r="C200" s="84"/>
      <c r="D200" s="84"/>
      <c r="E200" s="84"/>
      <c r="F200" s="84"/>
      <c r="G200" s="84"/>
      <c r="H200" s="84"/>
      <c r="I200" s="84"/>
      <c r="J200" s="84"/>
      <c r="K200" s="84"/>
      <c r="L200" s="84"/>
      <c r="M200" s="84"/>
      <c r="N200" s="144"/>
      <c r="O200" s="84"/>
      <c r="P200" s="144"/>
      <c r="Q200" s="34"/>
      <c r="R200" s="144"/>
    </row>
    <row r="201" spans="1:20" x14ac:dyDescent="0.25">
      <c r="A201" s="153" t="s">
        <v>166</v>
      </c>
      <c r="B201" s="168"/>
      <c r="C201" s="166" t="s">
        <v>492</v>
      </c>
      <c r="D201" s="91" t="str">
        <f>LEFT(C201,LEN(C201)-1)</f>
        <v>30</v>
      </c>
      <c r="E201" s="166" t="s">
        <v>493</v>
      </c>
      <c r="F201" s="91" t="str">
        <f>LEFT(E201,LEN(E201)-1)</f>
        <v>1</v>
      </c>
      <c r="G201" s="91"/>
      <c r="H201" s="91"/>
      <c r="I201" s="91"/>
      <c r="J201" s="91"/>
      <c r="K201" s="91"/>
      <c r="L201" s="91"/>
      <c r="M201" s="91"/>
      <c r="N201" s="144"/>
      <c r="O201" s="91"/>
      <c r="P201" s="144"/>
      <c r="Q201" s="36"/>
      <c r="R201" s="144"/>
      <c r="S201" s="60" t="str">
        <f>CONCATENATE((D201+F201),"万")</f>
        <v>31万</v>
      </c>
      <c r="T201" s="155" t="s">
        <v>170</v>
      </c>
    </row>
    <row r="202" spans="1:20" ht="16.5" thickBot="1" x14ac:dyDescent="0.3">
      <c r="A202" s="156" t="s">
        <v>171</v>
      </c>
      <c r="B202" s="350"/>
      <c r="C202" s="163"/>
      <c r="D202" s="163"/>
      <c r="E202" s="163"/>
      <c r="F202" s="163"/>
      <c r="G202" s="163" t="s">
        <v>265</v>
      </c>
      <c r="H202" s="163" t="str">
        <f>LEFT(G202,LEN(G202)-1)</f>
        <v>35</v>
      </c>
      <c r="I202" s="161" t="s">
        <v>496</v>
      </c>
      <c r="J202" s="163" t="str">
        <f>LEFT(I202,LEN(I202)-1)</f>
        <v>51</v>
      </c>
      <c r="K202" s="163" t="s">
        <v>240</v>
      </c>
      <c r="L202" s="163" t="str">
        <f>LEFT(K202,LEN(K202)-1)</f>
        <v>26</v>
      </c>
      <c r="M202" s="161" t="s">
        <v>494</v>
      </c>
      <c r="N202" s="164" t="str">
        <f>LEFT(M202,LEN(M202)-1)</f>
        <v>189</v>
      </c>
      <c r="O202" s="163" t="s">
        <v>168</v>
      </c>
      <c r="P202" s="164" t="str">
        <f>LEFT(O202,LEN(O202)-1)</f>
        <v>5</v>
      </c>
      <c r="Q202" s="163" t="s">
        <v>242</v>
      </c>
      <c r="R202" s="164" t="str">
        <f>LEFT(Q202,LEN(Q202)-1)</f>
        <v>15</v>
      </c>
      <c r="S202" s="60" t="str">
        <f>CONCATENATE((H202+J202+L202+N202+R202+P202),"万")</f>
        <v>321万</v>
      </c>
      <c r="T202" s="158">
        <v>42916</v>
      </c>
    </row>
    <row r="203" spans="1:20" x14ac:dyDescent="0.25">
      <c r="A203" s="159" t="s">
        <v>177</v>
      </c>
      <c r="B203" s="60" t="s">
        <v>495</v>
      </c>
      <c r="E203" s="105" t="s">
        <v>497</v>
      </c>
    </row>
  </sheetData>
  <phoneticPr fontId="2"/>
  <pageMargins left="0.7" right="0.7" top="0.75" bottom="0.75" header="0.3" footer="0.3"/>
  <pageSetup paperSize="9" orientation="portrait" horizontalDpi="300" verticalDpi="300" r:id="rId1"/>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O50"/>
  <sheetViews>
    <sheetView topLeftCell="A22" workbookViewId="0">
      <selection activeCell="A50" sqref="A50"/>
    </sheetView>
  </sheetViews>
  <sheetFormatPr defaultRowHeight="13.5" x14ac:dyDescent="0.15"/>
  <cols>
    <col min="1" max="1" width="6.6640625" style="1" bestFit="1" customWidth="1"/>
    <col min="2" max="2" width="23.33203125" style="1" bestFit="1" customWidth="1"/>
    <col min="3" max="3" width="7.88671875" style="1" customWidth="1"/>
    <col min="4" max="4" width="5.6640625" style="1" customWidth="1"/>
    <col min="5" max="5" width="8.44140625" style="1" customWidth="1"/>
    <col min="6" max="6" width="7.77734375" style="1" customWidth="1"/>
    <col min="7" max="7" width="7.77734375" style="2" customWidth="1"/>
    <col min="8" max="8" width="10.109375" style="1" bestFit="1" customWidth="1"/>
    <col min="9" max="11" width="8.21875" style="1" customWidth="1"/>
    <col min="12" max="13" width="5.21875" style="1" customWidth="1"/>
    <col min="14" max="14" width="16.88671875" style="1" bestFit="1" customWidth="1"/>
    <col min="15" max="256" width="8.88671875" style="1"/>
    <col min="257" max="257" width="6.6640625" style="1" bestFit="1" customWidth="1"/>
    <col min="258" max="258" width="23.33203125" style="1" bestFit="1" customWidth="1"/>
    <col min="259" max="259" width="7.88671875" style="1" customWidth="1"/>
    <col min="260" max="260" width="5.6640625" style="1" customWidth="1"/>
    <col min="261" max="261" width="8.44140625" style="1" customWidth="1"/>
    <col min="262" max="263" width="7.77734375" style="1" customWidth="1"/>
    <col min="264" max="264" width="10.109375" style="1" bestFit="1" customWidth="1"/>
    <col min="265" max="267" width="8.21875" style="1" customWidth="1"/>
    <col min="268" max="269" width="5.21875" style="1" customWidth="1"/>
    <col min="270" max="270" width="16.88671875" style="1" bestFit="1" customWidth="1"/>
    <col min="271" max="512" width="8.88671875" style="1"/>
    <col min="513" max="513" width="6.6640625" style="1" bestFit="1" customWidth="1"/>
    <col min="514" max="514" width="23.33203125" style="1" bestFit="1" customWidth="1"/>
    <col min="515" max="515" width="7.88671875" style="1" customWidth="1"/>
    <col min="516" max="516" width="5.6640625" style="1" customWidth="1"/>
    <col min="517" max="517" width="8.44140625" style="1" customWidth="1"/>
    <col min="518" max="519" width="7.77734375" style="1" customWidth="1"/>
    <col min="520" max="520" width="10.109375" style="1" bestFit="1" customWidth="1"/>
    <col min="521" max="523" width="8.21875" style="1" customWidth="1"/>
    <col min="524" max="525" width="5.21875" style="1" customWidth="1"/>
    <col min="526" max="526" width="16.88671875" style="1" bestFit="1" customWidth="1"/>
    <col min="527" max="768" width="8.88671875" style="1"/>
    <col min="769" max="769" width="6.6640625" style="1" bestFit="1" customWidth="1"/>
    <col min="770" max="770" width="23.33203125" style="1" bestFit="1" customWidth="1"/>
    <col min="771" max="771" width="7.88671875" style="1" customWidth="1"/>
    <col min="772" max="772" width="5.6640625" style="1" customWidth="1"/>
    <col min="773" max="773" width="8.44140625" style="1" customWidth="1"/>
    <col min="774" max="775" width="7.77734375" style="1" customWidth="1"/>
    <col min="776" max="776" width="10.109375" style="1" bestFit="1" customWidth="1"/>
    <col min="777" max="779" width="8.21875" style="1" customWidth="1"/>
    <col min="780" max="781" width="5.21875" style="1" customWidth="1"/>
    <col min="782" max="782" width="16.88671875" style="1" bestFit="1" customWidth="1"/>
    <col min="783" max="1024" width="8.88671875" style="1"/>
    <col min="1025" max="1025" width="6.6640625" style="1" bestFit="1" customWidth="1"/>
    <col min="1026" max="1026" width="23.33203125" style="1" bestFit="1" customWidth="1"/>
    <col min="1027" max="1027" width="7.88671875" style="1" customWidth="1"/>
    <col min="1028" max="1028" width="5.6640625" style="1" customWidth="1"/>
    <col min="1029" max="1029" width="8.44140625" style="1" customWidth="1"/>
    <col min="1030" max="1031" width="7.77734375" style="1" customWidth="1"/>
    <col min="1032" max="1032" width="10.109375" style="1" bestFit="1" customWidth="1"/>
    <col min="1033" max="1035" width="8.21875" style="1" customWidth="1"/>
    <col min="1036" max="1037" width="5.21875" style="1" customWidth="1"/>
    <col min="1038" max="1038" width="16.88671875" style="1" bestFit="1" customWidth="1"/>
    <col min="1039" max="1280" width="8.88671875" style="1"/>
    <col min="1281" max="1281" width="6.6640625" style="1" bestFit="1" customWidth="1"/>
    <col min="1282" max="1282" width="23.33203125" style="1" bestFit="1" customWidth="1"/>
    <col min="1283" max="1283" width="7.88671875" style="1" customWidth="1"/>
    <col min="1284" max="1284" width="5.6640625" style="1" customWidth="1"/>
    <col min="1285" max="1285" width="8.44140625" style="1" customWidth="1"/>
    <col min="1286" max="1287" width="7.77734375" style="1" customWidth="1"/>
    <col min="1288" max="1288" width="10.109375" style="1" bestFit="1" customWidth="1"/>
    <col min="1289" max="1291" width="8.21875" style="1" customWidth="1"/>
    <col min="1292" max="1293" width="5.21875" style="1" customWidth="1"/>
    <col min="1294" max="1294" width="16.88671875" style="1" bestFit="1" customWidth="1"/>
    <col min="1295" max="1536" width="8.88671875" style="1"/>
    <col min="1537" max="1537" width="6.6640625" style="1" bestFit="1" customWidth="1"/>
    <col min="1538" max="1538" width="23.33203125" style="1" bestFit="1" customWidth="1"/>
    <col min="1539" max="1539" width="7.88671875" style="1" customWidth="1"/>
    <col min="1540" max="1540" width="5.6640625" style="1" customWidth="1"/>
    <col min="1541" max="1541" width="8.44140625" style="1" customWidth="1"/>
    <col min="1542" max="1543" width="7.77734375" style="1" customWidth="1"/>
    <col min="1544" max="1544" width="10.109375" style="1" bestFit="1" customWidth="1"/>
    <col min="1545" max="1547" width="8.21875" style="1" customWidth="1"/>
    <col min="1548" max="1549" width="5.21875" style="1" customWidth="1"/>
    <col min="1550" max="1550" width="16.88671875" style="1" bestFit="1" customWidth="1"/>
    <col min="1551" max="1792" width="8.88671875" style="1"/>
    <col min="1793" max="1793" width="6.6640625" style="1" bestFit="1" customWidth="1"/>
    <col min="1794" max="1794" width="23.33203125" style="1" bestFit="1" customWidth="1"/>
    <col min="1795" max="1795" width="7.88671875" style="1" customWidth="1"/>
    <col min="1796" max="1796" width="5.6640625" style="1" customWidth="1"/>
    <col min="1797" max="1797" width="8.44140625" style="1" customWidth="1"/>
    <col min="1798" max="1799" width="7.77734375" style="1" customWidth="1"/>
    <col min="1800" max="1800" width="10.109375" style="1" bestFit="1" customWidth="1"/>
    <col min="1801" max="1803" width="8.21875" style="1" customWidth="1"/>
    <col min="1804" max="1805" width="5.21875" style="1" customWidth="1"/>
    <col min="1806" max="1806" width="16.88671875" style="1" bestFit="1" customWidth="1"/>
    <col min="1807" max="2048" width="8.88671875" style="1"/>
    <col min="2049" max="2049" width="6.6640625" style="1" bestFit="1" customWidth="1"/>
    <col min="2050" max="2050" width="23.33203125" style="1" bestFit="1" customWidth="1"/>
    <col min="2051" max="2051" width="7.88671875" style="1" customWidth="1"/>
    <col min="2052" max="2052" width="5.6640625" style="1" customWidth="1"/>
    <col min="2053" max="2053" width="8.44140625" style="1" customWidth="1"/>
    <col min="2054" max="2055" width="7.77734375" style="1" customWidth="1"/>
    <col min="2056" max="2056" width="10.109375" style="1" bestFit="1" customWidth="1"/>
    <col min="2057" max="2059" width="8.21875" style="1" customWidth="1"/>
    <col min="2060" max="2061" width="5.21875" style="1" customWidth="1"/>
    <col min="2062" max="2062" width="16.88671875" style="1" bestFit="1" customWidth="1"/>
    <col min="2063" max="2304" width="8.88671875" style="1"/>
    <col min="2305" max="2305" width="6.6640625" style="1" bestFit="1" customWidth="1"/>
    <col min="2306" max="2306" width="23.33203125" style="1" bestFit="1" customWidth="1"/>
    <col min="2307" max="2307" width="7.88671875" style="1" customWidth="1"/>
    <col min="2308" max="2308" width="5.6640625" style="1" customWidth="1"/>
    <col min="2309" max="2309" width="8.44140625" style="1" customWidth="1"/>
    <col min="2310" max="2311" width="7.77734375" style="1" customWidth="1"/>
    <col min="2312" max="2312" width="10.109375" style="1" bestFit="1" customWidth="1"/>
    <col min="2313" max="2315" width="8.21875" style="1" customWidth="1"/>
    <col min="2316" max="2317" width="5.21875" style="1" customWidth="1"/>
    <col min="2318" max="2318" width="16.88671875" style="1" bestFit="1" customWidth="1"/>
    <col min="2319" max="2560" width="8.88671875" style="1"/>
    <col min="2561" max="2561" width="6.6640625" style="1" bestFit="1" customWidth="1"/>
    <col min="2562" max="2562" width="23.33203125" style="1" bestFit="1" customWidth="1"/>
    <col min="2563" max="2563" width="7.88671875" style="1" customWidth="1"/>
    <col min="2564" max="2564" width="5.6640625" style="1" customWidth="1"/>
    <col min="2565" max="2565" width="8.44140625" style="1" customWidth="1"/>
    <col min="2566" max="2567" width="7.77734375" style="1" customWidth="1"/>
    <col min="2568" max="2568" width="10.109375" style="1" bestFit="1" customWidth="1"/>
    <col min="2569" max="2571" width="8.21875" style="1" customWidth="1"/>
    <col min="2572" max="2573" width="5.21875" style="1" customWidth="1"/>
    <col min="2574" max="2574" width="16.88671875" style="1" bestFit="1" customWidth="1"/>
    <col min="2575" max="2816" width="8.88671875" style="1"/>
    <col min="2817" max="2817" width="6.6640625" style="1" bestFit="1" customWidth="1"/>
    <col min="2818" max="2818" width="23.33203125" style="1" bestFit="1" customWidth="1"/>
    <col min="2819" max="2819" width="7.88671875" style="1" customWidth="1"/>
    <col min="2820" max="2820" width="5.6640625" style="1" customWidth="1"/>
    <col min="2821" max="2821" width="8.44140625" style="1" customWidth="1"/>
    <col min="2822" max="2823" width="7.77734375" style="1" customWidth="1"/>
    <col min="2824" max="2824" width="10.109375" style="1" bestFit="1" customWidth="1"/>
    <col min="2825" max="2827" width="8.21875" style="1" customWidth="1"/>
    <col min="2828" max="2829" width="5.21875" style="1" customWidth="1"/>
    <col min="2830" max="2830" width="16.88671875" style="1" bestFit="1" customWidth="1"/>
    <col min="2831" max="3072" width="8.88671875" style="1"/>
    <col min="3073" max="3073" width="6.6640625" style="1" bestFit="1" customWidth="1"/>
    <col min="3074" max="3074" width="23.33203125" style="1" bestFit="1" customWidth="1"/>
    <col min="3075" max="3075" width="7.88671875" style="1" customWidth="1"/>
    <col min="3076" max="3076" width="5.6640625" style="1" customWidth="1"/>
    <col min="3077" max="3077" width="8.44140625" style="1" customWidth="1"/>
    <col min="3078" max="3079" width="7.77734375" style="1" customWidth="1"/>
    <col min="3080" max="3080" width="10.109375" style="1" bestFit="1" customWidth="1"/>
    <col min="3081" max="3083" width="8.21875" style="1" customWidth="1"/>
    <col min="3084" max="3085" width="5.21875" style="1" customWidth="1"/>
    <col min="3086" max="3086" width="16.88671875" style="1" bestFit="1" customWidth="1"/>
    <col min="3087" max="3328" width="8.88671875" style="1"/>
    <col min="3329" max="3329" width="6.6640625" style="1" bestFit="1" customWidth="1"/>
    <col min="3330" max="3330" width="23.33203125" style="1" bestFit="1" customWidth="1"/>
    <col min="3331" max="3331" width="7.88671875" style="1" customWidth="1"/>
    <col min="3332" max="3332" width="5.6640625" style="1" customWidth="1"/>
    <col min="3333" max="3333" width="8.44140625" style="1" customWidth="1"/>
    <col min="3334" max="3335" width="7.77734375" style="1" customWidth="1"/>
    <col min="3336" max="3336" width="10.109375" style="1" bestFit="1" customWidth="1"/>
    <col min="3337" max="3339" width="8.21875" style="1" customWidth="1"/>
    <col min="3340" max="3341" width="5.21875" style="1" customWidth="1"/>
    <col min="3342" max="3342" width="16.88671875" style="1" bestFit="1" customWidth="1"/>
    <col min="3343" max="3584" width="8.88671875" style="1"/>
    <col min="3585" max="3585" width="6.6640625" style="1" bestFit="1" customWidth="1"/>
    <col min="3586" max="3586" width="23.33203125" style="1" bestFit="1" customWidth="1"/>
    <col min="3587" max="3587" width="7.88671875" style="1" customWidth="1"/>
    <col min="3588" max="3588" width="5.6640625" style="1" customWidth="1"/>
    <col min="3589" max="3589" width="8.44140625" style="1" customWidth="1"/>
    <col min="3590" max="3591" width="7.77734375" style="1" customWidth="1"/>
    <col min="3592" max="3592" width="10.109375" style="1" bestFit="1" customWidth="1"/>
    <col min="3593" max="3595" width="8.21875" style="1" customWidth="1"/>
    <col min="3596" max="3597" width="5.21875" style="1" customWidth="1"/>
    <col min="3598" max="3598" width="16.88671875" style="1" bestFit="1" customWidth="1"/>
    <col min="3599" max="3840" width="8.88671875" style="1"/>
    <col min="3841" max="3841" width="6.6640625" style="1" bestFit="1" customWidth="1"/>
    <col min="3842" max="3842" width="23.33203125" style="1" bestFit="1" customWidth="1"/>
    <col min="3843" max="3843" width="7.88671875" style="1" customWidth="1"/>
    <col min="3844" max="3844" width="5.6640625" style="1" customWidth="1"/>
    <col min="3845" max="3845" width="8.44140625" style="1" customWidth="1"/>
    <col min="3846" max="3847" width="7.77734375" style="1" customWidth="1"/>
    <col min="3848" max="3848" width="10.109375" style="1" bestFit="1" customWidth="1"/>
    <col min="3849" max="3851" width="8.21875" style="1" customWidth="1"/>
    <col min="3852" max="3853" width="5.21875" style="1" customWidth="1"/>
    <col min="3854" max="3854" width="16.88671875" style="1" bestFit="1" customWidth="1"/>
    <col min="3855" max="4096" width="8.88671875" style="1"/>
    <col min="4097" max="4097" width="6.6640625" style="1" bestFit="1" customWidth="1"/>
    <col min="4098" max="4098" width="23.33203125" style="1" bestFit="1" customWidth="1"/>
    <col min="4099" max="4099" width="7.88671875" style="1" customWidth="1"/>
    <col min="4100" max="4100" width="5.6640625" style="1" customWidth="1"/>
    <col min="4101" max="4101" width="8.44140625" style="1" customWidth="1"/>
    <col min="4102" max="4103" width="7.77734375" style="1" customWidth="1"/>
    <col min="4104" max="4104" width="10.109375" style="1" bestFit="1" customWidth="1"/>
    <col min="4105" max="4107" width="8.21875" style="1" customWidth="1"/>
    <col min="4108" max="4109" width="5.21875" style="1" customWidth="1"/>
    <col min="4110" max="4110" width="16.88671875" style="1" bestFit="1" customWidth="1"/>
    <col min="4111" max="4352" width="8.88671875" style="1"/>
    <col min="4353" max="4353" width="6.6640625" style="1" bestFit="1" customWidth="1"/>
    <col min="4354" max="4354" width="23.33203125" style="1" bestFit="1" customWidth="1"/>
    <col min="4355" max="4355" width="7.88671875" style="1" customWidth="1"/>
    <col min="4356" max="4356" width="5.6640625" style="1" customWidth="1"/>
    <col min="4357" max="4357" width="8.44140625" style="1" customWidth="1"/>
    <col min="4358" max="4359" width="7.77734375" style="1" customWidth="1"/>
    <col min="4360" max="4360" width="10.109375" style="1" bestFit="1" customWidth="1"/>
    <col min="4361" max="4363" width="8.21875" style="1" customWidth="1"/>
    <col min="4364" max="4365" width="5.21875" style="1" customWidth="1"/>
    <col min="4366" max="4366" width="16.88671875" style="1" bestFit="1" customWidth="1"/>
    <col min="4367" max="4608" width="8.88671875" style="1"/>
    <col min="4609" max="4609" width="6.6640625" style="1" bestFit="1" customWidth="1"/>
    <col min="4610" max="4610" width="23.33203125" style="1" bestFit="1" customWidth="1"/>
    <col min="4611" max="4611" width="7.88671875" style="1" customWidth="1"/>
    <col min="4612" max="4612" width="5.6640625" style="1" customWidth="1"/>
    <col min="4613" max="4613" width="8.44140625" style="1" customWidth="1"/>
    <col min="4614" max="4615" width="7.77734375" style="1" customWidth="1"/>
    <col min="4616" max="4616" width="10.109375" style="1" bestFit="1" customWidth="1"/>
    <col min="4617" max="4619" width="8.21875" style="1" customWidth="1"/>
    <col min="4620" max="4621" width="5.21875" style="1" customWidth="1"/>
    <col min="4622" max="4622" width="16.88671875" style="1" bestFit="1" customWidth="1"/>
    <col min="4623" max="4864" width="8.88671875" style="1"/>
    <col min="4865" max="4865" width="6.6640625" style="1" bestFit="1" customWidth="1"/>
    <col min="4866" max="4866" width="23.33203125" style="1" bestFit="1" customWidth="1"/>
    <col min="4867" max="4867" width="7.88671875" style="1" customWidth="1"/>
    <col min="4868" max="4868" width="5.6640625" style="1" customWidth="1"/>
    <col min="4869" max="4869" width="8.44140625" style="1" customWidth="1"/>
    <col min="4870" max="4871" width="7.77734375" style="1" customWidth="1"/>
    <col min="4872" max="4872" width="10.109375" style="1" bestFit="1" customWidth="1"/>
    <col min="4873" max="4875" width="8.21875" style="1" customWidth="1"/>
    <col min="4876" max="4877" width="5.21875" style="1" customWidth="1"/>
    <col min="4878" max="4878" width="16.88671875" style="1" bestFit="1" customWidth="1"/>
    <col min="4879" max="5120" width="8.88671875" style="1"/>
    <col min="5121" max="5121" width="6.6640625" style="1" bestFit="1" customWidth="1"/>
    <col min="5122" max="5122" width="23.33203125" style="1" bestFit="1" customWidth="1"/>
    <col min="5123" max="5123" width="7.88671875" style="1" customWidth="1"/>
    <col min="5124" max="5124" width="5.6640625" style="1" customWidth="1"/>
    <col min="5125" max="5125" width="8.44140625" style="1" customWidth="1"/>
    <col min="5126" max="5127" width="7.77734375" style="1" customWidth="1"/>
    <col min="5128" max="5128" width="10.109375" style="1" bestFit="1" customWidth="1"/>
    <col min="5129" max="5131" width="8.21875" style="1" customWidth="1"/>
    <col min="5132" max="5133" width="5.21875" style="1" customWidth="1"/>
    <col min="5134" max="5134" width="16.88671875" style="1" bestFit="1" customWidth="1"/>
    <col min="5135" max="5376" width="8.88671875" style="1"/>
    <col min="5377" max="5377" width="6.6640625" style="1" bestFit="1" customWidth="1"/>
    <col min="5378" max="5378" width="23.33203125" style="1" bestFit="1" customWidth="1"/>
    <col min="5379" max="5379" width="7.88671875" style="1" customWidth="1"/>
    <col min="5380" max="5380" width="5.6640625" style="1" customWidth="1"/>
    <col min="5381" max="5381" width="8.44140625" style="1" customWidth="1"/>
    <col min="5382" max="5383" width="7.77734375" style="1" customWidth="1"/>
    <col min="5384" max="5384" width="10.109375" style="1" bestFit="1" customWidth="1"/>
    <col min="5385" max="5387" width="8.21875" style="1" customWidth="1"/>
    <col min="5388" max="5389" width="5.21875" style="1" customWidth="1"/>
    <col min="5390" max="5390" width="16.88671875" style="1" bestFit="1" customWidth="1"/>
    <col min="5391" max="5632" width="8.88671875" style="1"/>
    <col min="5633" max="5633" width="6.6640625" style="1" bestFit="1" customWidth="1"/>
    <col min="5634" max="5634" width="23.33203125" style="1" bestFit="1" customWidth="1"/>
    <col min="5635" max="5635" width="7.88671875" style="1" customWidth="1"/>
    <col min="5636" max="5636" width="5.6640625" style="1" customWidth="1"/>
    <col min="5637" max="5637" width="8.44140625" style="1" customWidth="1"/>
    <col min="5638" max="5639" width="7.77734375" style="1" customWidth="1"/>
    <col min="5640" max="5640" width="10.109375" style="1" bestFit="1" customWidth="1"/>
    <col min="5641" max="5643" width="8.21875" style="1" customWidth="1"/>
    <col min="5644" max="5645" width="5.21875" style="1" customWidth="1"/>
    <col min="5646" max="5646" width="16.88671875" style="1" bestFit="1" customWidth="1"/>
    <col min="5647" max="5888" width="8.88671875" style="1"/>
    <col min="5889" max="5889" width="6.6640625" style="1" bestFit="1" customWidth="1"/>
    <col min="5890" max="5890" width="23.33203125" style="1" bestFit="1" customWidth="1"/>
    <col min="5891" max="5891" width="7.88671875" style="1" customWidth="1"/>
    <col min="5892" max="5892" width="5.6640625" style="1" customWidth="1"/>
    <col min="5893" max="5893" width="8.44140625" style="1" customWidth="1"/>
    <col min="5894" max="5895" width="7.77734375" style="1" customWidth="1"/>
    <col min="5896" max="5896" width="10.109375" style="1" bestFit="1" customWidth="1"/>
    <col min="5897" max="5899" width="8.21875" style="1" customWidth="1"/>
    <col min="5900" max="5901" width="5.21875" style="1" customWidth="1"/>
    <col min="5902" max="5902" width="16.88671875" style="1" bestFit="1" customWidth="1"/>
    <col min="5903" max="6144" width="8.88671875" style="1"/>
    <col min="6145" max="6145" width="6.6640625" style="1" bestFit="1" customWidth="1"/>
    <col min="6146" max="6146" width="23.33203125" style="1" bestFit="1" customWidth="1"/>
    <col min="6147" max="6147" width="7.88671875" style="1" customWidth="1"/>
    <col min="6148" max="6148" width="5.6640625" style="1" customWidth="1"/>
    <col min="6149" max="6149" width="8.44140625" style="1" customWidth="1"/>
    <col min="6150" max="6151" width="7.77734375" style="1" customWidth="1"/>
    <col min="6152" max="6152" width="10.109375" style="1" bestFit="1" customWidth="1"/>
    <col min="6153" max="6155" width="8.21875" style="1" customWidth="1"/>
    <col min="6156" max="6157" width="5.21875" style="1" customWidth="1"/>
    <col min="6158" max="6158" width="16.88671875" style="1" bestFit="1" customWidth="1"/>
    <col min="6159" max="6400" width="8.88671875" style="1"/>
    <col min="6401" max="6401" width="6.6640625" style="1" bestFit="1" customWidth="1"/>
    <col min="6402" max="6402" width="23.33203125" style="1" bestFit="1" customWidth="1"/>
    <col min="6403" max="6403" width="7.88671875" style="1" customWidth="1"/>
    <col min="6404" max="6404" width="5.6640625" style="1" customWidth="1"/>
    <col min="6405" max="6405" width="8.44140625" style="1" customWidth="1"/>
    <col min="6406" max="6407" width="7.77734375" style="1" customWidth="1"/>
    <col min="6408" max="6408" width="10.109375" style="1" bestFit="1" customWidth="1"/>
    <col min="6409" max="6411" width="8.21875" style="1" customWidth="1"/>
    <col min="6412" max="6413" width="5.21875" style="1" customWidth="1"/>
    <col min="6414" max="6414" width="16.88671875" style="1" bestFit="1" customWidth="1"/>
    <col min="6415" max="6656" width="8.88671875" style="1"/>
    <col min="6657" max="6657" width="6.6640625" style="1" bestFit="1" customWidth="1"/>
    <col min="6658" max="6658" width="23.33203125" style="1" bestFit="1" customWidth="1"/>
    <col min="6659" max="6659" width="7.88671875" style="1" customWidth="1"/>
    <col min="6660" max="6660" width="5.6640625" style="1" customWidth="1"/>
    <col min="6661" max="6661" width="8.44140625" style="1" customWidth="1"/>
    <col min="6662" max="6663" width="7.77734375" style="1" customWidth="1"/>
    <col min="6664" max="6664" width="10.109375" style="1" bestFit="1" customWidth="1"/>
    <col min="6665" max="6667" width="8.21875" style="1" customWidth="1"/>
    <col min="6668" max="6669" width="5.21875" style="1" customWidth="1"/>
    <col min="6670" max="6670" width="16.88671875" style="1" bestFit="1" customWidth="1"/>
    <col min="6671" max="6912" width="8.88671875" style="1"/>
    <col min="6913" max="6913" width="6.6640625" style="1" bestFit="1" customWidth="1"/>
    <col min="6914" max="6914" width="23.33203125" style="1" bestFit="1" customWidth="1"/>
    <col min="6915" max="6915" width="7.88671875" style="1" customWidth="1"/>
    <col min="6916" max="6916" width="5.6640625" style="1" customWidth="1"/>
    <col min="6917" max="6917" width="8.44140625" style="1" customWidth="1"/>
    <col min="6918" max="6919" width="7.77734375" style="1" customWidth="1"/>
    <col min="6920" max="6920" width="10.109375" style="1" bestFit="1" customWidth="1"/>
    <col min="6921" max="6923" width="8.21875" style="1" customWidth="1"/>
    <col min="6924" max="6925" width="5.21875" style="1" customWidth="1"/>
    <col min="6926" max="6926" width="16.88671875" style="1" bestFit="1" customWidth="1"/>
    <col min="6927" max="7168" width="8.88671875" style="1"/>
    <col min="7169" max="7169" width="6.6640625" style="1" bestFit="1" customWidth="1"/>
    <col min="7170" max="7170" width="23.33203125" style="1" bestFit="1" customWidth="1"/>
    <col min="7171" max="7171" width="7.88671875" style="1" customWidth="1"/>
    <col min="7172" max="7172" width="5.6640625" style="1" customWidth="1"/>
    <col min="7173" max="7173" width="8.44140625" style="1" customWidth="1"/>
    <col min="7174" max="7175" width="7.77734375" style="1" customWidth="1"/>
    <col min="7176" max="7176" width="10.109375" style="1" bestFit="1" customWidth="1"/>
    <col min="7177" max="7179" width="8.21875" style="1" customWidth="1"/>
    <col min="7180" max="7181" width="5.21875" style="1" customWidth="1"/>
    <col min="7182" max="7182" width="16.88671875" style="1" bestFit="1" customWidth="1"/>
    <col min="7183" max="7424" width="8.88671875" style="1"/>
    <col min="7425" max="7425" width="6.6640625" style="1" bestFit="1" customWidth="1"/>
    <col min="7426" max="7426" width="23.33203125" style="1" bestFit="1" customWidth="1"/>
    <col min="7427" max="7427" width="7.88671875" style="1" customWidth="1"/>
    <col min="7428" max="7428" width="5.6640625" style="1" customWidth="1"/>
    <col min="7429" max="7429" width="8.44140625" style="1" customWidth="1"/>
    <col min="7430" max="7431" width="7.77734375" style="1" customWidth="1"/>
    <col min="7432" max="7432" width="10.109375" style="1" bestFit="1" customWidth="1"/>
    <col min="7433" max="7435" width="8.21875" style="1" customWidth="1"/>
    <col min="7436" max="7437" width="5.21875" style="1" customWidth="1"/>
    <col min="7438" max="7438" width="16.88671875" style="1" bestFit="1" customWidth="1"/>
    <col min="7439" max="7680" width="8.88671875" style="1"/>
    <col min="7681" max="7681" width="6.6640625" style="1" bestFit="1" customWidth="1"/>
    <col min="7682" max="7682" width="23.33203125" style="1" bestFit="1" customWidth="1"/>
    <col min="7683" max="7683" width="7.88671875" style="1" customWidth="1"/>
    <col min="7684" max="7684" width="5.6640625" style="1" customWidth="1"/>
    <col min="7685" max="7685" width="8.44140625" style="1" customWidth="1"/>
    <col min="7686" max="7687" width="7.77734375" style="1" customWidth="1"/>
    <col min="7688" max="7688" width="10.109375" style="1" bestFit="1" customWidth="1"/>
    <col min="7689" max="7691" width="8.21875" style="1" customWidth="1"/>
    <col min="7692" max="7693" width="5.21875" style="1" customWidth="1"/>
    <col min="7694" max="7694" width="16.88671875" style="1" bestFit="1" customWidth="1"/>
    <col min="7695" max="7936" width="8.88671875" style="1"/>
    <col min="7937" max="7937" width="6.6640625" style="1" bestFit="1" customWidth="1"/>
    <col min="7938" max="7938" width="23.33203125" style="1" bestFit="1" customWidth="1"/>
    <col min="7939" max="7939" width="7.88671875" style="1" customWidth="1"/>
    <col min="7940" max="7940" width="5.6640625" style="1" customWidth="1"/>
    <col min="7941" max="7941" width="8.44140625" style="1" customWidth="1"/>
    <col min="7942" max="7943" width="7.77734375" style="1" customWidth="1"/>
    <col min="7944" max="7944" width="10.109375" style="1" bestFit="1" customWidth="1"/>
    <col min="7945" max="7947" width="8.21875" style="1" customWidth="1"/>
    <col min="7948" max="7949" width="5.21875" style="1" customWidth="1"/>
    <col min="7950" max="7950" width="16.88671875" style="1" bestFit="1" customWidth="1"/>
    <col min="7951" max="8192" width="8.88671875" style="1"/>
    <col min="8193" max="8193" width="6.6640625" style="1" bestFit="1" customWidth="1"/>
    <col min="8194" max="8194" width="23.33203125" style="1" bestFit="1" customWidth="1"/>
    <col min="8195" max="8195" width="7.88671875" style="1" customWidth="1"/>
    <col min="8196" max="8196" width="5.6640625" style="1" customWidth="1"/>
    <col min="8197" max="8197" width="8.44140625" style="1" customWidth="1"/>
    <col min="8198" max="8199" width="7.77734375" style="1" customWidth="1"/>
    <col min="8200" max="8200" width="10.109375" style="1" bestFit="1" customWidth="1"/>
    <col min="8201" max="8203" width="8.21875" style="1" customWidth="1"/>
    <col min="8204" max="8205" width="5.21875" style="1" customWidth="1"/>
    <col min="8206" max="8206" width="16.88671875" style="1" bestFit="1" customWidth="1"/>
    <col min="8207" max="8448" width="8.88671875" style="1"/>
    <col min="8449" max="8449" width="6.6640625" style="1" bestFit="1" customWidth="1"/>
    <col min="8450" max="8450" width="23.33203125" style="1" bestFit="1" customWidth="1"/>
    <col min="8451" max="8451" width="7.88671875" style="1" customWidth="1"/>
    <col min="8452" max="8452" width="5.6640625" style="1" customWidth="1"/>
    <col min="8453" max="8453" width="8.44140625" style="1" customWidth="1"/>
    <col min="8454" max="8455" width="7.77734375" style="1" customWidth="1"/>
    <col min="8456" max="8456" width="10.109375" style="1" bestFit="1" customWidth="1"/>
    <col min="8457" max="8459" width="8.21875" style="1" customWidth="1"/>
    <col min="8460" max="8461" width="5.21875" style="1" customWidth="1"/>
    <col min="8462" max="8462" width="16.88671875" style="1" bestFit="1" customWidth="1"/>
    <col min="8463" max="8704" width="8.88671875" style="1"/>
    <col min="8705" max="8705" width="6.6640625" style="1" bestFit="1" customWidth="1"/>
    <col min="8706" max="8706" width="23.33203125" style="1" bestFit="1" customWidth="1"/>
    <col min="8707" max="8707" width="7.88671875" style="1" customWidth="1"/>
    <col min="8708" max="8708" width="5.6640625" style="1" customWidth="1"/>
    <col min="8709" max="8709" width="8.44140625" style="1" customWidth="1"/>
    <col min="8710" max="8711" width="7.77734375" style="1" customWidth="1"/>
    <col min="8712" max="8712" width="10.109375" style="1" bestFit="1" customWidth="1"/>
    <col min="8713" max="8715" width="8.21875" style="1" customWidth="1"/>
    <col min="8716" max="8717" width="5.21875" style="1" customWidth="1"/>
    <col min="8718" max="8718" width="16.88671875" style="1" bestFit="1" customWidth="1"/>
    <col min="8719" max="8960" width="8.88671875" style="1"/>
    <col min="8961" max="8961" width="6.6640625" style="1" bestFit="1" customWidth="1"/>
    <col min="8962" max="8962" width="23.33203125" style="1" bestFit="1" customWidth="1"/>
    <col min="8963" max="8963" width="7.88671875" style="1" customWidth="1"/>
    <col min="8964" max="8964" width="5.6640625" style="1" customWidth="1"/>
    <col min="8965" max="8965" width="8.44140625" style="1" customWidth="1"/>
    <col min="8966" max="8967" width="7.77734375" style="1" customWidth="1"/>
    <col min="8968" max="8968" width="10.109375" style="1" bestFit="1" customWidth="1"/>
    <col min="8969" max="8971" width="8.21875" style="1" customWidth="1"/>
    <col min="8972" max="8973" width="5.21875" style="1" customWidth="1"/>
    <col min="8974" max="8974" width="16.88671875" style="1" bestFit="1" customWidth="1"/>
    <col min="8975" max="9216" width="8.88671875" style="1"/>
    <col min="9217" max="9217" width="6.6640625" style="1" bestFit="1" customWidth="1"/>
    <col min="9218" max="9218" width="23.33203125" style="1" bestFit="1" customWidth="1"/>
    <col min="9219" max="9219" width="7.88671875" style="1" customWidth="1"/>
    <col min="9220" max="9220" width="5.6640625" style="1" customWidth="1"/>
    <col min="9221" max="9221" width="8.44140625" style="1" customWidth="1"/>
    <col min="9222" max="9223" width="7.77734375" style="1" customWidth="1"/>
    <col min="9224" max="9224" width="10.109375" style="1" bestFit="1" customWidth="1"/>
    <col min="9225" max="9227" width="8.21875" style="1" customWidth="1"/>
    <col min="9228" max="9229" width="5.21875" style="1" customWidth="1"/>
    <col min="9230" max="9230" width="16.88671875" style="1" bestFit="1" customWidth="1"/>
    <col min="9231" max="9472" width="8.88671875" style="1"/>
    <col min="9473" max="9473" width="6.6640625" style="1" bestFit="1" customWidth="1"/>
    <col min="9474" max="9474" width="23.33203125" style="1" bestFit="1" customWidth="1"/>
    <col min="9475" max="9475" width="7.88671875" style="1" customWidth="1"/>
    <col min="9476" max="9476" width="5.6640625" style="1" customWidth="1"/>
    <col min="9477" max="9477" width="8.44140625" style="1" customWidth="1"/>
    <col min="9478" max="9479" width="7.77734375" style="1" customWidth="1"/>
    <col min="9480" max="9480" width="10.109375" style="1" bestFit="1" customWidth="1"/>
    <col min="9481" max="9483" width="8.21875" style="1" customWidth="1"/>
    <col min="9484" max="9485" width="5.21875" style="1" customWidth="1"/>
    <col min="9486" max="9486" width="16.88671875" style="1" bestFit="1" customWidth="1"/>
    <col min="9487" max="9728" width="8.88671875" style="1"/>
    <col min="9729" max="9729" width="6.6640625" style="1" bestFit="1" customWidth="1"/>
    <col min="9730" max="9730" width="23.33203125" style="1" bestFit="1" customWidth="1"/>
    <col min="9731" max="9731" width="7.88671875" style="1" customWidth="1"/>
    <col min="9732" max="9732" width="5.6640625" style="1" customWidth="1"/>
    <col min="9733" max="9733" width="8.44140625" style="1" customWidth="1"/>
    <col min="9734" max="9735" width="7.77734375" style="1" customWidth="1"/>
    <col min="9736" max="9736" width="10.109375" style="1" bestFit="1" customWidth="1"/>
    <col min="9737" max="9739" width="8.21875" style="1" customWidth="1"/>
    <col min="9740" max="9741" width="5.21875" style="1" customWidth="1"/>
    <col min="9742" max="9742" width="16.88671875" style="1" bestFit="1" customWidth="1"/>
    <col min="9743" max="9984" width="8.88671875" style="1"/>
    <col min="9985" max="9985" width="6.6640625" style="1" bestFit="1" customWidth="1"/>
    <col min="9986" max="9986" width="23.33203125" style="1" bestFit="1" customWidth="1"/>
    <col min="9987" max="9987" width="7.88671875" style="1" customWidth="1"/>
    <col min="9988" max="9988" width="5.6640625" style="1" customWidth="1"/>
    <col min="9989" max="9989" width="8.44140625" style="1" customWidth="1"/>
    <col min="9990" max="9991" width="7.77734375" style="1" customWidth="1"/>
    <col min="9992" max="9992" width="10.109375" style="1" bestFit="1" customWidth="1"/>
    <col min="9993" max="9995" width="8.21875" style="1" customWidth="1"/>
    <col min="9996" max="9997" width="5.21875" style="1" customWidth="1"/>
    <col min="9998" max="9998" width="16.88671875" style="1" bestFit="1" customWidth="1"/>
    <col min="9999" max="10240" width="8.88671875" style="1"/>
    <col min="10241" max="10241" width="6.6640625" style="1" bestFit="1" customWidth="1"/>
    <col min="10242" max="10242" width="23.33203125" style="1" bestFit="1" customWidth="1"/>
    <col min="10243" max="10243" width="7.88671875" style="1" customWidth="1"/>
    <col min="10244" max="10244" width="5.6640625" style="1" customWidth="1"/>
    <col min="10245" max="10245" width="8.44140625" style="1" customWidth="1"/>
    <col min="10246" max="10247" width="7.77734375" style="1" customWidth="1"/>
    <col min="10248" max="10248" width="10.109375" style="1" bestFit="1" customWidth="1"/>
    <col min="10249" max="10251" width="8.21875" style="1" customWidth="1"/>
    <col min="10252" max="10253" width="5.21875" style="1" customWidth="1"/>
    <col min="10254" max="10254" width="16.88671875" style="1" bestFit="1" customWidth="1"/>
    <col min="10255" max="10496" width="8.88671875" style="1"/>
    <col min="10497" max="10497" width="6.6640625" style="1" bestFit="1" customWidth="1"/>
    <col min="10498" max="10498" width="23.33203125" style="1" bestFit="1" customWidth="1"/>
    <col min="10499" max="10499" width="7.88671875" style="1" customWidth="1"/>
    <col min="10500" max="10500" width="5.6640625" style="1" customWidth="1"/>
    <col min="10501" max="10501" width="8.44140625" style="1" customWidth="1"/>
    <col min="10502" max="10503" width="7.77734375" style="1" customWidth="1"/>
    <col min="10504" max="10504" width="10.109375" style="1" bestFit="1" customWidth="1"/>
    <col min="10505" max="10507" width="8.21875" style="1" customWidth="1"/>
    <col min="10508" max="10509" width="5.21875" style="1" customWidth="1"/>
    <col min="10510" max="10510" width="16.88671875" style="1" bestFit="1" customWidth="1"/>
    <col min="10511" max="10752" width="8.88671875" style="1"/>
    <col min="10753" max="10753" width="6.6640625" style="1" bestFit="1" customWidth="1"/>
    <col min="10754" max="10754" width="23.33203125" style="1" bestFit="1" customWidth="1"/>
    <col min="10755" max="10755" width="7.88671875" style="1" customWidth="1"/>
    <col min="10756" max="10756" width="5.6640625" style="1" customWidth="1"/>
    <col min="10757" max="10757" width="8.44140625" style="1" customWidth="1"/>
    <col min="10758" max="10759" width="7.77734375" style="1" customWidth="1"/>
    <col min="10760" max="10760" width="10.109375" style="1" bestFit="1" customWidth="1"/>
    <col min="10761" max="10763" width="8.21875" style="1" customWidth="1"/>
    <col min="10764" max="10765" width="5.21875" style="1" customWidth="1"/>
    <col min="10766" max="10766" width="16.88671875" style="1" bestFit="1" customWidth="1"/>
    <col min="10767" max="11008" width="8.88671875" style="1"/>
    <col min="11009" max="11009" width="6.6640625" style="1" bestFit="1" customWidth="1"/>
    <col min="11010" max="11010" width="23.33203125" style="1" bestFit="1" customWidth="1"/>
    <col min="11011" max="11011" width="7.88671875" style="1" customWidth="1"/>
    <col min="11012" max="11012" width="5.6640625" style="1" customWidth="1"/>
    <col min="11013" max="11013" width="8.44140625" style="1" customWidth="1"/>
    <col min="11014" max="11015" width="7.77734375" style="1" customWidth="1"/>
    <col min="11016" max="11016" width="10.109375" style="1" bestFit="1" customWidth="1"/>
    <col min="11017" max="11019" width="8.21875" style="1" customWidth="1"/>
    <col min="11020" max="11021" width="5.21875" style="1" customWidth="1"/>
    <col min="11022" max="11022" width="16.88671875" style="1" bestFit="1" customWidth="1"/>
    <col min="11023" max="11264" width="8.88671875" style="1"/>
    <col min="11265" max="11265" width="6.6640625" style="1" bestFit="1" customWidth="1"/>
    <col min="11266" max="11266" width="23.33203125" style="1" bestFit="1" customWidth="1"/>
    <col min="11267" max="11267" width="7.88671875" style="1" customWidth="1"/>
    <col min="11268" max="11268" width="5.6640625" style="1" customWidth="1"/>
    <col min="11269" max="11269" width="8.44140625" style="1" customWidth="1"/>
    <col min="11270" max="11271" width="7.77734375" style="1" customWidth="1"/>
    <col min="11272" max="11272" width="10.109375" style="1" bestFit="1" customWidth="1"/>
    <col min="11273" max="11275" width="8.21875" style="1" customWidth="1"/>
    <col min="11276" max="11277" width="5.21875" style="1" customWidth="1"/>
    <col min="11278" max="11278" width="16.88671875" style="1" bestFit="1" customWidth="1"/>
    <col min="11279" max="11520" width="8.88671875" style="1"/>
    <col min="11521" max="11521" width="6.6640625" style="1" bestFit="1" customWidth="1"/>
    <col min="11522" max="11522" width="23.33203125" style="1" bestFit="1" customWidth="1"/>
    <col min="11523" max="11523" width="7.88671875" style="1" customWidth="1"/>
    <col min="11524" max="11524" width="5.6640625" style="1" customWidth="1"/>
    <col min="11525" max="11525" width="8.44140625" style="1" customWidth="1"/>
    <col min="11526" max="11527" width="7.77734375" style="1" customWidth="1"/>
    <col min="11528" max="11528" width="10.109375" style="1" bestFit="1" customWidth="1"/>
    <col min="11529" max="11531" width="8.21875" style="1" customWidth="1"/>
    <col min="11532" max="11533" width="5.21875" style="1" customWidth="1"/>
    <col min="11534" max="11534" width="16.88671875" style="1" bestFit="1" customWidth="1"/>
    <col min="11535" max="11776" width="8.88671875" style="1"/>
    <col min="11777" max="11777" width="6.6640625" style="1" bestFit="1" customWidth="1"/>
    <col min="11778" max="11778" width="23.33203125" style="1" bestFit="1" customWidth="1"/>
    <col min="11779" max="11779" width="7.88671875" style="1" customWidth="1"/>
    <col min="11780" max="11780" width="5.6640625" style="1" customWidth="1"/>
    <col min="11781" max="11781" width="8.44140625" style="1" customWidth="1"/>
    <col min="11782" max="11783" width="7.77734375" style="1" customWidth="1"/>
    <col min="11784" max="11784" width="10.109375" style="1" bestFit="1" customWidth="1"/>
    <col min="11785" max="11787" width="8.21875" style="1" customWidth="1"/>
    <col min="11788" max="11789" width="5.21875" style="1" customWidth="1"/>
    <col min="11790" max="11790" width="16.88671875" style="1" bestFit="1" customWidth="1"/>
    <col min="11791" max="12032" width="8.88671875" style="1"/>
    <col min="12033" max="12033" width="6.6640625" style="1" bestFit="1" customWidth="1"/>
    <col min="12034" max="12034" width="23.33203125" style="1" bestFit="1" customWidth="1"/>
    <col min="12035" max="12035" width="7.88671875" style="1" customWidth="1"/>
    <col min="12036" max="12036" width="5.6640625" style="1" customWidth="1"/>
    <col min="12037" max="12037" width="8.44140625" style="1" customWidth="1"/>
    <col min="12038" max="12039" width="7.77734375" style="1" customWidth="1"/>
    <col min="12040" max="12040" width="10.109375" style="1" bestFit="1" customWidth="1"/>
    <col min="12041" max="12043" width="8.21875" style="1" customWidth="1"/>
    <col min="12044" max="12045" width="5.21875" style="1" customWidth="1"/>
    <col min="12046" max="12046" width="16.88671875" style="1" bestFit="1" customWidth="1"/>
    <col min="12047" max="12288" width="8.88671875" style="1"/>
    <col min="12289" max="12289" width="6.6640625" style="1" bestFit="1" customWidth="1"/>
    <col min="12290" max="12290" width="23.33203125" style="1" bestFit="1" customWidth="1"/>
    <col min="12291" max="12291" width="7.88671875" style="1" customWidth="1"/>
    <col min="12292" max="12292" width="5.6640625" style="1" customWidth="1"/>
    <col min="12293" max="12293" width="8.44140625" style="1" customWidth="1"/>
    <col min="12294" max="12295" width="7.77734375" style="1" customWidth="1"/>
    <col min="12296" max="12296" width="10.109375" style="1" bestFit="1" customWidth="1"/>
    <col min="12297" max="12299" width="8.21875" style="1" customWidth="1"/>
    <col min="12300" max="12301" width="5.21875" style="1" customWidth="1"/>
    <col min="12302" max="12302" width="16.88671875" style="1" bestFit="1" customWidth="1"/>
    <col min="12303" max="12544" width="8.88671875" style="1"/>
    <col min="12545" max="12545" width="6.6640625" style="1" bestFit="1" customWidth="1"/>
    <col min="12546" max="12546" width="23.33203125" style="1" bestFit="1" customWidth="1"/>
    <col min="12547" max="12547" width="7.88671875" style="1" customWidth="1"/>
    <col min="12548" max="12548" width="5.6640625" style="1" customWidth="1"/>
    <col min="12549" max="12549" width="8.44140625" style="1" customWidth="1"/>
    <col min="12550" max="12551" width="7.77734375" style="1" customWidth="1"/>
    <col min="12552" max="12552" width="10.109375" style="1" bestFit="1" customWidth="1"/>
    <col min="12553" max="12555" width="8.21875" style="1" customWidth="1"/>
    <col min="12556" max="12557" width="5.21875" style="1" customWidth="1"/>
    <col min="12558" max="12558" width="16.88671875" style="1" bestFit="1" customWidth="1"/>
    <col min="12559" max="12800" width="8.88671875" style="1"/>
    <col min="12801" max="12801" width="6.6640625" style="1" bestFit="1" customWidth="1"/>
    <col min="12802" max="12802" width="23.33203125" style="1" bestFit="1" customWidth="1"/>
    <col min="12803" max="12803" width="7.88671875" style="1" customWidth="1"/>
    <col min="12804" max="12804" width="5.6640625" style="1" customWidth="1"/>
    <col min="12805" max="12805" width="8.44140625" style="1" customWidth="1"/>
    <col min="12806" max="12807" width="7.77734375" style="1" customWidth="1"/>
    <col min="12808" max="12808" width="10.109375" style="1" bestFit="1" customWidth="1"/>
    <col min="12809" max="12811" width="8.21875" style="1" customWidth="1"/>
    <col min="12812" max="12813" width="5.21875" style="1" customWidth="1"/>
    <col min="12814" max="12814" width="16.88671875" style="1" bestFit="1" customWidth="1"/>
    <col min="12815" max="13056" width="8.88671875" style="1"/>
    <col min="13057" max="13057" width="6.6640625" style="1" bestFit="1" customWidth="1"/>
    <col min="13058" max="13058" width="23.33203125" style="1" bestFit="1" customWidth="1"/>
    <col min="13059" max="13059" width="7.88671875" style="1" customWidth="1"/>
    <col min="13060" max="13060" width="5.6640625" style="1" customWidth="1"/>
    <col min="13061" max="13061" width="8.44140625" style="1" customWidth="1"/>
    <col min="13062" max="13063" width="7.77734375" style="1" customWidth="1"/>
    <col min="13064" max="13064" width="10.109375" style="1" bestFit="1" customWidth="1"/>
    <col min="13065" max="13067" width="8.21875" style="1" customWidth="1"/>
    <col min="13068" max="13069" width="5.21875" style="1" customWidth="1"/>
    <col min="13070" max="13070" width="16.88671875" style="1" bestFit="1" customWidth="1"/>
    <col min="13071" max="13312" width="8.88671875" style="1"/>
    <col min="13313" max="13313" width="6.6640625" style="1" bestFit="1" customWidth="1"/>
    <col min="13314" max="13314" width="23.33203125" style="1" bestFit="1" customWidth="1"/>
    <col min="13315" max="13315" width="7.88671875" style="1" customWidth="1"/>
    <col min="13316" max="13316" width="5.6640625" style="1" customWidth="1"/>
    <col min="13317" max="13317" width="8.44140625" style="1" customWidth="1"/>
    <col min="13318" max="13319" width="7.77734375" style="1" customWidth="1"/>
    <col min="13320" max="13320" width="10.109375" style="1" bestFit="1" customWidth="1"/>
    <col min="13321" max="13323" width="8.21875" style="1" customWidth="1"/>
    <col min="13324" max="13325" width="5.21875" style="1" customWidth="1"/>
    <col min="13326" max="13326" width="16.88671875" style="1" bestFit="1" customWidth="1"/>
    <col min="13327" max="13568" width="8.88671875" style="1"/>
    <col min="13569" max="13569" width="6.6640625" style="1" bestFit="1" customWidth="1"/>
    <col min="13570" max="13570" width="23.33203125" style="1" bestFit="1" customWidth="1"/>
    <col min="13571" max="13571" width="7.88671875" style="1" customWidth="1"/>
    <col min="13572" max="13572" width="5.6640625" style="1" customWidth="1"/>
    <col min="13573" max="13573" width="8.44140625" style="1" customWidth="1"/>
    <col min="13574" max="13575" width="7.77734375" style="1" customWidth="1"/>
    <col min="13576" max="13576" width="10.109375" style="1" bestFit="1" customWidth="1"/>
    <col min="13577" max="13579" width="8.21875" style="1" customWidth="1"/>
    <col min="13580" max="13581" width="5.21875" style="1" customWidth="1"/>
    <col min="13582" max="13582" width="16.88671875" style="1" bestFit="1" customWidth="1"/>
    <col min="13583" max="13824" width="8.88671875" style="1"/>
    <col min="13825" max="13825" width="6.6640625" style="1" bestFit="1" customWidth="1"/>
    <col min="13826" max="13826" width="23.33203125" style="1" bestFit="1" customWidth="1"/>
    <col min="13827" max="13827" width="7.88671875" style="1" customWidth="1"/>
    <col min="13828" max="13828" width="5.6640625" style="1" customWidth="1"/>
    <col min="13829" max="13829" width="8.44140625" style="1" customWidth="1"/>
    <col min="13830" max="13831" width="7.77734375" style="1" customWidth="1"/>
    <col min="13832" max="13832" width="10.109375" style="1" bestFit="1" customWidth="1"/>
    <col min="13833" max="13835" width="8.21875" style="1" customWidth="1"/>
    <col min="13836" max="13837" width="5.21875" style="1" customWidth="1"/>
    <col min="13838" max="13838" width="16.88671875" style="1" bestFit="1" customWidth="1"/>
    <col min="13839" max="14080" width="8.88671875" style="1"/>
    <col min="14081" max="14081" width="6.6640625" style="1" bestFit="1" customWidth="1"/>
    <col min="14082" max="14082" width="23.33203125" style="1" bestFit="1" customWidth="1"/>
    <col min="14083" max="14083" width="7.88671875" style="1" customWidth="1"/>
    <col min="14084" max="14084" width="5.6640625" style="1" customWidth="1"/>
    <col min="14085" max="14085" width="8.44140625" style="1" customWidth="1"/>
    <col min="14086" max="14087" width="7.77734375" style="1" customWidth="1"/>
    <col min="14088" max="14088" width="10.109375" style="1" bestFit="1" customWidth="1"/>
    <col min="14089" max="14091" width="8.21875" style="1" customWidth="1"/>
    <col min="14092" max="14093" width="5.21875" style="1" customWidth="1"/>
    <col min="14094" max="14094" width="16.88671875" style="1" bestFit="1" customWidth="1"/>
    <col min="14095" max="14336" width="8.88671875" style="1"/>
    <col min="14337" max="14337" width="6.6640625" style="1" bestFit="1" customWidth="1"/>
    <col min="14338" max="14338" width="23.33203125" style="1" bestFit="1" customWidth="1"/>
    <col min="14339" max="14339" width="7.88671875" style="1" customWidth="1"/>
    <col min="14340" max="14340" width="5.6640625" style="1" customWidth="1"/>
    <col min="14341" max="14341" width="8.44140625" style="1" customWidth="1"/>
    <col min="14342" max="14343" width="7.77734375" style="1" customWidth="1"/>
    <col min="14344" max="14344" width="10.109375" style="1" bestFit="1" customWidth="1"/>
    <col min="14345" max="14347" width="8.21875" style="1" customWidth="1"/>
    <col min="14348" max="14349" width="5.21875" style="1" customWidth="1"/>
    <col min="14350" max="14350" width="16.88671875" style="1" bestFit="1" customWidth="1"/>
    <col min="14351" max="14592" width="8.88671875" style="1"/>
    <col min="14593" max="14593" width="6.6640625" style="1" bestFit="1" customWidth="1"/>
    <col min="14594" max="14594" width="23.33203125" style="1" bestFit="1" customWidth="1"/>
    <col min="14595" max="14595" width="7.88671875" style="1" customWidth="1"/>
    <col min="14596" max="14596" width="5.6640625" style="1" customWidth="1"/>
    <col min="14597" max="14597" width="8.44140625" style="1" customWidth="1"/>
    <col min="14598" max="14599" width="7.77734375" style="1" customWidth="1"/>
    <col min="14600" max="14600" width="10.109375" style="1" bestFit="1" customWidth="1"/>
    <col min="14601" max="14603" width="8.21875" style="1" customWidth="1"/>
    <col min="14604" max="14605" width="5.21875" style="1" customWidth="1"/>
    <col min="14606" max="14606" width="16.88671875" style="1" bestFit="1" customWidth="1"/>
    <col min="14607" max="14848" width="8.88671875" style="1"/>
    <col min="14849" max="14849" width="6.6640625" style="1" bestFit="1" customWidth="1"/>
    <col min="14850" max="14850" width="23.33203125" style="1" bestFit="1" customWidth="1"/>
    <col min="14851" max="14851" width="7.88671875" style="1" customWidth="1"/>
    <col min="14852" max="14852" width="5.6640625" style="1" customWidth="1"/>
    <col min="14853" max="14853" width="8.44140625" style="1" customWidth="1"/>
    <col min="14854" max="14855" width="7.77734375" style="1" customWidth="1"/>
    <col min="14856" max="14856" width="10.109375" style="1" bestFit="1" customWidth="1"/>
    <col min="14857" max="14859" width="8.21875" style="1" customWidth="1"/>
    <col min="14860" max="14861" width="5.21875" style="1" customWidth="1"/>
    <col min="14862" max="14862" width="16.88671875" style="1" bestFit="1" customWidth="1"/>
    <col min="14863" max="15104" width="8.88671875" style="1"/>
    <col min="15105" max="15105" width="6.6640625" style="1" bestFit="1" customWidth="1"/>
    <col min="15106" max="15106" width="23.33203125" style="1" bestFit="1" customWidth="1"/>
    <col min="15107" max="15107" width="7.88671875" style="1" customWidth="1"/>
    <col min="15108" max="15108" width="5.6640625" style="1" customWidth="1"/>
    <col min="15109" max="15109" width="8.44140625" style="1" customWidth="1"/>
    <col min="15110" max="15111" width="7.77734375" style="1" customWidth="1"/>
    <col min="15112" max="15112" width="10.109375" style="1" bestFit="1" customWidth="1"/>
    <col min="15113" max="15115" width="8.21875" style="1" customWidth="1"/>
    <col min="15116" max="15117" width="5.21875" style="1" customWidth="1"/>
    <col min="15118" max="15118" width="16.88671875" style="1" bestFit="1" customWidth="1"/>
    <col min="15119" max="15360" width="8.88671875" style="1"/>
    <col min="15361" max="15361" width="6.6640625" style="1" bestFit="1" customWidth="1"/>
    <col min="15362" max="15362" width="23.33203125" style="1" bestFit="1" customWidth="1"/>
    <col min="15363" max="15363" width="7.88671875" style="1" customWidth="1"/>
    <col min="15364" max="15364" width="5.6640625" style="1" customWidth="1"/>
    <col min="15365" max="15365" width="8.44140625" style="1" customWidth="1"/>
    <col min="15366" max="15367" width="7.77734375" style="1" customWidth="1"/>
    <col min="15368" max="15368" width="10.109375" style="1" bestFit="1" customWidth="1"/>
    <col min="15369" max="15371" width="8.21875" style="1" customWidth="1"/>
    <col min="15372" max="15373" width="5.21875" style="1" customWidth="1"/>
    <col min="15374" max="15374" width="16.88671875" style="1" bestFit="1" customWidth="1"/>
    <col min="15375" max="15616" width="8.88671875" style="1"/>
    <col min="15617" max="15617" width="6.6640625" style="1" bestFit="1" customWidth="1"/>
    <col min="15618" max="15618" width="23.33203125" style="1" bestFit="1" customWidth="1"/>
    <col min="15619" max="15619" width="7.88671875" style="1" customWidth="1"/>
    <col min="15620" max="15620" width="5.6640625" style="1" customWidth="1"/>
    <col min="15621" max="15621" width="8.44140625" style="1" customWidth="1"/>
    <col min="15622" max="15623" width="7.77734375" style="1" customWidth="1"/>
    <col min="15624" max="15624" width="10.109375" style="1" bestFit="1" customWidth="1"/>
    <col min="15625" max="15627" width="8.21875" style="1" customWidth="1"/>
    <col min="15628" max="15629" width="5.21875" style="1" customWidth="1"/>
    <col min="15630" max="15630" width="16.88671875" style="1" bestFit="1" customWidth="1"/>
    <col min="15631" max="15872" width="8.88671875" style="1"/>
    <col min="15873" max="15873" width="6.6640625" style="1" bestFit="1" customWidth="1"/>
    <col min="15874" max="15874" width="23.33203125" style="1" bestFit="1" customWidth="1"/>
    <col min="15875" max="15875" width="7.88671875" style="1" customWidth="1"/>
    <col min="15876" max="15876" width="5.6640625" style="1" customWidth="1"/>
    <col min="15877" max="15877" width="8.44140625" style="1" customWidth="1"/>
    <col min="15878" max="15879" width="7.77734375" style="1" customWidth="1"/>
    <col min="15880" max="15880" width="10.109375" style="1" bestFit="1" customWidth="1"/>
    <col min="15881" max="15883" width="8.21875" style="1" customWidth="1"/>
    <col min="15884" max="15885" width="5.21875" style="1" customWidth="1"/>
    <col min="15886" max="15886" width="16.88671875" style="1" bestFit="1" customWidth="1"/>
    <col min="15887" max="16128" width="8.88671875" style="1"/>
    <col min="16129" max="16129" width="6.6640625" style="1" bestFit="1" customWidth="1"/>
    <col min="16130" max="16130" width="23.33203125" style="1" bestFit="1" customWidth="1"/>
    <col min="16131" max="16131" width="7.88671875" style="1" customWidth="1"/>
    <col min="16132" max="16132" width="5.6640625" style="1" customWidth="1"/>
    <col min="16133" max="16133" width="8.44140625" style="1" customWidth="1"/>
    <col min="16134" max="16135" width="7.77734375" style="1" customWidth="1"/>
    <col min="16136" max="16136" width="10.109375" style="1" bestFit="1" customWidth="1"/>
    <col min="16137" max="16139" width="8.21875" style="1" customWidth="1"/>
    <col min="16140" max="16141" width="5.21875" style="1" customWidth="1"/>
    <col min="16142" max="16142" width="16.88671875" style="1" bestFit="1" customWidth="1"/>
    <col min="16143" max="16384" width="8.88671875" style="1"/>
  </cols>
  <sheetData>
    <row r="1" spans="1:15" ht="21" customHeight="1" x14ac:dyDescent="0.15">
      <c r="A1" s="1" t="s">
        <v>0</v>
      </c>
      <c r="B1" s="1" t="s">
        <v>1</v>
      </c>
      <c r="C1" s="1" t="s">
        <v>2</v>
      </c>
      <c r="D1" s="1" t="s">
        <v>3</v>
      </c>
      <c r="E1" s="1" t="s">
        <v>4</v>
      </c>
      <c r="F1" s="1" t="s">
        <v>5</v>
      </c>
      <c r="G1" s="2" t="s">
        <v>6</v>
      </c>
      <c r="H1" s="1" t="s">
        <v>7</v>
      </c>
      <c r="I1" s="1" t="s">
        <v>8</v>
      </c>
      <c r="J1" s="1" t="s">
        <v>9</v>
      </c>
      <c r="K1" s="1" t="s">
        <v>10</v>
      </c>
      <c r="L1" s="1" t="s">
        <v>11</v>
      </c>
      <c r="M1" s="1" t="s">
        <v>12</v>
      </c>
      <c r="N1" s="1" t="s">
        <v>13</v>
      </c>
    </row>
    <row r="2" spans="1:15" x14ac:dyDescent="0.15">
      <c r="A2" s="1">
        <v>6543</v>
      </c>
      <c r="B2" s="3" t="s">
        <v>534</v>
      </c>
      <c r="C2" s="4" t="s">
        <v>535</v>
      </c>
      <c r="D2" s="5">
        <v>100</v>
      </c>
      <c r="E2" s="6">
        <v>2519</v>
      </c>
      <c r="F2" s="7">
        <v>24</v>
      </c>
      <c r="G2" s="8">
        <v>0.96</v>
      </c>
      <c r="H2" s="5">
        <v>4600</v>
      </c>
      <c r="I2" s="5">
        <v>2481</v>
      </c>
      <c r="J2" s="5">
        <v>2519</v>
      </c>
      <c r="K2" s="5">
        <v>2481</v>
      </c>
      <c r="L2" s="9">
        <v>42930</v>
      </c>
      <c r="M2" s="10">
        <v>0.625</v>
      </c>
      <c r="N2" s="1" t="s">
        <v>536</v>
      </c>
      <c r="O2" s="5"/>
    </row>
    <row r="3" spans="1:15" x14ac:dyDescent="0.15">
      <c r="A3" s="1">
        <v>9519</v>
      </c>
      <c r="B3" s="3" t="s">
        <v>537</v>
      </c>
      <c r="C3" s="1" t="s">
        <v>538</v>
      </c>
      <c r="D3" s="5">
        <v>100</v>
      </c>
      <c r="E3" s="6">
        <v>1263</v>
      </c>
      <c r="F3" s="7">
        <v>11</v>
      </c>
      <c r="G3" s="8">
        <v>0.88</v>
      </c>
      <c r="H3" s="5">
        <v>179200</v>
      </c>
      <c r="I3" s="5">
        <v>1260</v>
      </c>
      <c r="J3" s="5">
        <v>1272</v>
      </c>
      <c r="K3" s="5">
        <v>1240</v>
      </c>
      <c r="L3" s="9">
        <v>42930</v>
      </c>
      <c r="M3" s="10">
        <v>0.625</v>
      </c>
      <c r="N3" s="1" t="s">
        <v>539</v>
      </c>
      <c r="O3" s="5"/>
    </row>
    <row r="4" spans="1:15" x14ac:dyDescent="0.15">
      <c r="A4" s="1">
        <v>3557</v>
      </c>
      <c r="B4" s="3" t="s">
        <v>540</v>
      </c>
      <c r="C4" s="1" t="s">
        <v>538</v>
      </c>
      <c r="D4" s="5">
        <v>100</v>
      </c>
      <c r="E4" s="6">
        <v>4410</v>
      </c>
      <c r="F4" s="7">
        <v>150</v>
      </c>
      <c r="G4" s="8">
        <v>3.52</v>
      </c>
      <c r="H4" s="5">
        <v>8000</v>
      </c>
      <c r="I4" s="5">
        <v>4270</v>
      </c>
      <c r="J4" s="5">
        <v>4435</v>
      </c>
      <c r="K4" s="5">
        <v>4270</v>
      </c>
      <c r="L4" s="9">
        <v>42930</v>
      </c>
      <c r="M4" s="10">
        <v>0.62430555555555556</v>
      </c>
      <c r="N4" s="1" t="s">
        <v>539</v>
      </c>
      <c r="O4" s="5"/>
    </row>
    <row r="5" spans="1:15" x14ac:dyDescent="0.15">
      <c r="A5" s="1">
        <v>3558</v>
      </c>
      <c r="B5" s="3" t="s">
        <v>541</v>
      </c>
      <c r="C5" s="4" t="s">
        <v>538</v>
      </c>
      <c r="D5" s="5">
        <v>100</v>
      </c>
      <c r="E5" s="6">
        <v>2140</v>
      </c>
      <c r="F5" s="7">
        <v>160</v>
      </c>
      <c r="G5" s="8">
        <v>8.08</v>
      </c>
      <c r="H5" s="5">
        <v>226000</v>
      </c>
      <c r="I5" s="5">
        <v>2020</v>
      </c>
      <c r="J5" s="5">
        <v>2140</v>
      </c>
      <c r="K5" s="5">
        <v>2007</v>
      </c>
      <c r="L5" s="9">
        <v>42930</v>
      </c>
      <c r="M5" s="10">
        <v>0.625</v>
      </c>
      <c r="N5" s="1" t="s">
        <v>539</v>
      </c>
      <c r="O5" s="5"/>
    </row>
    <row r="6" spans="1:15" x14ac:dyDescent="0.15">
      <c r="A6" s="1">
        <v>3559</v>
      </c>
      <c r="B6" s="3" t="s">
        <v>542</v>
      </c>
      <c r="C6" s="4" t="s">
        <v>538</v>
      </c>
      <c r="D6" s="5">
        <v>100</v>
      </c>
      <c r="E6" s="6">
        <v>2076</v>
      </c>
      <c r="F6" s="7">
        <v>-35</v>
      </c>
      <c r="G6" s="8">
        <v>-1.66</v>
      </c>
      <c r="H6" s="5">
        <v>25700</v>
      </c>
      <c r="I6" s="5">
        <v>2104</v>
      </c>
      <c r="J6" s="5">
        <v>2104</v>
      </c>
      <c r="K6" s="5">
        <v>2075</v>
      </c>
      <c r="L6" s="9">
        <v>42930</v>
      </c>
      <c r="M6" s="10">
        <v>0.625</v>
      </c>
      <c r="N6" s="1" t="s">
        <v>539</v>
      </c>
      <c r="O6" s="5"/>
    </row>
    <row r="7" spans="1:15" x14ac:dyDescent="0.15">
      <c r="A7" s="1">
        <v>9325</v>
      </c>
      <c r="B7" s="3" t="s">
        <v>531</v>
      </c>
      <c r="C7" s="4" t="s">
        <v>538</v>
      </c>
      <c r="D7" s="5">
        <v>100</v>
      </c>
      <c r="E7" s="6">
        <v>6700</v>
      </c>
      <c r="F7" s="7">
        <v>-120</v>
      </c>
      <c r="G7" s="8">
        <v>-1.76</v>
      </c>
      <c r="H7" s="5">
        <v>13600</v>
      </c>
      <c r="I7" s="5">
        <v>6870</v>
      </c>
      <c r="J7" s="5">
        <v>6870</v>
      </c>
      <c r="K7" s="5">
        <v>6700</v>
      </c>
      <c r="L7" s="11">
        <v>42930</v>
      </c>
      <c r="M7" s="10">
        <v>0.625</v>
      </c>
      <c r="N7" s="1" t="s">
        <v>539</v>
      </c>
      <c r="O7" s="5"/>
    </row>
    <row r="8" spans="1:15" x14ac:dyDescent="0.15">
      <c r="A8" s="1">
        <v>3979</v>
      </c>
      <c r="B8" s="3" t="s">
        <v>532</v>
      </c>
      <c r="C8" s="1" t="s">
        <v>538</v>
      </c>
      <c r="D8" s="5">
        <v>100</v>
      </c>
      <c r="E8" s="5">
        <v>5230</v>
      </c>
      <c r="F8" s="7">
        <v>230</v>
      </c>
      <c r="G8" s="8">
        <v>4.5999999999999996</v>
      </c>
      <c r="H8" s="5">
        <v>85300</v>
      </c>
      <c r="I8" s="5">
        <v>5100</v>
      </c>
      <c r="J8" s="5">
        <v>5240</v>
      </c>
      <c r="K8" s="5">
        <v>5040</v>
      </c>
      <c r="L8" s="11">
        <v>42930</v>
      </c>
      <c r="M8" s="10">
        <v>0.625</v>
      </c>
      <c r="N8" s="1" t="s">
        <v>539</v>
      </c>
      <c r="O8" s="5"/>
    </row>
    <row r="9" spans="1:15" x14ac:dyDescent="0.15">
      <c r="A9" s="1">
        <v>3560</v>
      </c>
      <c r="B9" s="3" t="s">
        <v>543</v>
      </c>
      <c r="C9" s="1" t="s">
        <v>535</v>
      </c>
      <c r="D9" s="5">
        <v>100</v>
      </c>
      <c r="E9" s="5">
        <v>5300</v>
      </c>
      <c r="F9" s="7">
        <v>-180</v>
      </c>
      <c r="G9" s="8">
        <v>-3.28</v>
      </c>
      <c r="H9" s="5">
        <v>29000</v>
      </c>
      <c r="I9" s="5">
        <v>5610</v>
      </c>
      <c r="J9" s="5">
        <v>5690</v>
      </c>
      <c r="K9" s="5">
        <v>5280</v>
      </c>
      <c r="L9" s="11">
        <v>42930</v>
      </c>
      <c r="M9" s="10">
        <v>0.625</v>
      </c>
      <c r="N9" s="1" t="s">
        <v>539</v>
      </c>
      <c r="O9" s="5"/>
    </row>
    <row r="10" spans="1:15" x14ac:dyDescent="0.15">
      <c r="A10" s="1">
        <v>6544</v>
      </c>
      <c r="B10" s="3" t="s">
        <v>544</v>
      </c>
      <c r="C10" s="1" t="s">
        <v>538</v>
      </c>
      <c r="D10" s="5">
        <v>100</v>
      </c>
      <c r="E10" s="5">
        <v>1629</v>
      </c>
      <c r="F10" s="7">
        <v>4</v>
      </c>
      <c r="G10" s="8">
        <v>0.25</v>
      </c>
      <c r="H10" s="5">
        <v>28400</v>
      </c>
      <c r="I10" s="5">
        <v>1627</v>
      </c>
      <c r="J10" s="5">
        <v>1641</v>
      </c>
      <c r="K10" s="5">
        <v>1620</v>
      </c>
      <c r="L10" s="11">
        <v>42930</v>
      </c>
      <c r="M10" s="10">
        <v>0.625</v>
      </c>
      <c r="N10" s="1" t="s">
        <v>539</v>
      </c>
      <c r="O10" s="5"/>
    </row>
    <row r="11" spans="1:15" x14ac:dyDescent="0.15">
      <c r="A11" s="1">
        <v>3981</v>
      </c>
      <c r="B11" s="3" t="s">
        <v>533</v>
      </c>
      <c r="C11" s="1" t="s">
        <v>538</v>
      </c>
      <c r="D11" s="5">
        <v>100</v>
      </c>
      <c r="E11" s="5">
        <v>2150</v>
      </c>
      <c r="F11" s="7">
        <v>17</v>
      </c>
      <c r="G11" s="8">
        <v>0.8</v>
      </c>
      <c r="H11" s="5">
        <v>115600</v>
      </c>
      <c r="I11" s="5">
        <v>2149</v>
      </c>
      <c r="J11" s="5">
        <v>2194</v>
      </c>
      <c r="K11" s="5">
        <v>2125</v>
      </c>
      <c r="L11" s="11">
        <v>42930</v>
      </c>
      <c r="M11" s="10">
        <v>0.625</v>
      </c>
      <c r="N11" s="1" t="s">
        <v>539</v>
      </c>
      <c r="O11" s="5"/>
    </row>
    <row r="12" spans="1:15" x14ac:dyDescent="0.15">
      <c r="A12" s="1">
        <v>3561</v>
      </c>
      <c r="B12" s="3" t="s">
        <v>545</v>
      </c>
      <c r="C12" s="4" t="s">
        <v>538</v>
      </c>
      <c r="D12" s="5">
        <v>100</v>
      </c>
      <c r="E12" s="5">
        <v>2031</v>
      </c>
      <c r="F12" s="7">
        <v>-23</v>
      </c>
      <c r="G12" s="8">
        <v>-1.1200000000000001</v>
      </c>
      <c r="H12" s="5">
        <v>46400</v>
      </c>
      <c r="I12" s="5">
        <v>2080</v>
      </c>
      <c r="J12" s="5">
        <v>2084</v>
      </c>
      <c r="K12" s="5">
        <v>2020</v>
      </c>
      <c r="L12" s="11">
        <v>42930</v>
      </c>
      <c r="M12" s="10">
        <v>0.625</v>
      </c>
      <c r="N12" s="1" t="s">
        <v>530</v>
      </c>
      <c r="O12" s="5"/>
    </row>
    <row r="13" spans="1:15" x14ac:dyDescent="0.15">
      <c r="A13" s="1">
        <v>6545</v>
      </c>
      <c r="B13" s="3" t="s">
        <v>546</v>
      </c>
      <c r="C13" s="4" t="s">
        <v>547</v>
      </c>
      <c r="D13" s="5">
        <v>100</v>
      </c>
      <c r="E13" s="5">
        <v>8170</v>
      </c>
      <c r="F13" s="7">
        <v>150</v>
      </c>
      <c r="G13" s="8">
        <v>1.87</v>
      </c>
      <c r="H13" s="5">
        <v>110300</v>
      </c>
      <c r="I13" s="5">
        <v>8200</v>
      </c>
      <c r="J13" s="5">
        <v>8370</v>
      </c>
      <c r="K13" s="5">
        <v>8050</v>
      </c>
      <c r="L13" s="11">
        <v>42930</v>
      </c>
      <c r="M13" s="10">
        <v>0.625</v>
      </c>
      <c r="N13" s="1" t="s">
        <v>539</v>
      </c>
      <c r="O13" s="5"/>
    </row>
    <row r="14" spans="1:15" x14ac:dyDescent="0.15">
      <c r="A14" s="1">
        <v>6546</v>
      </c>
      <c r="B14" s="3" t="s">
        <v>524</v>
      </c>
      <c r="C14" s="1" t="s">
        <v>548</v>
      </c>
      <c r="D14" s="5">
        <v>100</v>
      </c>
      <c r="E14" s="5">
        <v>1047</v>
      </c>
      <c r="F14" s="7">
        <v>2</v>
      </c>
      <c r="G14" s="8">
        <v>0.19</v>
      </c>
      <c r="H14" s="5">
        <v>15900</v>
      </c>
      <c r="I14" s="5">
        <v>1050</v>
      </c>
      <c r="J14" s="5">
        <v>1053</v>
      </c>
      <c r="K14" s="5">
        <v>1037</v>
      </c>
      <c r="L14" s="11">
        <v>42930</v>
      </c>
      <c r="M14" s="10">
        <v>0.625</v>
      </c>
      <c r="N14" s="1" t="s">
        <v>539</v>
      </c>
      <c r="O14" s="5"/>
    </row>
    <row r="15" spans="1:15" x14ac:dyDescent="0.15">
      <c r="A15" s="1">
        <v>3978</v>
      </c>
      <c r="B15" s="3" t="s">
        <v>549</v>
      </c>
      <c r="C15" s="4" t="s">
        <v>550</v>
      </c>
      <c r="D15" s="5">
        <v>100</v>
      </c>
      <c r="E15" s="5">
        <v>2692</v>
      </c>
      <c r="F15" s="7">
        <v>17</v>
      </c>
      <c r="G15" s="8">
        <v>0.64</v>
      </c>
      <c r="H15" s="5">
        <v>111000</v>
      </c>
      <c r="I15" s="5">
        <v>2678</v>
      </c>
      <c r="J15" s="5">
        <v>2710</v>
      </c>
      <c r="K15" s="5">
        <v>2651</v>
      </c>
      <c r="L15" s="11">
        <v>42930</v>
      </c>
      <c r="M15" s="10">
        <v>0.625</v>
      </c>
      <c r="N15" s="1" t="s">
        <v>539</v>
      </c>
      <c r="O15" s="5"/>
    </row>
    <row r="16" spans="1:15" x14ac:dyDescent="0.15">
      <c r="A16" s="1">
        <v>6547</v>
      </c>
      <c r="B16" s="3" t="s">
        <v>551</v>
      </c>
      <c r="C16" s="1" t="s">
        <v>548</v>
      </c>
      <c r="D16" s="5">
        <v>100</v>
      </c>
      <c r="E16" s="5">
        <v>1437</v>
      </c>
      <c r="F16" s="7">
        <v>9</v>
      </c>
      <c r="G16" s="8">
        <v>0.63</v>
      </c>
      <c r="H16" s="5">
        <v>22600</v>
      </c>
      <c r="I16" s="5">
        <v>1432</v>
      </c>
      <c r="J16" s="5">
        <v>1439</v>
      </c>
      <c r="K16" s="5">
        <v>1430</v>
      </c>
      <c r="L16" s="11">
        <v>42930</v>
      </c>
      <c r="M16" s="10">
        <v>0.625</v>
      </c>
      <c r="N16" s="1" t="s">
        <v>530</v>
      </c>
      <c r="O16" s="5"/>
    </row>
    <row r="17" spans="1:15" x14ac:dyDescent="0.15">
      <c r="A17" s="1">
        <v>3983</v>
      </c>
      <c r="B17" s="3" t="s">
        <v>552</v>
      </c>
      <c r="C17" s="1" t="s">
        <v>538</v>
      </c>
      <c r="D17" s="5">
        <v>100</v>
      </c>
      <c r="E17" s="5">
        <v>3185</v>
      </c>
      <c r="F17" s="7">
        <v>-10</v>
      </c>
      <c r="G17" s="8">
        <v>-0.31</v>
      </c>
      <c r="H17" s="5">
        <v>4800</v>
      </c>
      <c r="I17" s="5">
        <v>3195</v>
      </c>
      <c r="J17" s="5">
        <v>3195</v>
      </c>
      <c r="K17" s="5">
        <v>3155</v>
      </c>
      <c r="L17" s="11">
        <v>42930</v>
      </c>
      <c r="M17" s="10">
        <v>0.625</v>
      </c>
      <c r="N17" s="1" t="s">
        <v>553</v>
      </c>
      <c r="O17" s="5"/>
    </row>
    <row r="18" spans="1:15" x14ac:dyDescent="0.15">
      <c r="A18" s="1">
        <v>4597</v>
      </c>
      <c r="B18" s="3" t="s">
        <v>554</v>
      </c>
      <c r="C18" s="4" t="s">
        <v>538</v>
      </c>
      <c r="D18" s="5">
        <v>100</v>
      </c>
      <c r="E18" s="5">
        <v>409</v>
      </c>
      <c r="F18" s="7">
        <v>-12</v>
      </c>
      <c r="G18" s="8">
        <v>-2.85</v>
      </c>
      <c r="H18" s="5">
        <v>4787400</v>
      </c>
      <c r="I18" s="5">
        <v>419</v>
      </c>
      <c r="J18" s="5">
        <v>428</v>
      </c>
      <c r="K18" s="5">
        <v>405</v>
      </c>
      <c r="L18" s="11">
        <v>42930</v>
      </c>
      <c r="M18" s="10">
        <v>0.625</v>
      </c>
      <c r="N18" s="1" t="s">
        <v>539</v>
      </c>
      <c r="O18" s="5"/>
    </row>
    <row r="19" spans="1:15" x14ac:dyDescent="0.15">
      <c r="A19" s="1">
        <v>3479</v>
      </c>
      <c r="B19" s="3" t="s">
        <v>555</v>
      </c>
      <c r="C19" s="1" t="s">
        <v>538</v>
      </c>
      <c r="D19" s="5">
        <v>100</v>
      </c>
      <c r="E19" s="5">
        <v>13710</v>
      </c>
      <c r="F19" s="7">
        <v>-420</v>
      </c>
      <c r="G19" s="8">
        <v>-2.97</v>
      </c>
      <c r="H19" s="5">
        <v>76700</v>
      </c>
      <c r="I19" s="5">
        <v>14150</v>
      </c>
      <c r="J19" s="5">
        <v>14200</v>
      </c>
      <c r="K19" s="5">
        <v>13710</v>
      </c>
      <c r="L19" s="11">
        <v>42930</v>
      </c>
      <c r="M19" s="10">
        <v>0.625</v>
      </c>
      <c r="N19" s="1" t="s">
        <v>556</v>
      </c>
      <c r="O19" s="5"/>
    </row>
    <row r="20" spans="1:15" x14ac:dyDescent="0.15">
      <c r="A20" s="1">
        <v>6694</v>
      </c>
      <c r="B20" s="3" t="s">
        <v>522</v>
      </c>
      <c r="C20" s="1" t="s">
        <v>535</v>
      </c>
      <c r="D20" s="5">
        <v>100</v>
      </c>
      <c r="E20" s="5">
        <v>1802</v>
      </c>
      <c r="F20" s="7">
        <v>-4</v>
      </c>
      <c r="G20" s="8">
        <v>-0.22</v>
      </c>
      <c r="H20" s="5">
        <v>6000</v>
      </c>
      <c r="I20" s="5">
        <v>1802</v>
      </c>
      <c r="J20" s="5">
        <v>1812</v>
      </c>
      <c r="K20" s="5">
        <v>1800</v>
      </c>
      <c r="L20" s="11">
        <v>42930</v>
      </c>
      <c r="M20" s="10">
        <v>0.625</v>
      </c>
      <c r="N20" s="1" t="s">
        <v>539</v>
      </c>
      <c r="O20" s="5"/>
    </row>
    <row r="21" spans="1:15" x14ac:dyDescent="0.15">
      <c r="A21" s="1">
        <v>3562</v>
      </c>
      <c r="B21" s="3" t="s">
        <v>557</v>
      </c>
      <c r="C21" s="1" t="s">
        <v>535</v>
      </c>
      <c r="D21" s="5">
        <v>100</v>
      </c>
      <c r="E21" s="5">
        <v>2603</v>
      </c>
      <c r="F21" s="7">
        <v>-185</v>
      </c>
      <c r="G21" s="8">
        <v>-6.64</v>
      </c>
      <c r="H21" s="5">
        <v>31500</v>
      </c>
      <c r="I21" s="5">
        <v>2651</v>
      </c>
      <c r="J21" s="5">
        <v>2660</v>
      </c>
      <c r="K21" s="5">
        <v>2600</v>
      </c>
      <c r="L21" s="11">
        <v>42930</v>
      </c>
      <c r="M21" s="10">
        <v>0.625</v>
      </c>
      <c r="N21" s="1" t="s">
        <v>539</v>
      </c>
      <c r="O21" s="5"/>
    </row>
    <row r="22" spans="1:15" x14ac:dyDescent="0.15">
      <c r="A22" s="1">
        <v>3964</v>
      </c>
      <c r="B22" s="3" t="s">
        <v>558</v>
      </c>
      <c r="C22" s="1" t="s">
        <v>550</v>
      </c>
      <c r="D22" s="5">
        <v>100</v>
      </c>
      <c r="E22" s="5">
        <v>1387</v>
      </c>
      <c r="F22" s="7">
        <v>-14</v>
      </c>
      <c r="G22" s="8">
        <v>-1</v>
      </c>
      <c r="H22" s="5">
        <v>30300</v>
      </c>
      <c r="I22" s="5">
        <v>1401</v>
      </c>
      <c r="J22" s="5">
        <v>1415</v>
      </c>
      <c r="K22" s="5">
        <v>1387</v>
      </c>
      <c r="L22" s="11">
        <v>42930</v>
      </c>
      <c r="M22" s="10">
        <v>0.625</v>
      </c>
      <c r="N22" s="1" t="s">
        <v>539</v>
      </c>
      <c r="O22" s="5"/>
    </row>
    <row r="23" spans="1:15" x14ac:dyDescent="0.15">
      <c r="A23" s="1">
        <v>3563</v>
      </c>
      <c r="B23" s="3" t="s">
        <v>559</v>
      </c>
      <c r="C23" s="1" t="s">
        <v>550</v>
      </c>
      <c r="D23" s="5">
        <v>100</v>
      </c>
      <c r="E23" s="5">
        <v>3320</v>
      </c>
      <c r="F23" s="7">
        <v>-20</v>
      </c>
      <c r="G23" s="8">
        <v>-0.6</v>
      </c>
      <c r="H23" s="5">
        <v>51900</v>
      </c>
      <c r="I23" s="5">
        <v>3355</v>
      </c>
      <c r="J23" s="5">
        <v>3355</v>
      </c>
      <c r="K23" s="5">
        <v>3315</v>
      </c>
      <c r="L23" s="11">
        <v>42930</v>
      </c>
      <c r="M23" s="10">
        <v>0.625</v>
      </c>
      <c r="N23" s="1" t="s">
        <v>539</v>
      </c>
      <c r="O23" s="5"/>
    </row>
    <row r="24" spans="1:15" x14ac:dyDescent="0.15">
      <c r="A24" s="1">
        <v>3984</v>
      </c>
      <c r="B24" s="3" t="s">
        <v>560</v>
      </c>
      <c r="C24" s="1" t="s">
        <v>538</v>
      </c>
      <c r="D24" s="5">
        <v>100</v>
      </c>
      <c r="E24" s="5">
        <v>8410</v>
      </c>
      <c r="F24" s="7">
        <v>40</v>
      </c>
      <c r="G24" s="8">
        <v>0.48</v>
      </c>
      <c r="H24" s="5">
        <v>3000</v>
      </c>
      <c r="I24" s="5">
        <v>8400</v>
      </c>
      <c r="J24" s="5">
        <v>8450</v>
      </c>
      <c r="K24" s="5">
        <v>8340</v>
      </c>
      <c r="L24" s="11">
        <v>42930</v>
      </c>
      <c r="M24" s="10">
        <v>0.625</v>
      </c>
      <c r="N24" s="1" t="s">
        <v>539</v>
      </c>
      <c r="O24" s="5"/>
    </row>
    <row r="25" spans="1:15" x14ac:dyDescent="0.15">
      <c r="A25" s="1">
        <v>6175</v>
      </c>
      <c r="B25" s="3" t="s">
        <v>561</v>
      </c>
      <c r="C25" s="1" t="s">
        <v>535</v>
      </c>
      <c r="D25" s="5">
        <v>100</v>
      </c>
      <c r="E25" s="5">
        <v>1230</v>
      </c>
      <c r="F25" s="7">
        <v>-32</v>
      </c>
      <c r="G25" s="8">
        <v>-2.54</v>
      </c>
      <c r="H25" s="5">
        <v>68100</v>
      </c>
      <c r="I25" s="5">
        <v>1286</v>
      </c>
      <c r="J25" s="5">
        <v>1286</v>
      </c>
      <c r="K25" s="5">
        <v>1213</v>
      </c>
      <c r="L25" s="11">
        <v>42930</v>
      </c>
      <c r="M25" s="10">
        <v>0.625</v>
      </c>
      <c r="N25" s="1" t="s">
        <v>539</v>
      </c>
      <c r="O25" s="5"/>
    </row>
    <row r="26" spans="1:15" x14ac:dyDescent="0.15">
      <c r="A26" s="1">
        <v>3985</v>
      </c>
      <c r="B26" s="3" t="s">
        <v>562</v>
      </c>
      <c r="C26" s="1" t="s">
        <v>538</v>
      </c>
      <c r="D26" s="5">
        <v>100</v>
      </c>
      <c r="E26" s="5">
        <v>7280</v>
      </c>
      <c r="F26" s="7">
        <v>330</v>
      </c>
      <c r="G26" s="8">
        <v>4.75</v>
      </c>
      <c r="H26" s="5">
        <v>26200</v>
      </c>
      <c r="I26" s="5">
        <v>6990</v>
      </c>
      <c r="J26" s="5">
        <v>7280</v>
      </c>
      <c r="K26" s="5">
        <v>6970</v>
      </c>
      <c r="L26" s="11">
        <v>42930</v>
      </c>
      <c r="M26" s="10">
        <v>0.625</v>
      </c>
      <c r="N26" s="1" t="s">
        <v>539</v>
      </c>
      <c r="O26" s="5"/>
    </row>
    <row r="27" spans="1:15" x14ac:dyDescent="0.15">
      <c r="A27" s="1">
        <v>7940</v>
      </c>
      <c r="B27" s="3" t="s">
        <v>563</v>
      </c>
      <c r="C27" s="1" t="s">
        <v>548</v>
      </c>
      <c r="D27" s="5">
        <v>100</v>
      </c>
      <c r="E27" s="5">
        <v>1215</v>
      </c>
      <c r="F27" s="7">
        <v>9</v>
      </c>
      <c r="G27" s="8">
        <v>0.75</v>
      </c>
      <c r="H27" s="5">
        <v>242300</v>
      </c>
      <c r="I27" s="5">
        <v>1215</v>
      </c>
      <c r="J27" s="5">
        <v>1230</v>
      </c>
      <c r="K27" s="5">
        <v>1196</v>
      </c>
      <c r="L27" s="11">
        <v>42930</v>
      </c>
      <c r="M27" s="10">
        <v>0.625</v>
      </c>
      <c r="N27" s="1" t="s">
        <v>564</v>
      </c>
      <c r="O27" s="5"/>
    </row>
    <row r="28" spans="1:15" x14ac:dyDescent="0.15">
      <c r="A28" s="1">
        <v>3564</v>
      </c>
      <c r="B28" s="3" t="s">
        <v>565</v>
      </c>
      <c r="C28" s="1" t="s">
        <v>550</v>
      </c>
      <c r="D28" s="5">
        <v>100</v>
      </c>
      <c r="E28" s="5">
        <v>1964</v>
      </c>
      <c r="F28" s="7">
        <v>-15</v>
      </c>
      <c r="G28" s="8">
        <v>-0.76</v>
      </c>
      <c r="H28" s="5">
        <v>119800</v>
      </c>
      <c r="I28" s="5">
        <v>1977</v>
      </c>
      <c r="J28" s="5">
        <v>1981</v>
      </c>
      <c r="K28" s="5">
        <v>1957</v>
      </c>
      <c r="L28" s="11">
        <v>42930</v>
      </c>
      <c r="M28" s="10">
        <v>0.625</v>
      </c>
      <c r="N28" s="1" t="s">
        <v>539</v>
      </c>
      <c r="O28" s="5"/>
    </row>
    <row r="29" spans="1:15" x14ac:dyDescent="0.15">
      <c r="A29" s="1">
        <v>6548</v>
      </c>
      <c r="B29" s="3" t="s">
        <v>566</v>
      </c>
      <c r="C29" s="1" t="s">
        <v>538</v>
      </c>
      <c r="D29" s="5">
        <v>100</v>
      </c>
      <c r="E29" s="5">
        <v>3560</v>
      </c>
      <c r="F29" s="7">
        <v>-20</v>
      </c>
      <c r="G29" s="8">
        <v>-0.56000000000000005</v>
      </c>
      <c r="H29" s="5">
        <v>7100</v>
      </c>
      <c r="I29" s="5">
        <v>3575</v>
      </c>
      <c r="J29" s="5">
        <v>3610</v>
      </c>
      <c r="K29" s="5">
        <v>3560</v>
      </c>
      <c r="L29" s="11">
        <v>42930</v>
      </c>
      <c r="M29" s="10">
        <v>0.625</v>
      </c>
      <c r="N29" s="1" t="s">
        <v>530</v>
      </c>
      <c r="O29" s="5"/>
    </row>
    <row r="30" spans="1:15" x14ac:dyDescent="0.15">
      <c r="A30" s="1">
        <v>3565</v>
      </c>
      <c r="B30" s="3" t="s">
        <v>567</v>
      </c>
      <c r="C30" s="1" t="s">
        <v>538</v>
      </c>
      <c r="D30" s="5">
        <v>100</v>
      </c>
      <c r="E30" s="5">
        <v>5670</v>
      </c>
      <c r="F30" s="7">
        <v>-10</v>
      </c>
      <c r="G30" s="8">
        <v>-0.18</v>
      </c>
      <c r="H30" s="5">
        <v>18200</v>
      </c>
      <c r="I30" s="5">
        <v>5680</v>
      </c>
      <c r="J30" s="5">
        <v>5760</v>
      </c>
      <c r="K30" s="5">
        <v>5660</v>
      </c>
      <c r="L30" s="11">
        <v>42930</v>
      </c>
      <c r="M30" s="10">
        <v>0.625</v>
      </c>
      <c r="N30" s="1" t="s">
        <v>539</v>
      </c>
      <c r="O30" s="5"/>
    </row>
    <row r="31" spans="1:15" x14ac:dyDescent="0.15">
      <c r="A31" s="1">
        <v>3758</v>
      </c>
      <c r="B31" s="3" t="s">
        <v>568</v>
      </c>
      <c r="C31" s="1" t="s">
        <v>523</v>
      </c>
      <c r="D31" s="5">
        <v>100</v>
      </c>
      <c r="E31" s="5">
        <v>3340</v>
      </c>
      <c r="F31" s="7">
        <v>-50</v>
      </c>
      <c r="G31" s="8">
        <v>-1.47</v>
      </c>
      <c r="H31" s="5">
        <v>615500</v>
      </c>
      <c r="I31" s="5">
        <v>3450</v>
      </c>
      <c r="J31" s="5">
        <v>3465</v>
      </c>
      <c r="K31" s="5">
        <v>3305</v>
      </c>
      <c r="L31" s="11">
        <v>42930</v>
      </c>
      <c r="M31" s="10">
        <v>0.625</v>
      </c>
      <c r="N31" s="1" t="s">
        <v>569</v>
      </c>
      <c r="O31" s="5"/>
    </row>
    <row r="32" spans="1:15" x14ac:dyDescent="0.15">
      <c r="A32" s="1">
        <v>3932</v>
      </c>
      <c r="B32" s="3" t="s">
        <v>570</v>
      </c>
      <c r="C32" s="1" t="s">
        <v>571</v>
      </c>
      <c r="D32" s="5">
        <v>100</v>
      </c>
      <c r="E32" s="5">
        <v>8730</v>
      </c>
      <c r="F32" s="7">
        <v>-110</v>
      </c>
      <c r="G32" s="8">
        <v>-1.24</v>
      </c>
      <c r="H32" s="5">
        <v>192600</v>
      </c>
      <c r="I32" s="5">
        <v>8860</v>
      </c>
      <c r="J32" s="5">
        <v>8860</v>
      </c>
      <c r="K32" s="5">
        <v>8710</v>
      </c>
      <c r="L32" s="11">
        <v>42930</v>
      </c>
      <c r="M32" s="10">
        <v>0.625</v>
      </c>
      <c r="N32" s="1" t="s">
        <v>572</v>
      </c>
      <c r="O32" s="5"/>
    </row>
    <row r="33" spans="1:15" x14ac:dyDescent="0.15">
      <c r="A33" s="1">
        <v>6787</v>
      </c>
      <c r="B33" s="3" t="s">
        <v>573</v>
      </c>
      <c r="C33" s="1" t="s">
        <v>523</v>
      </c>
      <c r="D33" s="5">
        <v>100</v>
      </c>
      <c r="E33" s="5">
        <v>1501</v>
      </c>
      <c r="F33" s="7">
        <v>-34</v>
      </c>
      <c r="G33" s="8">
        <v>-2.21</v>
      </c>
      <c r="H33" s="5">
        <v>645200</v>
      </c>
      <c r="I33" s="5">
        <v>1549</v>
      </c>
      <c r="J33" s="5">
        <v>1585</v>
      </c>
      <c r="K33" s="5">
        <v>1493</v>
      </c>
      <c r="L33" s="11">
        <v>42930</v>
      </c>
      <c r="M33" s="10">
        <v>0.625</v>
      </c>
      <c r="N33" s="1" t="s">
        <v>574</v>
      </c>
      <c r="O33" s="5"/>
    </row>
    <row r="34" spans="1:15" x14ac:dyDescent="0.15">
      <c r="A34" s="1">
        <v>2138</v>
      </c>
      <c r="B34" s="3" t="s">
        <v>575</v>
      </c>
      <c r="C34" s="1" t="s">
        <v>523</v>
      </c>
      <c r="D34" s="5">
        <v>100</v>
      </c>
      <c r="E34" s="5">
        <v>2998</v>
      </c>
      <c r="F34" s="7">
        <v>-42</v>
      </c>
      <c r="G34" s="8">
        <v>-1.38</v>
      </c>
      <c r="H34" s="5">
        <v>180700</v>
      </c>
      <c r="I34" s="5">
        <v>3015</v>
      </c>
      <c r="J34" s="5">
        <v>3030</v>
      </c>
      <c r="K34" s="5">
        <v>2977</v>
      </c>
      <c r="L34" s="11">
        <v>42930</v>
      </c>
      <c r="M34" s="10">
        <v>0.625</v>
      </c>
      <c r="N34" s="1" t="s">
        <v>576</v>
      </c>
      <c r="O34" s="5"/>
    </row>
    <row r="35" spans="1:15" x14ac:dyDescent="0.15">
      <c r="A35" s="1">
        <v>3810</v>
      </c>
      <c r="B35" s="3" t="s">
        <v>577</v>
      </c>
      <c r="C35" s="1" t="s">
        <v>571</v>
      </c>
      <c r="D35" s="5">
        <v>100</v>
      </c>
      <c r="E35" s="5">
        <v>6390</v>
      </c>
      <c r="F35" s="7">
        <v>0</v>
      </c>
      <c r="G35" s="8">
        <v>0</v>
      </c>
      <c r="H35" s="5">
        <v>368000</v>
      </c>
      <c r="I35" s="5">
        <v>6300</v>
      </c>
      <c r="J35" s="5">
        <v>6540</v>
      </c>
      <c r="K35" s="5">
        <v>6110</v>
      </c>
      <c r="L35" s="11">
        <v>42930</v>
      </c>
      <c r="M35" s="10">
        <v>0.625</v>
      </c>
      <c r="N35" s="1" t="s">
        <v>578</v>
      </c>
      <c r="O35" s="5"/>
    </row>
    <row r="36" spans="1:15" x14ac:dyDescent="0.15">
      <c r="A36" s="1">
        <v>4288</v>
      </c>
      <c r="B36" s="3" t="s">
        <v>579</v>
      </c>
      <c r="C36" s="1" t="s">
        <v>523</v>
      </c>
      <c r="D36" s="5">
        <v>100</v>
      </c>
      <c r="E36" s="5">
        <v>4035</v>
      </c>
      <c r="F36" s="7">
        <v>5</v>
      </c>
      <c r="G36" s="8">
        <v>0.12</v>
      </c>
      <c r="H36" s="5">
        <v>150300</v>
      </c>
      <c r="I36" s="5">
        <v>4005</v>
      </c>
      <c r="J36" s="5">
        <v>4050</v>
      </c>
      <c r="K36" s="5">
        <v>3910</v>
      </c>
      <c r="L36" s="11">
        <v>42930</v>
      </c>
      <c r="M36" s="10">
        <v>0.625</v>
      </c>
      <c r="N36" s="1" t="s">
        <v>580</v>
      </c>
      <c r="O36" s="5"/>
    </row>
    <row r="37" spans="1:15" x14ac:dyDescent="0.15">
      <c r="A37" s="1">
        <v>3825</v>
      </c>
      <c r="B37" s="3" t="s">
        <v>525</v>
      </c>
      <c r="C37" s="1" t="s">
        <v>571</v>
      </c>
      <c r="D37" s="5">
        <v>100</v>
      </c>
      <c r="E37" s="5">
        <v>1200</v>
      </c>
      <c r="F37" s="7">
        <v>25</v>
      </c>
      <c r="G37" s="8">
        <v>2.13</v>
      </c>
      <c r="H37" s="5">
        <v>4145600</v>
      </c>
      <c r="I37" s="5">
        <v>1159</v>
      </c>
      <c r="J37" s="5">
        <v>1265</v>
      </c>
      <c r="K37" s="5">
        <v>1157</v>
      </c>
      <c r="L37" s="11">
        <v>42930</v>
      </c>
      <c r="M37" s="10">
        <v>0.625</v>
      </c>
      <c r="N37" s="1" t="s">
        <v>581</v>
      </c>
      <c r="O37" s="5"/>
    </row>
    <row r="38" spans="1:15" x14ac:dyDescent="0.15">
      <c r="A38" s="1">
        <v>3661</v>
      </c>
      <c r="B38" s="3" t="s">
        <v>582</v>
      </c>
      <c r="C38" s="1" t="s">
        <v>583</v>
      </c>
      <c r="D38" s="5">
        <v>100</v>
      </c>
      <c r="E38" s="5">
        <v>1803</v>
      </c>
      <c r="F38" s="7">
        <v>-30</v>
      </c>
      <c r="G38" s="8">
        <v>-1.64</v>
      </c>
      <c r="H38" s="5">
        <v>354800</v>
      </c>
      <c r="I38" s="5">
        <v>1830</v>
      </c>
      <c r="J38" s="5">
        <v>1849</v>
      </c>
      <c r="K38" s="5">
        <v>1786</v>
      </c>
      <c r="L38" s="11">
        <v>42930</v>
      </c>
      <c r="M38" s="10">
        <v>0.625</v>
      </c>
      <c r="N38" s="1" t="s">
        <v>584</v>
      </c>
      <c r="O38" s="5"/>
    </row>
    <row r="39" spans="1:15" x14ac:dyDescent="0.15">
      <c r="A39" s="1">
        <v>3986</v>
      </c>
      <c r="B39" s="3" t="s">
        <v>585</v>
      </c>
      <c r="C39" s="1" t="s">
        <v>571</v>
      </c>
      <c r="D39" s="5">
        <v>100</v>
      </c>
      <c r="E39" s="5">
        <v>5950</v>
      </c>
      <c r="F39" s="7">
        <v>-120</v>
      </c>
      <c r="G39" s="8">
        <v>-1.98</v>
      </c>
      <c r="H39" s="5">
        <v>14900</v>
      </c>
      <c r="I39" s="5">
        <v>6060</v>
      </c>
      <c r="J39" s="5">
        <v>6100</v>
      </c>
      <c r="K39" s="5">
        <v>5890</v>
      </c>
      <c r="L39" s="11">
        <v>42930</v>
      </c>
      <c r="M39" s="10">
        <v>0.625</v>
      </c>
      <c r="N39" s="1" t="s">
        <v>586</v>
      </c>
      <c r="O39" s="5"/>
    </row>
    <row r="40" spans="1:15" x14ac:dyDescent="0.15">
      <c r="A40" s="1">
        <v>6549</v>
      </c>
      <c r="B40" s="3" t="s">
        <v>587</v>
      </c>
      <c r="C40" s="1" t="s">
        <v>523</v>
      </c>
      <c r="D40" s="5">
        <v>100</v>
      </c>
      <c r="E40" s="5">
        <v>5920</v>
      </c>
      <c r="F40" s="7">
        <v>-10</v>
      </c>
      <c r="G40" s="8">
        <v>-0.17</v>
      </c>
      <c r="H40" s="5">
        <v>9600</v>
      </c>
      <c r="I40" s="5">
        <v>5930</v>
      </c>
      <c r="J40" s="5">
        <v>5980</v>
      </c>
      <c r="K40" s="5">
        <v>5810</v>
      </c>
      <c r="L40" s="11">
        <v>42930</v>
      </c>
      <c r="M40" s="10">
        <v>0.625</v>
      </c>
      <c r="N40" s="1" t="s">
        <v>588</v>
      </c>
      <c r="O40" s="5"/>
    </row>
    <row r="41" spans="1:15" x14ac:dyDescent="0.15">
      <c r="A41" s="1">
        <v>3987</v>
      </c>
      <c r="B41" s="3" t="s">
        <v>589</v>
      </c>
      <c r="C41" s="1" t="s">
        <v>590</v>
      </c>
      <c r="D41" s="5">
        <v>100</v>
      </c>
      <c r="E41" s="5">
        <v>3750</v>
      </c>
      <c r="F41" s="7">
        <v>-5</v>
      </c>
      <c r="G41" s="8">
        <v>-0.13</v>
      </c>
      <c r="H41" s="5">
        <v>2600</v>
      </c>
      <c r="I41" s="5">
        <v>3750</v>
      </c>
      <c r="J41" s="5">
        <v>3780</v>
      </c>
      <c r="K41" s="5">
        <v>3745</v>
      </c>
      <c r="L41" s="11">
        <v>42930</v>
      </c>
      <c r="M41" s="10">
        <v>0.61944444444444446</v>
      </c>
      <c r="N41" s="1" t="s">
        <v>588</v>
      </c>
      <c r="O41" s="5"/>
    </row>
    <row r="42" spans="1:15" x14ac:dyDescent="0.15">
      <c r="A42" s="1">
        <v>6550</v>
      </c>
      <c r="B42" s="3" t="s">
        <v>591</v>
      </c>
      <c r="C42" s="1" t="s">
        <v>571</v>
      </c>
      <c r="D42" s="5">
        <v>100</v>
      </c>
      <c r="E42" s="5">
        <v>5470</v>
      </c>
      <c r="F42" s="7">
        <v>180</v>
      </c>
      <c r="G42" s="8">
        <v>3.4</v>
      </c>
      <c r="H42" s="5">
        <v>54600</v>
      </c>
      <c r="I42" s="5">
        <v>5350</v>
      </c>
      <c r="J42" s="5">
        <v>5650</v>
      </c>
      <c r="K42" s="5">
        <v>5200</v>
      </c>
      <c r="L42" s="11">
        <v>42930</v>
      </c>
      <c r="M42" s="10">
        <v>0.625</v>
      </c>
      <c r="N42" s="1" t="s">
        <v>588</v>
      </c>
      <c r="O42" s="5"/>
    </row>
    <row r="43" spans="1:15" x14ac:dyDescent="0.15">
      <c r="A43" s="1">
        <v>3853</v>
      </c>
      <c r="B43" s="3" t="s">
        <v>592</v>
      </c>
      <c r="C43" s="1" t="s">
        <v>571</v>
      </c>
      <c r="D43" s="5">
        <v>100</v>
      </c>
      <c r="E43" s="5">
        <v>1340</v>
      </c>
      <c r="F43" s="7">
        <v>-36</v>
      </c>
      <c r="G43" s="8">
        <v>-2.62</v>
      </c>
      <c r="H43" s="5">
        <v>3163300</v>
      </c>
      <c r="I43" s="5">
        <v>1357</v>
      </c>
      <c r="J43" s="5">
        <v>1394</v>
      </c>
      <c r="K43" s="5">
        <v>1322</v>
      </c>
      <c r="L43" s="11">
        <v>42930</v>
      </c>
      <c r="M43" s="10">
        <v>0.625</v>
      </c>
      <c r="N43" s="1" t="s">
        <v>593</v>
      </c>
      <c r="O43" s="5"/>
    </row>
    <row r="44" spans="1:15" x14ac:dyDescent="0.15">
      <c r="A44" s="1">
        <v>2160</v>
      </c>
      <c r="B44" s="3" t="s">
        <v>594</v>
      </c>
      <c r="C44" s="1" t="s">
        <v>571</v>
      </c>
      <c r="D44" s="5">
        <v>1000</v>
      </c>
      <c r="E44" s="5">
        <v>623</v>
      </c>
      <c r="F44" s="7">
        <v>-14</v>
      </c>
      <c r="G44" s="8">
        <v>-2.2000000000000002</v>
      </c>
      <c r="H44" s="5">
        <v>2492000</v>
      </c>
      <c r="I44" s="5">
        <v>633</v>
      </c>
      <c r="J44" s="5">
        <v>641</v>
      </c>
      <c r="K44" s="5">
        <v>621</v>
      </c>
      <c r="L44" s="11">
        <v>42930</v>
      </c>
      <c r="M44" s="10">
        <v>0.625</v>
      </c>
      <c r="N44" s="1" t="s">
        <v>595</v>
      </c>
      <c r="O44" s="5"/>
    </row>
    <row r="45" spans="1:15" x14ac:dyDescent="0.15">
      <c r="A45" s="1">
        <v>6551</v>
      </c>
      <c r="B45" s="3" t="s">
        <v>596</v>
      </c>
      <c r="C45" s="1" t="s">
        <v>571</v>
      </c>
      <c r="D45" s="5">
        <v>100</v>
      </c>
      <c r="E45" s="5">
        <v>5250</v>
      </c>
      <c r="F45" s="7">
        <v>405</v>
      </c>
      <c r="G45" s="8">
        <v>8.36</v>
      </c>
      <c r="H45" s="5">
        <v>130500</v>
      </c>
      <c r="I45" s="5">
        <v>4915</v>
      </c>
      <c r="J45" s="5">
        <v>5530</v>
      </c>
      <c r="K45" s="5">
        <v>4915</v>
      </c>
      <c r="L45" s="11">
        <v>42930</v>
      </c>
      <c r="M45" s="10">
        <v>0.625</v>
      </c>
      <c r="N45" s="1" t="s">
        <v>588</v>
      </c>
      <c r="O45" s="5"/>
    </row>
    <row r="46" spans="1:15" x14ac:dyDescent="0.15">
      <c r="A46" s="1">
        <v>3988</v>
      </c>
      <c r="B46" s="3" t="s">
        <v>597</v>
      </c>
      <c r="C46" s="1" t="s">
        <v>523</v>
      </c>
      <c r="D46" s="5">
        <v>100</v>
      </c>
      <c r="E46" s="5">
        <v>4115</v>
      </c>
      <c r="F46" s="7">
        <v>115</v>
      </c>
      <c r="G46" s="8">
        <v>2.88</v>
      </c>
      <c r="H46" s="5">
        <v>19700</v>
      </c>
      <c r="I46" s="5">
        <v>4000</v>
      </c>
      <c r="J46" s="5">
        <v>4115</v>
      </c>
      <c r="K46" s="5">
        <v>3880</v>
      </c>
      <c r="L46" s="11">
        <v>42930</v>
      </c>
      <c r="M46" s="10">
        <v>0.625</v>
      </c>
      <c r="N46" s="1" t="s">
        <v>588</v>
      </c>
      <c r="O46" s="5"/>
    </row>
    <row r="47" spans="1:15" x14ac:dyDescent="0.15">
      <c r="A47" s="1">
        <v>6552</v>
      </c>
      <c r="B47" s="3" t="s">
        <v>598</v>
      </c>
      <c r="C47" s="1" t="s">
        <v>599</v>
      </c>
      <c r="D47" s="5">
        <v>100</v>
      </c>
      <c r="E47" s="5">
        <v>3595</v>
      </c>
      <c r="F47" s="7">
        <v>-35</v>
      </c>
      <c r="G47" s="8">
        <v>-0.96</v>
      </c>
      <c r="H47" s="5">
        <v>194800</v>
      </c>
      <c r="I47" s="5">
        <v>3585</v>
      </c>
      <c r="J47" s="5">
        <v>3705</v>
      </c>
      <c r="K47" s="5">
        <v>3450</v>
      </c>
      <c r="L47" s="11">
        <v>42930</v>
      </c>
      <c r="M47" s="10">
        <v>0.625</v>
      </c>
      <c r="N47" s="1" t="s">
        <v>588</v>
      </c>
      <c r="O47" s="5"/>
    </row>
    <row r="48" spans="1:15" x14ac:dyDescent="0.15">
      <c r="A48" s="1">
        <v>4563</v>
      </c>
      <c r="B48" s="3" t="s">
        <v>600</v>
      </c>
      <c r="C48" s="1" t="s">
        <v>571</v>
      </c>
      <c r="D48" s="5">
        <v>100</v>
      </c>
      <c r="E48" s="5">
        <v>656</v>
      </c>
      <c r="F48" s="7">
        <v>-15</v>
      </c>
      <c r="G48" s="8">
        <v>-2.2400000000000002</v>
      </c>
      <c r="H48" s="5">
        <v>7144000</v>
      </c>
      <c r="I48" s="5">
        <v>672</v>
      </c>
      <c r="J48" s="5">
        <v>693</v>
      </c>
      <c r="K48" s="5">
        <v>632</v>
      </c>
      <c r="L48" s="11">
        <v>42930</v>
      </c>
      <c r="M48" s="10">
        <v>0.625</v>
      </c>
      <c r="N48" s="1" t="s">
        <v>601</v>
      </c>
    </row>
    <row r="49" spans="1:14" x14ac:dyDescent="0.15">
      <c r="A49" s="1">
        <v>8704</v>
      </c>
      <c r="B49" s="3" t="s">
        <v>602</v>
      </c>
      <c r="C49" s="1" t="s">
        <v>523</v>
      </c>
      <c r="D49" s="5">
        <v>100</v>
      </c>
      <c r="E49" s="5">
        <v>260</v>
      </c>
      <c r="F49" s="7">
        <v>-18</v>
      </c>
      <c r="G49" s="8">
        <v>-6.47</v>
      </c>
      <c r="H49" s="5">
        <v>13668100</v>
      </c>
      <c r="I49" s="5">
        <v>274</v>
      </c>
      <c r="J49" s="5">
        <v>288</v>
      </c>
      <c r="K49" s="5">
        <v>252</v>
      </c>
      <c r="L49" s="11">
        <v>42930</v>
      </c>
      <c r="M49" s="10">
        <v>0.625</v>
      </c>
      <c r="N49" s="1" t="s">
        <v>576</v>
      </c>
    </row>
    <row r="50" spans="1:14" x14ac:dyDescent="0.15">
      <c r="A50" s="1">
        <v>6553</v>
      </c>
      <c r="B50" s="3" t="s">
        <v>603</v>
      </c>
      <c r="C50" s="1" t="s">
        <v>571</v>
      </c>
      <c r="D50" s="5">
        <v>100</v>
      </c>
      <c r="E50" s="5">
        <v>2713</v>
      </c>
      <c r="F50" s="7">
        <v>500</v>
      </c>
      <c r="G50" s="8">
        <v>22.59</v>
      </c>
      <c r="H50" s="5">
        <v>12149000</v>
      </c>
      <c r="I50" s="5">
        <v>2263</v>
      </c>
      <c r="J50" s="5">
        <v>2713</v>
      </c>
      <c r="K50" s="5">
        <v>2254</v>
      </c>
      <c r="L50" s="11">
        <v>42930</v>
      </c>
      <c r="M50" s="10">
        <v>0.625</v>
      </c>
      <c r="N50" s="1" t="s">
        <v>604</v>
      </c>
    </row>
  </sheetData>
  <phoneticPr fontId="2"/>
  <hyperlinks>
    <hyperlink ref="B2" r:id="rId1" display="https://stocks.finance.yahoo.co.jp/stocks/detail/?code=6543"/>
    <hyperlink ref="B3" r:id="rId2" display="https://stocks.finance.yahoo.co.jp/stocks/detail/?code=9519"/>
    <hyperlink ref="B4" r:id="rId3" display="https://stocks.finance.yahoo.co.jp/stocks/detail/?code=3557"/>
    <hyperlink ref="B5" r:id="rId4" display="https://stocks.finance.yahoo.co.jp/stocks/detail/?code=3558"/>
    <hyperlink ref="B6" r:id="rId5" display="https://stocks.finance.yahoo.co.jp/stocks/detail/?code=3559"/>
    <hyperlink ref="B7" r:id="rId6" display="https://stocks.finance.yahoo.co.jp/stocks/detail/?code=9325"/>
    <hyperlink ref="B8" r:id="rId7" display="https://stocks.finance.yahoo.co.jp/stocks/detail/?code=3979"/>
    <hyperlink ref="B9" r:id="rId8" display="https://stocks.finance.yahoo.co.jp/stocks/detail/?code=3560"/>
    <hyperlink ref="B10" r:id="rId9" display="https://stocks.finance.yahoo.co.jp/stocks/detail/?code=6544"/>
    <hyperlink ref="B12" r:id="rId10" display="https://stocks.finance.yahoo.co.jp/stocks/detail/?code=3561"/>
    <hyperlink ref="B13" r:id="rId11" display="https://stocks.finance.yahoo.co.jp/stocks/detail/?code=6545"/>
    <hyperlink ref="B14" r:id="rId12" display="https://stocks.finance.yahoo.co.jp/stocks/detail/?code=6546"/>
    <hyperlink ref="B15" r:id="rId13" display="https://stocks.finance.yahoo.co.jp/stocks/detail/?code=3978"/>
    <hyperlink ref="B16" r:id="rId14" display="https://stocks.finance.yahoo.co.jp/stocks/detail/?code=6547"/>
    <hyperlink ref="B18" r:id="rId15" display="https://stocks.finance.yahoo.co.jp/stocks/detail/?code=4597"/>
    <hyperlink ref="B19" r:id="rId16" display="https://stocks.finance.yahoo.co.jp/stocks/detail/?code=3479"/>
    <hyperlink ref="B11" r:id="rId17" display="https://stocks.finance.yahoo.co.jp/stocks/detail/?code=3981"/>
    <hyperlink ref="B17" r:id="rId18" display="https://stocks.finance.yahoo.co.jp/stocks/detail/?code=3983"/>
    <hyperlink ref="B20" r:id="rId19" display="https://stocks.finance.yahoo.co.jp/stocks/detail/?code=6694"/>
    <hyperlink ref="B21" r:id="rId20" display="https://stocks.finance.yahoo.co.jp/stocks/detail/?code=3562"/>
    <hyperlink ref="B22" r:id="rId21" display="https://stocks.finance.yahoo.co.jp/stocks/detail/?code=3964"/>
    <hyperlink ref="B23" r:id="rId22" display="https://stocks.finance.yahoo.co.jp/stocks/detail/?code=3563"/>
    <hyperlink ref="B24" r:id="rId23" display="https://stocks.finance.yahoo.co.jp/stocks/detail/?code=3984"/>
    <hyperlink ref="B25" r:id="rId24" display="https://stocks.finance.yahoo.co.jp/stocks/detail/?code=6175"/>
    <hyperlink ref="B26" r:id="rId25" display="https://stocks.finance.yahoo.co.jp/stocks/detail/?code=3985"/>
    <hyperlink ref="B27" r:id="rId26" display="https://stocks.finance.yahoo.co.jp/stocks/detail/?code=7940"/>
    <hyperlink ref="B28" r:id="rId27" display="https://stocks.finance.yahoo.co.jp/stocks/detail/?code=3564"/>
    <hyperlink ref="B29" r:id="rId28" display="https://stocks.finance.yahoo.co.jp/stocks/detail/?code=6548"/>
    <hyperlink ref="B30" r:id="rId29" display="https://stocks.finance.yahoo.co.jp/stocks/detail/?code=3565"/>
    <hyperlink ref="B31" r:id="rId30" display="https://stocks.finance.yahoo.co.jp/stocks/detail/?code=3758"/>
    <hyperlink ref="B32" r:id="rId31" display="https://stocks.finance.yahoo.co.jp/stocks/detail/?code=3932"/>
    <hyperlink ref="B33" r:id="rId32" display="https://stocks.finance.yahoo.co.jp/stocks/detail/?code=6787"/>
    <hyperlink ref="B34" r:id="rId33" display="https://stocks.finance.yahoo.co.jp/stocks/detail/?code=2138"/>
    <hyperlink ref="B35" r:id="rId34" display="https://stocks.finance.yahoo.co.jp/stocks/detail/?code=3810"/>
    <hyperlink ref="B36" r:id="rId35" display="https://stocks.finance.yahoo.co.jp/stocks/detail/?code=4288"/>
    <hyperlink ref="B37" r:id="rId36" display="https://stocks.finance.yahoo.co.jp/stocks/detail/?code=3825"/>
    <hyperlink ref="B38" r:id="rId37" display="https://stocks.finance.yahoo.co.jp/stocks/detail/?code=3661"/>
    <hyperlink ref="B39" r:id="rId38" display="https://stocks.finance.yahoo.co.jp/stocks/detail/?code=3986"/>
    <hyperlink ref="B40" r:id="rId39" display="https://stocks.finance.yahoo.co.jp/stocks/detail/?code=6549"/>
    <hyperlink ref="B41" r:id="rId40" display="https://stocks.finance.yahoo.co.jp/stocks/detail/?code=3987"/>
    <hyperlink ref="B42" r:id="rId41" display="https://stocks.finance.yahoo.co.jp/stocks/detail/?code=6550"/>
    <hyperlink ref="B43" r:id="rId42" display="https://stocks.finance.yahoo.co.jp/stocks/detail/?code=3853"/>
    <hyperlink ref="B44" r:id="rId43" display="https://stocks.finance.yahoo.co.jp/stocks/detail/?code=2160"/>
    <hyperlink ref="B45" r:id="rId44" display="https://stocks.finance.yahoo.co.jp/stocks/detail/?code=6551"/>
    <hyperlink ref="B46" r:id="rId45" display="https://stocks.finance.yahoo.co.jp/stocks/detail/?code=3988"/>
    <hyperlink ref="B47" r:id="rId46" display="https://stocks.finance.yahoo.co.jp/stocks/detail/?code=6552"/>
    <hyperlink ref="B48" r:id="rId47" display="https://stocks.finance.yahoo.co.jp/stocks/detail/?code=4563"/>
    <hyperlink ref="B49" r:id="rId48" display="https://stocks.finance.yahoo.co.jp/stocks/detail/?code=8704"/>
    <hyperlink ref="B50" r:id="rId49" display="https://stocks.finance.yahoo.co.jp/stocks/detail/?code=6553"/>
  </hyperlinks>
  <pageMargins left="0.75" right="0.75" top="1" bottom="1" header="0.51200000000000001" footer="0.51200000000000001"/>
  <headerFooter alignWithMargins="0"/>
  <drawing r:id="rId50"/>
  <legacyDrawing r:id="rId51"/>
  <controls>
    <mc:AlternateContent xmlns:mc="http://schemas.openxmlformats.org/markup-compatibility/2006">
      <mc:Choice Requires="x14">
        <control shapeId="1025" r:id="rId52" name="cmdKabukaGet">
          <controlPr defaultSize="0" autoLine="0" r:id="rId53">
            <anchor moveWithCells="1">
              <from>
                <xdr:col>1</xdr:col>
                <xdr:colOff>1200150</xdr:colOff>
                <xdr:row>0</xdr:row>
                <xdr:rowOff>19050</xdr:rowOff>
              </from>
              <to>
                <xdr:col>1</xdr:col>
                <xdr:colOff>1914525</xdr:colOff>
                <xdr:row>1</xdr:row>
                <xdr:rowOff>9525</xdr:rowOff>
              </to>
            </anchor>
          </controlPr>
        </control>
      </mc:Choice>
      <mc:Fallback>
        <control shapeId="1025" r:id="rId52" name="cmdKabukaGet"/>
      </mc:Fallback>
    </mc:AlternateContent>
  </control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rgb="FFFFFF00"/>
  </sheetPr>
  <dimension ref="A1:Z21"/>
  <sheetViews>
    <sheetView zoomScaleNormal="100" workbookViewId="0">
      <pane xSplit="2" topLeftCell="C1" activePane="topRight" state="frozen"/>
      <selection pane="topRight" activeCell="E23" sqref="E23"/>
    </sheetView>
  </sheetViews>
  <sheetFormatPr defaultRowHeight="15.75" x14ac:dyDescent="0.25"/>
  <cols>
    <col min="1" max="1" width="3.21875" style="60" customWidth="1"/>
    <col min="2" max="2" width="12.88671875" style="169" customWidth="1"/>
    <col min="3" max="3" width="11.44140625" style="60" bestFit="1" customWidth="1"/>
    <col min="4" max="4" width="9.109375" style="60" customWidth="1"/>
    <col min="5" max="6" width="9.109375" style="60" bestFit="1" customWidth="1"/>
    <col min="7" max="8" width="9.6640625" style="60" bestFit="1" customWidth="1"/>
    <col min="9" max="10" width="9.109375" style="60" bestFit="1" customWidth="1"/>
    <col min="11" max="11" width="10.109375" style="60" bestFit="1" customWidth="1"/>
    <col min="12" max="13" width="9.109375" style="60" bestFit="1" customWidth="1"/>
    <col min="14" max="16384" width="8.88671875" style="60"/>
  </cols>
  <sheetData>
    <row r="1" spans="1:26" ht="16.5" thickBot="1" x14ac:dyDescent="0.3">
      <c r="A1" s="170" t="s">
        <v>515</v>
      </c>
    </row>
    <row r="2" spans="1:26" s="170" customFormat="1" ht="16.5" thickBot="1" x14ac:dyDescent="0.3">
      <c r="B2" s="351" t="s">
        <v>461</v>
      </c>
      <c r="C2" s="397">
        <v>42795</v>
      </c>
      <c r="D2" s="398"/>
      <c r="E2" s="397">
        <v>42826</v>
      </c>
      <c r="F2" s="398"/>
      <c r="G2" s="397">
        <v>42856</v>
      </c>
      <c r="H2" s="398"/>
      <c r="I2" s="397">
        <v>42887</v>
      </c>
      <c r="J2" s="398"/>
      <c r="K2" s="397">
        <v>42917</v>
      </c>
      <c r="L2" s="398"/>
      <c r="M2" s="397">
        <v>42948</v>
      </c>
      <c r="N2" s="398"/>
      <c r="O2" s="397">
        <v>42979</v>
      </c>
      <c r="P2" s="398"/>
      <c r="Q2" s="397">
        <v>43009</v>
      </c>
      <c r="R2" s="398"/>
      <c r="S2" s="397">
        <v>43040</v>
      </c>
      <c r="T2" s="398"/>
      <c r="U2" s="397">
        <v>43070</v>
      </c>
      <c r="V2" s="398"/>
      <c r="W2" s="397">
        <v>43101</v>
      </c>
      <c r="X2" s="398"/>
      <c r="Y2" s="397">
        <v>43132</v>
      </c>
      <c r="Z2" s="398"/>
    </row>
    <row r="3" spans="1:26" ht="16.5" thickBot="1" x14ac:dyDescent="0.3">
      <c r="C3" s="171" t="s">
        <v>268</v>
      </c>
      <c r="D3" s="172" t="s">
        <v>269</v>
      </c>
      <c r="E3" s="171" t="s">
        <v>268</v>
      </c>
      <c r="F3" s="172" t="s">
        <v>269</v>
      </c>
      <c r="G3" s="171" t="s">
        <v>268</v>
      </c>
      <c r="H3" s="172" t="s">
        <v>269</v>
      </c>
      <c r="I3" s="171" t="s">
        <v>268</v>
      </c>
      <c r="J3" s="172" t="s">
        <v>269</v>
      </c>
      <c r="K3" s="171" t="s">
        <v>268</v>
      </c>
      <c r="L3" s="172" t="s">
        <v>269</v>
      </c>
      <c r="M3" s="171" t="s">
        <v>268</v>
      </c>
      <c r="N3" s="172" t="s">
        <v>269</v>
      </c>
      <c r="O3" s="171" t="s">
        <v>268</v>
      </c>
      <c r="P3" s="172" t="s">
        <v>269</v>
      </c>
      <c r="Q3" s="171" t="s">
        <v>268</v>
      </c>
      <c r="R3" s="172" t="s">
        <v>269</v>
      </c>
      <c r="S3" s="171" t="s">
        <v>268</v>
      </c>
      <c r="T3" s="172" t="s">
        <v>269</v>
      </c>
      <c r="U3" s="171" t="s">
        <v>268</v>
      </c>
      <c r="V3" s="172" t="s">
        <v>269</v>
      </c>
      <c r="W3" s="171" t="s">
        <v>268</v>
      </c>
      <c r="X3" s="172" t="s">
        <v>269</v>
      </c>
      <c r="Y3" s="171" t="s">
        <v>268</v>
      </c>
      <c r="Z3" s="172" t="s">
        <v>269</v>
      </c>
    </row>
    <row r="4" spans="1:26" x14ac:dyDescent="0.25">
      <c r="B4" s="169" t="s">
        <v>270</v>
      </c>
      <c r="C4" s="173">
        <f>COUNTIFS('セカンダリ投資分析(SBI証券)'!$S3:$S1048576,"&gt;=0",'セカンダリ投資分析(SBI証券)'!$T3:$T1048576,"&gt;="&amp;C2,'セカンダリ投資分析(SBI証券)'!$T3:$T1048576,"&lt;"&amp;E2)</f>
        <v>23</v>
      </c>
      <c r="D4" s="174">
        <f>COUNTIFS('セカンダリ投資分析(SBI証券)'!$S3:$S1048576,"&lt;0",'セカンダリ投資分析(SBI証券)'!$T3:$T1048576,"&gt;="&amp;C2,'セカンダリ投資分析(SBI証券)'!$T3:$T1048576,"&lt;"&amp;E2)</f>
        <v>8</v>
      </c>
      <c r="E4" s="173">
        <f>COUNTIFS('セカンダリ投資分析(SBI証券)'!$S3:$S1048576,"&gt;=0",'セカンダリ投資分析(SBI証券)'!$T3:$T1048576,"&gt;="&amp;E2,'セカンダリ投資分析(SBI証券)'!$T3:$T1048576,"&lt;"&amp;G2)</f>
        <v>33</v>
      </c>
      <c r="F4" s="174">
        <f>COUNTIFS('セカンダリ投資分析(SBI証券)'!$S3:$S1048576,"&lt;0",'セカンダリ投資分析(SBI証券)'!$T3:$T1048576,"&gt;="&amp;E2,'セカンダリ投資分析(SBI証券)'!$T3:$T1048576,"&lt;"&amp;G2)</f>
        <v>7</v>
      </c>
      <c r="G4" s="173">
        <f>COUNTIFS('セカンダリ投資分析(SBI証券)'!$S3:$S1048576,"&gt;=0",'セカンダリ投資分析(SBI証券)'!$T3:$T1048576,"&gt;="&amp;G2,'セカンダリ投資分析(SBI証券)'!$T3:$T1048576,"&lt;"&amp;I2)</f>
        <v>52</v>
      </c>
      <c r="H4" s="174">
        <f>COUNTIFS('セカンダリ投資分析(SBI証券)'!$S3:$S1048576,"&lt;0",'セカンダリ投資分析(SBI証券)'!$T3:$T1048576,"&gt;="&amp;G2,'セカンダリ投資分析(SBI証券)'!$T3:$T1048576,"&lt;"&amp;I2)</f>
        <v>10</v>
      </c>
      <c r="I4" s="173">
        <f>COUNTIFS('セカンダリ投資分析(SBI証券)'!$S3:$S1048576,"&gt;=0",'セカンダリ投資分析(SBI証券)'!$T3:$T1048576,"&gt;="&amp;I2,'セカンダリ投資分析(SBI証券)'!$T3:$T1048576,"&lt;"&amp;K2)</f>
        <v>18</v>
      </c>
      <c r="J4" s="174">
        <f>COUNTIFS('セカンダリ投資分析(SBI証券)'!$S3:$S1048576,"&lt;0",'セカンダリ投資分析(SBI証券)'!$T3:$T1048576,"&gt;="&amp;I2,'セカンダリ投資分析(SBI証券)'!$T3:$T1048576,"&lt;"&amp;K2)</f>
        <v>9</v>
      </c>
      <c r="K4" s="173">
        <f>COUNTIFS('セカンダリ投資分析(SBI証券)'!$S3:$S1048576,"&gt;=0",'セカンダリ投資分析(SBI証券)'!$T3:$T1048576,"&gt;="&amp;K2,'セカンダリ投資分析(SBI証券)'!$T3:$T1048576,"&lt;"&amp;M2)</f>
        <v>3</v>
      </c>
      <c r="L4" s="174">
        <f>COUNTIFS('セカンダリ投資分析(SBI証券)'!$S3:$S1048576,"&lt;0",'セカンダリ投資分析(SBI証券)'!$T3:$T1048576,"&gt;="&amp;K2,'セカンダリ投資分析(SBI証券)'!$T3:$T1048576,"&lt;"&amp;M2)</f>
        <v>0</v>
      </c>
      <c r="M4" s="173">
        <f>COUNTIFS('セカンダリ投資分析(SBI証券)'!$S3:$S1048576,"&gt;=0",'セカンダリ投資分析(SBI証券)'!$T3:$T1048576,"&gt;="&amp;M2,'セカンダリ投資分析(SBI証券)'!$T3:$T1048576,"&lt;"&amp;O2)</f>
        <v>0</v>
      </c>
      <c r="N4" s="174">
        <f>COUNTIFS('セカンダリ投資分析(SBI証券)'!$S3:$S1048576,"&lt;0",'セカンダリ投資分析(SBI証券)'!$T3:$T1048576,"&gt;="&amp;M2,'セカンダリ投資分析(SBI証券)'!$T3:$T1048576,"&lt;"&amp;O2)</f>
        <v>0</v>
      </c>
      <c r="O4" s="173">
        <f>COUNTIFS('セカンダリ投資分析(SBI証券)'!$S3:$S1048576,"&gt;=0",'セカンダリ投資分析(SBI証券)'!$T3:$T1048576,"&gt;="&amp;O2,'セカンダリ投資分析(SBI証券)'!$T3:$T1048576,"&lt;"&amp;Q2)</f>
        <v>0</v>
      </c>
      <c r="P4" s="174">
        <f>COUNTIFS('セカンダリ投資分析(SBI証券)'!$S3:$S1048576,"&lt;0",'セカンダリ投資分析(SBI証券)'!$T3:$T1048576,"&gt;="&amp;O2,'セカンダリ投資分析(SBI証券)'!$T3:$T1048576,"&lt;"&amp;Q2)</f>
        <v>0</v>
      </c>
      <c r="Q4" s="173">
        <f>COUNTIFS('セカンダリ投資分析(SBI証券)'!$S3:$S1048576,"&gt;=0",'セカンダリ投資分析(SBI証券)'!$T3:$T1048576,"&gt;="&amp;Q2,'セカンダリ投資分析(SBI証券)'!$T3:$T1048576,"&lt;"&amp;S2)</f>
        <v>0</v>
      </c>
      <c r="R4" s="174">
        <f>COUNTIFS('セカンダリ投資分析(SBI証券)'!$S3:$S1048576,"&lt;0",'セカンダリ投資分析(SBI証券)'!$T3:$T1048576,"&gt;="&amp;Q2,'セカンダリ投資分析(SBI証券)'!$T3:$T1048576,"&lt;"&amp;S2)</f>
        <v>0</v>
      </c>
      <c r="S4" s="173">
        <f>COUNTIFS('セカンダリ投資分析(SBI証券)'!$S3:$S1048576,"&gt;=0",'セカンダリ投資分析(SBI証券)'!$T3:$T1048576,"&gt;="&amp;S2,'セカンダリ投資分析(SBI証券)'!$T3:$T1048576,"&lt;"&amp;U2)</f>
        <v>0</v>
      </c>
      <c r="T4" s="174">
        <f>COUNTIFS('セカンダリ投資分析(SBI証券)'!$S3:$S1048576,"&lt;0",'セカンダリ投資分析(SBI証券)'!$T3:$T1048576,"&gt;="&amp;S2,'セカンダリ投資分析(SBI証券)'!$T3:$T1048576,"&lt;"&amp;U2)</f>
        <v>0</v>
      </c>
      <c r="U4" s="173">
        <f>COUNTIFS('セカンダリ投資分析(SBI証券)'!$S3:$S1048576,"&gt;=0",'セカンダリ投資分析(SBI証券)'!$T3:$T1048576,"&gt;="&amp;U2,'セカンダリ投資分析(SBI証券)'!$T3:$T1048576,"&lt;"&amp;W2)</f>
        <v>0</v>
      </c>
      <c r="V4" s="174">
        <f>COUNTIFS('セカンダリ投資分析(SBI証券)'!$S3:$S1048576,"&lt;0",'セカンダリ投資分析(SBI証券)'!$T3:$T1048576,"&gt;="&amp;U2,'セカンダリ投資分析(SBI証券)'!$T3:$T1048576,"&lt;"&amp;W2)</f>
        <v>0</v>
      </c>
      <c r="W4" s="173">
        <f>COUNTIFS('セカンダリ投資分析(SBI証券)'!$S3:$S1048576,"&gt;=0",'セカンダリ投資分析(SBI証券)'!$T3:$T1048576,"&gt;="&amp;W2,'セカンダリ投資分析(SBI証券)'!$T3:$T1048576,"&lt;"&amp;Y2)</f>
        <v>0</v>
      </c>
      <c r="X4" s="174">
        <f>COUNTIFS('セカンダリ投資分析(SBI証券)'!$S3:$S1048576,"&lt;0",'セカンダリ投資分析(SBI証券)'!$T3:$T1048576,"&gt;="&amp;W2,'セカンダリ投資分析(SBI証券)'!$T3:$T1048576,"&lt;"&amp;Y2)</f>
        <v>0</v>
      </c>
      <c r="Y4" s="173">
        <f>COUNTIFS('セカンダリ投資分析(SBI証券)'!$S3:$S1048576,"&gt;=0",'セカンダリ投資分析(SBI証券)'!$T3:$T1048576,"&gt;="&amp;Y2,'セカンダリ投資分析(SBI証券)'!$T3:$T1048576,"&lt;"&amp;AA2)</f>
        <v>0</v>
      </c>
      <c r="Z4" s="174">
        <f>COUNTIFS('セカンダリ投資分析(SBI証券)'!$S3:$S1048576,"&lt;0",'セカンダリ投資分析(SBI証券)'!$T3:$T1048576,"&gt;="&amp;Y2,'セカンダリ投資分析(SBI証券)'!$T3:$T1048576,"&lt;"&amp;AA2)</f>
        <v>0</v>
      </c>
    </row>
    <row r="5" spans="1:26" ht="16.5" thickBot="1" x14ac:dyDescent="0.3">
      <c r="B5" s="169" t="s">
        <v>271</v>
      </c>
      <c r="C5" s="175">
        <f>ROUND(SUMIFS('セカンダリ投資分析(SBI証券)'!$S3:$S1048576,'セカンダリ投資分析(SBI証券)'!$S3:$S1048576,"&gt;=0",'セカンダリ投資分析(SBI証券)'!$T3:$T1048576,"&gt;="&amp;C2,'セカンダリ投資分析(SBI証券)'!$T3:$T1048576,"&lt;"&amp;E2),0)</f>
        <v>386761</v>
      </c>
      <c r="D5" s="176">
        <f>ROUND(SUMIFS('セカンダリ投資分析(SBI証券)'!$S3:$S1048576,'セカンダリ投資分析(SBI証券)'!$S3:$S1048576,"&lt;0",'セカンダリ投資分析(SBI証券)'!$T3:$T1048576,"&gt;="&amp;C2,'セカンダリ投資分析(SBI証券)'!$T3:$T1048576,"&lt;"&amp;E2),0)</f>
        <v>-464363</v>
      </c>
      <c r="E5" s="175">
        <f>ROUND(SUMIFS('セカンダリ投資分析(SBI証券)'!$S3:$S1048576,'セカンダリ投資分析(SBI証券)'!$S3:$S1048576,"&gt;=0",'セカンダリ投資分析(SBI証券)'!$T3:$T1048576,"&gt;="&amp;E2,'セカンダリ投資分析(SBI証券)'!$T3:$T1048576,"&lt;"&amp;G2),0)</f>
        <v>287990</v>
      </c>
      <c r="F5" s="176">
        <f>ROUND(SUMIFS('セカンダリ投資分析(SBI証券)'!$S3:$S1048576,'セカンダリ投資分析(SBI証券)'!$S3:$S1048576,"&lt;0",'セカンダリ投資分析(SBI証券)'!$T3:$T1048576,"&gt;="&amp;E2,'セカンダリ投資分析(SBI証券)'!$T3:$T1048576,"&lt;"&amp;G2),0)</f>
        <v>-434971</v>
      </c>
      <c r="G5" s="175">
        <f>ROUND(SUMIFS('セカンダリ投資分析(SBI証券)'!$S3:$S1048576,'セカンダリ投資分析(SBI証券)'!$S3:$S1048576,"&gt;=0",'セカンダリ投資分析(SBI証券)'!$T3:$T1048576,"&gt;="&amp;G2,'セカンダリ投資分析(SBI証券)'!$T3:$T1048576,"&lt;"&amp;I2),0)</f>
        <v>350235</v>
      </c>
      <c r="H5" s="176">
        <f>ROUND(SUMIFS('セカンダリ投資分析(SBI証券)'!$S3:$S1048576,'セカンダリ投資分析(SBI証券)'!$S3:$S1048576,"&lt;0",'セカンダリ投資分析(SBI証券)'!$T3:$T1048576,"&gt;="&amp;G2,'セカンダリ投資分析(SBI証券)'!$T3:$T1048576,"&lt;"&amp;I2),0)</f>
        <v>-189592</v>
      </c>
      <c r="I5" s="175">
        <f>ROUND(SUMIFS('セカンダリ投資分析(SBI証券)'!$S3:$S1048576,'セカンダリ投資分析(SBI証券)'!$S3:$S1048576,"&gt;=0",'セカンダリ投資分析(SBI証券)'!$T3:$T1048576,"&gt;="&amp;I2,'セカンダリ投資分析(SBI証券)'!$T3:$T1048576,"&lt;"&amp;K2),0)</f>
        <v>245239</v>
      </c>
      <c r="J5" s="176">
        <f>ROUND(SUMIFS('セカンダリ投資分析(SBI証券)'!$S3:$S1048576,'セカンダリ投資分析(SBI証券)'!$S3:$S1048576,"&lt;0",'セカンダリ投資分析(SBI証券)'!$T3:$T1048576,"&gt;="&amp;I2,'セカンダリ投資分析(SBI証券)'!$T3:$T1048576,"&lt;"&amp;K2),0)</f>
        <v>-262510</v>
      </c>
      <c r="K5" s="175">
        <f>ROUND(SUMIFS('セカンダリ投資分析(SBI証券)'!$S3:$S1048576,'セカンダリ投資分析(SBI証券)'!$S3:$S1048576,"&gt;=0",'セカンダリ投資分析(SBI証券)'!$T3:$T1048576,"&gt;="&amp;K2,'セカンダリ投資分析(SBI証券)'!$T3:$T1048576,"&lt;"&amp;M2),0)</f>
        <v>22817</v>
      </c>
      <c r="L5" s="176">
        <f>ROUND(SUMIFS('セカンダリ投資分析(SBI証券)'!$S3:$S1048576,'セカンダリ投資分析(SBI証券)'!$S3:$S1048576,"&lt;0",'セカンダリ投資分析(SBI証券)'!$T3:$T1048576,"&gt;="&amp;K2,'セカンダリ投資分析(SBI証券)'!$T3:$T1048576,"&lt;"&amp;M2),0)</f>
        <v>0</v>
      </c>
      <c r="M5" s="175">
        <f>ROUND(SUMIFS('セカンダリ投資分析(SBI証券)'!$S3:$S1048576,'セカンダリ投資分析(SBI証券)'!$S3:$S1048576,"&gt;=0",'セカンダリ投資分析(SBI証券)'!$T3:$T1048576,"&gt;="&amp;M2,'セカンダリ投資分析(SBI証券)'!$T3:$T1048576,"&lt;"&amp;O2),0)</f>
        <v>0</v>
      </c>
      <c r="N5" s="176">
        <f>ROUND(SUMIFS('セカンダリ投資分析(SBI証券)'!$S3:$S1048576,'セカンダリ投資分析(SBI証券)'!$S3:$S1048576,"&lt;0",'セカンダリ投資分析(SBI証券)'!$T3:$T1048576,"&gt;="&amp;M2,'セカンダリ投資分析(SBI証券)'!$T3:$T1048576,"&lt;"&amp;O2),0)</f>
        <v>0</v>
      </c>
      <c r="O5" s="175">
        <f>ROUND(SUMIFS('セカンダリ投資分析(SBI証券)'!$S3:$S1048576,'セカンダリ投資分析(SBI証券)'!$S3:$S1048576,"&gt;=0",'セカンダリ投資分析(SBI証券)'!$T3:$T1048576,"&gt;="&amp;O2,'セカンダリ投資分析(SBI証券)'!$T3:$T1048576,"&lt;"&amp;Q2),0)</f>
        <v>0</v>
      </c>
      <c r="P5" s="176">
        <f>ROUND(SUMIFS('セカンダリ投資分析(SBI証券)'!$S3:$S1048576,'セカンダリ投資分析(SBI証券)'!$S3:$S1048576,"&lt;0",'セカンダリ投資分析(SBI証券)'!$T3:$T1048576,"&gt;="&amp;O2,'セカンダリ投資分析(SBI証券)'!$T3:$T1048576,"&lt;"&amp;Q2),0)</f>
        <v>0</v>
      </c>
      <c r="Q5" s="175">
        <f>ROUND(SUMIFS('セカンダリ投資分析(SBI証券)'!$S3:$S1048576,'セカンダリ投資分析(SBI証券)'!$S3:$S1048576,"&gt;=0",'セカンダリ投資分析(SBI証券)'!$T3:$T1048576,"&gt;="&amp;Q2,'セカンダリ投資分析(SBI証券)'!$T3:$T1048576,"&lt;"&amp;S2),0)</f>
        <v>0</v>
      </c>
      <c r="R5" s="176">
        <f>ROUND(SUMIFS('セカンダリ投資分析(SBI証券)'!$S3:$S1048576,'セカンダリ投資分析(SBI証券)'!$S3:$S1048576,"&lt;0",'セカンダリ投資分析(SBI証券)'!$T3:$T1048576,"&gt;="&amp;Q2,'セカンダリ投資分析(SBI証券)'!$T3:$T1048576,"&lt;"&amp;S2),0)</f>
        <v>0</v>
      </c>
      <c r="S5" s="175">
        <f>ROUND(SUMIFS('セカンダリ投資分析(SBI証券)'!$S3:$S1048576,'セカンダリ投資分析(SBI証券)'!$S3:$S1048576,"&gt;=0",'セカンダリ投資分析(SBI証券)'!$T3:$T1048576,"&gt;="&amp;S2,'セカンダリ投資分析(SBI証券)'!$T3:$T1048576,"&lt;"&amp;U2),0)</f>
        <v>0</v>
      </c>
      <c r="T5" s="176">
        <f>ROUND(SUMIFS('セカンダリ投資分析(SBI証券)'!$S3:$S1048576,'セカンダリ投資分析(SBI証券)'!$S3:$S1048576,"&lt;0",'セカンダリ投資分析(SBI証券)'!$T3:$T1048576,"&gt;="&amp;S2,'セカンダリ投資分析(SBI証券)'!$T3:$T1048576,"&lt;"&amp;U2),0)</f>
        <v>0</v>
      </c>
      <c r="U5" s="175">
        <f>ROUND(SUMIFS('セカンダリ投資分析(SBI証券)'!$S3:$S1048576,'セカンダリ投資分析(SBI証券)'!$S3:$S1048576,"&gt;=0",'セカンダリ投資分析(SBI証券)'!$T3:$T1048576,"&gt;="&amp;U2,'セカンダリ投資分析(SBI証券)'!$T3:$T1048576,"&lt;"&amp;W2),0)</f>
        <v>0</v>
      </c>
      <c r="V5" s="176">
        <f>ROUND(SUMIFS('セカンダリ投資分析(SBI証券)'!$S3:$S1048576,'セカンダリ投資分析(SBI証券)'!$S3:$S1048576,"&lt;0",'セカンダリ投資分析(SBI証券)'!$T3:$T1048576,"&gt;="&amp;U2,'セカンダリ投資分析(SBI証券)'!$T3:$T1048576,"&lt;"&amp;W2),0)</f>
        <v>0</v>
      </c>
      <c r="W5" s="175">
        <f>ROUND(SUMIFS('セカンダリ投資分析(SBI証券)'!$S3:$S1048576,'セカンダリ投資分析(SBI証券)'!$S3:$S1048576,"&gt;=0",'セカンダリ投資分析(SBI証券)'!$T3:$T1048576,"&gt;="&amp;W2,'セカンダリ投資分析(SBI証券)'!$T3:$T1048576,"&lt;"&amp;Y2),0)</f>
        <v>0</v>
      </c>
      <c r="X5" s="176">
        <f>ROUND(SUMIFS('セカンダリ投資分析(SBI証券)'!$S3:$S1048576,'セカンダリ投資分析(SBI証券)'!$S3:$S1048576,"&lt;0",'セカンダリ投資分析(SBI証券)'!$T3:$T1048576,"&gt;="&amp;W2,'セカンダリ投資分析(SBI証券)'!$T3:$T1048576,"&lt;"&amp;Y2),0)</f>
        <v>0</v>
      </c>
      <c r="Y5" s="175">
        <f>ROUND(SUMIFS('セカンダリ投資分析(SBI証券)'!$S3:$S1048576,'セカンダリ投資分析(SBI証券)'!$S3:$S1048576,"&gt;=0",'セカンダリ投資分析(SBI証券)'!$T3:$T1048576,"&gt;="&amp;Y2,'セカンダリ投資分析(SBI証券)'!$T3:$T1048576,"&lt;"&amp;AA2),0)</f>
        <v>0</v>
      </c>
      <c r="Z5" s="176">
        <f>ROUND(SUMIFS('セカンダリ投資分析(SBI証券)'!$S3:$S1048576,'セカンダリ投資分析(SBI証券)'!$S3:$S1048576,"&lt;0",'セカンダリ投資分析(SBI証券)'!$T3:$T1048576,"&gt;="&amp;Y2,'セカンダリ投資分析(SBI証券)'!$T3:$T1048576,"&lt;"&amp;AA2),0)</f>
        <v>0</v>
      </c>
    </row>
    <row r="6" spans="1:26" s="170" customFormat="1" ht="16.5" thickBot="1" x14ac:dyDescent="0.3">
      <c r="B6" s="169" t="s">
        <v>272</v>
      </c>
      <c r="C6" s="395">
        <f>C5+D5</f>
        <v>-77602</v>
      </c>
      <c r="D6" s="396"/>
      <c r="E6" s="395">
        <f>E5+F5</f>
        <v>-146981</v>
      </c>
      <c r="F6" s="396"/>
      <c r="G6" s="395">
        <f>G5+H5</f>
        <v>160643</v>
      </c>
      <c r="H6" s="396"/>
      <c r="I6" s="395">
        <f>I5+J5</f>
        <v>-17271</v>
      </c>
      <c r="J6" s="396"/>
      <c r="K6" s="395">
        <f>K5+L5</f>
        <v>22817</v>
      </c>
      <c r="L6" s="396"/>
      <c r="M6" s="395">
        <f>M5+N5</f>
        <v>0</v>
      </c>
      <c r="N6" s="396"/>
      <c r="O6" s="395">
        <f>O5+P5</f>
        <v>0</v>
      </c>
      <c r="P6" s="396"/>
      <c r="Q6" s="395">
        <f>Q5+R5</f>
        <v>0</v>
      </c>
      <c r="R6" s="396"/>
      <c r="S6" s="395">
        <f>S5+T5</f>
        <v>0</v>
      </c>
      <c r="T6" s="396"/>
      <c r="U6" s="395">
        <f>U5+V5</f>
        <v>0</v>
      </c>
      <c r="V6" s="396"/>
      <c r="W6" s="395">
        <f>W5+X5</f>
        <v>0</v>
      </c>
      <c r="X6" s="396"/>
      <c r="Y6" s="395">
        <f>Y5+Z5</f>
        <v>0</v>
      </c>
      <c r="Z6" s="396"/>
    </row>
    <row r="8" spans="1:26" x14ac:dyDescent="0.25">
      <c r="B8" s="169" t="s">
        <v>275</v>
      </c>
      <c r="C8" s="15">
        <f>C5/C4</f>
        <v>16815.695652173912</v>
      </c>
      <c r="D8" s="15">
        <f>D5/D4</f>
        <v>-58045.375</v>
      </c>
      <c r="E8" s="15">
        <f t="shared" ref="E8:Z8" si="0">E5/E4</f>
        <v>8726.9696969696961</v>
      </c>
      <c r="F8" s="15">
        <f t="shared" si="0"/>
        <v>-62138.714285714283</v>
      </c>
      <c r="G8" s="15">
        <f t="shared" si="0"/>
        <v>6735.2884615384619</v>
      </c>
      <c r="H8" s="15">
        <f t="shared" si="0"/>
        <v>-18959.2</v>
      </c>
      <c r="I8" s="15">
        <f t="shared" si="0"/>
        <v>13624.388888888889</v>
      </c>
      <c r="J8" s="15">
        <f t="shared" si="0"/>
        <v>-29167.777777777777</v>
      </c>
      <c r="K8" s="15">
        <f t="shared" si="0"/>
        <v>7605.666666666667</v>
      </c>
      <c r="L8" s="15" t="e">
        <f t="shared" si="0"/>
        <v>#DIV/0!</v>
      </c>
      <c r="M8" s="15" t="e">
        <f t="shared" si="0"/>
        <v>#DIV/0!</v>
      </c>
      <c r="N8" s="15" t="e">
        <f t="shared" si="0"/>
        <v>#DIV/0!</v>
      </c>
      <c r="O8" s="15" t="e">
        <f t="shared" si="0"/>
        <v>#DIV/0!</v>
      </c>
      <c r="P8" s="15" t="e">
        <f t="shared" si="0"/>
        <v>#DIV/0!</v>
      </c>
      <c r="Q8" s="15" t="e">
        <f t="shared" si="0"/>
        <v>#DIV/0!</v>
      </c>
      <c r="R8" s="15" t="e">
        <f t="shared" si="0"/>
        <v>#DIV/0!</v>
      </c>
      <c r="S8" s="15" t="e">
        <f t="shared" si="0"/>
        <v>#DIV/0!</v>
      </c>
      <c r="T8" s="15" t="e">
        <f t="shared" si="0"/>
        <v>#DIV/0!</v>
      </c>
      <c r="U8" s="15" t="e">
        <f t="shared" si="0"/>
        <v>#DIV/0!</v>
      </c>
      <c r="V8" s="15" t="e">
        <f t="shared" si="0"/>
        <v>#DIV/0!</v>
      </c>
      <c r="W8" s="15" t="e">
        <f t="shared" si="0"/>
        <v>#DIV/0!</v>
      </c>
      <c r="X8" s="15" t="e">
        <f t="shared" si="0"/>
        <v>#DIV/0!</v>
      </c>
      <c r="Y8" s="15" t="e">
        <f t="shared" si="0"/>
        <v>#DIV/0!</v>
      </c>
      <c r="Z8" s="15" t="e">
        <f t="shared" si="0"/>
        <v>#DIV/0!</v>
      </c>
    </row>
    <row r="9" spans="1:26" x14ac:dyDescent="0.25">
      <c r="C9" s="12"/>
      <c r="D9" s="12"/>
    </row>
    <row r="10" spans="1:26" x14ac:dyDescent="0.25">
      <c r="B10" s="169" t="s">
        <v>273</v>
      </c>
      <c r="C10" s="177">
        <f>SUM(C6:Z6)</f>
        <v>-58394</v>
      </c>
      <c r="E10" s="170"/>
      <c r="F10" s="178"/>
    </row>
    <row r="11" spans="1:26" x14ac:dyDescent="0.25">
      <c r="B11" s="169" t="s">
        <v>274</v>
      </c>
      <c r="C11" s="177">
        <f>SUM(D14:D18)</f>
        <v>-21124</v>
      </c>
      <c r="D11" s="60" t="s">
        <v>528</v>
      </c>
      <c r="E11" s="170"/>
      <c r="F11" s="178"/>
    </row>
    <row r="13" spans="1:26" ht="16.5" thickBot="1" x14ac:dyDescent="0.3">
      <c r="A13" s="377" t="s">
        <v>514</v>
      </c>
      <c r="C13" s="315" t="s">
        <v>510</v>
      </c>
      <c r="D13" s="315" t="s">
        <v>511</v>
      </c>
      <c r="E13" s="315" t="s">
        <v>513</v>
      </c>
      <c r="F13" s="315" t="s">
        <v>520</v>
      </c>
      <c r="G13" s="315" t="s">
        <v>516</v>
      </c>
      <c r="H13" s="315" t="s">
        <v>517</v>
      </c>
      <c r="J13" s="60" t="s">
        <v>519</v>
      </c>
    </row>
    <row r="14" spans="1:26" ht="16.5" thickTop="1" x14ac:dyDescent="0.25">
      <c r="B14" s="389" t="s">
        <v>505</v>
      </c>
      <c r="C14" s="387" t="e">
        <f>SUMIF('セカンダリ投資分析(SBI証券)'!$M$3:'セカンダリ投資分析(SBI証券)'!#REF!,"=SBI",'セカンダリ投資分析(SBI証券)'!$S$3:'セカンダリ投資分析(SBI証券)'!#REF!)</f>
        <v>#REF!</v>
      </c>
      <c r="D14" s="387">
        <v>0</v>
      </c>
      <c r="E14" s="387" t="e">
        <f>C14+D14</f>
        <v>#REF!</v>
      </c>
      <c r="F14" s="218">
        <v>0</v>
      </c>
      <c r="G14" s="388">
        <v>2000000</v>
      </c>
      <c r="H14" s="388" t="e">
        <f>G14+E14</f>
        <v>#REF!</v>
      </c>
      <c r="J14" s="60" t="s">
        <v>521</v>
      </c>
    </row>
    <row r="15" spans="1:26" x14ac:dyDescent="0.25">
      <c r="B15" s="378" t="s">
        <v>506</v>
      </c>
      <c r="C15" s="382" t="e">
        <f>SUMIF('セカンダリ投資分析(SBI証券)'!$M$3:'セカンダリ投資分析(SBI証券)'!#REF!,"=SMBC日興",'セカンダリ投資分析(SBI証券)'!$S$3:'セカンダリ投資分析(SBI証券)'!#REF!)</f>
        <v>#REF!</v>
      </c>
      <c r="D15" s="382">
        <v>-17375</v>
      </c>
      <c r="E15" s="382" t="e">
        <f>C15+D15</f>
        <v>#REF!</v>
      </c>
      <c r="F15" s="227">
        <v>0</v>
      </c>
      <c r="G15" s="383">
        <v>500000</v>
      </c>
      <c r="H15" s="383" t="e">
        <f t="shared" ref="H15:H18" si="1">G15+E15</f>
        <v>#REF!</v>
      </c>
      <c r="I15" s="60" t="s">
        <v>526</v>
      </c>
    </row>
    <row r="16" spans="1:26" x14ac:dyDescent="0.25">
      <c r="B16" s="379" t="s">
        <v>507</v>
      </c>
      <c r="C16" s="382" t="e">
        <f>SUMIF('セカンダリ投資分析(SBI証券)'!$M$3:'セカンダリ投資分析(SBI証券)'!#REF!,"=大和",'セカンダリ投資分析(SBI証券)'!$S$3:'セカンダリ投資分析(SBI証券)'!#REF!)</f>
        <v>#REF!</v>
      </c>
      <c r="D16" s="382">
        <v>0</v>
      </c>
      <c r="E16" s="382" t="e">
        <f>C16+D16</f>
        <v>#REF!</v>
      </c>
      <c r="F16" s="227">
        <v>0</v>
      </c>
      <c r="G16" s="383">
        <v>300000</v>
      </c>
      <c r="H16" s="383" t="e">
        <f t="shared" si="1"/>
        <v>#REF!</v>
      </c>
    </row>
    <row r="17" spans="2:10" x14ac:dyDescent="0.25">
      <c r="B17" s="380" t="s">
        <v>508</v>
      </c>
      <c r="C17" s="382" t="e">
        <f>SUMIF('セカンダリ投資分析(SBI証券)'!$M$3:'セカンダリ投資分析(SBI証券)'!#REF!,"=マネックス",'セカンダリ投資分析(SBI証券)'!$S$3:'セカンダリ投資分析(SBI証券)'!#REF!)</f>
        <v>#REF!</v>
      </c>
      <c r="D17" s="382">
        <v>-3749</v>
      </c>
      <c r="E17" s="382" t="e">
        <f>C17+D17</f>
        <v>#REF!</v>
      </c>
      <c r="F17" s="227">
        <v>0</v>
      </c>
      <c r="G17" s="383">
        <v>343000</v>
      </c>
      <c r="H17" s="383" t="e">
        <f t="shared" si="1"/>
        <v>#REF!</v>
      </c>
      <c r="I17" s="60" t="s">
        <v>526</v>
      </c>
      <c r="J17" s="60" t="s">
        <v>518</v>
      </c>
    </row>
    <row r="18" spans="2:10" x14ac:dyDescent="0.25">
      <c r="B18" s="381" t="s">
        <v>509</v>
      </c>
      <c r="C18" s="384" t="e">
        <f>SUMIF('セカンダリ投資分析(SBI証券)'!$M$3:'セカンダリ投資分析(SBI証券)'!#REF!,"=岡三OL",'セカンダリ投資分析(SBI証券)'!$S$3:'セカンダリ投資分析(SBI証券)'!#REF!)</f>
        <v>#REF!</v>
      </c>
      <c r="D18" s="384">
        <v>0</v>
      </c>
      <c r="E18" s="384" t="e">
        <f>C18+D18</f>
        <v>#REF!</v>
      </c>
      <c r="F18" s="385">
        <v>0</v>
      </c>
      <c r="G18" s="386">
        <v>50000</v>
      </c>
      <c r="H18" s="386" t="e">
        <f t="shared" si="1"/>
        <v>#REF!</v>
      </c>
    </row>
    <row r="20" spans="2:10" x14ac:dyDescent="0.25">
      <c r="B20" s="169" t="s">
        <v>512</v>
      </c>
      <c r="C20" s="177" t="e">
        <f>SUM(C14:C18)</f>
        <v>#REF!</v>
      </c>
      <c r="D20" s="177">
        <f>SUM(D14:D18)</f>
        <v>-21124</v>
      </c>
      <c r="E20" s="177" t="e">
        <f>SUM(E14:E18)</f>
        <v>#REF!</v>
      </c>
      <c r="G20" s="109">
        <f>SUM(G14:G18)</f>
        <v>3193000</v>
      </c>
      <c r="H20" s="109" t="e">
        <f>SUM(H14:H18)</f>
        <v>#REF!</v>
      </c>
    </row>
    <row r="21" spans="2:10" x14ac:dyDescent="0.25">
      <c r="D21" s="60" t="s">
        <v>529</v>
      </c>
      <c r="F21" s="60" t="s">
        <v>529</v>
      </c>
      <c r="H21" s="60" t="s">
        <v>527</v>
      </c>
    </row>
  </sheetData>
  <mergeCells count="24">
    <mergeCell ref="W2:X2"/>
    <mergeCell ref="W6:X6"/>
    <mergeCell ref="Y2:Z2"/>
    <mergeCell ref="Y6:Z6"/>
    <mergeCell ref="M6:N6"/>
    <mergeCell ref="M2:N2"/>
    <mergeCell ref="O6:P6"/>
    <mergeCell ref="Q6:R6"/>
    <mergeCell ref="S6:T6"/>
    <mergeCell ref="U6:V6"/>
    <mergeCell ref="O2:P2"/>
    <mergeCell ref="Q2:R2"/>
    <mergeCell ref="S2:T2"/>
    <mergeCell ref="U2:V2"/>
    <mergeCell ref="C2:D2"/>
    <mergeCell ref="E2:F2"/>
    <mergeCell ref="G2:H2"/>
    <mergeCell ref="I2:J2"/>
    <mergeCell ref="K2:L2"/>
    <mergeCell ref="C6:D6"/>
    <mergeCell ref="E6:F6"/>
    <mergeCell ref="G6:H6"/>
    <mergeCell ref="I6:J6"/>
    <mergeCell ref="K6:L6"/>
  </mergeCells>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B2:AC262"/>
  <sheetViews>
    <sheetView showGridLines="0" topLeftCell="A220" zoomScale="85" zoomScaleNormal="85" workbookViewId="0">
      <selection activeCell="A20" sqref="A20"/>
    </sheetView>
  </sheetViews>
  <sheetFormatPr defaultColWidth="8.21875" defaultRowHeight="15.75" x14ac:dyDescent="0.25"/>
  <cols>
    <col min="1" max="1" width="3.33203125" style="143" customWidth="1"/>
    <col min="2" max="16384" width="8.21875" style="143"/>
  </cols>
  <sheetData>
    <row r="2" spans="2:25" s="180" customFormat="1" ht="19.5" x14ac:dyDescent="0.25">
      <c r="B2" s="179" t="s">
        <v>276</v>
      </c>
    </row>
    <row r="3" spans="2:25" ht="16.5" thickBot="1" x14ac:dyDescent="0.3">
      <c r="B3" s="143" t="s">
        <v>277</v>
      </c>
    </row>
    <row r="4" spans="2:25" x14ac:dyDescent="0.25">
      <c r="C4" s="181" t="s">
        <v>278</v>
      </c>
      <c r="D4" s="182"/>
      <c r="E4" s="182"/>
      <c r="F4" s="182"/>
      <c r="G4" s="182"/>
      <c r="H4" s="182"/>
      <c r="I4" s="182"/>
      <c r="J4" s="183"/>
      <c r="O4" s="184"/>
      <c r="P4" s="185" t="s">
        <v>279</v>
      </c>
      <c r="Q4" s="186"/>
      <c r="R4" s="187"/>
      <c r="S4" s="186"/>
      <c r="T4" s="182"/>
      <c r="U4" s="182"/>
      <c r="V4" s="182"/>
      <c r="W4" s="183"/>
    </row>
    <row r="5" spans="2:25" x14ac:dyDescent="0.25">
      <c r="C5" s="188" t="s">
        <v>280</v>
      </c>
      <c r="D5" s="189"/>
      <c r="E5" s="189"/>
      <c r="F5" s="189"/>
      <c r="G5" s="189"/>
      <c r="H5" s="189"/>
      <c r="I5" s="189"/>
      <c r="J5" s="190"/>
      <c r="O5" s="184"/>
      <c r="P5" s="191"/>
      <c r="Q5" s="192" t="s">
        <v>281</v>
      </c>
      <c r="R5" s="193"/>
      <c r="S5" s="192"/>
      <c r="T5" s="189"/>
      <c r="U5" s="189"/>
      <c r="V5" s="189"/>
      <c r="W5" s="190"/>
    </row>
    <row r="6" spans="2:25" ht="16.5" thickBot="1" x14ac:dyDescent="0.3">
      <c r="C6" s="194" t="s">
        <v>282</v>
      </c>
      <c r="D6" s="195"/>
      <c r="E6" s="195"/>
      <c r="F6" s="195"/>
      <c r="G6" s="195"/>
      <c r="H6" s="195"/>
      <c r="I6" s="195"/>
      <c r="J6" s="196"/>
      <c r="K6" s="143" t="s">
        <v>283</v>
      </c>
      <c r="L6" s="143" t="s">
        <v>284</v>
      </c>
      <c r="M6" s="197" t="s">
        <v>285</v>
      </c>
      <c r="P6" s="198"/>
      <c r="Q6" s="192" t="s">
        <v>286</v>
      </c>
      <c r="R6" s="189"/>
      <c r="S6" s="192"/>
      <c r="T6" s="189"/>
      <c r="U6" s="189"/>
      <c r="V6" s="189"/>
      <c r="W6" s="190"/>
    </row>
    <row r="7" spans="2:25" ht="16.5" thickBot="1" x14ac:dyDescent="0.3">
      <c r="P7" s="198"/>
      <c r="Q7" s="192" t="s">
        <v>287</v>
      </c>
      <c r="R7" s="189"/>
      <c r="S7" s="192"/>
      <c r="T7" s="189"/>
      <c r="U7" s="189"/>
      <c r="V7" s="189"/>
      <c r="W7" s="190"/>
    </row>
    <row r="8" spans="2:25" x14ac:dyDescent="0.25">
      <c r="C8" s="181" t="s">
        <v>288</v>
      </c>
      <c r="D8" s="182"/>
      <c r="E8" s="182"/>
      <c r="F8" s="182"/>
      <c r="G8" s="182"/>
      <c r="H8" s="182"/>
      <c r="I8" s="182"/>
      <c r="J8" s="183"/>
      <c r="P8" s="198"/>
      <c r="Q8" s="192" t="s">
        <v>289</v>
      </c>
      <c r="R8" s="189"/>
      <c r="S8" s="192"/>
      <c r="T8" s="189"/>
      <c r="U8" s="189"/>
      <c r="V8" s="189"/>
      <c r="W8" s="190"/>
    </row>
    <row r="9" spans="2:25" ht="16.5" thickBot="1" x14ac:dyDescent="0.3">
      <c r="C9" s="188" t="s">
        <v>290</v>
      </c>
      <c r="D9" s="189"/>
      <c r="E9" s="189"/>
      <c r="F9" s="189"/>
      <c r="G9" s="189"/>
      <c r="H9" s="189"/>
      <c r="I9" s="189"/>
      <c r="J9" s="190"/>
      <c r="P9" s="194"/>
      <c r="Q9" s="199" t="s">
        <v>291</v>
      </c>
      <c r="R9" s="195"/>
      <c r="S9" s="195"/>
      <c r="T9" s="195"/>
      <c r="U9" s="195"/>
      <c r="V9" s="195"/>
      <c r="W9" s="196"/>
    </row>
    <row r="10" spans="2:25" ht="16.5" thickBot="1" x14ac:dyDescent="0.3">
      <c r="C10" s="194" t="s">
        <v>292</v>
      </c>
      <c r="D10" s="195"/>
      <c r="E10" s="195"/>
      <c r="F10" s="195"/>
      <c r="G10" s="195"/>
      <c r="H10" s="195" t="s">
        <v>293</v>
      </c>
      <c r="I10" s="195"/>
      <c r="J10" s="196"/>
      <c r="K10" s="143" t="s">
        <v>283</v>
      </c>
      <c r="L10" s="143" t="s">
        <v>294</v>
      </c>
      <c r="M10" s="197" t="s">
        <v>295</v>
      </c>
    </row>
    <row r="12" spans="2:25" x14ac:dyDescent="0.25">
      <c r="C12" s="200" t="s">
        <v>296</v>
      </c>
    </row>
    <row r="14" spans="2:25" ht="16.5" thickBot="1" x14ac:dyDescent="0.3">
      <c r="B14" s="143" t="s">
        <v>297</v>
      </c>
      <c r="W14" s="399" t="s">
        <v>283</v>
      </c>
      <c r="X14" s="399"/>
      <c r="Y14" s="399"/>
    </row>
    <row r="15" spans="2:25" ht="16.5" thickTop="1" x14ac:dyDescent="0.25">
      <c r="B15" s="201" t="s">
        <v>298</v>
      </c>
      <c r="C15" s="143" t="s">
        <v>299</v>
      </c>
      <c r="K15" s="143" t="s">
        <v>300</v>
      </c>
      <c r="O15" s="143" t="s">
        <v>301</v>
      </c>
      <c r="W15" s="143" t="s">
        <v>302</v>
      </c>
      <c r="Y15" s="143" t="s">
        <v>303</v>
      </c>
    </row>
    <row r="16" spans="2:25" ht="16.5" thickBot="1" x14ac:dyDescent="0.3">
      <c r="B16" s="201" t="s">
        <v>304</v>
      </c>
      <c r="C16" s="143" t="s">
        <v>305</v>
      </c>
      <c r="O16" s="143" t="s">
        <v>306</v>
      </c>
    </row>
    <row r="17" spans="2:25" ht="16.5" thickBot="1" x14ac:dyDescent="0.3">
      <c r="C17" s="143" t="s">
        <v>307</v>
      </c>
      <c r="L17" s="400" t="s">
        <v>283</v>
      </c>
      <c r="M17" s="401"/>
      <c r="N17" s="402"/>
      <c r="O17" s="143" t="s">
        <v>308</v>
      </c>
      <c r="W17" s="143" t="s">
        <v>309</v>
      </c>
      <c r="Y17" s="143" t="s">
        <v>310</v>
      </c>
    </row>
    <row r="18" spans="2:25" ht="16.5" thickTop="1" x14ac:dyDescent="0.25">
      <c r="B18" s="201" t="s">
        <v>311</v>
      </c>
      <c r="C18" s="143" t="s">
        <v>312</v>
      </c>
      <c r="L18" s="198" t="s">
        <v>313</v>
      </c>
      <c r="M18" s="202" t="s">
        <v>314</v>
      </c>
      <c r="N18" s="190"/>
      <c r="O18" s="143" t="s">
        <v>315</v>
      </c>
    </row>
    <row r="19" spans="2:25" x14ac:dyDescent="0.25">
      <c r="B19" s="201" t="s">
        <v>316</v>
      </c>
      <c r="C19" s="143" t="s">
        <v>317</v>
      </c>
      <c r="L19" s="198" t="s">
        <v>318</v>
      </c>
      <c r="M19" s="202"/>
      <c r="N19" s="190"/>
      <c r="O19" s="143" t="s">
        <v>319</v>
      </c>
      <c r="W19" s="143" t="s">
        <v>320</v>
      </c>
      <c r="Y19" s="143" t="s">
        <v>321</v>
      </c>
    </row>
    <row r="20" spans="2:25" x14ac:dyDescent="0.25">
      <c r="B20" s="201" t="s">
        <v>322</v>
      </c>
      <c r="C20" s="143" t="s">
        <v>323</v>
      </c>
      <c r="L20" s="198" t="s">
        <v>324</v>
      </c>
      <c r="M20" s="202" t="s">
        <v>325</v>
      </c>
      <c r="N20" s="190"/>
      <c r="O20" s="143" t="s">
        <v>326</v>
      </c>
      <c r="W20" s="143" t="s">
        <v>327</v>
      </c>
      <c r="Y20" s="143" t="s">
        <v>328</v>
      </c>
    </row>
    <row r="21" spans="2:25" ht="16.5" thickBot="1" x14ac:dyDescent="0.3">
      <c r="B21" s="201" t="s">
        <v>329</v>
      </c>
      <c r="C21" s="143" t="s">
        <v>330</v>
      </c>
      <c r="L21" s="194" t="s">
        <v>331</v>
      </c>
      <c r="M21" s="195" t="s">
        <v>332</v>
      </c>
      <c r="N21" s="196"/>
    </row>
    <row r="23" spans="2:25" x14ac:dyDescent="0.25">
      <c r="B23" s="203"/>
      <c r="C23" s="204" t="s">
        <v>333</v>
      </c>
      <c r="D23" s="203"/>
    </row>
    <row r="24" spans="2:25" x14ac:dyDescent="0.25">
      <c r="B24" s="205"/>
    </row>
    <row r="25" spans="2:25" x14ac:dyDescent="0.25">
      <c r="B25" s="205"/>
    </row>
    <row r="26" spans="2:25" x14ac:dyDescent="0.25">
      <c r="B26" s="205"/>
    </row>
    <row r="27" spans="2:25" x14ac:dyDescent="0.25">
      <c r="B27" s="205"/>
    </row>
    <row r="28" spans="2:25" x14ac:dyDescent="0.25">
      <c r="B28" s="205"/>
    </row>
    <row r="29" spans="2:25" x14ac:dyDescent="0.25">
      <c r="B29" s="205"/>
    </row>
    <row r="30" spans="2:25" x14ac:dyDescent="0.25">
      <c r="B30" s="205"/>
    </row>
    <row r="31" spans="2:25" x14ac:dyDescent="0.25">
      <c r="B31" s="205"/>
    </row>
    <row r="32" spans="2:25" x14ac:dyDescent="0.25">
      <c r="B32" s="205"/>
    </row>
    <row r="33" spans="2:5" x14ac:dyDescent="0.25">
      <c r="B33" s="205"/>
    </row>
    <row r="34" spans="2:5" x14ac:dyDescent="0.25">
      <c r="B34" s="205"/>
    </row>
    <row r="35" spans="2:5" x14ac:dyDescent="0.25">
      <c r="B35" s="205"/>
    </row>
    <row r="36" spans="2:5" x14ac:dyDescent="0.25">
      <c r="B36" s="205"/>
    </row>
    <row r="37" spans="2:5" x14ac:dyDescent="0.25">
      <c r="B37" s="205"/>
    </row>
    <row r="38" spans="2:5" x14ac:dyDescent="0.25">
      <c r="B38" s="205"/>
    </row>
    <row r="39" spans="2:5" x14ac:dyDescent="0.25">
      <c r="B39" s="205"/>
    </row>
    <row r="40" spans="2:5" x14ac:dyDescent="0.25">
      <c r="B40" s="205"/>
    </row>
    <row r="41" spans="2:5" x14ac:dyDescent="0.25">
      <c r="B41" s="205"/>
    </row>
    <row r="42" spans="2:5" x14ac:dyDescent="0.25">
      <c r="B42" s="205"/>
    </row>
    <row r="43" spans="2:5" x14ac:dyDescent="0.25">
      <c r="B43" s="205"/>
    </row>
    <row r="44" spans="2:5" x14ac:dyDescent="0.25">
      <c r="B44" s="205"/>
    </row>
    <row r="45" spans="2:5" x14ac:dyDescent="0.25">
      <c r="B45" s="205"/>
    </row>
    <row r="46" spans="2:5" x14ac:dyDescent="0.25">
      <c r="B46" s="205"/>
    </row>
    <row r="47" spans="2:5" ht="16.5" x14ac:dyDescent="0.25">
      <c r="B47" s="205"/>
      <c r="C47" s="206" t="s">
        <v>334</v>
      </c>
      <c r="D47" s="206"/>
      <c r="E47" s="206"/>
    </row>
    <row r="48" spans="2:5" x14ac:dyDescent="0.25">
      <c r="B48" s="205"/>
      <c r="C48" s="143" t="s">
        <v>335</v>
      </c>
    </row>
    <row r="49" spans="2:11" x14ac:dyDescent="0.25">
      <c r="B49" s="205"/>
      <c r="C49" s="143" t="s">
        <v>336</v>
      </c>
      <c r="K49" s="207" t="s">
        <v>285</v>
      </c>
    </row>
    <row r="50" spans="2:11" x14ac:dyDescent="0.25">
      <c r="B50" s="205"/>
      <c r="C50" s="200" t="s">
        <v>337</v>
      </c>
    </row>
    <row r="51" spans="2:11" x14ac:dyDescent="0.25">
      <c r="B51" s="205"/>
      <c r="C51" s="143" t="s">
        <v>338</v>
      </c>
    </row>
    <row r="52" spans="2:11" x14ac:dyDescent="0.25">
      <c r="B52" s="205"/>
      <c r="C52" s="143" t="s">
        <v>339</v>
      </c>
    </row>
    <row r="53" spans="2:11" x14ac:dyDescent="0.25">
      <c r="B53" s="205"/>
      <c r="C53" s="143" t="s">
        <v>340</v>
      </c>
    </row>
    <row r="54" spans="2:11" x14ac:dyDescent="0.25">
      <c r="B54" s="205"/>
      <c r="C54" s="143" t="s">
        <v>341</v>
      </c>
    </row>
    <row r="55" spans="2:11" x14ac:dyDescent="0.25">
      <c r="B55" s="205"/>
    </row>
    <row r="56" spans="2:11" x14ac:dyDescent="0.25">
      <c r="B56" s="205"/>
    </row>
    <row r="57" spans="2:11" x14ac:dyDescent="0.25">
      <c r="B57" s="205"/>
    </row>
    <row r="58" spans="2:11" x14ac:dyDescent="0.25">
      <c r="B58" s="205"/>
    </row>
    <row r="59" spans="2:11" x14ac:dyDescent="0.25">
      <c r="B59" s="205"/>
    </row>
    <row r="60" spans="2:11" x14ac:dyDescent="0.25">
      <c r="B60" s="205"/>
    </row>
    <row r="61" spans="2:11" x14ac:dyDescent="0.25">
      <c r="B61" s="205"/>
    </row>
    <row r="62" spans="2:11" x14ac:dyDescent="0.25">
      <c r="B62" s="205"/>
    </row>
    <row r="63" spans="2:11" x14ac:dyDescent="0.25">
      <c r="B63" s="205"/>
    </row>
    <row r="64" spans="2:11" x14ac:dyDescent="0.25">
      <c r="B64" s="205"/>
    </row>
    <row r="65" spans="2:3" x14ac:dyDescent="0.25">
      <c r="B65" s="205"/>
    </row>
    <row r="66" spans="2:3" x14ac:dyDescent="0.25">
      <c r="B66" s="205"/>
    </row>
    <row r="67" spans="2:3" x14ac:dyDescent="0.25">
      <c r="B67" s="205"/>
    </row>
    <row r="68" spans="2:3" x14ac:dyDescent="0.25">
      <c r="B68" s="205"/>
    </row>
    <row r="69" spans="2:3" x14ac:dyDescent="0.25">
      <c r="B69" s="205"/>
    </row>
    <row r="70" spans="2:3" x14ac:dyDescent="0.25">
      <c r="B70" s="205"/>
    </row>
    <row r="71" spans="2:3" x14ac:dyDescent="0.25">
      <c r="B71" s="205"/>
    </row>
    <row r="72" spans="2:3" x14ac:dyDescent="0.25">
      <c r="B72" s="205"/>
    </row>
    <row r="73" spans="2:3" x14ac:dyDescent="0.25">
      <c r="B73" s="205"/>
    </row>
    <row r="74" spans="2:3" x14ac:dyDescent="0.25">
      <c r="B74" s="205"/>
    </row>
    <row r="75" spans="2:3" x14ac:dyDescent="0.25">
      <c r="B75" s="205"/>
    </row>
    <row r="76" spans="2:3" x14ac:dyDescent="0.25">
      <c r="B76" s="205"/>
    </row>
    <row r="77" spans="2:3" x14ac:dyDescent="0.25">
      <c r="B77" s="205"/>
    </row>
    <row r="78" spans="2:3" x14ac:dyDescent="0.25">
      <c r="B78" s="205"/>
    </row>
    <row r="79" spans="2:3" x14ac:dyDescent="0.25">
      <c r="B79" s="205"/>
    </row>
    <row r="80" spans="2:3" ht="16.5" x14ac:dyDescent="0.25">
      <c r="B80" s="205"/>
      <c r="C80" s="206" t="s">
        <v>342</v>
      </c>
    </row>
    <row r="81" spans="2:24" x14ac:dyDescent="0.25">
      <c r="B81" s="205"/>
      <c r="C81" s="143" t="s">
        <v>343</v>
      </c>
      <c r="V81" s="200"/>
      <c r="X81" s="200"/>
    </row>
    <row r="82" spans="2:24" x14ac:dyDescent="0.25">
      <c r="B82" s="205"/>
      <c r="C82" s="143" t="s">
        <v>344</v>
      </c>
      <c r="P82" s="207" t="s">
        <v>295</v>
      </c>
    </row>
    <row r="83" spans="2:24" x14ac:dyDescent="0.25">
      <c r="B83" s="205"/>
      <c r="C83" s="200" t="s">
        <v>337</v>
      </c>
      <c r="X83" s="200"/>
    </row>
    <row r="84" spans="2:24" ht="16.5" x14ac:dyDescent="0.25">
      <c r="B84" s="205"/>
      <c r="C84" s="143" t="s">
        <v>345</v>
      </c>
      <c r="X84" s="206"/>
    </row>
    <row r="85" spans="2:24" x14ac:dyDescent="0.25">
      <c r="B85" s="205"/>
      <c r="C85" s="143" t="s">
        <v>346</v>
      </c>
    </row>
    <row r="86" spans="2:24" x14ac:dyDescent="0.25">
      <c r="B86" s="205"/>
      <c r="C86" s="143" t="s">
        <v>347</v>
      </c>
    </row>
    <row r="87" spans="2:24" x14ac:dyDescent="0.25">
      <c r="B87" s="205"/>
    </row>
    <row r="88" spans="2:24" x14ac:dyDescent="0.25">
      <c r="B88" s="205"/>
    </row>
    <row r="89" spans="2:24" x14ac:dyDescent="0.25">
      <c r="B89" s="205"/>
    </row>
    <row r="90" spans="2:24" x14ac:dyDescent="0.25">
      <c r="B90" s="205"/>
    </row>
    <row r="91" spans="2:24" x14ac:dyDescent="0.25">
      <c r="B91" s="205"/>
    </row>
    <row r="92" spans="2:24" x14ac:dyDescent="0.25">
      <c r="B92" s="205"/>
    </row>
    <row r="93" spans="2:24" x14ac:dyDescent="0.25">
      <c r="B93" s="205"/>
    </row>
    <row r="94" spans="2:24" x14ac:dyDescent="0.25">
      <c r="B94" s="205"/>
    </row>
    <row r="95" spans="2:24" x14ac:dyDescent="0.25">
      <c r="B95" s="205"/>
    </row>
    <row r="96" spans="2:24" x14ac:dyDescent="0.25">
      <c r="B96" s="205"/>
    </row>
    <row r="97" spans="2:3" x14ac:dyDescent="0.25">
      <c r="B97" s="205"/>
    </row>
    <row r="98" spans="2:3" x14ac:dyDescent="0.25">
      <c r="B98" s="205"/>
    </row>
    <row r="99" spans="2:3" x14ac:dyDescent="0.25">
      <c r="B99" s="205"/>
    </row>
    <row r="100" spans="2:3" x14ac:dyDescent="0.25">
      <c r="B100" s="205"/>
    </row>
    <row r="101" spans="2:3" x14ac:dyDescent="0.25">
      <c r="B101" s="205"/>
    </row>
    <row r="102" spans="2:3" x14ac:dyDescent="0.25">
      <c r="B102" s="205"/>
    </row>
    <row r="103" spans="2:3" x14ac:dyDescent="0.25">
      <c r="B103" s="205"/>
    </row>
    <row r="104" spans="2:3" x14ac:dyDescent="0.25">
      <c r="B104" s="205"/>
    </row>
    <row r="105" spans="2:3" x14ac:dyDescent="0.25">
      <c r="B105" s="205"/>
    </row>
    <row r="106" spans="2:3" x14ac:dyDescent="0.25">
      <c r="B106" s="205"/>
    </row>
    <row r="107" spans="2:3" x14ac:dyDescent="0.25">
      <c r="B107" s="205"/>
    </row>
    <row r="108" spans="2:3" x14ac:dyDescent="0.25">
      <c r="B108" s="205"/>
    </row>
    <row r="109" spans="2:3" x14ac:dyDescent="0.25">
      <c r="B109" s="205"/>
    </row>
    <row r="110" spans="2:3" x14ac:dyDescent="0.25">
      <c r="B110" s="205"/>
    </row>
    <row r="111" spans="2:3" x14ac:dyDescent="0.25">
      <c r="B111" s="205"/>
    </row>
    <row r="112" spans="2:3" ht="16.5" x14ac:dyDescent="0.25">
      <c r="B112" s="205"/>
      <c r="C112" s="206" t="s">
        <v>348</v>
      </c>
    </row>
    <row r="113" spans="2:16" x14ac:dyDescent="0.25">
      <c r="B113" s="205"/>
      <c r="C113" s="143" t="s">
        <v>349</v>
      </c>
    </row>
    <row r="114" spans="2:16" x14ac:dyDescent="0.25">
      <c r="B114" s="205"/>
      <c r="C114" s="143" t="s">
        <v>350</v>
      </c>
      <c r="P114" s="207" t="s">
        <v>325</v>
      </c>
    </row>
    <row r="115" spans="2:16" x14ac:dyDescent="0.25">
      <c r="B115" s="205"/>
      <c r="C115" s="200" t="s">
        <v>337</v>
      </c>
    </row>
    <row r="116" spans="2:16" x14ac:dyDescent="0.25">
      <c r="B116" s="205"/>
      <c r="C116" s="143" t="s">
        <v>351</v>
      </c>
    </row>
    <row r="117" spans="2:16" x14ac:dyDescent="0.25">
      <c r="B117" s="205"/>
      <c r="C117" s="143" t="s">
        <v>352</v>
      </c>
    </row>
    <row r="118" spans="2:16" x14ac:dyDescent="0.25">
      <c r="B118" s="205"/>
    </row>
    <row r="119" spans="2:16" x14ac:dyDescent="0.25">
      <c r="B119" s="205"/>
    </row>
    <row r="120" spans="2:16" x14ac:dyDescent="0.25">
      <c r="B120" s="205"/>
    </row>
    <row r="121" spans="2:16" x14ac:dyDescent="0.25">
      <c r="B121" s="205"/>
    </row>
    <row r="122" spans="2:16" x14ac:dyDescent="0.25">
      <c r="B122" s="205"/>
    </row>
    <row r="123" spans="2:16" x14ac:dyDescent="0.25">
      <c r="B123" s="205"/>
    </row>
    <row r="124" spans="2:16" x14ac:dyDescent="0.25">
      <c r="B124" s="205"/>
    </row>
    <row r="125" spans="2:16" x14ac:dyDescent="0.25">
      <c r="B125" s="205"/>
    </row>
    <row r="126" spans="2:16" x14ac:dyDescent="0.25">
      <c r="B126" s="205"/>
    </row>
    <row r="127" spans="2:16" x14ac:dyDescent="0.25">
      <c r="B127" s="205"/>
    </row>
    <row r="128" spans="2:16" x14ac:dyDescent="0.25">
      <c r="B128" s="205"/>
    </row>
    <row r="129" spans="2:3" x14ac:dyDescent="0.25">
      <c r="B129" s="205"/>
    </row>
    <row r="130" spans="2:3" x14ac:dyDescent="0.25">
      <c r="B130" s="205"/>
    </row>
    <row r="131" spans="2:3" x14ac:dyDescent="0.25">
      <c r="B131" s="205"/>
    </row>
    <row r="132" spans="2:3" x14ac:dyDescent="0.25">
      <c r="B132" s="205"/>
    </row>
    <row r="133" spans="2:3" x14ac:dyDescent="0.25">
      <c r="B133" s="205"/>
    </row>
    <row r="134" spans="2:3" x14ac:dyDescent="0.25">
      <c r="B134" s="205"/>
    </row>
    <row r="135" spans="2:3" x14ac:dyDescent="0.25">
      <c r="B135" s="205"/>
    </row>
    <row r="136" spans="2:3" x14ac:dyDescent="0.25">
      <c r="B136" s="205"/>
    </row>
    <row r="137" spans="2:3" x14ac:dyDescent="0.25">
      <c r="B137" s="205"/>
    </row>
    <row r="138" spans="2:3" x14ac:dyDescent="0.25">
      <c r="B138" s="205"/>
    </row>
    <row r="139" spans="2:3" x14ac:dyDescent="0.25">
      <c r="B139" s="205"/>
    </row>
    <row r="140" spans="2:3" x14ac:dyDescent="0.25">
      <c r="B140" s="205"/>
    </row>
    <row r="141" spans="2:3" x14ac:dyDescent="0.25">
      <c r="B141" s="205"/>
    </row>
    <row r="142" spans="2:3" x14ac:dyDescent="0.25">
      <c r="B142" s="205"/>
    </row>
    <row r="143" spans="2:3" ht="16.5" x14ac:dyDescent="0.25">
      <c r="B143" s="205"/>
      <c r="C143" s="206" t="s">
        <v>353</v>
      </c>
    </row>
    <row r="144" spans="2:3" x14ac:dyDescent="0.25">
      <c r="B144" s="205"/>
      <c r="C144" s="143" t="s">
        <v>354</v>
      </c>
    </row>
    <row r="145" spans="2:3" x14ac:dyDescent="0.25">
      <c r="B145" s="205"/>
      <c r="C145" s="143" t="s">
        <v>355</v>
      </c>
    </row>
    <row r="146" spans="2:3" x14ac:dyDescent="0.25">
      <c r="B146" s="205"/>
      <c r="C146" s="200" t="s">
        <v>337</v>
      </c>
    </row>
    <row r="147" spans="2:3" x14ac:dyDescent="0.25">
      <c r="B147" s="205"/>
      <c r="C147" s="143" t="s">
        <v>356</v>
      </c>
    </row>
    <row r="148" spans="2:3" x14ac:dyDescent="0.25">
      <c r="B148" s="205"/>
      <c r="C148" s="143" t="s">
        <v>357</v>
      </c>
    </row>
    <row r="149" spans="2:3" x14ac:dyDescent="0.25">
      <c r="B149" s="205"/>
    </row>
    <row r="150" spans="2:3" x14ac:dyDescent="0.25">
      <c r="B150" s="205"/>
    </row>
    <row r="151" spans="2:3" x14ac:dyDescent="0.25">
      <c r="B151" s="205"/>
    </row>
    <row r="152" spans="2:3" x14ac:dyDescent="0.25">
      <c r="B152" s="205"/>
    </row>
    <row r="153" spans="2:3" x14ac:dyDescent="0.25">
      <c r="B153" s="205"/>
    </row>
    <row r="154" spans="2:3" x14ac:dyDescent="0.25">
      <c r="B154" s="205"/>
    </row>
    <row r="155" spans="2:3" x14ac:dyDescent="0.25">
      <c r="B155" s="205"/>
    </row>
    <row r="156" spans="2:3" x14ac:dyDescent="0.25">
      <c r="B156" s="205"/>
    </row>
    <row r="157" spans="2:3" x14ac:dyDescent="0.25">
      <c r="B157" s="205"/>
    </row>
    <row r="158" spans="2:3" x14ac:dyDescent="0.25">
      <c r="B158" s="205"/>
    </row>
    <row r="159" spans="2:3" x14ac:dyDescent="0.25">
      <c r="B159" s="205"/>
    </row>
    <row r="160" spans="2:3" x14ac:dyDescent="0.25">
      <c r="B160" s="205"/>
    </row>
    <row r="161" spans="2:16" x14ac:dyDescent="0.25">
      <c r="B161" s="205"/>
    </row>
    <row r="162" spans="2:16" x14ac:dyDescent="0.25">
      <c r="B162" s="205"/>
    </row>
    <row r="163" spans="2:16" x14ac:dyDescent="0.25">
      <c r="B163" s="205"/>
    </row>
    <row r="164" spans="2:16" x14ac:dyDescent="0.25">
      <c r="B164" s="205"/>
    </row>
    <row r="165" spans="2:16" x14ac:dyDescent="0.25">
      <c r="B165" s="205"/>
    </row>
    <row r="166" spans="2:16" x14ac:dyDescent="0.25">
      <c r="B166" s="205"/>
    </row>
    <row r="167" spans="2:16" x14ac:dyDescent="0.25">
      <c r="B167" s="205"/>
    </row>
    <row r="168" spans="2:16" x14ac:dyDescent="0.25">
      <c r="B168" s="205"/>
    </row>
    <row r="169" spans="2:16" x14ac:dyDescent="0.25">
      <c r="B169" s="205"/>
    </row>
    <row r="170" spans="2:16" x14ac:dyDescent="0.25">
      <c r="B170" s="205"/>
    </row>
    <row r="171" spans="2:16" x14ac:dyDescent="0.25">
      <c r="B171" s="205"/>
    </row>
    <row r="172" spans="2:16" x14ac:dyDescent="0.25">
      <c r="B172" s="205"/>
    </row>
    <row r="173" spans="2:16" x14ac:dyDescent="0.25">
      <c r="B173" s="205"/>
    </row>
    <row r="174" spans="2:16" x14ac:dyDescent="0.25">
      <c r="B174" s="205"/>
    </row>
    <row r="175" spans="2:16" ht="16.5" x14ac:dyDescent="0.25">
      <c r="B175" s="205"/>
      <c r="C175" s="206" t="s">
        <v>358</v>
      </c>
      <c r="O175" s="143" t="s">
        <v>359</v>
      </c>
    </row>
    <row r="176" spans="2:16" x14ac:dyDescent="0.25">
      <c r="B176" s="205"/>
      <c r="C176" s="143" t="s">
        <v>360</v>
      </c>
      <c r="P176" s="207" t="s">
        <v>361</v>
      </c>
    </row>
    <row r="177" spans="2:3" x14ac:dyDescent="0.25">
      <c r="B177" s="205"/>
      <c r="C177" s="143" t="s">
        <v>362</v>
      </c>
    </row>
    <row r="178" spans="2:3" x14ac:dyDescent="0.25">
      <c r="B178" s="205"/>
      <c r="C178" s="200" t="s">
        <v>337</v>
      </c>
    </row>
    <row r="179" spans="2:3" x14ac:dyDescent="0.25">
      <c r="B179" s="205"/>
      <c r="C179" s="143" t="s">
        <v>363</v>
      </c>
    </row>
    <row r="180" spans="2:3" x14ac:dyDescent="0.25">
      <c r="B180" s="205"/>
      <c r="C180" s="143" t="s">
        <v>364</v>
      </c>
    </row>
    <row r="181" spans="2:3" x14ac:dyDescent="0.25">
      <c r="B181" s="205"/>
    </row>
    <row r="182" spans="2:3" x14ac:dyDescent="0.25">
      <c r="B182" s="205"/>
    </row>
    <row r="183" spans="2:3" x14ac:dyDescent="0.25">
      <c r="B183" s="205"/>
    </row>
    <row r="184" spans="2:3" x14ac:dyDescent="0.25">
      <c r="B184" s="205"/>
    </row>
    <row r="185" spans="2:3" x14ac:dyDescent="0.25">
      <c r="B185" s="208"/>
    </row>
    <row r="186" spans="2:3" x14ac:dyDescent="0.25">
      <c r="B186" s="205"/>
    </row>
    <row r="187" spans="2:3" x14ac:dyDescent="0.25">
      <c r="B187" s="205"/>
    </row>
    <row r="188" spans="2:3" x14ac:dyDescent="0.25">
      <c r="B188" s="205"/>
    </row>
    <row r="189" spans="2:3" x14ac:dyDescent="0.25">
      <c r="B189" s="205"/>
    </row>
    <row r="190" spans="2:3" x14ac:dyDescent="0.25">
      <c r="B190" s="208"/>
    </row>
    <row r="191" spans="2:3" x14ac:dyDescent="0.25">
      <c r="B191" s="208"/>
    </row>
    <row r="192" spans="2:3" x14ac:dyDescent="0.25">
      <c r="B192" s="208"/>
    </row>
    <row r="193" spans="2:15" x14ac:dyDescent="0.25">
      <c r="B193" s="208"/>
    </row>
    <row r="194" spans="2:15" x14ac:dyDescent="0.25">
      <c r="B194" s="208"/>
    </row>
    <row r="195" spans="2:15" x14ac:dyDescent="0.25">
      <c r="B195" s="208"/>
    </row>
    <row r="196" spans="2:15" x14ac:dyDescent="0.25">
      <c r="B196" s="208"/>
    </row>
    <row r="197" spans="2:15" x14ac:dyDescent="0.25">
      <c r="B197" s="208"/>
    </row>
    <row r="198" spans="2:15" x14ac:dyDescent="0.25">
      <c r="B198" s="208"/>
    </row>
    <row r="199" spans="2:15" x14ac:dyDescent="0.25">
      <c r="B199" s="208"/>
    </row>
    <row r="200" spans="2:15" x14ac:dyDescent="0.25">
      <c r="B200" s="208"/>
    </row>
    <row r="201" spans="2:15" x14ac:dyDescent="0.25">
      <c r="B201" s="208"/>
    </row>
    <row r="202" spans="2:15" x14ac:dyDescent="0.25">
      <c r="B202" s="208"/>
    </row>
    <row r="203" spans="2:15" x14ac:dyDescent="0.25">
      <c r="B203" s="208"/>
    </row>
    <row r="204" spans="2:15" x14ac:dyDescent="0.25">
      <c r="B204" s="208"/>
    </row>
    <row r="205" spans="2:15" x14ac:dyDescent="0.25">
      <c r="B205" s="208"/>
    </row>
    <row r="206" spans="2:15" ht="16.5" x14ac:dyDescent="0.25">
      <c r="B206" s="208"/>
      <c r="C206" s="206" t="s">
        <v>365</v>
      </c>
    </row>
    <row r="207" spans="2:15" x14ac:dyDescent="0.25">
      <c r="B207" s="208"/>
      <c r="C207" s="143" t="s">
        <v>366</v>
      </c>
      <c r="O207" s="207" t="s">
        <v>303</v>
      </c>
    </row>
    <row r="208" spans="2:15" x14ac:dyDescent="0.25">
      <c r="B208" s="208"/>
      <c r="C208" s="143" t="s">
        <v>367</v>
      </c>
    </row>
    <row r="209" spans="2:29" x14ac:dyDescent="0.25">
      <c r="B209" s="208"/>
      <c r="C209" s="143" t="s">
        <v>368</v>
      </c>
    </row>
    <row r="210" spans="2:29" x14ac:dyDescent="0.25">
      <c r="B210" s="208"/>
      <c r="C210" s="143" t="s">
        <v>369</v>
      </c>
    </row>
    <row r="211" spans="2:29" x14ac:dyDescent="0.25">
      <c r="B211" s="208"/>
      <c r="C211" s="143" t="s">
        <v>370</v>
      </c>
    </row>
    <row r="212" spans="2:29" x14ac:dyDescent="0.25">
      <c r="B212" s="208"/>
      <c r="O212" s="207" t="s">
        <v>328</v>
      </c>
      <c r="AC212" s="207" t="s">
        <v>321</v>
      </c>
    </row>
    <row r="213" spans="2:29" x14ac:dyDescent="0.25">
      <c r="B213" s="208"/>
    </row>
    <row r="214" spans="2:29" x14ac:dyDescent="0.25">
      <c r="B214" s="208"/>
    </row>
    <row r="215" spans="2:29" x14ac:dyDescent="0.25">
      <c r="B215" s="208"/>
    </row>
    <row r="216" spans="2:29" x14ac:dyDescent="0.25">
      <c r="B216" s="208"/>
    </row>
    <row r="217" spans="2:29" x14ac:dyDescent="0.25">
      <c r="B217" s="208"/>
    </row>
    <row r="218" spans="2:29" x14ac:dyDescent="0.25">
      <c r="B218" s="208"/>
    </row>
    <row r="219" spans="2:29" x14ac:dyDescent="0.25">
      <c r="B219" s="208"/>
    </row>
    <row r="220" spans="2:29" x14ac:dyDescent="0.25">
      <c r="B220" s="208"/>
    </row>
    <row r="221" spans="2:29" x14ac:dyDescent="0.25">
      <c r="B221" s="208"/>
    </row>
    <row r="222" spans="2:29" x14ac:dyDescent="0.25">
      <c r="B222" s="208"/>
    </row>
    <row r="223" spans="2:29" x14ac:dyDescent="0.25">
      <c r="B223" s="208"/>
    </row>
    <row r="224" spans="2:29" x14ac:dyDescent="0.25">
      <c r="B224" s="208"/>
    </row>
    <row r="225" spans="2:17" x14ac:dyDescent="0.25">
      <c r="B225" s="208"/>
    </row>
    <row r="226" spans="2:17" x14ac:dyDescent="0.25">
      <c r="B226" s="208"/>
    </row>
    <row r="227" spans="2:17" x14ac:dyDescent="0.25">
      <c r="B227" s="208"/>
    </row>
    <row r="228" spans="2:17" x14ac:dyDescent="0.25">
      <c r="B228" s="208"/>
    </row>
    <row r="229" spans="2:17" x14ac:dyDescent="0.25">
      <c r="B229" s="208"/>
    </row>
    <row r="230" spans="2:17" x14ac:dyDescent="0.25">
      <c r="B230" s="208"/>
    </row>
    <row r="231" spans="2:17" x14ac:dyDescent="0.25">
      <c r="B231" s="208"/>
    </row>
    <row r="232" spans="2:17" x14ac:dyDescent="0.25">
      <c r="B232" s="208"/>
    </row>
    <row r="233" spans="2:17" x14ac:dyDescent="0.25">
      <c r="B233" s="208"/>
    </row>
    <row r="234" spans="2:17" x14ac:dyDescent="0.25">
      <c r="B234" s="208"/>
    </row>
    <row r="235" spans="2:17" x14ac:dyDescent="0.25">
      <c r="B235" s="208"/>
    </row>
    <row r="236" spans="2:17" x14ac:dyDescent="0.25">
      <c r="B236" s="208"/>
    </row>
    <row r="237" spans="2:17" x14ac:dyDescent="0.25">
      <c r="B237" s="208"/>
    </row>
    <row r="238" spans="2:17" ht="16.5" x14ac:dyDescent="0.25">
      <c r="B238" s="208"/>
      <c r="Q238" s="206" t="s">
        <v>371</v>
      </c>
    </row>
    <row r="239" spans="2:17" x14ac:dyDescent="0.25">
      <c r="B239" s="208"/>
      <c r="Q239" s="143" t="s">
        <v>372</v>
      </c>
    </row>
    <row r="240" spans="2:17" x14ac:dyDescent="0.25">
      <c r="B240" s="208"/>
      <c r="Q240" s="143" t="s">
        <v>373</v>
      </c>
    </row>
    <row r="241" spans="2:17" x14ac:dyDescent="0.25">
      <c r="B241" s="208"/>
      <c r="Q241" s="143" t="s">
        <v>374</v>
      </c>
    </row>
    <row r="242" spans="2:17" x14ac:dyDescent="0.25">
      <c r="B242" s="208"/>
      <c r="Q242" s="143" t="s">
        <v>375</v>
      </c>
    </row>
    <row r="243" spans="2:17" x14ac:dyDescent="0.25">
      <c r="B243" s="208"/>
      <c r="Q243" s="143" t="s">
        <v>376</v>
      </c>
    </row>
    <row r="244" spans="2:17" x14ac:dyDescent="0.25">
      <c r="B244" s="208"/>
      <c r="Q244" s="200" t="s">
        <v>377</v>
      </c>
    </row>
    <row r="245" spans="2:17" x14ac:dyDescent="0.25">
      <c r="B245" s="208"/>
      <c r="Q245" s="143" t="s">
        <v>378</v>
      </c>
    </row>
    <row r="246" spans="2:17" x14ac:dyDescent="0.25">
      <c r="B246" s="208"/>
      <c r="Q246" s="143" t="s">
        <v>379</v>
      </c>
    </row>
    <row r="247" spans="2:17" x14ac:dyDescent="0.25">
      <c r="B247" s="208"/>
      <c r="Q247" s="143" t="s">
        <v>380</v>
      </c>
    </row>
    <row r="248" spans="2:17" x14ac:dyDescent="0.25">
      <c r="B248" s="208"/>
    </row>
    <row r="249" spans="2:17" x14ac:dyDescent="0.25">
      <c r="B249" s="208"/>
      <c r="Q249" s="143" t="s">
        <v>381</v>
      </c>
    </row>
    <row r="250" spans="2:17" x14ac:dyDescent="0.25">
      <c r="B250" s="208"/>
      <c r="Q250" s="143" t="s">
        <v>382</v>
      </c>
    </row>
    <row r="251" spans="2:17" x14ac:dyDescent="0.25">
      <c r="B251" s="208"/>
      <c r="Q251" s="143" t="s">
        <v>383</v>
      </c>
    </row>
    <row r="252" spans="2:17" x14ac:dyDescent="0.25">
      <c r="B252" s="208"/>
    </row>
    <row r="253" spans="2:17" x14ac:dyDescent="0.25">
      <c r="B253" s="208"/>
    </row>
    <row r="254" spans="2:17" x14ac:dyDescent="0.25">
      <c r="B254" s="208"/>
    </row>
    <row r="255" spans="2:17" x14ac:dyDescent="0.25">
      <c r="B255" s="208"/>
    </row>
    <row r="256" spans="2:17" x14ac:dyDescent="0.25">
      <c r="B256" s="208"/>
    </row>
    <row r="257" spans="2:2" x14ac:dyDescent="0.25">
      <c r="B257" s="208"/>
    </row>
    <row r="258" spans="2:2" x14ac:dyDescent="0.25">
      <c r="B258" s="208"/>
    </row>
    <row r="259" spans="2:2" x14ac:dyDescent="0.25">
      <c r="B259" s="208"/>
    </row>
    <row r="260" spans="2:2" x14ac:dyDescent="0.25">
      <c r="B260" s="208"/>
    </row>
    <row r="261" spans="2:2" x14ac:dyDescent="0.25">
      <c r="B261" s="208"/>
    </row>
    <row r="262" spans="2:2" x14ac:dyDescent="0.25">
      <c r="B262" s="208"/>
    </row>
  </sheetData>
  <mergeCells count="2">
    <mergeCell ref="W14:Y14"/>
    <mergeCell ref="L17:N17"/>
  </mergeCells>
  <phoneticPr fontId="2"/>
  <pageMargins left="0.7" right="0.7" top="0.75" bottom="0.75" header="0.3" footer="0.3"/>
  <pageSetup paperSize="9" orientation="portrait" horizontalDpi="300" verticalDpi="3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0" tint="-0.34998626667073579"/>
  </sheetPr>
  <dimension ref="A1:U11"/>
  <sheetViews>
    <sheetView zoomScale="80" zoomScaleNormal="80" workbookViewId="0">
      <selection activeCell="A20" sqref="A20"/>
    </sheetView>
  </sheetViews>
  <sheetFormatPr defaultColWidth="8" defaultRowHeight="15.75" x14ac:dyDescent="0.25"/>
  <cols>
    <col min="1" max="1" width="3.33203125" style="60" customWidth="1"/>
    <col min="2" max="2" width="15.21875" style="60" customWidth="1"/>
    <col min="3" max="3" width="8.21875" style="143" bestFit="1" customWidth="1"/>
    <col min="4" max="4" width="6.88671875" style="60" bestFit="1" customWidth="1"/>
    <col min="5" max="5" width="8.77734375" style="60" bestFit="1" customWidth="1"/>
    <col min="6" max="6" width="6.5546875" style="60" bestFit="1" customWidth="1"/>
    <col min="7" max="7" width="8.21875" style="60" bestFit="1" customWidth="1"/>
    <col min="8" max="8" width="7.5546875" style="60" customWidth="1"/>
    <col min="9" max="9" width="8.6640625" style="60" bestFit="1" customWidth="1"/>
    <col min="10" max="10" width="7.88671875" style="143" bestFit="1" customWidth="1"/>
    <col min="11" max="11" width="7.33203125" style="60" customWidth="1"/>
    <col min="12" max="13" width="9.109375" style="60" bestFit="1" customWidth="1"/>
    <col min="14" max="14" width="8.77734375" style="12" bestFit="1" customWidth="1"/>
    <col min="15" max="15" width="9.109375" style="60" bestFit="1" customWidth="1"/>
    <col min="16" max="17" width="9.109375" style="121" customWidth="1"/>
    <col min="18" max="18" width="10.21875" style="60" bestFit="1" customWidth="1"/>
    <col min="19" max="19" width="7.88671875" style="60" bestFit="1" customWidth="1"/>
    <col min="20" max="21" width="8.5546875" style="60" bestFit="1" customWidth="1"/>
    <col min="22" max="16384" width="8" style="60"/>
  </cols>
  <sheetData>
    <row r="1" spans="1:21" x14ac:dyDescent="0.25">
      <c r="L1" s="132" t="s">
        <v>30</v>
      </c>
      <c r="M1" s="209"/>
      <c r="N1" s="21"/>
      <c r="O1" s="132" t="s">
        <v>30</v>
      </c>
      <c r="P1" s="209" t="s">
        <v>384</v>
      </c>
    </row>
    <row r="2" spans="1:21" ht="16.5" thickBot="1" x14ac:dyDescent="0.3">
      <c r="A2" s="26" t="s">
        <v>24</v>
      </c>
      <c r="B2" s="26" t="s">
        <v>18</v>
      </c>
      <c r="C2" s="27" t="s">
        <v>23</v>
      </c>
      <c r="D2" s="30" t="s">
        <v>31</v>
      </c>
      <c r="E2" s="26" t="s">
        <v>32</v>
      </c>
      <c r="F2" s="26" t="s">
        <v>126</v>
      </c>
      <c r="G2" s="26" t="s">
        <v>127</v>
      </c>
      <c r="H2" s="26" t="s">
        <v>128</v>
      </c>
      <c r="I2" s="26" t="s">
        <v>129</v>
      </c>
      <c r="J2" s="27" t="s">
        <v>131</v>
      </c>
      <c r="L2" s="210">
        <v>42801</v>
      </c>
      <c r="M2" s="211">
        <v>42802</v>
      </c>
      <c r="N2" s="212" t="s">
        <v>150</v>
      </c>
      <c r="O2" s="211">
        <v>42803</v>
      </c>
      <c r="P2" s="213" t="s">
        <v>150</v>
      </c>
      <c r="Q2" s="213" t="s">
        <v>155</v>
      </c>
      <c r="R2" s="211">
        <v>42804</v>
      </c>
      <c r="S2" s="213" t="s">
        <v>150</v>
      </c>
      <c r="T2" s="213" t="s">
        <v>155</v>
      </c>
      <c r="U2" s="214" t="s">
        <v>385</v>
      </c>
    </row>
    <row r="3" spans="1:21" ht="16.5" thickTop="1" x14ac:dyDescent="0.25">
      <c r="A3" s="83"/>
      <c r="B3" s="133" t="str">
        <f>IPO監視一覧!B3</f>
        <v>日宣</v>
      </c>
      <c r="C3" s="215">
        <v>1600</v>
      </c>
      <c r="D3" s="216">
        <v>3000</v>
      </c>
      <c r="E3" s="217" t="str">
        <f>CONCATENATE((IF(ISBLANK(D3),0,D3)-IF(ISBLANK(C3),0,C3))/IF(ISBLANK(C3),0,C3)*100,"%")</f>
        <v>87.5%</v>
      </c>
      <c r="F3" s="218"/>
      <c r="G3" s="218"/>
      <c r="H3" s="218"/>
      <c r="I3" s="218"/>
      <c r="J3" s="219"/>
      <c r="L3" s="220">
        <v>2519</v>
      </c>
      <c r="M3" s="221">
        <v>2603</v>
      </c>
      <c r="N3" s="222">
        <f>(M3-L3)/L3</f>
        <v>3.33465660976578E-2</v>
      </c>
      <c r="O3" s="221">
        <v>2592</v>
      </c>
      <c r="P3" s="223">
        <f>(O3-M3)/M3</f>
        <v>-4.2258932001536685E-3</v>
      </c>
      <c r="Q3" s="223">
        <f>(O3-L3)/L3</f>
        <v>2.8979753870583564E-2</v>
      </c>
      <c r="R3" s="221">
        <v>2632</v>
      </c>
      <c r="S3" s="224">
        <f>(R3-O3)/O3</f>
        <v>1.5432098765432098E-2</v>
      </c>
      <c r="T3" s="224">
        <f>(R3-M3)/M3</f>
        <v>1.114099116404149E-2</v>
      </c>
      <c r="U3" s="225">
        <f>(R3-L3)/L3</f>
        <v>4.4859071059944425E-2</v>
      </c>
    </row>
    <row r="4" spans="1:21" x14ac:dyDescent="0.25">
      <c r="A4" s="91" t="str">
        <f>IPO監視一覧!H4</f>
        <v>C</v>
      </c>
      <c r="B4" s="91" t="str">
        <f>IPO監視一覧!B4</f>
        <v>レノバ </v>
      </c>
      <c r="C4" s="101">
        <v>750</v>
      </c>
      <c r="D4" s="100">
        <v>1125</v>
      </c>
      <c r="E4" s="226" t="str">
        <f>CONCATENATE((IF(ISBLANK(D4),0,D4)-IF(ISBLANK(C4),0,C4))/IF(ISBLANK(C4),0,C4)*100,"%")</f>
        <v>50%</v>
      </c>
      <c r="F4" s="227"/>
      <c r="G4" s="227"/>
      <c r="H4" s="227"/>
      <c r="I4" s="227"/>
      <c r="J4" s="228"/>
      <c r="L4" s="220">
        <v>1990</v>
      </c>
      <c r="M4" s="221">
        <v>1915</v>
      </c>
      <c r="N4" s="222">
        <f>(M4-L4)/L4</f>
        <v>-3.7688442211055273E-2</v>
      </c>
      <c r="O4" s="221">
        <v>1872</v>
      </c>
      <c r="P4" s="223">
        <f>(O4-M4)/M4</f>
        <v>-2.2454308093994776E-2</v>
      </c>
      <c r="Q4" s="223">
        <f>(O4-L4)/L4</f>
        <v>-5.92964824120603E-2</v>
      </c>
      <c r="R4" s="221">
        <v>2073</v>
      </c>
      <c r="S4" s="224">
        <f>(R4-O4)/O4</f>
        <v>0.10737179487179487</v>
      </c>
      <c r="T4" s="224">
        <f>(R4-M4)/M4</f>
        <v>8.2506527415143596E-2</v>
      </c>
      <c r="U4" s="225">
        <f>(R4-L4)/L4</f>
        <v>4.1708542713567838E-2</v>
      </c>
    </row>
    <row r="5" spans="1:21" x14ac:dyDescent="0.25">
      <c r="A5" s="91" t="str">
        <f>IPO監視一覧!H5</f>
        <v>B</v>
      </c>
      <c r="B5" s="91" t="str">
        <f>IPO監視一覧!B5</f>
        <v>ユナイテッド＆コレクティブ</v>
      </c>
      <c r="C5" s="101">
        <v>1620</v>
      </c>
      <c r="D5" s="100">
        <v>4500</v>
      </c>
      <c r="E5" s="226" t="str">
        <f>CONCATENATE(ROUND((IF(ISBLANK(D5),0,D5)-IF(ISBLANK(C5),0,C5))/IF(ISBLANK(C5),0,C5)*100,2),"%")</f>
        <v>177.78%</v>
      </c>
      <c r="F5" s="227"/>
      <c r="G5" s="227"/>
      <c r="H5" s="227"/>
      <c r="I5" s="227"/>
      <c r="J5" s="228"/>
      <c r="L5" s="229">
        <v>5600</v>
      </c>
      <c r="M5" s="221">
        <v>5380</v>
      </c>
      <c r="N5" s="222">
        <f>(M5-L5)/L5</f>
        <v>-3.9285714285714285E-2</v>
      </c>
      <c r="O5" s="221">
        <v>5550</v>
      </c>
      <c r="P5" s="223">
        <f>(O5-M5)/M5</f>
        <v>3.1598513011152414E-2</v>
      </c>
      <c r="Q5" s="223">
        <f>(O5-L5)/L5</f>
        <v>-8.9285714285714281E-3</v>
      </c>
      <c r="R5" s="221">
        <v>5320</v>
      </c>
      <c r="S5" s="224">
        <f>(R5-O5)/O5</f>
        <v>-4.1441441441441441E-2</v>
      </c>
      <c r="T5" s="224">
        <f>(R5-M5)/M5</f>
        <v>-1.1152416356877323E-2</v>
      </c>
      <c r="U5" s="225">
        <f>(R5-L5)/L5</f>
        <v>-0.05</v>
      </c>
    </row>
    <row r="6" spans="1:21" x14ac:dyDescent="0.25">
      <c r="A6" s="91" t="str">
        <f>IPO監視一覧!H6</f>
        <v>D</v>
      </c>
      <c r="B6" s="91" t="str">
        <f>IPO監視一覧!B6</f>
        <v>ロコンド</v>
      </c>
      <c r="C6" s="101">
        <v>1850</v>
      </c>
      <c r="D6" s="100">
        <v>2625</v>
      </c>
      <c r="E6" s="226" t="str">
        <f>CONCATENATE(ROUND((IF(ISBLANK(D6),0,D6)-IF(ISBLANK(C6),0,C6))/IF(ISBLANK(C6),0,C6)*100,2),"%")</f>
        <v>41.89%</v>
      </c>
      <c r="F6" s="227"/>
      <c r="G6" s="227"/>
      <c r="H6" s="227"/>
      <c r="I6" s="227"/>
      <c r="J6" s="228"/>
      <c r="L6" s="142">
        <v>2735</v>
      </c>
      <c r="M6" s="230">
        <v>2402</v>
      </c>
      <c r="N6" s="231">
        <f>(M6-L6)/L6</f>
        <v>-0.12175502742230347</v>
      </c>
      <c r="O6" s="230">
        <v>2270</v>
      </c>
      <c r="P6" s="232">
        <f>(O6-M6)/M6</f>
        <v>-5.4954204829308906E-2</v>
      </c>
      <c r="Q6" s="233">
        <f>(O6-L6)/L6</f>
        <v>-0.17001828153564899</v>
      </c>
      <c r="R6" s="221">
        <v>2351</v>
      </c>
      <c r="S6" s="224">
        <f>(R6-O6)/O6</f>
        <v>3.5682819383259914E-2</v>
      </c>
      <c r="T6" s="224">
        <f>(R6-M6)/M6</f>
        <v>-2.1232306411323898E-2</v>
      </c>
      <c r="U6" s="225">
        <f>(R6-L6)/L6</f>
        <v>-0.14040219378427787</v>
      </c>
    </row>
    <row r="7" spans="1:21" x14ac:dyDescent="0.25">
      <c r="A7" s="91" t="str">
        <f>IPO監視一覧!H7</f>
        <v>C</v>
      </c>
      <c r="B7" s="99" t="str">
        <f>IPO監視一覧!B7</f>
        <v>ピーバンドットコム</v>
      </c>
      <c r="C7" s="101">
        <v>1650</v>
      </c>
      <c r="D7" s="100">
        <v>3530</v>
      </c>
      <c r="E7" s="226" t="str">
        <f>CONCATENATE(ROUND((IF(ISBLANK(D7),0,D7)-IF(ISBLANK(C7),0,C7))/IF(ISBLANK(C7),0,C7)*100,2),"%")</f>
        <v>113.94%</v>
      </c>
      <c r="F7" s="55">
        <v>3550</v>
      </c>
      <c r="G7" s="36">
        <v>200</v>
      </c>
      <c r="H7" s="55">
        <v>3320</v>
      </c>
      <c r="I7" s="55">
        <v>1050</v>
      </c>
      <c r="J7" s="228">
        <f>(H7-F7)*G7-I7</f>
        <v>-47050</v>
      </c>
      <c r="O7" s="142">
        <v>2850</v>
      </c>
      <c r="P7" s="234">
        <f>(O7-D7)/D7</f>
        <v>-0.19263456090651557</v>
      </c>
      <c r="Q7" s="235"/>
      <c r="R7" s="230">
        <v>3350</v>
      </c>
      <c r="S7" s="236">
        <f>(R7-O7)/O7</f>
        <v>0.17543859649122806</v>
      </c>
      <c r="T7" s="237"/>
      <c r="U7" s="238"/>
    </row>
    <row r="9" spans="1:21" ht="16.5" thickBot="1" x14ac:dyDescent="0.3">
      <c r="E9" s="239">
        <v>0.15</v>
      </c>
      <c r="F9" s="240">
        <v>0.1</v>
      </c>
      <c r="G9" s="239">
        <v>0.05</v>
      </c>
      <c r="H9" s="241">
        <v>0.03</v>
      </c>
      <c r="I9" s="241">
        <v>-0.03</v>
      </c>
      <c r="J9" s="242">
        <v>-0.05</v>
      </c>
      <c r="K9" s="241">
        <v>-7.0000000000000007E-2</v>
      </c>
    </row>
    <row r="10" spans="1:21" ht="16.5" thickTop="1" x14ac:dyDescent="0.25">
      <c r="B10" s="243" t="s">
        <v>386</v>
      </c>
      <c r="C10" s="244">
        <v>3670</v>
      </c>
      <c r="E10" s="245">
        <f>C10*1.15</f>
        <v>4220.5</v>
      </c>
      <c r="F10" s="245">
        <f>C10*1.1</f>
        <v>4037.0000000000005</v>
      </c>
      <c r="G10" s="245">
        <f>C10*1.05</f>
        <v>3853.5</v>
      </c>
      <c r="H10" s="245">
        <f>C10*1.03</f>
        <v>3780.1</v>
      </c>
      <c r="I10" s="245">
        <f>C10*0.97</f>
        <v>3559.9</v>
      </c>
      <c r="J10" s="245">
        <f>C10*0.95</f>
        <v>3486.5</v>
      </c>
      <c r="K10" s="245">
        <f>C10*0.93</f>
        <v>3413.1000000000004</v>
      </c>
    </row>
    <row r="11" spans="1:21" x14ac:dyDescent="0.25">
      <c r="E11" s="12"/>
      <c r="F11" s="12" t="s">
        <v>387</v>
      </c>
      <c r="G11" s="12"/>
      <c r="H11" s="12" t="s">
        <v>387</v>
      </c>
      <c r="I11" s="246" t="s">
        <v>388</v>
      </c>
      <c r="J11" s="15"/>
      <c r="K11" s="12" t="s">
        <v>389</v>
      </c>
    </row>
  </sheetData>
  <phoneticPr fontId="2"/>
  <conditionalFormatting sqref="J2:J7">
    <cfRule type="cellIs" dxfId="1" priority="1" operator="lessThan">
      <formula>0</formula>
    </cfRule>
  </conditionalFormatting>
  <pageMargins left="0.7" right="0.7" top="0.75" bottom="0.75" header="0.3" footer="0.3"/>
  <pageSetup paperSize="9" orientation="portrait" horizontalDpi="300" verticalDpi="300"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B2:B10"/>
  <sheetViews>
    <sheetView workbookViewId="0">
      <selection activeCell="A20" sqref="A20"/>
    </sheetView>
  </sheetViews>
  <sheetFormatPr defaultRowHeight="13.5" x14ac:dyDescent="0.25"/>
  <cols>
    <col min="1" max="1" width="7.88671875" style="247" customWidth="1"/>
    <col min="2" max="16384" width="8.88671875" style="247"/>
  </cols>
  <sheetData>
    <row r="2" spans="2:2" ht="15.75" x14ac:dyDescent="0.25">
      <c r="B2" s="12"/>
    </row>
    <row r="3" spans="2:2" ht="15.75" x14ac:dyDescent="0.25">
      <c r="B3" s="12" t="s">
        <v>82</v>
      </c>
    </row>
    <row r="4" spans="2:2" ht="15.75" x14ac:dyDescent="0.25">
      <c r="B4" s="12" t="s">
        <v>390</v>
      </c>
    </row>
    <row r="5" spans="2:2" x14ac:dyDescent="0.25">
      <c r="B5" s="38" t="s">
        <v>391</v>
      </c>
    </row>
    <row r="6" spans="2:2" ht="15.75" x14ac:dyDescent="0.25">
      <c r="B6" s="12" t="s">
        <v>392</v>
      </c>
    </row>
    <row r="7" spans="2:2" x14ac:dyDescent="0.25">
      <c r="B7" s="38" t="s">
        <v>393</v>
      </c>
    </row>
    <row r="8" spans="2:2" ht="15.75" x14ac:dyDescent="0.25">
      <c r="B8" s="14" t="s">
        <v>394</v>
      </c>
    </row>
    <row r="9" spans="2:2" x14ac:dyDescent="0.25">
      <c r="B9" s="38" t="s">
        <v>395</v>
      </c>
    </row>
    <row r="10" spans="2:2" ht="15.75" x14ac:dyDescent="0.25">
      <c r="B10" s="12"/>
    </row>
  </sheetData>
  <phoneticPr fontId="2"/>
  <hyperlinks>
    <hyperlink ref="B5" r:id="rId1"/>
    <hyperlink ref="B7" r:id="rId2"/>
    <hyperlink ref="B9" r:id="rId3"/>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B2:H33"/>
  <sheetViews>
    <sheetView topLeftCell="A116" zoomScale="55" zoomScaleNormal="55" workbookViewId="0">
      <selection activeCell="A20" sqref="A20"/>
    </sheetView>
  </sheetViews>
  <sheetFormatPr defaultColWidth="8" defaultRowHeight="15.75" x14ac:dyDescent="0.25"/>
  <cols>
    <col min="1" max="1" width="7.88671875" style="60" customWidth="1"/>
    <col min="2" max="16384" width="8" style="60"/>
  </cols>
  <sheetData>
    <row r="2" spans="2:8" x14ac:dyDescent="0.25">
      <c r="B2" s="105" t="s">
        <v>396</v>
      </c>
      <c r="H2" s="105" t="s">
        <v>397</v>
      </c>
    </row>
    <row r="3" spans="2:8" x14ac:dyDescent="0.25">
      <c r="B3" s="60" t="s">
        <v>398</v>
      </c>
      <c r="H3" s="60" t="s">
        <v>399</v>
      </c>
    </row>
    <row r="4" spans="2:8" x14ac:dyDescent="0.25">
      <c r="B4" s="60" t="s">
        <v>400</v>
      </c>
      <c r="H4" s="60" t="s">
        <v>401</v>
      </c>
    </row>
    <row r="5" spans="2:8" x14ac:dyDescent="0.25">
      <c r="B5" s="60" t="s">
        <v>402</v>
      </c>
      <c r="H5" s="60" t="s">
        <v>403</v>
      </c>
    </row>
    <row r="33" spans="2:2" x14ac:dyDescent="0.25">
      <c r="B33" s="105" t="s">
        <v>404</v>
      </c>
    </row>
  </sheetData>
  <phoneticPr fontId="2"/>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B2:C22"/>
  <sheetViews>
    <sheetView topLeftCell="A10" workbookViewId="0">
      <selection activeCell="A20" sqref="A20"/>
    </sheetView>
  </sheetViews>
  <sheetFormatPr defaultColWidth="8" defaultRowHeight="15.75" x14ac:dyDescent="0.25"/>
  <cols>
    <col min="1" max="1" width="7.88671875" style="60" customWidth="1"/>
    <col min="2" max="2" width="14.5546875" style="60" bestFit="1" customWidth="1"/>
    <col min="3" max="3" width="118.88671875" style="60" bestFit="1" customWidth="1"/>
    <col min="4" max="16384" width="8" style="60"/>
  </cols>
  <sheetData>
    <row r="2" spans="2:3" x14ac:dyDescent="0.25">
      <c r="B2" s="248" t="s">
        <v>405</v>
      </c>
      <c r="C2" s="248" t="s">
        <v>406</v>
      </c>
    </row>
    <row r="3" spans="2:3" x14ac:dyDescent="0.25">
      <c r="B3" s="403" t="s">
        <v>407</v>
      </c>
      <c r="C3" s="249" t="s">
        <v>408</v>
      </c>
    </row>
    <row r="4" spans="2:3" x14ac:dyDescent="0.25">
      <c r="B4" s="404"/>
      <c r="C4" s="250" t="s">
        <v>409</v>
      </c>
    </row>
    <row r="5" spans="2:3" x14ac:dyDescent="0.25">
      <c r="B5" s="405" t="s">
        <v>410</v>
      </c>
      <c r="C5" s="251" t="s">
        <v>411</v>
      </c>
    </row>
    <row r="6" spans="2:3" x14ac:dyDescent="0.25">
      <c r="B6" s="406"/>
      <c r="C6" s="238" t="s">
        <v>412</v>
      </c>
    </row>
    <row r="7" spans="2:3" x14ac:dyDescent="0.25">
      <c r="B7" s="252" t="s">
        <v>413</v>
      </c>
      <c r="C7" s="252" t="s">
        <v>414</v>
      </c>
    </row>
    <row r="8" spans="2:3" x14ac:dyDescent="0.25">
      <c r="B8" s="407" t="s">
        <v>415</v>
      </c>
      <c r="C8" s="253" t="s">
        <v>416</v>
      </c>
    </row>
    <row r="9" spans="2:3" x14ac:dyDescent="0.25">
      <c r="B9" s="407"/>
      <c r="C9" s="254" t="s">
        <v>417</v>
      </c>
    </row>
    <row r="10" spans="2:3" x14ac:dyDescent="0.25">
      <c r="B10" s="407"/>
      <c r="C10" s="255" t="s">
        <v>418</v>
      </c>
    </row>
    <row r="11" spans="2:3" x14ac:dyDescent="0.25">
      <c r="B11" s="252" t="s">
        <v>419</v>
      </c>
      <c r="C11" s="252" t="s">
        <v>420</v>
      </c>
    </row>
    <row r="12" spans="2:3" x14ac:dyDescent="0.25">
      <c r="B12" s="405" t="s">
        <v>421</v>
      </c>
      <c r="C12" s="253" t="s">
        <v>422</v>
      </c>
    </row>
    <row r="13" spans="2:3" x14ac:dyDescent="0.25">
      <c r="B13" s="406"/>
      <c r="C13" s="255" t="s">
        <v>423</v>
      </c>
    </row>
    <row r="14" spans="2:3" x14ac:dyDescent="0.25">
      <c r="B14" s="403" t="s">
        <v>424</v>
      </c>
      <c r="C14" s="256" t="s">
        <v>425</v>
      </c>
    </row>
    <row r="15" spans="2:3" x14ac:dyDescent="0.25">
      <c r="B15" s="408"/>
      <c r="C15" s="257" t="s">
        <v>426</v>
      </c>
    </row>
    <row r="16" spans="2:3" x14ac:dyDescent="0.25">
      <c r="B16" s="404"/>
      <c r="C16" s="258" t="s">
        <v>427</v>
      </c>
    </row>
    <row r="17" spans="2:3" x14ac:dyDescent="0.25">
      <c r="B17" s="248" t="s">
        <v>428</v>
      </c>
      <c r="C17" s="248" t="s">
        <v>429</v>
      </c>
    </row>
    <row r="18" spans="2:3" x14ac:dyDescent="0.25">
      <c r="B18" s="403" t="s">
        <v>430</v>
      </c>
      <c r="C18" s="256" t="s">
        <v>431</v>
      </c>
    </row>
    <row r="19" spans="2:3" x14ac:dyDescent="0.25">
      <c r="B19" s="404"/>
      <c r="C19" s="258" t="s">
        <v>432</v>
      </c>
    </row>
    <row r="20" spans="2:3" x14ac:dyDescent="0.25">
      <c r="B20" s="248" t="s">
        <v>433</v>
      </c>
      <c r="C20" s="248" t="s">
        <v>434</v>
      </c>
    </row>
    <row r="21" spans="2:3" x14ac:dyDescent="0.25">
      <c r="B21" s="403" t="s">
        <v>435</v>
      </c>
      <c r="C21" s="256" t="s">
        <v>436</v>
      </c>
    </row>
    <row r="22" spans="2:3" x14ac:dyDescent="0.25">
      <c r="B22" s="404"/>
      <c r="C22" s="258" t="s">
        <v>437</v>
      </c>
    </row>
  </sheetData>
  <mergeCells count="7">
    <mergeCell ref="B21:B22"/>
    <mergeCell ref="B3:B4"/>
    <mergeCell ref="B5:B6"/>
    <mergeCell ref="B8:B10"/>
    <mergeCell ref="B12:B13"/>
    <mergeCell ref="B14:B16"/>
    <mergeCell ref="B18:B19"/>
  </mergeCells>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O37"/>
  <sheetViews>
    <sheetView workbookViewId="0">
      <selection activeCell="A20" sqref="A20"/>
    </sheetView>
  </sheetViews>
  <sheetFormatPr defaultRowHeight="13.5" x14ac:dyDescent="0.25"/>
  <cols>
    <col min="1" max="1" width="18.6640625" style="247" customWidth="1"/>
    <col min="2" max="4" width="8.88671875" style="247"/>
    <col min="5" max="6" width="7.21875" style="247" customWidth="1"/>
    <col min="7" max="7" width="9.6640625" style="247" customWidth="1"/>
    <col min="8" max="9" width="8.88671875" style="247"/>
    <col min="10" max="10" width="9" style="247" customWidth="1"/>
    <col min="11" max="11" width="8.88671875" style="247"/>
    <col min="12" max="12" width="8.44140625" style="247" bestFit="1" customWidth="1"/>
    <col min="13" max="16384" width="8.88671875" style="247"/>
  </cols>
  <sheetData>
    <row r="2" spans="1:13" x14ac:dyDescent="0.25">
      <c r="A2" s="247" t="s">
        <v>438</v>
      </c>
      <c r="B2" s="247" t="s">
        <v>439</v>
      </c>
      <c r="C2" s="247" t="s">
        <v>440</v>
      </c>
      <c r="D2" s="247" t="s">
        <v>441</v>
      </c>
      <c r="E2" s="247" t="s">
        <v>442</v>
      </c>
      <c r="G2" s="247" t="s">
        <v>443</v>
      </c>
      <c r="J2" s="247" t="s">
        <v>444</v>
      </c>
    </row>
    <row r="3" spans="1:13" x14ac:dyDescent="0.25">
      <c r="A3" s="247">
        <v>2</v>
      </c>
      <c r="B3" s="247">
        <v>200</v>
      </c>
      <c r="C3" s="247">
        <v>3320</v>
      </c>
      <c r="D3" s="247">
        <v>487</v>
      </c>
      <c r="E3" s="247">
        <v>38</v>
      </c>
      <c r="G3" s="247">
        <v>663475</v>
      </c>
      <c r="J3" s="247">
        <v>663475</v>
      </c>
      <c r="L3" s="247">
        <v>710600</v>
      </c>
      <c r="M3" s="247">
        <f>J3-L3</f>
        <v>-47125</v>
      </c>
    </row>
    <row r="4" spans="1:13" x14ac:dyDescent="0.25">
      <c r="A4" s="247">
        <v>1</v>
      </c>
      <c r="B4" s="247">
        <v>200</v>
      </c>
      <c r="C4" s="247">
        <v>3550</v>
      </c>
      <c r="D4" s="247">
        <v>487</v>
      </c>
      <c r="E4" s="247">
        <v>38</v>
      </c>
      <c r="G4" s="247">
        <f>710525*-1</f>
        <v>-710525</v>
      </c>
    </row>
    <row r="5" spans="1:13" x14ac:dyDescent="0.25">
      <c r="A5" s="259">
        <v>2</v>
      </c>
      <c r="B5" s="259">
        <v>100</v>
      </c>
      <c r="C5" s="259">
        <v>3015</v>
      </c>
      <c r="D5" s="259">
        <v>272</v>
      </c>
      <c r="E5" s="259">
        <v>21</v>
      </c>
      <c r="F5" s="259"/>
      <c r="G5" s="259">
        <v>301207</v>
      </c>
      <c r="J5" s="247">
        <v>301207</v>
      </c>
      <c r="L5" s="247">
        <v>300200</v>
      </c>
      <c r="M5" s="247">
        <f>J5-L5</f>
        <v>1007</v>
      </c>
    </row>
    <row r="6" spans="1:13" x14ac:dyDescent="0.25">
      <c r="A6" s="259">
        <v>2</v>
      </c>
      <c r="B6" s="259">
        <v>100</v>
      </c>
      <c r="C6" s="259">
        <v>3120</v>
      </c>
      <c r="D6" s="259">
        <v>244</v>
      </c>
      <c r="E6" s="259">
        <v>20</v>
      </c>
      <c r="F6" s="259"/>
      <c r="G6" s="259">
        <v>311736</v>
      </c>
      <c r="J6" s="247">
        <v>311239</v>
      </c>
      <c r="L6" s="247">
        <v>300200</v>
      </c>
      <c r="M6" s="247">
        <f>J6-L6</f>
        <v>11039</v>
      </c>
    </row>
    <row r="7" spans="1:13" x14ac:dyDescent="0.25">
      <c r="A7" s="259">
        <v>2</v>
      </c>
      <c r="B7" s="259">
        <v>100</v>
      </c>
      <c r="C7" s="259">
        <v>3115</v>
      </c>
      <c r="D7" s="259">
        <v>243</v>
      </c>
      <c r="E7" s="259">
        <v>18</v>
      </c>
      <c r="F7" s="259"/>
      <c r="G7" s="259">
        <v>311239</v>
      </c>
      <c r="J7" s="247">
        <v>311736</v>
      </c>
      <c r="L7" s="247">
        <v>300200</v>
      </c>
      <c r="M7" s="247">
        <f>J7-L7</f>
        <v>11536</v>
      </c>
    </row>
    <row r="8" spans="1:13" x14ac:dyDescent="0.25">
      <c r="A8" s="259">
        <v>2</v>
      </c>
      <c r="B8" s="259">
        <v>100</v>
      </c>
      <c r="C8" s="259">
        <v>1912</v>
      </c>
      <c r="D8" s="259">
        <v>176</v>
      </c>
      <c r="E8" s="259">
        <v>14</v>
      </c>
      <c r="F8" s="259"/>
      <c r="G8" s="260">
        <v>191010</v>
      </c>
      <c r="J8" s="247">
        <v>191010</v>
      </c>
      <c r="L8" s="247">
        <v>190200</v>
      </c>
      <c r="M8" s="247">
        <f>J8-L8</f>
        <v>810</v>
      </c>
    </row>
    <row r="9" spans="1:13" x14ac:dyDescent="0.25">
      <c r="A9" s="259">
        <v>2</v>
      </c>
      <c r="B9" s="259">
        <v>100</v>
      </c>
      <c r="C9" s="259">
        <v>1926</v>
      </c>
      <c r="D9" s="259">
        <v>176</v>
      </c>
      <c r="E9" s="259">
        <v>14</v>
      </c>
      <c r="F9" s="259"/>
      <c r="G9" s="260">
        <v>192410</v>
      </c>
      <c r="J9" s="247">
        <v>192410</v>
      </c>
      <c r="L9" s="247">
        <v>190200</v>
      </c>
      <c r="M9" s="247">
        <f>J9-L9</f>
        <v>2210</v>
      </c>
    </row>
    <row r="10" spans="1:13" x14ac:dyDescent="0.25">
      <c r="A10" s="259">
        <v>1</v>
      </c>
      <c r="B10" s="259">
        <v>200</v>
      </c>
      <c r="C10" s="259">
        <v>2996</v>
      </c>
      <c r="D10" s="259">
        <v>487</v>
      </c>
      <c r="E10" s="259">
        <v>38</v>
      </c>
      <c r="F10" s="259"/>
      <c r="G10" s="259">
        <f>599725*-1</f>
        <v>-599725</v>
      </c>
    </row>
    <row r="11" spans="1:13" x14ac:dyDescent="0.25">
      <c r="A11" s="259">
        <v>1</v>
      </c>
      <c r="B11" s="259">
        <v>100</v>
      </c>
      <c r="C11" s="259">
        <v>3005</v>
      </c>
      <c r="D11" s="259">
        <v>272</v>
      </c>
      <c r="E11" s="259">
        <v>21</v>
      </c>
      <c r="F11" s="259"/>
      <c r="G11" s="259">
        <f>300793*-1</f>
        <v>-300793</v>
      </c>
    </row>
    <row r="12" spans="1:13" x14ac:dyDescent="0.25">
      <c r="A12" s="259">
        <v>1</v>
      </c>
      <c r="B12" s="259">
        <v>100</v>
      </c>
      <c r="C12" s="259">
        <v>1900</v>
      </c>
      <c r="D12" s="259">
        <v>185</v>
      </c>
      <c r="E12" s="259">
        <v>14</v>
      </c>
      <c r="F12" s="259"/>
      <c r="G12" s="260">
        <f>190199*-1</f>
        <v>-190199</v>
      </c>
    </row>
    <row r="13" spans="1:13" x14ac:dyDescent="0.25">
      <c r="A13" s="259">
        <v>1</v>
      </c>
      <c r="B13" s="259">
        <v>100</v>
      </c>
      <c r="C13" s="259">
        <v>1900</v>
      </c>
      <c r="D13" s="259">
        <v>185</v>
      </c>
      <c r="E13" s="259">
        <v>14</v>
      </c>
      <c r="F13" s="259"/>
      <c r="G13" s="260">
        <f>190199*-1</f>
        <v>-190199</v>
      </c>
    </row>
    <row r="14" spans="1:13" x14ac:dyDescent="0.25">
      <c r="A14" s="247">
        <v>1</v>
      </c>
      <c r="B14" s="247">
        <v>200</v>
      </c>
      <c r="C14" s="247">
        <v>2900</v>
      </c>
      <c r="D14" s="247">
        <v>325</v>
      </c>
      <c r="E14" s="247">
        <v>26</v>
      </c>
      <c r="G14" s="247">
        <f>580351*-1</f>
        <v>-580351</v>
      </c>
    </row>
    <row r="15" spans="1:13" x14ac:dyDescent="0.25">
      <c r="A15" s="247">
        <v>1</v>
      </c>
      <c r="B15" s="247">
        <v>100</v>
      </c>
      <c r="C15" s="247">
        <v>2901</v>
      </c>
      <c r="D15" s="247">
        <v>162</v>
      </c>
      <c r="E15" s="247">
        <v>12</v>
      </c>
      <c r="G15" s="247">
        <f>290274*-1</f>
        <v>-290274</v>
      </c>
    </row>
    <row r="16" spans="1:13" x14ac:dyDescent="0.25">
      <c r="A16" s="247">
        <v>2</v>
      </c>
      <c r="B16" s="247">
        <v>300</v>
      </c>
      <c r="C16" s="247">
        <v>3020</v>
      </c>
      <c r="D16" s="247">
        <v>487</v>
      </c>
      <c r="E16" s="247">
        <v>38</v>
      </c>
      <c r="G16" s="247">
        <v>905475</v>
      </c>
      <c r="J16" s="247">
        <v>905475</v>
      </c>
      <c r="L16" s="247">
        <v>870900</v>
      </c>
      <c r="M16" s="247">
        <f>J16-L16</f>
        <v>34575</v>
      </c>
    </row>
    <row r="17" spans="1:15" x14ac:dyDescent="0.25">
      <c r="A17" s="261">
        <v>1</v>
      </c>
      <c r="B17" s="261">
        <v>500</v>
      </c>
      <c r="C17" s="261">
        <v>901.8</v>
      </c>
      <c r="D17" s="261">
        <v>457</v>
      </c>
      <c r="E17" s="261">
        <v>35</v>
      </c>
      <c r="F17" s="261"/>
      <c r="G17" s="261">
        <f>(B17*C17+D17+E17)*-1</f>
        <v>-451392</v>
      </c>
      <c r="H17" s="247" t="s">
        <v>445</v>
      </c>
      <c r="I17" s="247">
        <v>451392</v>
      </c>
      <c r="O17" s="247">
        <f>I17+G17</f>
        <v>0</v>
      </c>
    </row>
    <row r="18" spans="1:15" x14ac:dyDescent="0.25">
      <c r="A18" s="261">
        <v>2</v>
      </c>
      <c r="B18" s="261">
        <v>500</v>
      </c>
      <c r="C18" s="261">
        <v>950.4</v>
      </c>
      <c r="D18" s="261">
        <v>457</v>
      </c>
      <c r="E18" s="261">
        <v>4772</v>
      </c>
      <c r="F18" s="261"/>
      <c r="G18" s="261">
        <f>B18*C18-D18-E18</f>
        <v>469971</v>
      </c>
      <c r="H18" s="247" t="s">
        <v>445</v>
      </c>
      <c r="L18" s="247">
        <f>(B17*C17-D17-E17)</f>
        <v>450408</v>
      </c>
    </row>
    <row r="19" spans="1:15" x14ac:dyDescent="0.25">
      <c r="A19" s="261">
        <v>1</v>
      </c>
      <c r="B19" s="261">
        <v>200</v>
      </c>
      <c r="C19" s="261">
        <v>3700</v>
      </c>
      <c r="D19" s="261">
        <v>487</v>
      </c>
      <c r="E19" s="261">
        <v>38</v>
      </c>
      <c r="F19" s="261"/>
      <c r="G19" s="261">
        <f>(B19*C19+D19+E19)*-1</f>
        <v>-740525</v>
      </c>
      <c r="H19" s="247" t="s">
        <v>445</v>
      </c>
      <c r="I19" s="247">
        <v>740525</v>
      </c>
      <c r="O19" s="247">
        <f>I19+G19</f>
        <v>0</v>
      </c>
    </row>
    <row r="20" spans="1:15" x14ac:dyDescent="0.25">
      <c r="A20" s="261">
        <v>2</v>
      </c>
      <c r="B20" s="261">
        <v>200</v>
      </c>
      <c r="C20" s="261">
        <v>3807.5</v>
      </c>
      <c r="D20" s="261">
        <v>487</v>
      </c>
      <c r="E20" s="261">
        <v>4179</v>
      </c>
      <c r="F20" s="261"/>
      <c r="G20" s="261">
        <f>C20*B20-D20-E20</f>
        <v>756834</v>
      </c>
      <c r="H20" s="247" t="s">
        <v>445</v>
      </c>
      <c r="L20" s="247">
        <f>(B19*C19-D19-E19)</f>
        <v>739475</v>
      </c>
    </row>
    <row r="21" spans="1:15" x14ac:dyDescent="0.25">
      <c r="M21" s="247">
        <f>SUM(M3:M20)</f>
        <v>14052</v>
      </c>
    </row>
    <row r="22" spans="1:15" x14ac:dyDescent="0.25">
      <c r="M22" s="247">
        <f>M21*0.20315</f>
        <v>2854.6637999999998</v>
      </c>
    </row>
    <row r="24" spans="1:15" x14ac:dyDescent="0.25">
      <c r="L24" s="247">
        <f>SUM(L3:L23)*-1</f>
        <v>-4052383</v>
      </c>
    </row>
    <row r="25" spans="1:15" x14ac:dyDescent="0.25">
      <c r="A25" s="262" t="s">
        <v>446</v>
      </c>
      <c r="B25" s="247">
        <v>46520</v>
      </c>
      <c r="E25" s="262" t="s">
        <v>447</v>
      </c>
      <c r="F25" s="247">
        <v>1</v>
      </c>
      <c r="G25" s="247">
        <f>G4+G10+G11+G12+G13+G14+G15+G17+G19</f>
        <v>-4053983</v>
      </c>
    </row>
    <row r="26" spans="1:15" x14ac:dyDescent="0.25">
      <c r="E26" s="262" t="s">
        <v>448</v>
      </c>
      <c r="F26" s="247">
        <v>2</v>
      </c>
      <c r="G26" s="247">
        <f>G3+G5+G6+G7+G8+G9+G16+G18+G20</f>
        <v>4103357</v>
      </c>
    </row>
    <row r="29" spans="1:15" x14ac:dyDescent="0.25">
      <c r="E29" s="247" t="s">
        <v>268</v>
      </c>
      <c r="G29" s="247">
        <f>G26+G25</f>
        <v>49374</v>
      </c>
      <c r="I29" s="247">
        <v>47050</v>
      </c>
      <c r="L29" s="247">
        <f>G26+L24</f>
        <v>50974</v>
      </c>
    </row>
    <row r="30" spans="1:15" x14ac:dyDescent="0.25">
      <c r="E30" s="247" t="s">
        <v>449</v>
      </c>
      <c r="G30" s="247">
        <f>2854*-1</f>
        <v>-2854</v>
      </c>
      <c r="L30" s="247">
        <f>2854*-1</f>
        <v>-2854</v>
      </c>
    </row>
    <row r="31" spans="1:15" x14ac:dyDescent="0.25">
      <c r="E31" s="247" t="s">
        <v>450</v>
      </c>
      <c r="G31" s="247">
        <f>G29-2854</f>
        <v>46520</v>
      </c>
      <c r="L31" s="247">
        <f>L29+L30</f>
        <v>48120</v>
      </c>
    </row>
    <row r="34" spans="7:10" x14ac:dyDescent="0.25">
      <c r="G34" s="247">
        <v>46520</v>
      </c>
      <c r="J34" s="247">
        <f>G17+G19</f>
        <v>-1191917</v>
      </c>
    </row>
    <row r="35" spans="7:10" x14ac:dyDescent="0.25">
      <c r="J35" s="263">
        <v>-1191917</v>
      </c>
    </row>
    <row r="36" spans="7:10" x14ac:dyDescent="0.25">
      <c r="G36" s="247">
        <f>G31-G34</f>
        <v>0</v>
      </c>
    </row>
    <row r="37" spans="7:10" x14ac:dyDescent="0.25">
      <c r="J37" s="263">
        <f>J35-J34</f>
        <v>0</v>
      </c>
    </row>
  </sheetData>
  <autoFilter ref="A2:O20"/>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13</vt:i4>
      </vt:variant>
    </vt:vector>
  </HeadingPairs>
  <TitlesOfParts>
    <vt:vector size="13" baseType="lpstr">
      <vt:lpstr>IPO監視一覧</vt:lpstr>
      <vt:lpstr>セカンダリ投資分析(SBI証券)</vt:lpstr>
      <vt:lpstr>参加条件計算</vt:lpstr>
      <vt:lpstr>終値履歴</vt:lpstr>
      <vt:lpstr>口座残高一覧</vt:lpstr>
      <vt:lpstr>株価一覧</vt:lpstr>
      <vt:lpstr>株式売買勝敗サマリ</vt:lpstr>
      <vt:lpstr>セカンダリマイルール </vt:lpstr>
      <vt:lpstr>【OLD】セカンダリマイルール</vt:lpstr>
      <vt:lpstr>参考リンク</vt:lpstr>
      <vt:lpstr>IPO気配キャプチャ</vt:lpstr>
      <vt:lpstr>用語集</vt:lpstr>
      <vt:lpstr>損益計算方法参考</vt:lpstr>
    </vt:vector>
  </TitlesOfParts>
  <Company>NECグループ標準PCサービス</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NEC-USER</dc:creator>
  <cp:lastModifiedBy>NEC-USER</cp:lastModifiedBy>
  <dcterms:created xsi:type="dcterms:W3CDTF">2017-05-21T04:36:32Z</dcterms:created>
  <dcterms:modified xsi:type="dcterms:W3CDTF">2017-07-14T06:06:18Z</dcterms:modified>
</cp:coreProperties>
</file>