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tarrantcarter/Dropbox/Data Science/Thinkful/Thinkful Data Science Projects/Supervised Learning/"/>
    </mc:Choice>
  </mc:AlternateContent>
  <xr:revisionPtr revIDLastSave="0" documentId="13_ncr:1_{01A07C88-7162-1D44-9993-2410A0A57F88}" xr6:coauthVersionLast="45" xr6:coauthVersionMax="45" xr10:uidLastSave="{00000000-0000-0000-0000-000000000000}"/>
  <bookViews>
    <workbookView xWindow="14160" yWindow="1920" windowWidth="20700" windowHeight="13700" activeTab="3" xr2:uid="{00000000-000D-0000-FFFF-FFFF00000000}"/>
  </bookViews>
  <sheets>
    <sheet name="Defaults" sheetId="9" r:id="rId1"/>
    <sheet name="Returns" sheetId="10" r:id="rId2"/>
    <sheet name="LoanStats" sheetId="3" r:id="rId3"/>
    <sheet name="browseNotes" sheetId="6" r:id="rId4"/>
    <sheet name="RejectStats" sheetId="7" r:id="rId5"/>
  </sheets>
  <definedNames>
    <definedName name="_xlnm._FilterDatabase" localSheetId="3" hidden="1">browseNotes!$A$1:$B$89</definedName>
    <definedName name="_xlnm._FilterDatabase" localSheetId="2" hidden="1">LoanStats!$A$1:$B$129</definedName>
    <definedName name="_xlnm._FilterDatabase" localSheetId="4"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56" i="10" l="1"/>
  <c r="D56" i="10"/>
  <c r="F55" i="10"/>
  <c r="D55" i="10"/>
  <c r="B55" i="10"/>
  <c r="E43" i="10"/>
  <c r="E25" i="10"/>
  <c r="C35" i="9"/>
  <c r="C36" i="9" s="1"/>
  <c r="C31" i="9"/>
  <c r="F17" i="10"/>
  <c r="J92" i="10"/>
  <c r="F93" i="10"/>
  <c r="D93" i="10"/>
  <c r="F92" i="10"/>
  <c r="F94" i="10" s="1"/>
  <c r="B92" i="10"/>
  <c r="D92" i="10" s="1"/>
  <c r="F86" i="10"/>
  <c r="D86" i="10"/>
  <c r="J85" i="10"/>
  <c r="F85" i="10"/>
  <c r="F87" i="10" s="1"/>
  <c r="B85" i="10"/>
  <c r="D85" i="10" s="1"/>
  <c r="F78" i="10"/>
  <c r="D78" i="10"/>
  <c r="D79" i="10" s="1"/>
  <c r="E80" i="10" s="1"/>
  <c r="F77" i="10"/>
  <c r="F79" i="10" s="1"/>
  <c r="B77" i="10"/>
  <c r="D77" i="10" s="1"/>
  <c r="D94" i="10" l="1"/>
  <c r="E95" i="10" s="1"/>
  <c r="D87" i="10"/>
  <c r="E88" i="10"/>
  <c r="F71" i="10"/>
  <c r="D71" i="10"/>
  <c r="J70" i="10"/>
  <c r="B70" i="10"/>
  <c r="D70" i="10" s="1"/>
  <c r="F63" i="10"/>
  <c r="D63" i="10"/>
  <c r="B62" i="10"/>
  <c r="D62" i="10" s="1"/>
  <c r="D64" i="10" s="1"/>
  <c r="D72" i="10" l="1"/>
  <c r="E73" i="10" s="1"/>
  <c r="F62" i="10"/>
  <c r="F64" i="10" s="1"/>
  <c r="E65" i="10" s="1"/>
  <c r="F70" i="10"/>
  <c r="F72" i="10" s="1"/>
  <c r="J55" i="10" l="1"/>
  <c r="F48" i="10"/>
  <c r="D48" i="10"/>
  <c r="B47" i="10"/>
  <c r="F47" i="10" s="1"/>
  <c r="F41" i="10"/>
  <c r="D41" i="10"/>
  <c r="J40" i="10"/>
  <c r="D40" i="10"/>
  <c r="B40" i="10"/>
  <c r="F40" i="10" s="1"/>
  <c r="F42" i="10" s="1"/>
  <c r="F33" i="10"/>
  <c r="D33" i="10"/>
  <c r="D32" i="10"/>
  <c r="D34" i="10" s="1"/>
  <c r="E35" i="10" s="1"/>
  <c r="B32" i="10"/>
  <c r="F32" i="10" s="1"/>
  <c r="F34" i="10" s="1"/>
  <c r="G26" i="10"/>
  <c r="E26" i="10"/>
  <c r="K25" i="10"/>
  <c r="B25" i="10"/>
  <c r="F18" i="10"/>
  <c r="F19" i="10" s="1"/>
  <c r="D18" i="10"/>
  <c r="B17" i="10"/>
  <c r="D17" i="10" s="1"/>
  <c r="B2" i="10"/>
  <c r="D2" i="10" s="1"/>
  <c r="D3" i="10"/>
  <c r="F3" i="10"/>
  <c r="C24" i="9"/>
  <c r="J10" i="10"/>
  <c r="I10" i="10"/>
  <c r="F11" i="10"/>
  <c r="D11" i="10"/>
  <c r="B10" i="10"/>
  <c r="D10" i="10" s="1"/>
  <c r="N20" i="9"/>
  <c r="K28" i="9"/>
  <c r="L29" i="9"/>
  <c r="J28" i="9"/>
  <c r="N25" i="9"/>
  <c r="L20" i="9"/>
  <c r="J19" i="9"/>
  <c r="L19" i="9" s="1"/>
  <c r="F19" i="9"/>
  <c r="H20" i="9"/>
  <c r="H19" i="9"/>
  <c r="C28" i="9"/>
  <c r="C29" i="9" s="1"/>
  <c r="G25" i="9"/>
  <c r="H3" i="9"/>
  <c r="H15" i="9"/>
  <c r="D19" i="9"/>
  <c r="D20" i="9"/>
  <c r="H9" i="9"/>
  <c r="H16" i="9"/>
  <c r="J11" i="9"/>
  <c r="H4" i="9"/>
  <c r="H17" i="9"/>
  <c r="G17" i="9"/>
  <c r="I17" i="9" s="1"/>
  <c r="G16" i="9"/>
  <c r="G15" i="9"/>
  <c r="I15" i="9" s="1"/>
  <c r="H10" i="9"/>
  <c r="H5" i="9"/>
  <c r="H11" i="9"/>
  <c r="C9" i="9"/>
  <c r="C10" i="9"/>
  <c r="C11" i="9"/>
  <c r="G11" i="9"/>
  <c r="G10" i="9"/>
  <c r="I10" i="9" s="1"/>
  <c r="G9" i="9"/>
  <c r="I9" i="9" s="1"/>
  <c r="G5" i="9"/>
  <c r="G4" i="9"/>
  <c r="G3" i="9"/>
  <c r="I3" i="9" s="1"/>
  <c r="B11" i="9"/>
  <c r="B10" i="9"/>
  <c r="D10" i="9" s="1"/>
  <c r="B9" i="9"/>
  <c r="C5" i="9"/>
  <c r="B5" i="9"/>
  <c r="D5" i="9" s="1"/>
  <c r="D4" i="9"/>
  <c r="C4" i="9"/>
  <c r="B4" i="9"/>
  <c r="C3" i="9"/>
  <c r="B3" i="9"/>
  <c r="F57" i="10" l="1"/>
  <c r="D57" i="10"/>
  <c r="F49" i="10"/>
  <c r="D47" i="10"/>
  <c r="D49" i="10" s="1"/>
  <c r="E50" i="10" s="1"/>
  <c r="D42" i="10"/>
  <c r="G25" i="10"/>
  <c r="G27" i="10" s="1"/>
  <c r="D19" i="10"/>
  <c r="E20" i="10" s="1"/>
  <c r="E27" i="10"/>
  <c r="F10" i="10"/>
  <c r="F12" i="10" s="1"/>
  <c r="D4" i="10"/>
  <c r="F2" i="10"/>
  <c r="F4" i="10" s="1"/>
  <c r="L21" i="9"/>
  <c r="D12" i="10"/>
  <c r="E13" i="10" s="1"/>
  <c r="I16" i="9"/>
  <c r="N26" i="9"/>
  <c r="N19" i="9"/>
  <c r="N21" i="9" s="1"/>
  <c r="D3" i="9"/>
  <c r="D21" i="9"/>
  <c r="L28" i="9"/>
  <c r="N28" i="9" s="1"/>
  <c r="L30" i="9"/>
  <c r="N29" i="9"/>
  <c r="H21" i="9"/>
  <c r="I4" i="9"/>
  <c r="I11" i="9"/>
  <c r="D9" i="9"/>
  <c r="D11" i="9"/>
  <c r="I5" i="9"/>
  <c r="E58" i="10" l="1"/>
  <c r="F28" i="10"/>
  <c r="E5" i="10"/>
  <c r="M22" i="9"/>
</calcChain>
</file>

<file path=xl/sharedStrings.xml><?xml version="1.0" encoding="utf-8"?>
<sst xmlns="http://schemas.openxmlformats.org/spreadsheetml/2006/main" count="743" uniqueCount="417">
  <si>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</si>
  <si>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</si>
  <si>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</si>
  <si>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</si>
  <si>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</si>
  <si>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</si>
  <si>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</si>
  <si>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</si>
  <si>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</si>
  <si>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</si>
  <si>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</si>
  <si>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</si>
  <si>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</si>
  <si>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</si>
  <si>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</si>
  <si>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</si>
  <si>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</si>
  <si>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</si>
  <si>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</si>
  <si>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</si>
  <si>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</si>
  <si>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</si>
  <si>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</si>
  <si>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</si>
  <si>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</si>
  <si>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</si>
  <si>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</si>
  <si>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</si>
  <si>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</si>
  <si>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</si>
  <si>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</si>
  <si>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</si>
  <si>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</si>
  <si>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</si>
  <si>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</si>
  <si>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</si>
  <si>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</si>
  <si>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</si>
  <si>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</si>
  <si>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</si>
  <si>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</si>
  <si>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</si>
  <si>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</si>
  <si>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</si>
  <si>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</si>
  <si>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</si>
  <si>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</si>
  <si>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</si>
  <si>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</si>
  <si>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</si>
  <si>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</si>
  <si>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</si>
  <si>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</si>
  <si>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</si>
  <si>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</si>
  <si>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</si>
  <si>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</si>
  <si>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</si>
  <si>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</si>
  <si>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</si>
  <si>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</si>
  <si>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</si>
  <si>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</si>
  <si>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</si>
  <si>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</si>
  <si>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</si>
  <si>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</si>
  <si>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</si>
  <si>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</si>
  <si>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</si>
  <si>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</si>
  <si>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</si>
  <si>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</si>
  <si>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</si>
  <si>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</si>
  <si>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</si>
  <si>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</si>
  <si>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</si>
  <si>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</si>
  <si>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</si>
  <si>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</si>
  <si>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</si>
  <si>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</si>
  <si>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</si>
  <si>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</si>
  <si>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</si>
  <si>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</si>
  <si>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</si>
  <si>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</si>
  <si>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</si>
  <si>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</si>
  <si>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</si>
  <si>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</si>
  <si>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</si>
  <si>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</si>
  <si>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</si>
  <si>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</si>
  <si>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</si>
  <si>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</si>
  <si>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</si>
  <si>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</si>
  <si>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</si>
  <si>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</si>
  <si>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</si>
  <si>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</si>
  <si>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</si>
  <si>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</si>
  <si>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</si>
  <si>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</si>
  <si>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</si>
  <si>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</si>
  <si>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</si>
  <si>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</si>
  <si>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</si>
  <si>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</si>
  <si>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</si>
  <si>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</si>
  <si>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</si>
  <si>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</si>
  <si>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</si>
  <si>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</si>
  <si>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</si>
  <si>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</si>
  <si>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</si>
  <si>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</si>
  <si>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</si>
  <si>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</si>
  <si>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</si>
  <si>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</si>
  <si>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</si>
  <si>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</si>
  <si>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</si>
  <si>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</si>
  <si>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</si>
  <si>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</si>
  <si>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</si>
  <si>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</si>
  <si>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</si>
  <si>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</si>
  <si>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</si>
  <si>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</si>
  <si>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</si>
  <si>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</si>
  <si>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</si>
  <si>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</si>
  <si>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</si>
  <si>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</si>
  <si>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</si>
  <si>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</si>
  <si>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</si>
  <si>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</si>
  <si>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</si>
  <si>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</si>
  <si>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</si>
  <si>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</si>
  <si>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</si>
  <si>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</si>
  <si>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</si>
  <si>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</si>
  <si>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</si>
  <si>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</si>
  <si>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</si>
  <si>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</si>
  <si>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</si>
  <si>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</si>
  <si>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</si>
  <si>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</si>
  <si>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</si>
  <si>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</si>
  <si>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</si>
  <si>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</si>
  <si>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</si>
  <si>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</si>
  <si>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</si>
  <si>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</si>
  <si>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</si>
  <si>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</si>
  <si>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</si>
  <si>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</si>
  <si>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</si>
  <si>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</si>
  <si>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</si>
  <si>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</si>
  <si>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</si>
  <si>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</si>
  <si>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</si>
  <si>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</si>
  <si>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</si>
  <si>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</si>
  <si>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</si>
  <si>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</si>
  <si>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</si>
  <si>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</si>
  <si>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</si>
  <si>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</si>
  <si>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</si>
  <si>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</si>
  <si>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</si>
  <si>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</si>
  <si>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</si>
  <si>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</si>
  <si>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</si>
  <si>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</si>
  <si>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</si>
  <si>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</si>
  <si>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</si>
  <si>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</si>
  <si>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</si>
  <si>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</si>
  <si>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</si>
  <si>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</si>
  <si>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</si>
  <si>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</si>
  <si>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</si>
  <si>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</si>
  <si>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</si>
  <si>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</si>
  <si>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</si>
  <si>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</si>
  <si>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</si>
  <si>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</si>
  <si>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</si>
  <si>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</si>
  <si>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</si>
  <si>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</si>
  <si>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</si>
  <si>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</si>
  <si>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</si>
  <si>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</si>
  <si>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</si>
  <si>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</si>
  <si>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</si>
  <si>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</si>
  <si>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</si>
  <si>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</si>
  <si>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</si>
  <si>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</si>
  <si>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</si>
  <si>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</si>
  <si>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</si>
  <si>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</si>
  <si>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</si>
  <si>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</si>
  <si>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</si>
  <si>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</si>
  <si>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</si>
  <si>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</si>
  <si>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</si>
  <si>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</si>
  <si>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</si>
  <si>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</si>
  <si>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</si>
  <si>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</si>
  <si>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</si>
  <si>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</si>
  <si>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</si>
  <si>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</si>
  <si>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</si>
  <si>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</si>
  <si>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</si>
  <si>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</si>
  <si>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</si>
  <si>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</si>
  <si>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</si>
  <si>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</si>
  <si>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</si>
  <si>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</si>
  <si>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</si>
  <si>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</si>
  <si>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</si>
  <si>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</si>
  <si>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</si>
  <si>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</si>
  <si>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</si>
  <si>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</si>
  <si>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</si>
  <si>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</si>
  <si>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</si>
  <si>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</si>
  <si>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</si>
  <si>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</si>
  <si>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</si>
  <si>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</si>
  <si>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</si>
  <si>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</si>
  <si>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</si>
  <si>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</si>
  <si>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</si>
  <si>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</si>
  <si>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</si>
  <si>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</si>
  <si>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</si>
  <si>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</si>
  <si>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</si>
  <si>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</si>
  <si>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</si>
  <si>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</si>
  <si>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</si>
  <si>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</si>
  <si>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</si>
  <si>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</si>
  <si>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</si>
  <si>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</si>
  <si>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</si>
  <si>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</si>
  <si>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</si>
  <si>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</si>
  <si>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</si>
  <si>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</si>
  <si>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</si>
  <si>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</si>
  <si>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</si>
  <si>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</si>
  <si>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</si>
  <si>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</si>
  <si>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</si>
  <si>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</si>
  <si>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</si>
  <si>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</si>
  <si>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</si>
  <si>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</si>
  <si>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</si>
  <si>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</si>
  <si>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</si>
  <si>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</si>
  <si>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</si>
  <si>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</si>
  <si>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</si>
  <si>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</si>
  <si>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</si>
  <si>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</si>
  <si>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</si>
  <si>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</si>
  <si>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</si>
  <si>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</si>
  <si>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</si>
  <si>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</si>
  <si>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</si>
  <si>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</si>
  <si>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</si>
  <si>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</si>
  <si>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</si>
  <si>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</si>
  <si>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</si>
  <si>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</si>
  <si>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</si>
  <si>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</si>
  <si>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</si>
  <si>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</si>
  <si>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</si>
  <si>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</si>
  <si>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</si>
  <si>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</si>
  <si>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</si>
  <si>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</si>
  <si>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</si>
  <si>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</si>
  <si>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</si>
  <si>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</si>
  <si>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</si>
  <si>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</si>
  <si>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</si>
  <si>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</si>
  <si>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</si>
  <si>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</si>
  <si>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</si>
  <si>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</si>
  <si>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</si>
  <si>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</si>
  <si>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</si>
  <si>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</si>
  <si>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</si>
  <si>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</si>
  <si>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</si>
  <si>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</si>
  <si>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</si>
  <si>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</si>
  <si>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</si>
  <si>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</si>
  <si>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</si>
  <si>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</si>
  <si>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</si>
  <si>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</si>
  <si>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Default Rate</t>
  </si>
  <si>
    <t>E</t>
  </si>
  <si>
    <t>F</t>
  </si>
  <si>
    <t>G</t>
  </si>
  <si>
    <t>Average</t>
  </si>
  <si>
    <t>Model</t>
  </si>
  <si>
    <t>Diff</t>
  </si>
  <si>
    <t>Precision</t>
  </si>
  <si>
    <t>Recall</t>
  </si>
  <si>
    <t>neg class flip</t>
  </si>
  <si>
    <t>Macro Avg</t>
  </si>
  <si>
    <t>Full</t>
  </si>
  <si>
    <t>Ratio G/B</t>
  </si>
  <si>
    <t>Good Loans</t>
  </si>
  <si>
    <t>Bad Loans</t>
  </si>
  <si>
    <t>Gross Profit</t>
  </si>
  <si>
    <t>Weighted Profit</t>
  </si>
  <si>
    <t>Tot Profit</t>
  </si>
  <si>
    <t>Tot Costs</t>
  </si>
  <si>
    <t>ROI</t>
  </si>
  <si>
    <t>Default</t>
  </si>
  <si>
    <t>Model DEFG</t>
  </si>
  <si>
    <t>Model F-recall</t>
  </si>
  <si>
    <t>Model F=macro_avg</t>
  </si>
  <si>
    <t>Model F+G</t>
  </si>
  <si>
    <t>Recall Macro</t>
  </si>
  <si>
    <t>recall</t>
  </si>
  <si>
    <t>macro avg</t>
  </si>
  <si>
    <t>5 hypers</t>
  </si>
  <si>
    <t>E&amp;F</t>
  </si>
  <si>
    <t>Cost</t>
  </si>
  <si>
    <t>Weighted Cost</t>
  </si>
  <si>
    <t>Net Profit</t>
  </si>
  <si>
    <t>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</si>
</sst>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2" fontId="0" fillId="0" borderId="0" xfId="0" applyNumberFormat="1"/>
    <xf numFmtId="10" fontId="16" fillId="34" borderId="0" xfId="0" applyNumberFormat="1" applyFont="1" applyFill="1"/>
    <xf numFmtId="10" fontId="16" fillId="35" borderId="0" xfId="0" applyNumberFormat="1" applyFont="1" applyFill="1"/>
    <xf numFmtId="0" fontId="0" fillId="36"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89D46-FF3A-C741-AE8A-4136DEA17B12}">
  <dimension ref="A1:N36"/>
  <sheetViews>
    <sheetView workbookViewId="0">
      <selection activeCell="H5" sqref="H5"/>
    </sheetView>
  </sheetViews>
  <sheetFormatPr baseColWidth="10" defaultRowHeight="15" x14ac:dyDescent="0.2"/>
  <cols>
    <col min="3" max="3" width="12.6640625" bestFit="1" customWidth="1"/>
  </cols>
  <sheetData>
    <row r="1" spans="1:10" x14ac:dyDescent="0.2">
      <c r="A1" t="s">
        <v>390</v>
      </c>
      <c r="F1" t="s">
        <v>393</v>
      </c>
      <c r="G1" t="s">
        <v>392</v>
      </c>
    </row>
    <row r="2" spans="1:10" x14ac:dyDescent="0.2">
      <c r="A2" t="s">
        <v>383</v>
      </c>
      <c r="B2" t="s">
        <v>387</v>
      </c>
      <c r="C2" t="s">
        <v>388</v>
      </c>
      <c r="D2" t="s">
        <v>389</v>
      </c>
      <c r="F2" t="s">
        <v>383</v>
      </c>
      <c r="G2" t="s">
        <v>387</v>
      </c>
      <c r="H2" t="s">
        <v>388</v>
      </c>
      <c r="I2" t="s">
        <v>389</v>
      </c>
    </row>
    <row r="3" spans="1:10" x14ac:dyDescent="0.2">
      <c r="A3" t="s">
        <v>384</v>
      </c>
      <c r="B3" s="25">
        <f>5803/(5803+14532)</f>
        <v>0.28537005163511187</v>
      </c>
      <c r="C3" s="25">
        <f>4253/(4253+11431)</f>
        <v>0.27116806937005866</v>
      </c>
      <c r="D3" s="25">
        <f t="shared" ref="D3:D4" si="0">B3-C3</f>
        <v>1.4201982265053203E-2</v>
      </c>
      <c r="F3" t="s">
        <v>384</v>
      </c>
      <c r="G3" s="25">
        <f>5803/(5803+14532)</f>
        <v>0.28537005163511187</v>
      </c>
      <c r="H3" s="25">
        <f>4410/(4410+11751)</f>
        <v>0.27287915351772785</v>
      </c>
      <c r="I3" s="25">
        <f t="shared" ref="I3:I4" si="1">G3-H3</f>
        <v>1.2490898117384019E-2</v>
      </c>
    </row>
    <row r="4" spans="1:10" x14ac:dyDescent="0.2">
      <c r="A4" t="s">
        <v>385</v>
      </c>
      <c r="B4" s="25">
        <f>2317/(2317+4058)</f>
        <v>0.36345098039215684</v>
      </c>
      <c r="C4" s="25">
        <f>1723/(1723+3417)</f>
        <v>0.33521400778210114</v>
      </c>
      <c r="D4" s="25">
        <f t="shared" si="0"/>
        <v>2.8236972610055699E-2</v>
      </c>
      <c r="F4" t="s">
        <v>385</v>
      </c>
      <c r="G4" s="25">
        <f>2317/(2317+4058)</f>
        <v>0.36345098039215684</v>
      </c>
      <c r="H4" s="25">
        <f>1860/(1860+3453)</f>
        <v>0.35008469791078489</v>
      </c>
      <c r="I4" s="25">
        <f t="shared" si="1"/>
        <v>1.3366282481371949E-2</v>
      </c>
    </row>
    <row r="5" spans="1:10" x14ac:dyDescent="0.2">
      <c r="A5" t="s">
        <v>386</v>
      </c>
      <c r="B5" s="25">
        <f>808/(808+1082)</f>
        <v>0.42751322751322751</v>
      </c>
      <c r="C5" s="25">
        <f>530/(530+772)</f>
        <v>0.40706605222734255</v>
      </c>
      <c r="D5" s="25">
        <f>B5-C5</f>
        <v>2.0447175285884966E-2</v>
      </c>
      <c r="F5" t="s">
        <v>386</v>
      </c>
      <c r="G5" s="25">
        <f>808/(808+1082)</f>
        <v>0.42751322751322751</v>
      </c>
      <c r="H5" s="25">
        <f>578/(578+896)</f>
        <v>0.39213025780189958</v>
      </c>
      <c r="I5" s="25">
        <f>G5-H5</f>
        <v>3.5382969711327927E-2</v>
      </c>
    </row>
    <row r="7" spans="1:10" x14ac:dyDescent="0.2">
      <c r="A7" t="s">
        <v>391</v>
      </c>
      <c r="F7" t="s">
        <v>391</v>
      </c>
      <c r="G7" t="s">
        <v>392</v>
      </c>
    </row>
    <row r="8" spans="1:10" x14ac:dyDescent="0.2">
      <c r="A8" t="s">
        <v>383</v>
      </c>
      <c r="B8" t="s">
        <v>387</v>
      </c>
      <c r="C8" t="s">
        <v>388</v>
      </c>
      <c r="D8" t="s">
        <v>389</v>
      </c>
      <c r="F8" t="s">
        <v>383</v>
      </c>
      <c r="G8" t="s">
        <v>387</v>
      </c>
      <c r="H8" t="s">
        <v>388</v>
      </c>
      <c r="I8" t="s">
        <v>389</v>
      </c>
    </row>
    <row r="9" spans="1:10" x14ac:dyDescent="0.2">
      <c r="A9" t="s">
        <v>384</v>
      </c>
      <c r="B9" s="25">
        <f>5803/(5803+14532)</f>
        <v>0.28537005163511187</v>
      </c>
      <c r="C9" s="25">
        <f>5486/(5486+14220)</f>
        <v>0.27839236780675936</v>
      </c>
      <c r="D9" s="25">
        <f t="shared" ref="D9:D10" si="2">B9-C9</f>
        <v>6.97768382835251E-3</v>
      </c>
      <c r="F9" t="s">
        <v>384</v>
      </c>
      <c r="G9" s="25">
        <f>5803/(5803+14532)</f>
        <v>0.28537005163511187</v>
      </c>
      <c r="H9" s="25">
        <f>4079/(4079+10823)</f>
        <v>0.27372164810092603</v>
      </c>
      <c r="I9" s="25">
        <f t="shared" ref="I9:I10" si="3">G9-H9</f>
        <v>1.1648403534185836E-2</v>
      </c>
    </row>
    <row r="10" spans="1:10" x14ac:dyDescent="0.2">
      <c r="A10" t="s">
        <v>385</v>
      </c>
      <c r="B10" s="25">
        <f>2317/(2317+4058)</f>
        <v>0.36345098039215684</v>
      </c>
      <c r="C10" s="25">
        <f>1866/(1866+3584)</f>
        <v>0.34238532110091741</v>
      </c>
      <c r="D10" s="25">
        <f t="shared" si="2"/>
        <v>2.1065659291239436E-2</v>
      </c>
      <c r="F10" t="s">
        <v>385</v>
      </c>
      <c r="G10" s="25">
        <f>2317/(2317+4058)</f>
        <v>0.36345098039215684</v>
      </c>
      <c r="H10" s="25">
        <f>1564/(1564+2947)</f>
        <v>0.34670804699623142</v>
      </c>
      <c r="I10" s="25">
        <f t="shared" si="3"/>
        <v>1.6742933395925419E-2</v>
      </c>
    </row>
    <row r="11" spans="1:10" x14ac:dyDescent="0.2">
      <c r="A11" t="s">
        <v>386</v>
      </c>
      <c r="B11" s="25">
        <f>808/(808+1082)</f>
        <v>0.42751322751322751</v>
      </c>
      <c r="C11" s="25">
        <f>581/(581+874)</f>
        <v>0.39931271477663233</v>
      </c>
      <c r="D11" s="25">
        <f>B11-C11</f>
        <v>2.8200512736595185E-2</v>
      </c>
      <c r="F11" t="s">
        <v>386</v>
      </c>
      <c r="G11" s="25">
        <f>808/(808+1082)</f>
        <v>0.42751322751322751</v>
      </c>
      <c r="H11" s="25">
        <f>451/(451+751)</f>
        <v>0.37520798668885191</v>
      </c>
      <c r="I11" s="25">
        <f>G11-H11</f>
        <v>5.2305240824375598E-2</v>
      </c>
      <c r="J11" s="25">
        <f>522/(522+802)</f>
        <v>0.39425981873111782</v>
      </c>
    </row>
    <row r="13" spans="1:10" x14ac:dyDescent="0.2">
      <c r="F13" t="s">
        <v>390</v>
      </c>
      <c r="G13" t="s">
        <v>392</v>
      </c>
    </row>
    <row r="14" spans="1:10" x14ac:dyDescent="0.2">
      <c r="F14" t="s">
        <v>383</v>
      </c>
      <c r="G14" t="s">
        <v>387</v>
      </c>
      <c r="H14" t="s">
        <v>388</v>
      </c>
      <c r="I14" t="s">
        <v>389</v>
      </c>
    </row>
    <row r="15" spans="1:10" x14ac:dyDescent="0.2">
      <c r="F15" t="s">
        <v>384</v>
      </c>
      <c r="G15" s="25">
        <f>5803/(5803+14532)</f>
        <v>0.28537005163511187</v>
      </c>
      <c r="H15" s="25">
        <f>5523/(5523+13983)</f>
        <v>0.28314364810827436</v>
      </c>
      <c r="I15" s="25">
        <f t="shared" ref="I15:I16" si="4">G15-H15</f>
        <v>2.226403526837506E-3</v>
      </c>
    </row>
    <row r="16" spans="1:10" x14ac:dyDescent="0.2">
      <c r="F16" t="s">
        <v>385</v>
      </c>
      <c r="G16" s="25">
        <f>2317/(2317+4058)</f>
        <v>0.36345098039215684</v>
      </c>
      <c r="H16" s="25">
        <f>1884/(1884+3540)</f>
        <v>0.34734513274336282</v>
      </c>
      <c r="I16" s="25">
        <f t="shared" si="4"/>
        <v>1.6105847648794025E-2</v>
      </c>
    </row>
    <row r="17" spans="2:14" x14ac:dyDescent="0.2">
      <c r="F17" t="s">
        <v>386</v>
      </c>
      <c r="G17" s="25">
        <f>808/(808+1082)</f>
        <v>0.42751322751322751</v>
      </c>
      <c r="H17" s="25">
        <f>593/(593+950)</f>
        <v>0.38431626701231369</v>
      </c>
      <c r="I17" s="25">
        <f>G17-H17</f>
        <v>4.3196960500913817E-2</v>
      </c>
    </row>
    <row r="19" spans="2:14" x14ac:dyDescent="0.2">
      <c r="B19">
        <v>0.70899999999999996</v>
      </c>
      <c r="C19">
        <v>5641.59</v>
      </c>
      <c r="D19">
        <f>C19*B19</f>
        <v>3999.8873100000001</v>
      </c>
      <c r="F19">
        <f>1-F20</f>
        <v>0.72699999999999998</v>
      </c>
      <c r="G19">
        <v>5641.59</v>
      </c>
      <c r="H19">
        <f>G19*F19</f>
        <v>4101.4359299999996</v>
      </c>
      <c r="J19">
        <f>1-J20</f>
        <v>0.70989999999999998</v>
      </c>
      <c r="K19">
        <v>5641.59</v>
      </c>
      <c r="L19">
        <f>K19*J19</f>
        <v>4004.9647409999998</v>
      </c>
      <c r="M19">
        <v>16752.599999999999</v>
      </c>
      <c r="N19">
        <f>J19*M19</f>
        <v>11892.670739999998</v>
      </c>
    </row>
    <row r="20" spans="2:14" x14ac:dyDescent="0.2">
      <c r="B20">
        <v>0.29099999999999998</v>
      </c>
      <c r="C20">
        <v>-5767.09</v>
      </c>
      <c r="D20">
        <f>C20*B20</f>
        <v>-1678.2231899999999</v>
      </c>
      <c r="F20">
        <v>0.27300000000000002</v>
      </c>
      <c r="G20">
        <v>-5767.09</v>
      </c>
      <c r="H20">
        <f>G20*F20</f>
        <v>-1574.4155700000001</v>
      </c>
      <c r="J20">
        <v>0.29010000000000002</v>
      </c>
      <c r="K20">
        <v>-5767.09</v>
      </c>
      <c r="L20">
        <f>K20*J20</f>
        <v>-1673.0328090000003</v>
      </c>
      <c r="M20">
        <v>17577.93</v>
      </c>
      <c r="N20">
        <f>J20*M20</f>
        <v>5099.3574930000004</v>
      </c>
    </row>
    <row r="21" spans="2:14" x14ac:dyDescent="0.2">
      <c r="D21">
        <f>D20+D19</f>
        <v>2321.6641200000004</v>
      </c>
      <c r="H21">
        <f>H20+H19</f>
        <v>2527.0203599999995</v>
      </c>
      <c r="L21">
        <f>L20+L19</f>
        <v>2331.9319319999995</v>
      </c>
      <c r="N21">
        <f>N19+N20</f>
        <v>16992.028232999997</v>
      </c>
    </row>
    <row r="22" spans="2:14" x14ac:dyDescent="0.2">
      <c r="M22">
        <f>L21/(N21+L21)</f>
        <v>0.12067567476275637</v>
      </c>
    </row>
    <row r="24" spans="2:14" x14ac:dyDescent="0.2">
      <c r="C24">
        <f>C26/(C25+C26)</f>
        <v>0.29053435378263048</v>
      </c>
      <c r="K24">
        <v>1</v>
      </c>
      <c r="L24">
        <v>0.72699999999999998</v>
      </c>
    </row>
    <row r="25" spans="2:14" x14ac:dyDescent="0.2">
      <c r="B25" t="s">
        <v>394</v>
      </c>
      <c r="C25">
        <v>41066</v>
      </c>
      <c r="D25">
        <v>16752.599999999999</v>
      </c>
      <c r="F25">
        <v>7097</v>
      </c>
      <c r="G25">
        <f>F26/(F25+F26)</f>
        <v>0.27269932363189175</v>
      </c>
      <c r="K25">
        <v>1</v>
      </c>
      <c r="L25">
        <v>-0.27300000000000002</v>
      </c>
      <c r="N25">
        <f>L19/K19</f>
        <v>0.70989999999999998</v>
      </c>
    </row>
    <row r="26" spans="2:14" x14ac:dyDescent="0.2">
      <c r="C26">
        <v>16817</v>
      </c>
      <c r="D26">
        <v>17577.93</v>
      </c>
      <c r="F26">
        <v>2661</v>
      </c>
      <c r="N26">
        <f>L20/K20</f>
        <v>0.29010000000000002</v>
      </c>
    </row>
    <row r="28" spans="2:14" x14ac:dyDescent="0.2">
      <c r="C28">
        <f>C25/(SUM(C25:C26))</f>
        <v>0.70946564621736952</v>
      </c>
      <c r="J28">
        <f>1-J29</f>
        <v>0.72699999999999998</v>
      </c>
      <c r="K28">
        <f>5641.59/10</f>
        <v>564.15899999999999</v>
      </c>
      <c r="L28">
        <f>K28*J28</f>
        <v>410.14359300000001</v>
      </c>
      <c r="N28">
        <f>L28/K28</f>
        <v>0.72699999999999998</v>
      </c>
    </row>
    <row r="29" spans="2:14" x14ac:dyDescent="0.2">
      <c r="C29">
        <f>1-C28</f>
        <v>0.29053435378263048</v>
      </c>
      <c r="J29">
        <v>0.27300000000000002</v>
      </c>
      <c r="K29">
        <v>-5767.09</v>
      </c>
      <c r="L29">
        <f>K29*J29</f>
        <v>-1574.4155700000001</v>
      </c>
      <c r="N29">
        <f>L29/K29</f>
        <v>0.27300000000000002</v>
      </c>
    </row>
    <row r="30" spans="2:14" x14ac:dyDescent="0.2">
      <c r="L30">
        <f>L29+L28</f>
        <v>-1164.2719770000001</v>
      </c>
    </row>
    <row r="31" spans="2:14" x14ac:dyDescent="0.2">
      <c r="C31">
        <f>C33/(C32+C33)</f>
        <v>0.33907168309500674</v>
      </c>
    </row>
    <row r="32" spans="2:14" x14ac:dyDescent="0.2">
      <c r="B32" t="s">
        <v>394</v>
      </c>
      <c r="C32">
        <v>14282</v>
      </c>
      <c r="D32">
        <v>16752.599999999999</v>
      </c>
      <c r="K32">
        <v>1</v>
      </c>
      <c r="L32">
        <v>0.72699999999999998</v>
      </c>
    </row>
    <row r="33" spans="3:12" x14ac:dyDescent="0.2">
      <c r="C33">
        <v>7327</v>
      </c>
      <c r="D33">
        <v>17577.93</v>
      </c>
      <c r="K33">
        <v>1</v>
      </c>
      <c r="L33">
        <v>-0.27300000000000002</v>
      </c>
    </row>
    <row r="35" spans="3:12" x14ac:dyDescent="0.2">
      <c r="C35">
        <f>C32/(SUM(C32:C33))</f>
        <v>0.66092831690499332</v>
      </c>
    </row>
    <row r="36" spans="3:12" x14ac:dyDescent="0.2">
      <c r="C36">
        <f>1-C35</f>
        <v>0.33907168309500668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7DA02-D725-5F47-8A6B-834F0D4304C1}">
  <dimension ref="A1:M95"/>
  <sheetViews>
    <sheetView topLeftCell="A36" workbookViewId="0">
      <selection activeCell="I41" sqref="I41"/>
    </sheetView>
  </sheetViews>
  <sheetFormatPr baseColWidth="10" defaultRowHeight="15" x14ac:dyDescent="0.2"/>
  <sheetData>
    <row r="1" spans="1:10" x14ac:dyDescent="0.2">
      <c r="A1" t="s">
        <v>403</v>
      </c>
      <c r="B1" t="s">
        <v>395</v>
      </c>
      <c r="C1" t="s">
        <v>398</v>
      </c>
      <c r="D1" t="s">
        <v>399</v>
      </c>
    </row>
    <row r="2" spans="1:10" x14ac:dyDescent="0.2">
      <c r="A2" t="s">
        <v>396</v>
      </c>
      <c r="B2">
        <f>1-B3</f>
        <v>0.70989999999999998</v>
      </c>
      <c r="C2">
        <v>5641.59</v>
      </c>
      <c r="D2">
        <f>C2*B2</f>
        <v>4004.9647409999998</v>
      </c>
      <c r="E2">
        <v>16752.599999999999</v>
      </c>
      <c r="F2">
        <f>B2*E2</f>
        <v>11892.670739999998</v>
      </c>
    </row>
    <row r="3" spans="1:10" x14ac:dyDescent="0.2">
      <c r="A3" t="s">
        <v>397</v>
      </c>
      <c r="B3">
        <v>0.29010000000000002</v>
      </c>
      <c r="C3">
        <v>-5767.09</v>
      </c>
      <c r="D3">
        <f>C3*B3</f>
        <v>-1673.0328090000003</v>
      </c>
      <c r="E3">
        <v>17577.93</v>
      </c>
      <c r="F3">
        <f>B3*E3</f>
        <v>5099.3574930000004</v>
      </c>
    </row>
    <row r="4" spans="1:10" x14ac:dyDescent="0.2">
      <c r="C4" t="s">
        <v>400</v>
      </c>
      <c r="D4">
        <f>D3+D2</f>
        <v>2331.9319319999995</v>
      </c>
      <c r="E4" t="s">
        <v>401</v>
      </c>
      <c r="F4">
        <f>F2+F3</f>
        <v>16992.028232999997</v>
      </c>
    </row>
    <row r="5" spans="1:10" x14ac:dyDescent="0.2">
      <c r="D5" t="s">
        <v>402</v>
      </c>
      <c r="E5" s="26">
        <f>D4/(F4+D4)</f>
        <v>0.12067567476275637</v>
      </c>
    </row>
    <row r="9" spans="1:10" x14ac:dyDescent="0.2">
      <c r="A9" t="s">
        <v>404</v>
      </c>
      <c r="B9" t="s">
        <v>395</v>
      </c>
      <c r="C9" t="s">
        <v>398</v>
      </c>
      <c r="D9" t="s">
        <v>399</v>
      </c>
    </row>
    <row r="10" spans="1:10" x14ac:dyDescent="0.2">
      <c r="A10" t="s">
        <v>396</v>
      </c>
      <c r="B10">
        <f>1-B11</f>
        <v>0.72</v>
      </c>
      <c r="C10">
        <v>5641.59</v>
      </c>
      <c r="D10">
        <f>C10*B10</f>
        <v>4061.9447999999998</v>
      </c>
      <c r="E10">
        <v>16752.599999999999</v>
      </c>
      <c r="F10">
        <f>B10*E10</f>
        <v>12061.871999999999</v>
      </c>
      <c r="I10">
        <f>6547</f>
        <v>6547</v>
      </c>
      <c r="J10">
        <f>I11/(I10+I11)</f>
        <v>0.27967873253383213</v>
      </c>
    </row>
    <row r="11" spans="1:10" x14ac:dyDescent="0.2">
      <c r="A11" t="s">
        <v>397</v>
      </c>
      <c r="B11">
        <v>0.28000000000000003</v>
      </c>
      <c r="C11">
        <v>-5767.09</v>
      </c>
      <c r="D11">
        <f>C11*B11</f>
        <v>-1614.7852000000003</v>
      </c>
      <c r="E11">
        <v>17577.93</v>
      </c>
      <c r="F11">
        <f>B11*E11</f>
        <v>4921.8204000000005</v>
      </c>
      <c r="I11">
        <v>2542</v>
      </c>
    </row>
    <row r="12" spans="1:10" x14ac:dyDescent="0.2">
      <c r="C12" t="s">
        <v>400</v>
      </c>
      <c r="D12">
        <f>D11+D10</f>
        <v>2447.1595999999995</v>
      </c>
      <c r="E12" t="s">
        <v>401</v>
      </c>
      <c r="F12">
        <f>F10+F11</f>
        <v>16983.6924</v>
      </c>
    </row>
    <row r="13" spans="1:10" x14ac:dyDescent="0.2">
      <c r="D13" t="s">
        <v>402</v>
      </c>
      <c r="E13" s="27">
        <f>D12/(F12+D12)</f>
        <v>0.12594196075395972</v>
      </c>
    </row>
    <row r="16" spans="1:10" x14ac:dyDescent="0.2">
      <c r="A16" t="s">
        <v>403</v>
      </c>
      <c r="B16" t="s">
        <v>395</v>
      </c>
      <c r="C16" t="s">
        <v>398</v>
      </c>
      <c r="D16" t="s">
        <v>399</v>
      </c>
    </row>
    <row r="17" spans="1:11" x14ac:dyDescent="0.2">
      <c r="A17" t="s">
        <v>396</v>
      </c>
      <c r="B17">
        <f>1-B18</f>
        <v>0.63400000000000001</v>
      </c>
      <c r="C17">
        <v>7170.44</v>
      </c>
      <c r="D17">
        <f>C17*B17</f>
        <v>4546.0589599999994</v>
      </c>
      <c r="E17">
        <v>16758.98</v>
      </c>
      <c r="F17">
        <f>B17*E17</f>
        <v>10625.19332</v>
      </c>
    </row>
    <row r="18" spans="1:11" x14ac:dyDescent="0.2">
      <c r="A18" t="s">
        <v>397</v>
      </c>
      <c r="B18">
        <v>0.36599999999999999</v>
      </c>
      <c r="C18">
        <v>-6052.68</v>
      </c>
      <c r="D18">
        <f>C18*B18</f>
        <v>-2215.2808800000003</v>
      </c>
      <c r="E18">
        <v>18094.57</v>
      </c>
      <c r="F18">
        <f>B18*E18</f>
        <v>6622.6126199999999</v>
      </c>
    </row>
    <row r="19" spans="1:11" x14ac:dyDescent="0.2">
      <c r="C19" t="s">
        <v>400</v>
      </c>
      <c r="D19">
        <f>D18+D17</f>
        <v>2330.7780799999991</v>
      </c>
      <c r="E19" t="s">
        <v>401</v>
      </c>
      <c r="F19">
        <f>F17+F18</f>
        <v>17247.805939999998</v>
      </c>
    </row>
    <row r="20" spans="1:11" x14ac:dyDescent="0.2">
      <c r="D20" t="s">
        <v>402</v>
      </c>
      <c r="E20" s="26">
        <f>D19/(F19+D19)</f>
        <v>0.11904732628360931</v>
      </c>
    </row>
    <row r="24" spans="1:11" x14ac:dyDescent="0.2">
      <c r="A24" t="s">
        <v>405</v>
      </c>
      <c r="B24" t="s">
        <v>395</v>
      </c>
      <c r="D24" t="s">
        <v>398</v>
      </c>
      <c r="E24" t="s">
        <v>399</v>
      </c>
    </row>
    <row r="25" spans="1:11" x14ac:dyDescent="0.2">
      <c r="A25" t="s">
        <v>396</v>
      </c>
      <c r="B25">
        <f>1-B26</f>
        <v>0.64600000000000002</v>
      </c>
      <c r="D25">
        <v>7170.44</v>
      </c>
      <c r="E25">
        <f>D25*B25</f>
        <v>4632.1042399999997</v>
      </c>
      <c r="F25">
        <v>16752.599999999999</v>
      </c>
      <c r="G25">
        <f>B25*F25</f>
        <v>10822.179599999999</v>
      </c>
      <c r="J25">
        <v>465</v>
      </c>
      <c r="K25">
        <f>J26/(J25+J26)</f>
        <v>0.35416666666666669</v>
      </c>
    </row>
    <row r="26" spans="1:11" x14ac:dyDescent="0.2">
      <c r="A26" t="s">
        <v>397</v>
      </c>
      <c r="B26">
        <v>0.35399999999999998</v>
      </c>
      <c r="D26">
        <v>-6052.68</v>
      </c>
      <c r="E26">
        <f>D26*B26</f>
        <v>-2142.6487200000001</v>
      </c>
      <c r="F26">
        <v>17577.93</v>
      </c>
      <c r="G26">
        <f>B26*F26</f>
        <v>6222.5872199999994</v>
      </c>
      <c r="J26">
        <v>255</v>
      </c>
    </row>
    <row r="27" spans="1:11" x14ac:dyDescent="0.2">
      <c r="B27" t="s">
        <v>416</v>
      </c>
      <c r="D27" t="s">
        <v>400</v>
      </c>
      <c r="E27">
        <f>E26+E25</f>
        <v>2489.4555199999995</v>
      </c>
      <c r="F27" t="s">
        <v>401</v>
      </c>
      <c r="G27">
        <f>G25+G26</f>
        <v>17044.766819999997</v>
      </c>
    </row>
    <row r="28" spans="1:11" x14ac:dyDescent="0.2">
      <c r="E28" t="s">
        <v>402</v>
      </c>
      <c r="F28" s="27">
        <f>E27/(G27+E27)</f>
        <v>0.1274407282086869</v>
      </c>
    </row>
    <row r="31" spans="1:11" x14ac:dyDescent="0.2">
      <c r="A31" t="s">
        <v>403</v>
      </c>
      <c r="B31" t="s">
        <v>395</v>
      </c>
      <c r="C31" t="s">
        <v>398</v>
      </c>
      <c r="D31" t="s">
        <v>399</v>
      </c>
    </row>
    <row r="32" spans="1:11" x14ac:dyDescent="0.2">
      <c r="A32" t="s">
        <v>396</v>
      </c>
      <c r="B32">
        <f>1-B33</f>
        <v>0.63400000000000001</v>
      </c>
      <c r="C32">
        <v>7170.44</v>
      </c>
      <c r="D32">
        <f>C32*B32</f>
        <v>4546.0589599999994</v>
      </c>
      <c r="E32">
        <v>16758.98</v>
      </c>
      <c r="F32">
        <f>B32*E32</f>
        <v>10625.19332</v>
      </c>
    </row>
    <row r="33" spans="1:10" x14ac:dyDescent="0.2">
      <c r="A33" t="s">
        <v>397</v>
      </c>
      <c r="B33">
        <v>0.36599999999999999</v>
      </c>
      <c r="C33">
        <v>-6052.68</v>
      </c>
      <c r="D33">
        <f>C33*B33</f>
        <v>-2215.2808800000003</v>
      </c>
      <c r="E33">
        <v>18094.57</v>
      </c>
      <c r="F33">
        <f>B33*E33</f>
        <v>6622.6126199999999</v>
      </c>
    </row>
    <row r="34" spans="1:10" x14ac:dyDescent="0.2">
      <c r="C34" t="s">
        <v>400</v>
      </c>
      <c r="D34">
        <f>D33+D32</f>
        <v>2330.7780799999991</v>
      </c>
      <c r="E34" t="s">
        <v>401</v>
      </c>
      <c r="F34">
        <f>F32+F33</f>
        <v>17247.805939999998</v>
      </c>
    </row>
    <row r="35" spans="1:10" x14ac:dyDescent="0.2">
      <c r="D35" t="s">
        <v>402</v>
      </c>
      <c r="E35" s="26">
        <f>D34/(F34+D34)</f>
        <v>0.11904732628360931</v>
      </c>
    </row>
    <row r="39" spans="1:10" x14ac:dyDescent="0.2">
      <c r="A39" t="s">
        <v>406</v>
      </c>
      <c r="B39" t="s">
        <v>395</v>
      </c>
      <c r="C39" t="s">
        <v>398</v>
      </c>
      <c r="D39" t="s">
        <v>399</v>
      </c>
    </row>
    <row r="40" spans="1:10" x14ac:dyDescent="0.2">
      <c r="A40" t="s">
        <v>396</v>
      </c>
      <c r="B40">
        <f>1-B41</f>
        <v>0.65100000000000002</v>
      </c>
      <c r="C40">
        <v>7170.44</v>
      </c>
      <c r="D40">
        <f>C40*B40</f>
        <v>4667.9564399999999</v>
      </c>
      <c r="E40">
        <v>16752.599999999999</v>
      </c>
      <c r="F40">
        <f>B40*E40</f>
        <v>10905.9426</v>
      </c>
      <c r="I40">
        <v>601</v>
      </c>
      <c r="J40">
        <f>I41/(I40+I41)</f>
        <v>0.35027027027027025</v>
      </c>
    </row>
    <row r="41" spans="1:10" x14ac:dyDescent="0.2">
      <c r="A41" t="s">
        <v>397</v>
      </c>
      <c r="B41">
        <v>0.34899999999999998</v>
      </c>
      <c r="C41">
        <v>-6052.68</v>
      </c>
      <c r="D41">
        <f>C41*B41</f>
        <v>-2112.3853199999999</v>
      </c>
      <c r="E41">
        <v>17577.93</v>
      </c>
      <c r="F41">
        <f>B41*E41</f>
        <v>6134.6975699999994</v>
      </c>
      <c r="I41">
        <v>324</v>
      </c>
    </row>
    <row r="42" spans="1:10" x14ac:dyDescent="0.2">
      <c r="C42" t="s">
        <v>400</v>
      </c>
      <c r="D42">
        <f>D41+D40</f>
        <v>2555.5711200000001</v>
      </c>
      <c r="E42" t="s">
        <v>401</v>
      </c>
      <c r="F42">
        <f>F40+F41</f>
        <v>17040.640169999999</v>
      </c>
    </row>
    <row r="43" spans="1:10" x14ac:dyDescent="0.2">
      <c r="D43" t="s">
        <v>402</v>
      </c>
      <c r="E43" s="27">
        <f>D42/(F42+D42)</f>
        <v>0.13041149037335167</v>
      </c>
    </row>
    <row r="45" spans="1:10" x14ac:dyDescent="0.2">
      <c r="A45" s="28" t="s">
        <v>412</v>
      </c>
      <c r="B45" s="6"/>
      <c r="C45" s="6"/>
      <c r="D45" s="6"/>
      <c r="E45" s="6"/>
      <c r="F45" s="6"/>
    </row>
    <row r="46" spans="1:10" x14ac:dyDescent="0.2">
      <c r="A46" s="6" t="s">
        <v>403</v>
      </c>
      <c r="B46" s="6" t="s">
        <v>395</v>
      </c>
      <c r="C46" s="6" t="s">
        <v>415</v>
      </c>
      <c r="D46" s="6" t="s">
        <v>399</v>
      </c>
      <c r="E46" s="6" t="s">
        <v>413</v>
      </c>
      <c r="F46" s="6" t="s">
        <v>414</v>
      </c>
    </row>
    <row r="47" spans="1:10" x14ac:dyDescent="0.2">
      <c r="A47" s="6" t="s">
        <v>396</v>
      </c>
      <c r="B47" s="6">
        <f>1-B48</f>
        <v>0.61799999999999999</v>
      </c>
      <c r="C47" s="6">
        <v>7551.41</v>
      </c>
      <c r="D47" s="6">
        <f>C47*B47</f>
        <v>4666.7713800000001</v>
      </c>
      <c r="E47" s="6">
        <v>17369.099999999999</v>
      </c>
      <c r="F47" s="6">
        <f>B47*E47</f>
        <v>10734.103799999999</v>
      </c>
    </row>
    <row r="48" spans="1:10" x14ac:dyDescent="0.2">
      <c r="A48" s="6" t="s">
        <v>397</v>
      </c>
      <c r="B48" s="6">
        <v>0.38200000000000001</v>
      </c>
      <c r="C48" s="6">
        <v>-6311.17</v>
      </c>
      <c r="D48" s="6">
        <f>C48*B48</f>
        <v>-2410.8669399999999</v>
      </c>
      <c r="E48" s="6">
        <v>18702.900000000001</v>
      </c>
      <c r="F48" s="6">
        <f>B48*E48</f>
        <v>7144.5078000000003</v>
      </c>
    </row>
    <row r="49" spans="1:13" x14ac:dyDescent="0.2">
      <c r="C49" t="s">
        <v>400</v>
      </c>
      <c r="D49">
        <f>D48+D47</f>
        <v>2255.9044400000002</v>
      </c>
      <c r="E49" t="s">
        <v>401</v>
      </c>
      <c r="F49">
        <f>F47+F48</f>
        <v>17878.6116</v>
      </c>
    </row>
    <row r="50" spans="1:13" x14ac:dyDescent="0.2">
      <c r="D50" t="s">
        <v>402</v>
      </c>
      <c r="E50" s="26">
        <f>D49/(F49+D49)</f>
        <v>0.11204165203267533</v>
      </c>
    </row>
    <row r="53" spans="1:13" x14ac:dyDescent="0.2">
      <c r="A53" s="28" t="s">
        <v>391</v>
      </c>
    </row>
    <row r="54" spans="1:13" x14ac:dyDescent="0.2">
      <c r="A54" t="s">
        <v>407</v>
      </c>
      <c r="B54" t="s">
        <v>395</v>
      </c>
      <c r="C54" t="s">
        <v>415</v>
      </c>
      <c r="D54" t="s">
        <v>399</v>
      </c>
      <c r="E54" t="s">
        <v>413</v>
      </c>
      <c r="F54" t="s">
        <v>414</v>
      </c>
    </row>
    <row r="55" spans="1:13" x14ac:dyDescent="0.2">
      <c r="A55" t="s">
        <v>396</v>
      </c>
      <c r="B55">
        <f>1-B56</f>
        <v>0.64400000000000002</v>
      </c>
      <c r="C55">
        <v>7551.41</v>
      </c>
      <c r="D55">
        <f>C55*B55</f>
        <v>4863.1080400000001</v>
      </c>
      <c r="E55">
        <v>17369.099999999999</v>
      </c>
      <c r="F55">
        <f>B55*E55</f>
        <v>11185.7004</v>
      </c>
      <c r="I55">
        <v>573</v>
      </c>
      <c r="J55">
        <f>I56/(I55+I56)</f>
        <v>0.35690235690235689</v>
      </c>
      <c r="L55">
        <v>0.32</v>
      </c>
      <c r="M55" t="s">
        <v>409</v>
      </c>
    </row>
    <row r="56" spans="1:13" x14ac:dyDescent="0.2">
      <c r="A56" t="s">
        <v>397</v>
      </c>
      <c r="B56">
        <v>0.35599999999999998</v>
      </c>
      <c r="C56">
        <v>-6311.17</v>
      </c>
      <c r="D56">
        <f>C56*B56</f>
        <v>-2246.7765199999999</v>
      </c>
      <c r="E56">
        <v>18702.900000000001</v>
      </c>
      <c r="F56">
        <f>B56*E56</f>
        <v>6658.2323999999999</v>
      </c>
      <c r="I56">
        <v>318</v>
      </c>
      <c r="L56">
        <v>0.51</v>
      </c>
      <c r="M56" t="s">
        <v>410</v>
      </c>
    </row>
    <row r="57" spans="1:13" x14ac:dyDescent="0.2">
      <c r="C57" t="s">
        <v>400</v>
      </c>
      <c r="D57">
        <f>D56+D55</f>
        <v>2616.3315200000002</v>
      </c>
      <c r="E57" t="s">
        <v>401</v>
      </c>
      <c r="F57">
        <f>F55+F56</f>
        <v>17843.932799999999</v>
      </c>
    </row>
    <row r="58" spans="1:13" x14ac:dyDescent="0.2">
      <c r="D58" t="s">
        <v>402</v>
      </c>
      <c r="E58" s="27">
        <f>D57/(F57+D57)</f>
        <v>0.12787378887586143</v>
      </c>
    </row>
    <row r="61" spans="1:13" x14ac:dyDescent="0.2">
      <c r="A61" t="s">
        <v>403</v>
      </c>
      <c r="B61" t="s">
        <v>395</v>
      </c>
      <c r="C61" t="s">
        <v>398</v>
      </c>
      <c r="D61" t="s">
        <v>399</v>
      </c>
    </row>
    <row r="62" spans="1:13" x14ac:dyDescent="0.2">
      <c r="A62" t="s">
        <v>396</v>
      </c>
      <c r="B62">
        <f>1-B63</f>
        <v>0.66199999999999992</v>
      </c>
      <c r="C62">
        <v>6573.5</v>
      </c>
      <c r="D62">
        <f>C62*B62</f>
        <v>4351.6569999999992</v>
      </c>
      <c r="E62">
        <v>17235.93</v>
      </c>
      <c r="F62">
        <f>B62*E62</f>
        <v>11410.185659999999</v>
      </c>
    </row>
    <row r="63" spans="1:13" x14ac:dyDescent="0.2">
      <c r="A63" t="s">
        <v>397</v>
      </c>
      <c r="B63">
        <v>0.33800000000000002</v>
      </c>
      <c r="C63">
        <v>-6000.63</v>
      </c>
      <c r="D63">
        <f>C63*B63</f>
        <v>-2028.2129400000001</v>
      </c>
      <c r="E63">
        <v>18164.46</v>
      </c>
      <c r="F63">
        <f>B63*E63</f>
        <v>6139.5874800000001</v>
      </c>
    </row>
    <row r="64" spans="1:13" x14ac:dyDescent="0.2">
      <c r="C64" t="s">
        <v>400</v>
      </c>
      <c r="D64">
        <f>D63+D62</f>
        <v>2323.4440599999989</v>
      </c>
      <c r="E64" t="s">
        <v>401</v>
      </c>
      <c r="F64">
        <f>F62+F63</f>
        <v>17549.773139999998</v>
      </c>
    </row>
    <row r="65" spans="1:10" x14ac:dyDescent="0.2">
      <c r="D65" t="s">
        <v>402</v>
      </c>
      <c r="E65" s="26">
        <f>D64/(F64+D64)</f>
        <v>0.1169133329856627</v>
      </c>
    </row>
    <row r="68" spans="1:10" x14ac:dyDescent="0.2">
      <c r="A68" t="s">
        <v>408</v>
      </c>
    </row>
    <row r="69" spans="1:10" x14ac:dyDescent="0.2">
      <c r="A69" t="s">
        <v>407</v>
      </c>
      <c r="B69" t="s">
        <v>395</v>
      </c>
      <c r="C69" t="s">
        <v>398</v>
      </c>
      <c r="D69" t="s">
        <v>399</v>
      </c>
    </row>
    <row r="70" spans="1:10" x14ac:dyDescent="0.2">
      <c r="A70" t="s">
        <v>396</v>
      </c>
      <c r="B70">
        <f>1-B71</f>
        <v>0.67500000000000004</v>
      </c>
      <c r="C70">
        <v>7170.44</v>
      </c>
      <c r="D70">
        <f>C70*B70</f>
        <v>4840.0470000000005</v>
      </c>
      <c r="E70">
        <v>16752.599999999999</v>
      </c>
      <c r="F70">
        <f>B70*E70</f>
        <v>11308.004999999999</v>
      </c>
      <c r="I70">
        <v>2767</v>
      </c>
      <c r="J70">
        <f>I71/(I70+I71)</f>
        <v>0.34071956159161304</v>
      </c>
    </row>
    <row r="71" spans="1:10" x14ac:dyDescent="0.2">
      <c r="A71" t="s">
        <v>397</v>
      </c>
      <c r="B71">
        <v>0.32500000000000001</v>
      </c>
      <c r="C71">
        <v>-6052.68</v>
      </c>
      <c r="D71">
        <f>C71*B71</f>
        <v>-1967.1210000000001</v>
      </c>
      <c r="E71">
        <v>17577.93</v>
      </c>
      <c r="F71">
        <f>B71*E71</f>
        <v>5712.8272500000003</v>
      </c>
      <c r="I71">
        <v>1430</v>
      </c>
    </row>
    <row r="72" spans="1:10" x14ac:dyDescent="0.2">
      <c r="C72" t="s">
        <v>400</v>
      </c>
      <c r="D72">
        <f>D71+D70</f>
        <v>2872.9260000000004</v>
      </c>
      <c r="E72" t="s">
        <v>401</v>
      </c>
      <c r="F72">
        <f>F70+F71</f>
        <v>17020.832249999999</v>
      </c>
    </row>
    <row r="73" spans="1:10" x14ac:dyDescent="0.2">
      <c r="D73" t="s">
        <v>402</v>
      </c>
      <c r="E73" s="27">
        <f>D72/(F72+D72)</f>
        <v>0.14441343681252389</v>
      </c>
    </row>
    <row r="76" spans="1:10" x14ac:dyDescent="0.2">
      <c r="A76" t="s">
        <v>403</v>
      </c>
      <c r="B76" t="s">
        <v>395</v>
      </c>
      <c r="C76" t="s">
        <v>398</v>
      </c>
      <c r="D76" t="s">
        <v>399</v>
      </c>
    </row>
    <row r="77" spans="1:10" x14ac:dyDescent="0.2">
      <c r="A77" t="s">
        <v>396</v>
      </c>
      <c r="B77">
        <f>1-B78</f>
        <v>0.66199999999999992</v>
      </c>
      <c r="C77">
        <v>6573.5</v>
      </c>
      <c r="D77">
        <f>C77*B77</f>
        <v>4351.6569999999992</v>
      </c>
      <c r="E77">
        <v>17235.93</v>
      </c>
      <c r="F77">
        <f>B77*E77</f>
        <v>11410.185659999999</v>
      </c>
    </row>
    <row r="78" spans="1:10" x14ac:dyDescent="0.2">
      <c r="A78" t="s">
        <v>397</v>
      </c>
      <c r="B78">
        <v>0.33800000000000002</v>
      </c>
      <c r="C78">
        <v>-6000.63</v>
      </c>
      <c r="D78">
        <f>C78*B78</f>
        <v>-2028.2129400000001</v>
      </c>
      <c r="E78">
        <v>18164.46</v>
      </c>
      <c r="F78">
        <f>B78*E78</f>
        <v>6139.5874800000001</v>
      </c>
    </row>
    <row r="79" spans="1:10" x14ac:dyDescent="0.2">
      <c r="C79" t="s">
        <v>400</v>
      </c>
      <c r="D79">
        <f>D78+D77</f>
        <v>2323.4440599999989</v>
      </c>
      <c r="E79" t="s">
        <v>401</v>
      </c>
      <c r="F79">
        <f>F77+F78</f>
        <v>17549.773139999998</v>
      </c>
    </row>
    <row r="80" spans="1:10" x14ac:dyDescent="0.2">
      <c r="D80" t="s">
        <v>402</v>
      </c>
      <c r="E80" s="26">
        <f>D79/(F79+D79)</f>
        <v>0.1169133329856627</v>
      </c>
    </row>
    <row r="83" spans="1:10" x14ac:dyDescent="0.2">
      <c r="A83" t="s">
        <v>408</v>
      </c>
    </row>
    <row r="84" spans="1:10" x14ac:dyDescent="0.2">
      <c r="A84" t="s">
        <v>407</v>
      </c>
      <c r="B84" t="s">
        <v>395</v>
      </c>
      <c r="C84" t="s">
        <v>398</v>
      </c>
      <c r="D84" t="s">
        <v>399</v>
      </c>
    </row>
    <row r="85" spans="1:10" x14ac:dyDescent="0.2">
      <c r="A85" t="s">
        <v>396</v>
      </c>
      <c r="B85">
        <f>1-B86</f>
        <v>0.66300000000000003</v>
      </c>
      <c r="C85">
        <v>7170.44</v>
      </c>
      <c r="D85">
        <f>C85*B85</f>
        <v>4754.0017200000002</v>
      </c>
      <c r="E85">
        <v>16752.599999999999</v>
      </c>
      <c r="F85">
        <f>B85*E85</f>
        <v>11106.9738</v>
      </c>
      <c r="I85">
        <v>2540</v>
      </c>
      <c r="J85">
        <f>I86/(I85+I86)</f>
        <v>0.33016877637130804</v>
      </c>
    </row>
    <row r="86" spans="1:10" x14ac:dyDescent="0.2">
      <c r="A86" t="s">
        <v>397</v>
      </c>
      <c r="B86">
        <v>0.33700000000000002</v>
      </c>
      <c r="C86">
        <v>-6052.68</v>
      </c>
      <c r="D86">
        <f>C86*B86</f>
        <v>-2039.7531600000002</v>
      </c>
      <c r="E86">
        <v>17577.93</v>
      </c>
      <c r="F86">
        <f>B86*E86</f>
        <v>5923.7624100000003</v>
      </c>
      <c r="I86">
        <v>1252</v>
      </c>
    </row>
    <row r="87" spans="1:10" x14ac:dyDescent="0.2">
      <c r="C87" t="s">
        <v>400</v>
      </c>
      <c r="D87">
        <f>D86+D85</f>
        <v>2714.24856</v>
      </c>
      <c r="E87" t="s">
        <v>401</v>
      </c>
      <c r="F87">
        <f>F85+F86</f>
        <v>17030.736209999999</v>
      </c>
    </row>
    <row r="88" spans="1:10" x14ac:dyDescent="0.2">
      <c r="D88" t="s">
        <v>402</v>
      </c>
      <c r="E88" s="27">
        <f>D87/(F87+D87)</f>
        <v>0.13746521416030447</v>
      </c>
    </row>
    <row r="90" spans="1:10" x14ac:dyDescent="0.2">
      <c r="A90" t="s">
        <v>408</v>
      </c>
      <c r="B90" t="s">
        <v>411</v>
      </c>
    </row>
    <row r="91" spans="1:10" x14ac:dyDescent="0.2">
      <c r="A91" t="s">
        <v>407</v>
      </c>
      <c r="B91" t="s">
        <v>395</v>
      </c>
      <c r="C91" t="s">
        <v>398</v>
      </c>
      <c r="D91" t="s">
        <v>399</v>
      </c>
    </row>
    <row r="92" spans="1:10" x14ac:dyDescent="0.2">
      <c r="A92" t="s">
        <v>396</v>
      </c>
      <c r="B92">
        <f>1-B93</f>
        <v>0.67100000000000004</v>
      </c>
      <c r="C92">
        <v>7170.44</v>
      </c>
      <c r="D92">
        <f>C92*B92</f>
        <v>4811.3652400000001</v>
      </c>
      <c r="E92">
        <v>16752.599999999999</v>
      </c>
      <c r="F92">
        <f>B92*E92</f>
        <v>11240.9946</v>
      </c>
      <c r="I92">
        <v>2528</v>
      </c>
      <c r="J92">
        <f>I93/(I92+I93)</f>
        <v>0.32855245683930945</v>
      </c>
    </row>
    <row r="93" spans="1:10" x14ac:dyDescent="0.2">
      <c r="A93" t="s">
        <v>397</v>
      </c>
      <c r="B93">
        <v>0.32900000000000001</v>
      </c>
      <c r="C93">
        <v>-6052.68</v>
      </c>
      <c r="D93">
        <f>C93*B93</f>
        <v>-1991.3317200000001</v>
      </c>
      <c r="E93">
        <v>17577.93</v>
      </c>
      <c r="F93">
        <f>B93*E93</f>
        <v>5783.13897</v>
      </c>
      <c r="I93">
        <v>1237</v>
      </c>
    </row>
    <row r="94" spans="1:10" x14ac:dyDescent="0.2">
      <c r="C94" t="s">
        <v>400</v>
      </c>
      <c r="D94">
        <f>D93+D92</f>
        <v>2820.03352</v>
      </c>
      <c r="E94" t="s">
        <v>401</v>
      </c>
      <c r="F94">
        <f>F92+F93</f>
        <v>17024.133569999998</v>
      </c>
    </row>
    <row r="95" spans="1:10" x14ac:dyDescent="0.2">
      <c r="D95" t="s">
        <v>402</v>
      </c>
      <c r="E95" s="27">
        <f>D94/(F94+D94)</f>
        <v>0.14210893847094694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7" activePane="bottomLeft" state="frozen"/>
      <selection pane="bottomLeft" activeCell="A39" sqref="A39"/>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75" activePane="bottomLeft" state="frozen"/>
      <selection pane="bottomLeft" activeCell="A88" sqref="A88:B88"/>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Defaults</vt:lpstr>
      <vt:lpstr>Returns</vt: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Tarrant Carter</cp:lastModifiedBy>
  <cp:lastPrinted>2013-01-16T21:03:55Z</cp:lastPrinted>
  <dcterms:created xsi:type="dcterms:W3CDTF">2013-01-15T22:13:28Z</dcterms:created>
  <dcterms:modified xsi:type="dcterms:W3CDTF">2020-11-08T04:13:23Z</dcterms:modified>
</cp:coreProperties>
</file>