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RUN KUMAR THAKUR\Documents\Documents\"/>
    </mc:Choice>
  </mc:AlternateContent>
  <xr:revisionPtr revIDLastSave="0" documentId="8_{881EF11D-23C3-4E3E-AA94-C72D201E5B7A}" xr6:coauthVersionLast="47" xr6:coauthVersionMax="47" xr10:uidLastSave="{00000000-0000-0000-0000-000000000000}"/>
  <bookViews>
    <workbookView xWindow="-108" yWindow="-108" windowWidth="23256" windowHeight="12456" xr2:uid="{9F9A2F01-BEE5-47B8-8BAF-6DA6917CF2BE}"/>
  </bookViews>
  <sheets>
    <sheet name="DCF" sheetId="1" r:id="rId1"/>
    <sheet name="WACC" sheetId="2" r:id="rId2"/>
  </sheets>
  <externalReferences>
    <externalReference r:id="rId3"/>
  </externalReferences>
  <definedNames>
    <definedName name="tgr">DCF!$D$10</definedName>
    <definedName name="wacc">DCF!$D$9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D15" i="2"/>
  <c r="D14" i="2"/>
  <c r="D9" i="2"/>
  <c r="D22" i="2" s="1"/>
  <c r="N59" i="1"/>
  <c r="N47" i="1"/>
  <c r="M47" i="1"/>
  <c r="L47" i="1"/>
  <c r="K47" i="1"/>
  <c r="J47" i="1"/>
  <c r="N44" i="1"/>
  <c r="M44" i="1"/>
  <c r="L44" i="1"/>
  <c r="K44" i="1"/>
  <c r="J44" i="1"/>
  <c r="I44" i="1"/>
  <c r="H44" i="1"/>
  <c r="G44" i="1"/>
  <c r="F44" i="1"/>
  <c r="E44" i="1"/>
  <c r="E45" i="1" s="1"/>
  <c r="F32" i="1"/>
  <c r="E32" i="1"/>
  <c r="K31" i="1"/>
  <c r="L31" i="1" s="1"/>
  <c r="M31" i="1" s="1"/>
  <c r="N31" i="1" s="1"/>
  <c r="G30" i="1"/>
  <c r="F30" i="1"/>
  <c r="E30" i="1"/>
  <c r="I29" i="1"/>
  <c r="I30" i="1" s="1"/>
  <c r="H29" i="1"/>
  <c r="H50" i="1" s="1"/>
  <c r="G29" i="1"/>
  <c r="G50" i="1" s="1"/>
  <c r="F29" i="1"/>
  <c r="F50" i="1" s="1"/>
  <c r="E29" i="1"/>
  <c r="E50" i="1" s="1"/>
  <c r="I26" i="1"/>
  <c r="I47" i="1" s="1"/>
  <c r="I48" i="1" s="1"/>
  <c r="H26" i="1"/>
  <c r="H27" i="1" s="1"/>
  <c r="G26" i="1"/>
  <c r="G47" i="1" s="1"/>
  <c r="F26" i="1"/>
  <c r="F47" i="1" s="1"/>
  <c r="E26" i="1"/>
  <c r="E47" i="1" s="1"/>
  <c r="E48" i="1" s="1"/>
  <c r="I24" i="1"/>
  <c r="H24" i="1"/>
  <c r="I23" i="1"/>
  <c r="H23" i="1"/>
  <c r="G23" i="1"/>
  <c r="G24" i="1" s="1"/>
  <c r="F23" i="1"/>
  <c r="F24" i="1" s="1"/>
  <c r="E23" i="1"/>
  <c r="E24" i="1" s="1"/>
  <c r="G22" i="1"/>
  <c r="G32" i="1" s="1"/>
  <c r="F22" i="1"/>
  <c r="I20" i="1"/>
  <c r="H20" i="1"/>
  <c r="G20" i="1"/>
  <c r="F20" i="1"/>
  <c r="E20" i="1"/>
  <c r="N19" i="1"/>
  <c r="N20" i="1" s="1"/>
  <c r="N40" i="1" s="1"/>
  <c r="M19" i="1"/>
  <c r="M20" i="1" s="1"/>
  <c r="M40" i="1" s="1"/>
  <c r="L19" i="1"/>
  <c r="L20" i="1" s="1"/>
  <c r="L40" i="1" s="1"/>
  <c r="K19" i="1"/>
  <c r="K20" i="1" s="1"/>
  <c r="K40" i="1" s="1"/>
  <c r="J19" i="1"/>
  <c r="J20" i="1" s="1"/>
  <c r="J40" i="1" s="1"/>
  <c r="I19" i="1"/>
  <c r="I39" i="1" s="1"/>
  <c r="H19" i="1"/>
  <c r="H39" i="1" s="1"/>
  <c r="G19" i="1"/>
  <c r="G39" i="1" s="1"/>
  <c r="F19" i="1"/>
  <c r="F39" i="1" s="1"/>
  <c r="E19" i="1"/>
  <c r="E39" i="1" s="1"/>
  <c r="M17" i="1"/>
  <c r="M37" i="1" s="1"/>
  <c r="L17" i="1"/>
  <c r="L37" i="1" s="1"/>
  <c r="K17" i="1"/>
  <c r="K37" i="1" s="1"/>
  <c r="J17" i="1"/>
  <c r="J37" i="1" s="1"/>
  <c r="I17" i="1"/>
  <c r="G17" i="1"/>
  <c r="F17" i="1"/>
  <c r="E17" i="1"/>
  <c r="N16" i="1"/>
  <c r="N17" i="1" s="1"/>
  <c r="N37" i="1" s="1"/>
  <c r="M16" i="1"/>
  <c r="L16" i="1"/>
  <c r="K16" i="1"/>
  <c r="J16" i="1"/>
  <c r="I16" i="1"/>
  <c r="I36" i="1" s="1"/>
  <c r="H16" i="1"/>
  <c r="H36" i="1" s="1"/>
  <c r="G16" i="1"/>
  <c r="G36" i="1" s="1"/>
  <c r="F16" i="1"/>
  <c r="F36" i="1" s="1"/>
  <c r="E16" i="1"/>
  <c r="E36" i="1" s="1"/>
  <c r="N14" i="1"/>
  <c r="N34" i="1" s="1"/>
  <c r="M14" i="1"/>
  <c r="M34" i="1" s="1"/>
  <c r="L14" i="1"/>
  <c r="L34" i="1" s="1"/>
  <c r="K14" i="1"/>
  <c r="K34" i="1" s="1"/>
  <c r="J14" i="1"/>
  <c r="J34" i="1" s="1"/>
  <c r="I14" i="1"/>
  <c r="H14" i="1"/>
  <c r="N13" i="1"/>
  <c r="M13" i="1"/>
  <c r="L13" i="1"/>
  <c r="K13" i="1"/>
  <c r="J13" i="1"/>
  <c r="I13" i="1"/>
  <c r="I33" i="1" s="1"/>
  <c r="H13" i="1"/>
  <c r="H17" i="1" s="1"/>
  <c r="G13" i="1"/>
  <c r="G14" i="1" s="1"/>
  <c r="F13" i="1"/>
  <c r="F14" i="1" s="1"/>
  <c r="E13" i="1"/>
  <c r="E33" i="1" s="1"/>
  <c r="F12" i="1"/>
  <c r="G12" i="1" s="1"/>
  <c r="H12" i="1" s="1"/>
  <c r="I12" i="1" s="1"/>
  <c r="J12" i="1" s="1"/>
  <c r="K12" i="1" s="1"/>
  <c r="L12" i="1" s="1"/>
  <c r="M12" i="1" s="1"/>
  <c r="N12" i="1" s="1"/>
  <c r="K11" i="1"/>
  <c r="L11" i="1" s="1"/>
  <c r="M11" i="1" s="1"/>
  <c r="N11" i="1" s="1"/>
  <c r="D9" i="1"/>
  <c r="E51" i="1" l="1"/>
  <c r="E37" i="1"/>
  <c r="F40" i="1"/>
  <c r="G40" i="1"/>
  <c r="G51" i="1"/>
  <c r="J51" i="1" s="1"/>
  <c r="G37" i="1"/>
  <c r="E40" i="1"/>
  <c r="J33" i="1"/>
  <c r="J36" i="1" s="1"/>
  <c r="I45" i="1"/>
  <c r="H40" i="1"/>
  <c r="H51" i="1"/>
  <c r="H37" i="1"/>
  <c r="I37" i="1"/>
  <c r="I40" i="1"/>
  <c r="I50" i="1"/>
  <c r="I51" i="1" s="1"/>
  <c r="H33" i="1"/>
  <c r="I27" i="1"/>
  <c r="H47" i="1"/>
  <c r="H48" i="1" s="1"/>
  <c r="H22" i="1"/>
  <c r="H30" i="1"/>
  <c r="G27" i="1"/>
  <c r="E27" i="1"/>
  <c r="F33" i="1"/>
  <c r="F34" i="1" s="1"/>
  <c r="G33" i="1"/>
  <c r="F27" i="1"/>
  <c r="J39" i="1" l="1"/>
  <c r="J42" i="1" s="1"/>
  <c r="J53" i="1" s="1"/>
  <c r="J54" i="1" s="1"/>
  <c r="K33" i="1"/>
  <c r="J48" i="1"/>
  <c r="J45" i="1"/>
  <c r="H32" i="1"/>
  <c r="I22" i="1"/>
  <c r="F45" i="1"/>
  <c r="H34" i="1"/>
  <c r="H45" i="1"/>
  <c r="J50" i="1"/>
  <c r="K51" i="1"/>
  <c r="G34" i="1"/>
  <c r="G45" i="1"/>
  <c r="G48" i="1"/>
  <c r="F37" i="1"/>
  <c r="F51" i="1"/>
  <c r="I34" i="1"/>
  <c r="F48" i="1"/>
  <c r="L51" i="1" l="1"/>
  <c r="K50" i="1"/>
  <c r="I32" i="1"/>
  <c r="J22" i="1"/>
  <c r="K48" i="1"/>
  <c r="K45" i="1"/>
  <c r="L33" i="1"/>
  <c r="K36" i="1"/>
  <c r="K39" i="1" l="1"/>
  <c r="K42" i="1" s="1"/>
  <c r="K54" i="1" s="1"/>
  <c r="J32" i="1"/>
  <c r="K22" i="1"/>
  <c r="L45" i="1"/>
  <c r="M33" i="1"/>
  <c r="L48" i="1"/>
  <c r="L36" i="1"/>
  <c r="M51" i="1"/>
  <c r="L50" i="1"/>
  <c r="N51" i="1" l="1"/>
  <c r="M50" i="1"/>
  <c r="L39" i="1"/>
  <c r="L42" i="1" s="1"/>
  <c r="L53" i="1" s="1"/>
  <c r="L54" i="1" s="1"/>
  <c r="N33" i="1"/>
  <c r="M45" i="1"/>
  <c r="M36" i="1"/>
  <c r="M48" i="1"/>
  <c r="L22" i="1"/>
  <c r="K32" i="1"/>
  <c r="M39" i="1" l="1"/>
  <c r="M42" i="1" s="1"/>
  <c r="M53" i="1" s="1"/>
  <c r="M54" i="1" s="1"/>
  <c r="M22" i="1"/>
  <c r="L32" i="1"/>
  <c r="N45" i="1"/>
  <c r="N48" i="1"/>
  <c r="N36" i="1"/>
  <c r="N50" i="1"/>
  <c r="N39" i="1" l="1"/>
  <c r="N42" i="1" s="1"/>
  <c r="N53" i="1" s="1"/>
  <c r="N22" i="1"/>
  <c r="N32" i="1" s="1"/>
  <c r="M32" i="1"/>
  <c r="N56" i="1" l="1"/>
  <c r="N57" i="1" s="1"/>
  <c r="N54" i="1"/>
  <c r="N58" i="1" s="1"/>
  <c r="N61" i="1" s="1"/>
  <c r="N63" i="1" s="1"/>
  <c r="G4" i="1" s="1"/>
  <c r="K5" i="1" s="1"/>
</calcChain>
</file>

<file path=xl/sharedStrings.xml><?xml version="1.0" encoding="utf-8"?>
<sst xmlns="http://schemas.openxmlformats.org/spreadsheetml/2006/main" count="74" uniqueCount="48">
  <si>
    <t>Amazon DCF</t>
  </si>
  <si>
    <t>x</t>
  </si>
  <si>
    <t>Ticker</t>
  </si>
  <si>
    <t>AMZN</t>
  </si>
  <si>
    <t>Implied Share Price</t>
  </si>
  <si>
    <t>Date</t>
  </si>
  <si>
    <t>Today's Share Price</t>
  </si>
  <si>
    <t>Upside (Downside)</t>
  </si>
  <si>
    <t>Assumptions</t>
  </si>
  <si>
    <t>Valuation Assumptions</t>
  </si>
  <si>
    <t>WACC</t>
  </si>
  <si>
    <t>TGR</t>
  </si>
  <si>
    <t>Income Statement</t>
  </si>
  <si>
    <t>Revenue</t>
  </si>
  <si>
    <t>% growth</t>
  </si>
  <si>
    <t>EBIT</t>
  </si>
  <si>
    <t>% of sales</t>
  </si>
  <si>
    <t>Taxes</t>
  </si>
  <si>
    <t>% of EBIT</t>
  </si>
  <si>
    <t>Cash Flow Items</t>
  </si>
  <si>
    <t>D&amp;A</t>
  </si>
  <si>
    <t>CapEx</t>
  </si>
  <si>
    <t>Change in NWC</t>
  </si>
  <si>
    <t>DCF</t>
  </si>
  <si>
    <t>% margin</t>
  </si>
  <si>
    <t>EBIAT</t>
  </si>
  <si>
    <t>Unlevered FCF</t>
  </si>
  <si>
    <t>Present Value of FCF</t>
  </si>
  <si>
    <t>Terminal Value</t>
  </si>
  <si>
    <t>Present Value of Terminal Value</t>
  </si>
  <si>
    <t>Enterprise Value</t>
  </si>
  <si>
    <t>+ Cash</t>
  </si>
  <si>
    <t>- Debt</t>
  </si>
  <si>
    <t>Equity Value</t>
  </si>
  <si>
    <t>Shares</t>
  </si>
  <si>
    <t>Share Price</t>
  </si>
  <si>
    <t>WACC =  (% Equity x Cost of Equity) + (% Debt x Cost of Debt x (1 -Tax rate))</t>
  </si>
  <si>
    <t>Cost of Equity = Risk Free Rate + (Beta x (Expected Market Return - Risk Free Rate))</t>
  </si>
  <si>
    <t>Debt</t>
  </si>
  <si>
    <t>% Debt</t>
  </si>
  <si>
    <t>Cost of Debt</t>
  </si>
  <si>
    <t>Tax Rate</t>
  </si>
  <si>
    <t>% Equity</t>
  </si>
  <si>
    <t>Cost of Equity</t>
  </si>
  <si>
    <t>Risk Free Rate</t>
  </si>
  <si>
    <t>Beta</t>
  </si>
  <si>
    <t>Market Risk Premium</t>
  </si>
  <si>
    <t>Debt +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</si>
</sst>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"/>
    <numFmt numFmtId="165" formatCode="_([$$-409]* #,##0.00_);_([$$-409]* \(#,##0.00\);_([$$-409]* &quot;-&quot;??_);_(@_)"/>
    <numFmt numFmtId="166" formatCode="0%;\(0%\)"/>
    <numFmt numFmtId="167" formatCode="0.0%;\(0.0%\)"/>
    <numFmt numFmtId="168" formatCode="0.0%"/>
    <numFmt numFmtId="169" formatCode="&quot;$&quot;#,##0_);[Red]\(&quot;$&quot;#,##0\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i/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C0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7030A0"/>
      <name val="Aptos Narrow"/>
      <family val="2"/>
      <scheme val="minor"/>
    </font>
    <font>
      <i/>
      <sz val="11"/>
      <color rgb="FF7030A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4" fillId="0" borderId="1" xfId="0" applyFont="1" applyBorder="1"/>
    <xf numFmtId="0" fontId="0" fillId="2" borderId="2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0" xfId="0" applyNumberFormat="1"/>
    <xf numFmtId="166" fontId="0" fillId="0" borderId="0" xfId="1" applyNumberFormat="1" applyFont="1"/>
    <xf numFmtId="14" fontId="0" fillId="2" borderId="2" xfId="0" applyNumberFormat="1" applyFill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3" fillId="0" borderId="0" xfId="0" applyFont="1"/>
    <xf numFmtId="168" fontId="0" fillId="2" borderId="3" xfId="0" applyNumberFormat="1" applyFill="1" applyBorder="1" applyAlignment="1">
      <alignment horizontal="center"/>
    </xf>
    <xf numFmtId="0" fontId="2" fillId="3" borderId="4" xfId="0" applyFont="1" applyFill="1" applyBorder="1"/>
    <xf numFmtId="0" fontId="5" fillId="4" borderId="0" xfId="0" applyFont="1" applyFill="1"/>
    <xf numFmtId="3" fontId="6" fillId="4" borderId="0" xfId="0" applyNumberFormat="1" applyFont="1" applyFill="1"/>
    <xf numFmtId="3" fontId="6" fillId="4" borderId="4" xfId="0" applyNumberFormat="1" applyFont="1" applyFill="1" applyBorder="1"/>
    <xf numFmtId="0" fontId="7" fillId="4" borderId="0" xfId="0" applyFont="1" applyFill="1"/>
    <xf numFmtId="168" fontId="7" fillId="4" borderId="0" xfId="1" applyNumberFormat="1" applyFont="1" applyFill="1"/>
    <xf numFmtId="168" fontId="7" fillId="4" borderId="4" xfId="1" applyNumberFormat="1" applyFont="1" applyFill="1" applyBorder="1"/>
    <xf numFmtId="168" fontId="7" fillId="4" borderId="0" xfId="1" applyNumberFormat="1" applyFont="1" applyFill="1" applyBorder="1"/>
    <xf numFmtId="0" fontId="8" fillId="4" borderId="0" xfId="0" applyFont="1" applyFill="1"/>
    <xf numFmtId="0" fontId="5" fillId="4" borderId="4" xfId="0" applyFont="1" applyFill="1" applyBorder="1"/>
    <xf numFmtId="3" fontId="9" fillId="4" borderId="0" xfId="0" applyNumberFormat="1" applyFont="1" applyFill="1"/>
    <xf numFmtId="3" fontId="5" fillId="4" borderId="0" xfId="0" applyNumberFormat="1" applyFont="1" applyFill="1"/>
    <xf numFmtId="3" fontId="5" fillId="4" borderId="4" xfId="0" applyNumberFormat="1" applyFont="1" applyFill="1" applyBorder="1"/>
    <xf numFmtId="37" fontId="6" fillId="4" borderId="0" xfId="0" applyNumberFormat="1" applyFont="1" applyFill="1"/>
    <xf numFmtId="37" fontId="6" fillId="4" borderId="4" xfId="0" applyNumberFormat="1" applyFont="1" applyFill="1" applyBorder="1"/>
    <xf numFmtId="167" fontId="10" fillId="0" borderId="0" xfId="1" applyNumberFormat="1" applyFont="1"/>
    <xf numFmtId="167" fontId="10" fillId="0" borderId="4" xfId="1" applyNumberFormat="1" applyFont="1" applyBorder="1"/>
    <xf numFmtId="0" fontId="0" fillId="0" borderId="4" xfId="0" applyBorder="1"/>
    <xf numFmtId="3" fontId="11" fillId="0" borderId="0" xfId="0" applyNumberFormat="1" applyFont="1"/>
    <xf numFmtId="3" fontId="11" fillId="0" borderId="4" xfId="0" applyNumberFormat="1" applyFont="1" applyBorder="1"/>
    <xf numFmtId="3" fontId="5" fillId="0" borderId="0" xfId="0" applyNumberFormat="1" applyFont="1"/>
    <xf numFmtId="0" fontId="10" fillId="0" borderId="0" xfId="0" applyFont="1"/>
    <xf numFmtId="168" fontId="10" fillId="0" borderId="0" xfId="1" applyNumberFormat="1" applyFont="1"/>
    <xf numFmtId="168" fontId="10" fillId="0" borderId="4" xfId="1" applyNumberFormat="1" applyFont="1" applyBorder="1"/>
    <xf numFmtId="168" fontId="12" fillId="0" borderId="0" xfId="1" applyNumberFormat="1" applyFont="1" applyFill="1" applyBorder="1"/>
    <xf numFmtId="1" fontId="0" fillId="0" borderId="0" xfId="0" applyNumberFormat="1"/>
    <xf numFmtId="3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168" fontId="5" fillId="4" borderId="0" xfId="1" applyNumberFormat="1" applyFont="1" applyFill="1"/>
    <xf numFmtId="169" fontId="5" fillId="4" borderId="0" xfId="0" applyNumberFormat="1" applyFont="1" applyFill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3" fontId="3" fillId="0" borderId="6" xfId="0" applyNumberFormat="1" applyFont="1" applyBorder="1"/>
    <xf numFmtId="3" fontId="3" fillId="0" borderId="7" xfId="0" applyNumberFormat="1" applyFont="1" applyBorder="1"/>
    <xf numFmtId="168" fontId="10" fillId="0" borderId="0" xfId="1" applyNumberFormat="1" applyFont="1" applyFill="1" applyBorder="1"/>
    <xf numFmtId="37" fontId="11" fillId="0" borderId="0" xfId="0" applyNumberFormat="1" applyFont="1"/>
    <xf numFmtId="37" fontId="11" fillId="0" borderId="4" xfId="0" applyNumberFormat="1" applyFont="1" applyBorder="1"/>
    <xf numFmtId="37" fontId="5" fillId="0" borderId="0" xfId="0" applyNumberFormat="1" applyFont="1"/>
    <xf numFmtId="167" fontId="10" fillId="0" borderId="0" xfId="1" applyNumberFormat="1" applyFont="1" applyBorder="1"/>
    <xf numFmtId="167" fontId="12" fillId="0" borderId="0" xfId="1" applyNumberFormat="1" applyFont="1" applyBorder="1"/>
    <xf numFmtId="0" fontId="0" fillId="0" borderId="8" xfId="0" applyBorder="1"/>
    <xf numFmtId="37" fontId="3" fillId="0" borderId="6" xfId="0" applyNumberFormat="1" applyFont="1" applyBorder="1"/>
    <xf numFmtId="37" fontId="3" fillId="0" borderId="7" xfId="0" applyNumberFormat="1" applyFont="1" applyBorder="1"/>
    <xf numFmtId="14" fontId="0" fillId="0" borderId="0" xfId="0" applyNumberFormat="1"/>
    <xf numFmtId="37" fontId="5" fillId="0" borderId="1" xfId="0" applyNumberFormat="1" applyFont="1" applyBorder="1"/>
    <xf numFmtId="37" fontId="8" fillId="0" borderId="0" xfId="0" applyNumberFormat="1" applyFont="1"/>
    <xf numFmtId="0" fontId="0" fillId="0" borderId="0" xfId="0" quotePrefix="1"/>
    <xf numFmtId="0" fontId="0" fillId="0" borderId="1" xfId="0" quotePrefix="1" applyBorder="1"/>
    <xf numFmtId="165" fontId="3" fillId="0" borderId="0" xfId="0" applyNumberFormat="1" applyFont="1"/>
    <xf numFmtId="168" fontId="0" fillId="0" borderId="0" xfId="0" applyNumberFormat="1" applyAlignment="1">
      <alignment horizontal="right"/>
    </xf>
    <xf numFmtId="168" fontId="0" fillId="2" borderId="3" xfId="0" applyNumberFormat="1" applyFill="1" applyBorder="1" applyAlignment="1">
      <alignment horizontal="right"/>
    </xf>
    <xf numFmtId="9" fontId="0" fillId="0" borderId="0" xfId="1" applyFont="1"/>
    <xf numFmtId="0" fontId="0" fillId="2" borderId="3" xfId="0" applyFill="1" applyBorder="1" applyAlignment="1">
      <alignment horizontal="right"/>
    </xf>
    <xf numFmtId="0" fontId="3" fillId="5" borderId="5" xfId="0" applyFont="1" applyFill="1" applyBorder="1"/>
    <xf numFmtId="0" fontId="0" fillId="5" borderId="6" xfId="0" applyFill="1" applyBorder="1"/>
    <xf numFmtId="10" fontId="3" fillId="5" borderId="7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RUN%20KUMAR%20THAKUR\Downloads\DCF%20Tutorial%20Answer%20Key.xlsx" TargetMode="External"/><Relationship Id="rId1" Type="http://schemas.openxmlformats.org/officeDocument/2006/relationships/externalLinkPath" Target="/Users/TARUN%20KUMAR%20THAKUR/Downloads/DCF%20Tutorial%20Answer%20K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FDSCACHE__"/>
      <sheetName val="DCF"/>
      <sheetName val="WACC"/>
      <sheetName val="IS"/>
      <sheetName val="CFS"/>
    </sheetNames>
    <sheetDataSet>
      <sheetData sheetId="0"/>
      <sheetData sheetId="1"/>
      <sheetData sheetId="2">
        <row r="22">
          <cell r="D22">
            <v>7.8205784413158272E-2</v>
          </cell>
        </row>
      </sheetData>
      <sheetData sheetId="3">
        <row r="5">
          <cell r="F5">
            <v>177866</v>
          </cell>
          <cell r="G5">
            <v>232887</v>
          </cell>
          <cell r="H5">
            <v>280522</v>
          </cell>
          <cell r="I5">
            <v>386064</v>
          </cell>
          <cell r="J5">
            <v>469822</v>
          </cell>
          <cell r="K5">
            <v>525188</v>
          </cell>
          <cell r="L5">
            <v>613833</v>
          </cell>
          <cell r="M5">
            <v>709187</v>
          </cell>
          <cell r="N5">
            <v>794564</v>
          </cell>
          <cell r="O5">
            <v>884891</v>
          </cell>
        </row>
        <row r="19">
          <cell r="F19">
            <v>4106</v>
          </cell>
          <cell r="G19">
            <v>12421</v>
          </cell>
          <cell r="H19">
            <v>14541</v>
          </cell>
          <cell r="I19">
            <v>22899</v>
          </cell>
          <cell r="J19">
            <v>24879</v>
          </cell>
          <cell r="K19">
            <v>18689.099999999999</v>
          </cell>
          <cell r="L19">
            <v>35250.699999999997</v>
          </cell>
          <cell r="M19">
            <v>58460.6</v>
          </cell>
          <cell r="N19">
            <v>76631.100000000006</v>
          </cell>
          <cell r="O19">
            <v>104379</v>
          </cell>
        </row>
        <row r="27">
          <cell r="F27">
            <v>770</v>
          </cell>
          <cell r="G27">
            <v>1196</v>
          </cell>
          <cell r="H27">
            <v>2373</v>
          </cell>
          <cell r="I27">
            <v>2863</v>
          </cell>
          <cell r="J27">
            <v>4791</v>
          </cell>
          <cell r="K27">
            <v>1196.68</v>
          </cell>
          <cell r="L27">
            <v>5660.19</v>
          </cell>
          <cell r="M27">
            <v>9464.7099999999991</v>
          </cell>
          <cell r="N27">
            <v>9573.7800000000007</v>
          </cell>
          <cell r="O27">
            <v>12895.6</v>
          </cell>
        </row>
      </sheetData>
      <sheetData sheetId="4">
        <row r="13">
          <cell r="G13">
            <v>11478</v>
          </cell>
          <cell r="H13">
            <v>15341</v>
          </cell>
          <cell r="I13">
            <v>21789</v>
          </cell>
          <cell r="J13">
            <v>25251</v>
          </cell>
          <cell r="K13">
            <v>34296</v>
          </cell>
        </row>
        <row r="22">
          <cell r="G22">
            <v>-173</v>
          </cell>
          <cell r="H22">
            <v>-1043</v>
          </cell>
          <cell r="I22">
            <v>-2438</v>
          </cell>
          <cell r="J22">
            <v>13481</v>
          </cell>
          <cell r="K22">
            <v>-19611</v>
          </cell>
        </row>
        <row r="32">
          <cell r="G32">
            <v>-11955</v>
          </cell>
          <cell r="H32">
            <v>-13427</v>
          </cell>
          <cell r="I32">
            <v>-16861</v>
          </cell>
          <cell r="J32">
            <v>-40140</v>
          </cell>
          <cell r="K32">
            <v>-61053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2E99-C17C-469D-BC24-754A918937AC}">
  <dimension ref="A2:AD63"/>
  <sheetViews>
    <sheetView tabSelected="1" zoomScale="116" workbookViewId="0">
      <selection activeCell="B6" sqref="B6"/>
    </sheetView>
  </sheetViews>
  <sheetFormatPr defaultColWidth="9.6640625" defaultRowHeight="14.4" outlineLevelRow="1" outlineLevelCol="1" x14ac:dyDescent="0.3"/>
  <cols>
    <col min="1" max="1" width="3.6640625" customWidth="1"/>
    <col min="3" max="3" width="11.21875" bestFit="1" customWidth="1"/>
    <col min="4" max="4" width="9.77734375" bestFit="1" customWidth="1"/>
    <col min="5" max="10" width="9.6640625" outlineLevel="1"/>
    <col min="22" max="26" width="10.44140625" bestFit="1" customWidth="1"/>
    <col min="27" max="27" width="12" bestFit="1" customWidth="1"/>
    <col min="30" max="30" width="10.33203125" bestFit="1" customWidth="1"/>
  </cols>
  <sheetData>
    <row r="2" spans="1:18" s="1" customFormat="1" ht="21" x14ac:dyDescent="0.4">
      <c r="B2" s="2" t="s">
        <v>0</v>
      </c>
    </row>
    <row r="4" spans="1:18" x14ac:dyDescent="0.3">
      <c r="A4" t="s">
        <v>1</v>
      </c>
      <c r="B4" t="s">
        <v>2</v>
      </c>
      <c r="C4" s="3" t="s">
        <v>3</v>
      </c>
      <c r="E4" t="s">
        <v>4</v>
      </c>
      <c r="G4" s="4">
        <f>N63</f>
        <v>140.02121855825578</v>
      </c>
      <c r="M4" s="5"/>
      <c r="R4" s="6"/>
    </row>
    <row r="5" spans="1:18" x14ac:dyDescent="0.3">
      <c r="B5" t="s">
        <v>5</v>
      </c>
      <c r="C5" s="7">
        <v>44766</v>
      </c>
      <c r="E5" t="s">
        <v>6</v>
      </c>
      <c r="G5" s="4">
        <v>122.42</v>
      </c>
      <c r="I5" t="s">
        <v>7</v>
      </c>
      <c r="K5" s="8">
        <f>G4/G5-1</f>
        <v>0.1437773121896404</v>
      </c>
      <c r="M5" s="5"/>
    </row>
    <row r="7" spans="1:18" x14ac:dyDescent="0.3">
      <c r="A7" t="s">
        <v>1</v>
      </c>
      <c r="B7" s="9" t="s">
        <v>8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8" x14ac:dyDescent="0.3">
      <c r="B8" s="11" t="s">
        <v>9</v>
      </c>
    </row>
    <row r="9" spans="1:18" x14ac:dyDescent="0.3">
      <c r="B9" t="s">
        <v>10</v>
      </c>
      <c r="D9" s="12">
        <f>[1]WACC!D22</f>
        <v>7.8205784413158272E-2</v>
      </c>
    </row>
    <row r="10" spans="1:18" x14ac:dyDescent="0.3">
      <c r="B10" t="s">
        <v>11</v>
      </c>
      <c r="D10" s="12">
        <v>0.03</v>
      </c>
    </row>
    <row r="11" spans="1:18" x14ac:dyDescent="0.3">
      <c r="J11">
        <v>1</v>
      </c>
      <c r="K11">
        <f>J11+1</f>
        <v>2</v>
      </c>
      <c r="L11">
        <f t="shared" ref="L11:N11" si="0">K11+1</f>
        <v>3</v>
      </c>
      <c r="M11">
        <f t="shared" si="0"/>
        <v>4</v>
      </c>
      <c r="N11">
        <f t="shared" si="0"/>
        <v>5</v>
      </c>
    </row>
    <row r="12" spans="1:18" outlineLevel="1" x14ac:dyDescent="0.3">
      <c r="A12" t="s">
        <v>1</v>
      </c>
      <c r="B12" s="9" t="s">
        <v>12</v>
      </c>
      <c r="C12" s="10"/>
      <c r="D12" s="10"/>
      <c r="E12" s="9">
        <v>2017</v>
      </c>
      <c r="F12" s="9">
        <f>E12+1</f>
        <v>2018</v>
      </c>
      <c r="G12" s="9">
        <f>F12+1</f>
        <v>2019</v>
      </c>
      <c r="H12" s="9">
        <f>G12+1</f>
        <v>2020</v>
      </c>
      <c r="I12" s="13">
        <f>H12+1</f>
        <v>2021</v>
      </c>
      <c r="J12" s="9">
        <f>I12+1</f>
        <v>2022</v>
      </c>
      <c r="K12" s="9">
        <f>J12+1</f>
        <v>2023</v>
      </c>
      <c r="L12" s="9">
        <f>K12+1</f>
        <v>2024</v>
      </c>
      <c r="M12" s="9">
        <f>L12+1</f>
        <v>2025</v>
      </c>
      <c r="N12" s="9">
        <f>M12+1</f>
        <v>2026</v>
      </c>
    </row>
    <row r="13" spans="1:18" s="14" customFormat="1" outlineLevel="1" x14ac:dyDescent="0.3">
      <c r="B13" s="14" t="s">
        <v>13</v>
      </c>
      <c r="E13" s="15">
        <f>[1]IS!F5</f>
        <v>177866</v>
      </c>
      <c r="F13" s="15">
        <f>[1]IS!G5</f>
        <v>232887</v>
      </c>
      <c r="G13" s="15">
        <f>[1]IS!H5</f>
        <v>280522</v>
      </c>
      <c r="H13" s="15">
        <f>[1]IS!I5</f>
        <v>386064</v>
      </c>
      <c r="I13" s="16">
        <f>[1]IS!J5</f>
        <v>469822</v>
      </c>
      <c r="J13" s="15">
        <f>[1]IS!K5</f>
        <v>525188</v>
      </c>
      <c r="K13" s="15">
        <f>[1]IS!L5</f>
        <v>613833</v>
      </c>
      <c r="L13" s="15">
        <f>[1]IS!M5</f>
        <v>709187</v>
      </c>
      <c r="M13" s="15">
        <f>[1]IS!N5</f>
        <v>794564</v>
      </c>
      <c r="N13" s="15">
        <f>[1]IS!O5</f>
        <v>884891</v>
      </c>
    </row>
    <row r="14" spans="1:18" s="14" customFormat="1" outlineLevel="1" x14ac:dyDescent="0.3">
      <c r="B14" s="17" t="s">
        <v>14</v>
      </c>
      <c r="E14" s="18"/>
      <c r="F14" s="18">
        <f t="shared" ref="F14:N14" si="1">F13/E13-1</f>
        <v>0.3093396152159491</v>
      </c>
      <c r="G14" s="18">
        <f t="shared" si="1"/>
        <v>0.20454125820676983</v>
      </c>
      <c r="H14" s="18">
        <f t="shared" si="1"/>
        <v>0.37623430604373276</v>
      </c>
      <c r="I14" s="19">
        <f t="shared" si="1"/>
        <v>0.21695366571345676</v>
      </c>
      <c r="J14" s="20">
        <f t="shared" si="1"/>
        <v>0.11784463051964367</v>
      </c>
      <c r="K14" s="18">
        <f t="shared" si="1"/>
        <v>0.16878717716322544</v>
      </c>
      <c r="L14" s="18">
        <f t="shared" si="1"/>
        <v>0.15534192524676915</v>
      </c>
      <c r="M14" s="18">
        <f t="shared" si="1"/>
        <v>0.12038714753654545</v>
      </c>
      <c r="N14" s="18">
        <f t="shared" si="1"/>
        <v>0.11368121384809782</v>
      </c>
    </row>
    <row r="15" spans="1:18" s="14" customFormat="1" outlineLevel="1" x14ac:dyDescent="0.3">
      <c r="B15" s="21"/>
      <c r="I15" s="22"/>
    </row>
    <row r="16" spans="1:18" s="14" customFormat="1" outlineLevel="1" x14ac:dyDescent="0.3">
      <c r="B16" s="14" t="s">
        <v>15</v>
      </c>
      <c r="E16" s="15">
        <f>[1]IS!F19</f>
        <v>4106</v>
      </c>
      <c r="F16" s="15">
        <f>[1]IS!G19</f>
        <v>12421</v>
      </c>
      <c r="G16" s="15">
        <f>[1]IS!H19</f>
        <v>14541</v>
      </c>
      <c r="H16" s="15">
        <f>[1]IS!I19</f>
        <v>22899</v>
      </c>
      <c r="I16" s="16">
        <f>[1]IS!J19</f>
        <v>24879</v>
      </c>
      <c r="J16" s="15">
        <f>[1]IS!K19</f>
        <v>18689.099999999999</v>
      </c>
      <c r="K16" s="15">
        <f>[1]IS!L19</f>
        <v>35250.699999999997</v>
      </c>
      <c r="L16" s="15">
        <f>[1]IS!M19</f>
        <v>58460.6</v>
      </c>
      <c r="M16" s="15">
        <f>[1]IS!N19</f>
        <v>76631.100000000006</v>
      </c>
      <c r="N16" s="15">
        <f>[1]IS!O19</f>
        <v>104379</v>
      </c>
    </row>
    <row r="17" spans="1:14" s="14" customFormat="1" outlineLevel="1" x14ac:dyDescent="0.3">
      <c r="B17" s="17" t="s">
        <v>16</v>
      </c>
      <c r="E17" s="18">
        <f t="shared" ref="E17:N17" si="2">E16/E13</f>
        <v>2.3084794170892695E-2</v>
      </c>
      <c r="F17" s="18">
        <f t="shared" si="2"/>
        <v>5.3334879147397665E-2</v>
      </c>
      <c r="G17" s="18">
        <f t="shared" si="2"/>
        <v>5.1835506662579051E-2</v>
      </c>
      <c r="H17" s="18">
        <f t="shared" si="2"/>
        <v>5.9313999751336569E-2</v>
      </c>
      <c r="I17" s="19">
        <f t="shared" si="2"/>
        <v>5.2954097509269465E-2</v>
      </c>
      <c r="J17" s="20">
        <f t="shared" si="2"/>
        <v>3.5585542700899482E-2</v>
      </c>
      <c r="K17" s="18">
        <f t="shared" si="2"/>
        <v>5.7427182963444449E-2</v>
      </c>
      <c r="L17" s="18">
        <f t="shared" si="2"/>
        <v>8.2433265133173617E-2</v>
      </c>
      <c r="M17" s="18">
        <f t="shared" si="2"/>
        <v>9.6444213430258621E-2</v>
      </c>
      <c r="N17" s="18">
        <f t="shared" si="2"/>
        <v>0.11795690090643933</v>
      </c>
    </row>
    <row r="18" spans="1:14" s="14" customFormat="1" outlineLevel="1" x14ac:dyDescent="0.3">
      <c r="I18" s="22"/>
    </row>
    <row r="19" spans="1:14" s="14" customFormat="1" outlineLevel="1" x14ac:dyDescent="0.3">
      <c r="B19" s="14" t="s">
        <v>17</v>
      </c>
      <c r="E19" s="15">
        <f>[1]IS!F27</f>
        <v>770</v>
      </c>
      <c r="F19" s="15">
        <f>[1]IS!G27</f>
        <v>1196</v>
      </c>
      <c r="G19" s="15">
        <f>[1]IS!H27</f>
        <v>2373</v>
      </c>
      <c r="H19" s="15">
        <f>[1]IS!I27</f>
        <v>2863</v>
      </c>
      <c r="I19" s="16">
        <f>[1]IS!J27</f>
        <v>4791</v>
      </c>
      <c r="J19" s="15">
        <f>[1]IS!K27</f>
        <v>1196.68</v>
      </c>
      <c r="K19" s="15">
        <f>[1]IS!L27</f>
        <v>5660.19</v>
      </c>
      <c r="L19" s="15">
        <f>[1]IS!M27</f>
        <v>9464.7099999999991</v>
      </c>
      <c r="M19" s="15">
        <f>[1]IS!N27</f>
        <v>9573.7800000000007</v>
      </c>
      <c r="N19" s="15">
        <f>[1]IS!O27</f>
        <v>12895.6</v>
      </c>
    </row>
    <row r="20" spans="1:14" s="14" customFormat="1" outlineLevel="1" x14ac:dyDescent="0.3">
      <c r="B20" s="17" t="s">
        <v>18</v>
      </c>
      <c r="E20" s="18">
        <f t="shared" ref="E20:N20" si="3">E19/E16</f>
        <v>0.18753044325377496</v>
      </c>
      <c r="F20" s="18">
        <f t="shared" si="3"/>
        <v>9.6288543595523704E-2</v>
      </c>
      <c r="G20" s="18">
        <f t="shared" si="3"/>
        <v>0.16319372807922428</v>
      </c>
      <c r="H20" s="18">
        <f t="shared" si="3"/>
        <v>0.12502729376828683</v>
      </c>
      <c r="I20" s="19">
        <f t="shared" si="3"/>
        <v>0.1925720487157844</v>
      </c>
      <c r="J20" s="20">
        <f t="shared" si="3"/>
        <v>6.4030905715095968E-2</v>
      </c>
      <c r="K20" s="18">
        <f t="shared" si="3"/>
        <v>0.16056957734172655</v>
      </c>
      <c r="L20" s="18">
        <f t="shared" si="3"/>
        <v>0.16189895416742214</v>
      </c>
      <c r="M20" s="18">
        <f t="shared" si="3"/>
        <v>0.12493334951475314</v>
      </c>
      <c r="N20" s="18">
        <f t="shared" si="3"/>
        <v>0.12354592398854176</v>
      </c>
    </row>
    <row r="21" spans="1:14" s="14" customFormat="1" outlineLevel="1" x14ac:dyDescent="0.3">
      <c r="I21" s="22"/>
    </row>
    <row r="22" spans="1:14" outlineLevel="1" x14ac:dyDescent="0.3">
      <c r="A22" t="s">
        <v>1</v>
      </c>
      <c r="B22" s="9" t="s">
        <v>19</v>
      </c>
      <c r="C22" s="10"/>
      <c r="D22" s="10"/>
      <c r="E22" s="9">
        <v>2017</v>
      </c>
      <c r="F22" s="9">
        <f t="shared" ref="F22:N22" si="4">E22+1</f>
        <v>2018</v>
      </c>
      <c r="G22" s="9">
        <f t="shared" si="4"/>
        <v>2019</v>
      </c>
      <c r="H22" s="9">
        <f t="shared" si="4"/>
        <v>2020</v>
      </c>
      <c r="I22" s="13">
        <f t="shared" si="4"/>
        <v>2021</v>
      </c>
      <c r="J22" s="9">
        <f t="shared" si="4"/>
        <v>2022</v>
      </c>
      <c r="K22" s="9">
        <f t="shared" si="4"/>
        <v>2023</v>
      </c>
      <c r="L22" s="9">
        <f t="shared" si="4"/>
        <v>2024</v>
      </c>
      <c r="M22" s="9">
        <f t="shared" si="4"/>
        <v>2025</v>
      </c>
      <c r="N22" s="9">
        <f t="shared" si="4"/>
        <v>2026</v>
      </c>
    </row>
    <row r="23" spans="1:14" s="14" customFormat="1" outlineLevel="1" x14ac:dyDescent="0.3">
      <c r="B23" s="14" t="s">
        <v>20</v>
      </c>
      <c r="E23" s="15">
        <f>[1]CFS!G13</f>
        <v>11478</v>
      </c>
      <c r="F23" s="15">
        <f>[1]CFS!H13</f>
        <v>15341</v>
      </c>
      <c r="G23" s="15">
        <f>[1]CFS!I13</f>
        <v>21789</v>
      </c>
      <c r="H23" s="15">
        <f>[1]CFS!J13</f>
        <v>25251</v>
      </c>
      <c r="I23" s="16">
        <f>[1]CFS!K13</f>
        <v>34296</v>
      </c>
      <c r="J23" s="23">
        <v>38716.438000000002</v>
      </c>
      <c r="K23" s="23">
        <v>44728.72</v>
      </c>
      <c r="L23" s="23">
        <v>52136.97</v>
      </c>
      <c r="M23" s="23">
        <v>55507.54</v>
      </c>
      <c r="N23" s="23">
        <v>58234.55</v>
      </c>
    </row>
    <row r="24" spans="1:14" s="14" customFormat="1" outlineLevel="1" x14ac:dyDescent="0.3">
      <c r="B24" s="17" t="s">
        <v>16</v>
      </c>
      <c r="E24" s="18">
        <f>E23/E13</f>
        <v>6.4531726130907532E-2</v>
      </c>
      <c r="F24" s="18">
        <f>F23/F13</f>
        <v>6.5873148780309768E-2</v>
      </c>
      <c r="G24" s="18">
        <f>G23/G13</f>
        <v>7.7673052380918428E-2</v>
      </c>
      <c r="H24" s="18">
        <f>H23/H13</f>
        <v>6.5406253885366153E-2</v>
      </c>
      <c r="I24" s="19">
        <f>I23/I13</f>
        <v>7.2997858763531723E-2</v>
      </c>
      <c r="J24" s="20"/>
      <c r="N24" s="18"/>
    </row>
    <row r="25" spans="1:14" s="14" customFormat="1" outlineLevel="1" x14ac:dyDescent="0.3">
      <c r="E25" s="24"/>
      <c r="F25" s="24"/>
      <c r="G25" s="24"/>
      <c r="H25" s="24"/>
      <c r="I25" s="25"/>
      <c r="J25" s="24"/>
      <c r="K25" s="24"/>
      <c r="L25" s="24"/>
      <c r="M25" s="24"/>
      <c r="N25" s="24"/>
    </row>
    <row r="26" spans="1:14" s="14" customFormat="1" outlineLevel="1" x14ac:dyDescent="0.3">
      <c r="B26" s="14" t="s">
        <v>21</v>
      </c>
      <c r="E26" s="15">
        <f>-[1]CFS!G32</f>
        <v>11955</v>
      </c>
      <c r="F26" s="15">
        <f>-[1]CFS!H32</f>
        <v>13427</v>
      </c>
      <c r="G26" s="15">
        <f>-[1]CFS!I32</f>
        <v>16861</v>
      </c>
      <c r="H26" s="15">
        <f>-[1]CFS!J32</f>
        <v>40140</v>
      </c>
      <c r="I26" s="16">
        <f>-[1]CFS!K32</f>
        <v>61053</v>
      </c>
      <c r="J26" s="23">
        <v>61050.722999999998</v>
      </c>
      <c r="K26" s="23">
        <v>62598.887000000002</v>
      </c>
      <c r="L26" s="23">
        <v>64481.453000000001</v>
      </c>
      <c r="M26" s="23">
        <v>69493.41</v>
      </c>
      <c r="N26" s="23">
        <v>65697</v>
      </c>
    </row>
    <row r="27" spans="1:14" s="14" customFormat="1" outlineLevel="1" x14ac:dyDescent="0.3">
      <c r="B27" s="17" t="s">
        <v>16</v>
      </c>
      <c r="E27" s="18">
        <f>E26/E$13</f>
        <v>6.7213520290555814E-2</v>
      </c>
      <c r="F27" s="18">
        <f>F26/F$13</f>
        <v>5.7654570671613274E-2</v>
      </c>
      <c r="G27" s="18">
        <f>G26/G$13</f>
        <v>6.0105802753438235E-2</v>
      </c>
      <c r="H27" s="18">
        <f>H26/H$13</f>
        <v>0.10397239835882134</v>
      </c>
      <c r="I27" s="19">
        <f>I26/I$13</f>
        <v>0.12994921480901278</v>
      </c>
      <c r="J27" s="24"/>
      <c r="K27" s="24"/>
      <c r="L27" s="24"/>
      <c r="M27" s="24"/>
      <c r="N27" s="24"/>
    </row>
    <row r="28" spans="1:14" s="14" customFormat="1" outlineLevel="1" x14ac:dyDescent="0.3">
      <c r="E28" s="24"/>
      <c r="F28" s="24"/>
      <c r="G28" s="24"/>
      <c r="H28" s="24"/>
      <c r="I28" s="25"/>
      <c r="J28" s="24"/>
      <c r="K28" s="24"/>
      <c r="L28" s="24"/>
      <c r="M28" s="24"/>
      <c r="N28" s="24"/>
    </row>
    <row r="29" spans="1:14" s="14" customFormat="1" outlineLevel="1" x14ac:dyDescent="0.3">
      <c r="B29" s="14" t="s">
        <v>22</v>
      </c>
      <c r="E29" s="26">
        <f>[1]CFS!G22</f>
        <v>-173</v>
      </c>
      <c r="F29" s="26">
        <f>[1]CFS!H22</f>
        <v>-1043</v>
      </c>
      <c r="G29" s="26">
        <f>[1]CFS!I22</f>
        <v>-2438</v>
      </c>
      <c r="H29" s="26">
        <f>[1]CFS!J22</f>
        <v>13481</v>
      </c>
      <c r="I29" s="27">
        <f>[1]CFS!K22</f>
        <v>-19611</v>
      </c>
      <c r="J29" s="24"/>
      <c r="K29" s="24"/>
      <c r="L29" s="24"/>
      <c r="M29" s="24"/>
      <c r="N29" s="24"/>
    </row>
    <row r="30" spans="1:14" s="14" customFormat="1" outlineLevel="1" x14ac:dyDescent="0.3">
      <c r="B30" s="17" t="s">
        <v>16</v>
      </c>
      <c r="E30" s="28">
        <f>E29/E$13</f>
        <v>-9.7264232624560065E-4</v>
      </c>
      <c r="F30" s="28">
        <f>F29/F$13</f>
        <v>-4.4785668586052466E-3</v>
      </c>
      <c r="G30" s="28">
        <f>G29/G$13</f>
        <v>-8.6909404609977117E-3</v>
      </c>
      <c r="H30" s="28">
        <f>H29/H$13</f>
        <v>3.4919080774172155E-2</v>
      </c>
      <c r="I30" s="29">
        <f>I29/I$13</f>
        <v>-4.1741340337404377E-2</v>
      </c>
      <c r="J30" s="20"/>
      <c r="K30" s="18"/>
      <c r="L30" s="18"/>
      <c r="M30" s="18"/>
      <c r="N30" s="18"/>
    </row>
    <row r="31" spans="1:14" x14ac:dyDescent="0.3">
      <c r="I31" s="30"/>
      <c r="J31">
        <v>1</v>
      </c>
      <c r="K31">
        <f>J31+1</f>
        <v>2</v>
      </c>
      <c r="L31">
        <f t="shared" ref="L31:N31" si="5">K31+1</f>
        <v>3</v>
      </c>
      <c r="M31">
        <f t="shared" si="5"/>
        <v>4</v>
      </c>
      <c r="N31">
        <f t="shared" si="5"/>
        <v>5</v>
      </c>
    </row>
    <row r="32" spans="1:14" x14ac:dyDescent="0.3">
      <c r="A32" t="s">
        <v>1</v>
      </c>
      <c r="B32" s="9" t="s">
        <v>23</v>
      </c>
      <c r="C32" s="10"/>
      <c r="D32" s="10"/>
      <c r="E32" s="9">
        <f t="shared" ref="E32:N32" si="6">E22</f>
        <v>2017</v>
      </c>
      <c r="F32" s="9">
        <f t="shared" si="6"/>
        <v>2018</v>
      </c>
      <c r="G32" s="9">
        <f t="shared" si="6"/>
        <v>2019</v>
      </c>
      <c r="H32" s="9">
        <f t="shared" si="6"/>
        <v>2020</v>
      </c>
      <c r="I32" s="13">
        <f t="shared" si="6"/>
        <v>2021</v>
      </c>
      <c r="J32" s="9">
        <f t="shared" si="6"/>
        <v>2022</v>
      </c>
      <c r="K32" s="9">
        <f t="shared" si="6"/>
        <v>2023</v>
      </c>
      <c r="L32" s="9">
        <f t="shared" si="6"/>
        <v>2024</v>
      </c>
      <c r="M32" s="9">
        <f t="shared" si="6"/>
        <v>2025</v>
      </c>
      <c r="N32" s="9">
        <f t="shared" si="6"/>
        <v>2026</v>
      </c>
    </row>
    <row r="33" spans="2:30" x14ac:dyDescent="0.3">
      <c r="B33" t="s">
        <v>13</v>
      </c>
      <c r="E33" s="31">
        <f>E13</f>
        <v>177866</v>
      </c>
      <c r="F33" s="31">
        <f>F13</f>
        <v>232887</v>
      </c>
      <c r="G33" s="31">
        <f>G13</f>
        <v>280522</v>
      </c>
      <c r="H33" s="31">
        <f>H13</f>
        <v>386064</v>
      </c>
      <c r="I33" s="32">
        <f>I13</f>
        <v>469822</v>
      </c>
      <c r="J33" s="33">
        <f>I33*(1+J34)</f>
        <v>525188</v>
      </c>
      <c r="K33" s="33">
        <f t="shared" ref="K33:N33" si="7">J33*(1+K34)</f>
        <v>613833</v>
      </c>
      <c r="L33" s="33">
        <f t="shared" si="7"/>
        <v>709187</v>
      </c>
      <c r="M33" s="33">
        <f t="shared" si="7"/>
        <v>794564</v>
      </c>
      <c r="N33" s="33">
        <f t="shared" si="7"/>
        <v>884891</v>
      </c>
    </row>
    <row r="34" spans="2:30" x14ac:dyDescent="0.3">
      <c r="B34" s="34" t="s">
        <v>14</v>
      </c>
      <c r="E34" s="35"/>
      <c r="F34" s="35">
        <f>F33/E33-1</f>
        <v>0.3093396152159491</v>
      </c>
      <c r="G34" s="35">
        <f>G33/F33-1</f>
        <v>0.20454125820676983</v>
      </c>
      <c r="H34" s="35">
        <f>H33/G33-1</f>
        <v>0.37623430604373276</v>
      </c>
      <c r="I34" s="36">
        <f>I33/H33-1</f>
        <v>0.21695366571345676</v>
      </c>
      <c r="J34" s="37">
        <f>J14</f>
        <v>0.11784463051964367</v>
      </c>
      <c r="K34" s="37">
        <f t="shared" ref="K34:N34" si="8">K14</f>
        <v>0.16878717716322544</v>
      </c>
      <c r="L34" s="37">
        <f t="shared" si="8"/>
        <v>0.15534192524676915</v>
      </c>
      <c r="M34" s="37">
        <f t="shared" si="8"/>
        <v>0.12038714753654545</v>
      </c>
      <c r="N34" s="37">
        <f t="shared" si="8"/>
        <v>0.11368121384809782</v>
      </c>
      <c r="U34" s="14"/>
      <c r="Y34" s="38"/>
      <c r="Z34" s="38"/>
      <c r="AA34" s="38"/>
    </row>
    <row r="35" spans="2:30" x14ac:dyDescent="0.3">
      <c r="I35" s="30"/>
      <c r="Y35" s="38"/>
      <c r="Z35" s="38"/>
      <c r="AA35" s="38"/>
    </row>
    <row r="36" spans="2:30" x14ac:dyDescent="0.3">
      <c r="B36" t="s">
        <v>15</v>
      </c>
      <c r="E36" s="31">
        <f>E16</f>
        <v>4106</v>
      </c>
      <c r="F36" s="31">
        <f>F16</f>
        <v>12421</v>
      </c>
      <c r="G36" s="31">
        <f>G16</f>
        <v>14541</v>
      </c>
      <c r="H36" s="31">
        <f>H16</f>
        <v>22899</v>
      </c>
      <c r="I36" s="32">
        <f>I16</f>
        <v>24879</v>
      </c>
      <c r="J36" s="33">
        <f>J37*J33</f>
        <v>18689.099999999999</v>
      </c>
      <c r="K36" s="33">
        <f>K37*K33</f>
        <v>35250.699999999997</v>
      </c>
      <c r="L36" s="33">
        <f>L37*L33</f>
        <v>58460.6</v>
      </c>
      <c r="M36" s="33">
        <f>M37*M33</f>
        <v>76631.100000000006</v>
      </c>
      <c r="N36" s="33">
        <f>N37*N33</f>
        <v>104379</v>
      </c>
      <c r="V36" s="39"/>
      <c r="W36" s="39"/>
      <c r="X36" s="39"/>
      <c r="Y36" s="39"/>
      <c r="Z36" s="39"/>
      <c r="AA36" s="39"/>
    </row>
    <row r="37" spans="2:30" x14ac:dyDescent="0.3">
      <c r="B37" s="34" t="s">
        <v>24</v>
      </c>
      <c r="E37" s="35">
        <f>E36/E33</f>
        <v>2.3084794170892695E-2</v>
      </c>
      <c r="F37" s="35">
        <f>F36/F33</f>
        <v>5.3334879147397665E-2</v>
      </c>
      <c r="G37" s="35">
        <f>G36/G33</f>
        <v>5.1835506662579051E-2</v>
      </c>
      <c r="H37" s="35">
        <f>H36/H33</f>
        <v>5.9313999751336569E-2</v>
      </c>
      <c r="I37" s="36">
        <f>I36/I33</f>
        <v>5.2954097509269465E-2</v>
      </c>
      <c r="J37" s="37">
        <f>J17</f>
        <v>3.5585542700899482E-2</v>
      </c>
      <c r="K37" s="37">
        <f t="shared" ref="K37:N37" si="9">K17</f>
        <v>5.7427182963444449E-2</v>
      </c>
      <c r="L37" s="37">
        <f t="shared" si="9"/>
        <v>8.2433265133173617E-2</v>
      </c>
      <c r="M37" s="37">
        <f t="shared" si="9"/>
        <v>9.6444213430258621E-2</v>
      </c>
      <c r="N37" s="37">
        <f t="shared" si="9"/>
        <v>0.11795690090643933</v>
      </c>
      <c r="V37" s="40"/>
      <c r="W37" s="40"/>
      <c r="X37" s="40"/>
      <c r="Y37" s="40"/>
      <c r="Z37" s="40"/>
      <c r="AA37" s="40"/>
    </row>
    <row r="38" spans="2:30" x14ac:dyDescent="0.3">
      <c r="I38" s="30"/>
      <c r="K38" s="41"/>
      <c r="L38" s="41"/>
      <c r="U38" s="14"/>
      <c r="Y38" s="24"/>
      <c r="Z38" s="24"/>
      <c r="AA38" s="24"/>
      <c r="AB38" s="14"/>
      <c r="AC38" s="14"/>
      <c r="AD38" s="14"/>
    </row>
    <row r="39" spans="2:30" x14ac:dyDescent="0.3">
      <c r="B39" t="s">
        <v>17</v>
      </c>
      <c r="E39" s="31">
        <f>E19</f>
        <v>770</v>
      </c>
      <c r="F39" s="31">
        <f>F19</f>
        <v>1196</v>
      </c>
      <c r="G39" s="31">
        <f>G19</f>
        <v>2373</v>
      </c>
      <c r="H39" s="31">
        <f>H19</f>
        <v>2863</v>
      </c>
      <c r="I39" s="32">
        <f>I19</f>
        <v>4791</v>
      </c>
      <c r="J39" s="33">
        <f>J40*J36</f>
        <v>1196.68</v>
      </c>
      <c r="K39" s="33">
        <f>K40*K36</f>
        <v>5660.19</v>
      </c>
      <c r="L39" s="33">
        <f>L40*L36</f>
        <v>9464.7099999999991</v>
      </c>
      <c r="M39" s="33">
        <f>M40*M36</f>
        <v>9573.7800000000007</v>
      </c>
      <c r="N39" s="33">
        <f>N40*N36</f>
        <v>12895.6</v>
      </c>
      <c r="U39" s="14"/>
      <c r="Y39" s="24"/>
      <c r="Z39" s="24"/>
      <c r="AA39" s="24"/>
      <c r="AB39" s="14"/>
      <c r="AC39" s="14"/>
      <c r="AD39" s="14"/>
    </row>
    <row r="40" spans="2:30" x14ac:dyDescent="0.3">
      <c r="B40" s="34" t="s">
        <v>18</v>
      </c>
      <c r="E40" s="35">
        <f>E39/E36</f>
        <v>0.18753044325377496</v>
      </c>
      <c r="F40" s="35">
        <f>F39/F36</f>
        <v>9.6288543595523704E-2</v>
      </c>
      <c r="G40" s="35">
        <f>G39/G36</f>
        <v>0.16319372807922428</v>
      </c>
      <c r="H40" s="35">
        <f>H39/H36</f>
        <v>0.12502729376828683</v>
      </c>
      <c r="I40" s="36">
        <f>I39/I36</f>
        <v>0.1925720487157844</v>
      </c>
      <c r="J40" s="37">
        <f>J20</f>
        <v>6.4030905715095968E-2</v>
      </c>
      <c r="K40" s="37">
        <f t="shared" ref="K40:N40" si="10">K20</f>
        <v>0.16056957734172655</v>
      </c>
      <c r="L40" s="37">
        <f t="shared" si="10"/>
        <v>0.16189895416742214</v>
      </c>
      <c r="M40" s="37">
        <f t="shared" si="10"/>
        <v>0.12493334951475314</v>
      </c>
      <c r="N40" s="37">
        <f t="shared" si="10"/>
        <v>0.12354592398854176</v>
      </c>
      <c r="U40" s="14"/>
      <c r="Y40" s="42"/>
      <c r="Z40" s="42"/>
      <c r="AA40" s="42"/>
      <c r="AB40" s="14"/>
      <c r="AC40" s="14"/>
      <c r="AD40" s="14"/>
    </row>
    <row r="41" spans="2:30" x14ac:dyDescent="0.3">
      <c r="I41" s="30"/>
      <c r="U41" s="14"/>
      <c r="Y41" s="43"/>
      <c r="Z41" s="43"/>
      <c r="AA41" s="43"/>
      <c r="AB41" s="43"/>
      <c r="AC41" s="43"/>
      <c r="AD41" s="43"/>
    </row>
    <row r="42" spans="2:30" x14ac:dyDescent="0.3">
      <c r="B42" s="44" t="s">
        <v>25</v>
      </c>
      <c r="C42" s="45"/>
      <c r="D42" s="45"/>
      <c r="E42" s="45"/>
      <c r="F42" s="45"/>
      <c r="G42" s="45"/>
      <c r="H42" s="45"/>
      <c r="I42" s="46"/>
      <c r="J42" s="47">
        <f>J36-J39</f>
        <v>17492.419999999998</v>
      </c>
      <c r="K42" s="47">
        <f>K36-K39</f>
        <v>29590.51</v>
      </c>
      <c r="L42" s="47">
        <f>L36-L39</f>
        <v>48995.89</v>
      </c>
      <c r="M42" s="47">
        <f>M36-M39</f>
        <v>67057.320000000007</v>
      </c>
      <c r="N42" s="48">
        <f>N36-N39</f>
        <v>91483.4</v>
      </c>
      <c r="U42" s="14"/>
      <c r="Y42" s="42"/>
      <c r="Z42" s="42"/>
      <c r="AA42" s="42"/>
      <c r="AB42" s="42"/>
      <c r="AC42" s="42"/>
      <c r="AD42" s="42"/>
    </row>
    <row r="43" spans="2:30" x14ac:dyDescent="0.3">
      <c r="I43" s="30"/>
      <c r="K43" s="39"/>
      <c r="U43" s="14"/>
      <c r="Y43" s="14"/>
      <c r="Z43" s="14"/>
      <c r="AA43" s="14"/>
      <c r="AB43" s="14"/>
      <c r="AC43" s="14"/>
      <c r="AD43" s="14"/>
    </row>
    <row r="44" spans="2:30" x14ac:dyDescent="0.3">
      <c r="B44" t="s">
        <v>20</v>
      </c>
      <c r="E44" s="31">
        <f t="shared" ref="E44:N44" si="11">E23</f>
        <v>11478</v>
      </c>
      <c r="F44" s="31">
        <f t="shared" si="11"/>
        <v>15341</v>
      </c>
      <c r="G44" s="31">
        <f t="shared" si="11"/>
        <v>21789</v>
      </c>
      <c r="H44" s="31">
        <f t="shared" si="11"/>
        <v>25251</v>
      </c>
      <c r="I44" s="32">
        <f t="shared" si="11"/>
        <v>34296</v>
      </c>
      <c r="J44" s="31">
        <f t="shared" si="11"/>
        <v>38716.438000000002</v>
      </c>
      <c r="K44" s="31">
        <f t="shared" si="11"/>
        <v>44728.72</v>
      </c>
      <c r="L44" s="31">
        <f t="shared" si="11"/>
        <v>52136.97</v>
      </c>
      <c r="M44" s="31">
        <f t="shared" si="11"/>
        <v>55507.54</v>
      </c>
      <c r="N44" s="31">
        <f t="shared" si="11"/>
        <v>58234.55</v>
      </c>
      <c r="U44" s="14"/>
    </row>
    <row r="45" spans="2:30" x14ac:dyDescent="0.3">
      <c r="B45" s="34" t="s">
        <v>16</v>
      </c>
      <c r="E45" s="35">
        <f t="shared" ref="E45:N45" si="12">E44/E$33</f>
        <v>6.4531726130907532E-2</v>
      </c>
      <c r="F45" s="35">
        <f t="shared" si="12"/>
        <v>6.5873148780309768E-2</v>
      </c>
      <c r="G45" s="35">
        <f t="shared" si="12"/>
        <v>7.7673052380918428E-2</v>
      </c>
      <c r="H45" s="35">
        <f t="shared" si="12"/>
        <v>6.5406253885366153E-2</v>
      </c>
      <c r="I45" s="36">
        <f t="shared" si="12"/>
        <v>7.2997858763531723E-2</v>
      </c>
      <c r="J45" s="49">
        <f t="shared" si="12"/>
        <v>7.3719197696824765E-2</v>
      </c>
      <c r="K45" s="49">
        <f t="shared" si="12"/>
        <v>7.2867897294541031E-2</v>
      </c>
      <c r="L45" s="49">
        <f t="shared" si="12"/>
        <v>7.3516533721007291E-2</v>
      </c>
      <c r="M45" s="49">
        <f t="shared" si="12"/>
        <v>6.9859117704804144E-2</v>
      </c>
      <c r="N45" s="49">
        <f t="shared" si="12"/>
        <v>6.5809856807222594E-2</v>
      </c>
      <c r="U45" s="14"/>
      <c r="Y45" s="42"/>
      <c r="Z45" s="42"/>
      <c r="AA45" s="42"/>
    </row>
    <row r="46" spans="2:30" x14ac:dyDescent="0.3">
      <c r="I46" s="30"/>
    </row>
    <row r="47" spans="2:30" x14ac:dyDescent="0.3">
      <c r="B47" t="s">
        <v>21</v>
      </c>
      <c r="E47" s="31">
        <f t="shared" ref="E47:N47" si="13">E26</f>
        <v>11955</v>
      </c>
      <c r="F47" s="31">
        <f t="shared" si="13"/>
        <v>13427</v>
      </c>
      <c r="G47" s="31">
        <f t="shared" si="13"/>
        <v>16861</v>
      </c>
      <c r="H47" s="31">
        <f t="shared" si="13"/>
        <v>40140</v>
      </c>
      <c r="I47" s="32">
        <f t="shared" si="13"/>
        <v>61053</v>
      </c>
      <c r="J47" s="31">
        <f t="shared" si="13"/>
        <v>61050.722999999998</v>
      </c>
      <c r="K47" s="31">
        <f t="shared" si="13"/>
        <v>62598.887000000002</v>
      </c>
      <c r="L47" s="31">
        <f t="shared" si="13"/>
        <v>64481.453000000001</v>
      </c>
      <c r="M47" s="31">
        <f t="shared" si="13"/>
        <v>69493.41</v>
      </c>
      <c r="N47" s="31">
        <f t="shared" si="13"/>
        <v>65697</v>
      </c>
      <c r="U47" s="14"/>
    </row>
    <row r="48" spans="2:30" x14ac:dyDescent="0.3">
      <c r="B48" s="34" t="s">
        <v>16</v>
      </c>
      <c r="E48" s="35">
        <f t="shared" ref="E48:N48" si="14">E47/E$33</f>
        <v>6.7213520290555814E-2</v>
      </c>
      <c r="F48" s="35">
        <f t="shared" si="14"/>
        <v>5.7654570671613274E-2</v>
      </c>
      <c r="G48" s="35">
        <f t="shared" si="14"/>
        <v>6.0105802753438235E-2</v>
      </c>
      <c r="H48" s="35">
        <f t="shared" si="14"/>
        <v>0.10397239835882134</v>
      </c>
      <c r="I48" s="36">
        <f t="shared" si="14"/>
        <v>0.12994921480901278</v>
      </c>
      <c r="J48" s="49">
        <f t="shared" si="14"/>
        <v>0.1162454644812905</v>
      </c>
      <c r="K48" s="49">
        <f t="shared" si="14"/>
        <v>0.10198032200940647</v>
      </c>
      <c r="L48" s="49">
        <f t="shared" si="14"/>
        <v>9.0923061195425189E-2</v>
      </c>
      <c r="M48" s="49">
        <f t="shared" si="14"/>
        <v>8.7461060405455066E-2</v>
      </c>
      <c r="N48" s="49">
        <f t="shared" si="14"/>
        <v>7.4243042363409728E-2</v>
      </c>
      <c r="U48" s="14"/>
      <c r="Y48" s="41"/>
      <c r="Z48" s="41"/>
      <c r="AA48" s="41"/>
      <c r="AB48" s="41"/>
      <c r="AC48" s="41"/>
      <c r="AD48" s="41"/>
    </row>
    <row r="49" spans="1:27" x14ac:dyDescent="0.3">
      <c r="I49" s="30"/>
    </row>
    <row r="50" spans="1:27" x14ac:dyDescent="0.3">
      <c r="B50" t="s">
        <v>22</v>
      </c>
      <c r="E50" s="50">
        <f>E29</f>
        <v>-173</v>
      </c>
      <c r="F50" s="50">
        <f>F29</f>
        <v>-1043</v>
      </c>
      <c r="G50" s="50">
        <f>G29</f>
        <v>-2438</v>
      </c>
      <c r="H50" s="50">
        <f>H29</f>
        <v>13481</v>
      </c>
      <c r="I50" s="51">
        <f>I29</f>
        <v>-19611</v>
      </c>
      <c r="J50" s="52">
        <f>J51*J33</f>
        <v>-2715.7821647750902</v>
      </c>
      <c r="K50" s="52">
        <f>K51*K33</f>
        <v>-3174.1713701577114</v>
      </c>
      <c r="L50" s="52">
        <f>L51*L33</f>
        <v>-3667.2532618611849</v>
      </c>
      <c r="M50" s="52">
        <f>M51*M33</f>
        <v>-4108.7434213507449</v>
      </c>
      <c r="N50" s="52">
        <f>N51*N33</f>
        <v>-4575.8303608802835</v>
      </c>
      <c r="U50" s="14"/>
      <c r="Y50" s="41"/>
      <c r="Z50" s="41"/>
      <c r="AA50" s="41"/>
    </row>
    <row r="51" spans="1:27" x14ac:dyDescent="0.3">
      <c r="B51" s="34" t="s">
        <v>16</v>
      </c>
      <c r="E51" s="28">
        <f>E50/E$33</f>
        <v>-9.7264232624560065E-4</v>
      </c>
      <c r="F51" s="28">
        <f>F50/F$33</f>
        <v>-4.4785668586052466E-3</v>
      </c>
      <c r="G51" s="28">
        <f>G50/G$33</f>
        <v>-8.6909404609977117E-3</v>
      </c>
      <c r="H51" s="28">
        <f>H50/H$33</f>
        <v>3.4919080774172155E-2</v>
      </c>
      <c r="I51" s="29">
        <f>I50/I$33</f>
        <v>-4.1741340337404377E-2</v>
      </c>
      <c r="J51" s="53">
        <f>AVERAGE(G51:I51)</f>
        <v>-5.1710666747433118E-3</v>
      </c>
      <c r="K51" s="54">
        <f>J51</f>
        <v>-5.1710666747433118E-3</v>
      </c>
      <c r="L51" s="54">
        <f t="shared" ref="L51:N51" si="15">K51</f>
        <v>-5.1710666747433118E-3</v>
      </c>
      <c r="M51" s="54">
        <f t="shared" si="15"/>
        <v>-5.1710666747433118E-3</v>
      </c>
      <c r="N51" s="54">
        <f t="shared" si="15"/>
        <v>-5.1710666747433118E-3</v>
      </c>
    </row>
    <row r="52" spans="1:27" x14ac:dyDescent="0.3">
      <c r="I52" s="55"/>
    </row>
    <row r="53" spans="1:27" x14ac:dyDescent="0.3">
      <c r="B53" s="44" t="s">
        <v>26</v>
      </c>
      <c r="C53" s="45"/>
      <c r="D53" s="45"/>
      <c r="E53" s="45"/>
      <c r="F53" s="45"/>
      <c r="G53" s="45"/>
      <c r="H53" s="45"/>
      <c r="I53" s="46"/>
      <c r="J53" s="56">
        <f>J42+J44-J47-J50</f>
        <v>-2126.0828352249077</v>
      </c>
      <c r="K53" s="56">
        <v>14895</v>
      </c>
      <c r="L53" s="56">
        <f t="shared" ref="K53:N53" si="16">L42+L44-L47-L50</f>
        <v>40318.660261861187</v>
      </c>
      <c r="M53" s="56">
        <f t="shared" si="16"/>
        <v>57180.193421350756</v>
      </c>
      <c r="N53" s="57">
        <f t="shared" si="16"/>
        <v>88596.780360880293</v>
      </c>
    </row>
    <row r="54" spans="1:27" x14ac:dyDescent="0.3">
      <c r="B54" s="44" t="s">
        <v>27</v>
      </c>
      <c r="C54" s="45"/>
      <c r="D54" s="45"/>
      <c r="E54" s="45"/>
      <c r="F54" s="45"/>
      <c r="G54" s="45"/>
      <c r="H54" s="45"/>
      <c r="I54" s="46"/>
      <c r="J54" s="56">
        <f>J53/(1+wacc)^J31</f>
        <v>-1971.8711084286049</v>
      </c>
      <c r="K54" s="56">
        <f>K53/(1+wacc)^K31</f>
        <v>12812.597778523366</v>
      </c>
      <c r="L54" s="56">
        <f>L53/(1+wacc)^L31</f>
        <v>32166.300908011985</v>
      </c>
      <c r="M54" s="56">
        <f>M53/(1+wacc)^M31</f>
        <v>42309.606909301001</v>
      </c>
      <c r="N54" s="57">
        <f>N53/(1+wacc)^N31</f>
        <v>60800.850259506376</v>
      </c>
    </row>
    <row r="55" spans="1:27" x14ac:dyDescent="0.3">
      <c r="J55" s="58"/>
    </row>
    <row r="56" spans="1:27" x14ac:dyDescent="0.3">
      <c r="A56" t="s">
        <v>1</v>
      </c>
      <c r="B56" t="s">
        <v>28</v>
      </c>
      <c r="J56" s="58"/>
      <c r="N56" s="52">
        <f>(N53*(1+tgr))/(wacc-tgr)</f>
        <v>1893023.5216087012</v>
      </c>
    </row>
    <row r="57" spans="1:27" x14ac:dyDescent="0.3">
      <c r="B57" s="1" t="s">
        <v>29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59">
        <f>N56/(1+wacc)^N31</f>
        <v>1299115.3764982084</v>
      </c>
    </row>
    <row r="58" spans="1:27" x14ac:dyDescent="0.3">
      <c r="B58" s="11" t="s">
        <v>30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60">
        <f>SUM(J54:N54,N57)</f>
        <v>1445232.8612451225</v>
      </c>
    </row>
    <row r="59" spans="1:27" x14ac:dyDescent="0.3">
      <c r="B59" s="61" t="s">
        <v>31</v>
      </c>
      <c r="N59" s="52">
        <f>36393+29992</f>
        <v>66385</v>
      </c>
    </row>
    <row r="60" spans="1:27" x14ac:dyDescent="0.3">
      <c r="B60" s="62" t="s">
        <v>32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59">
        <v>47556</v>
      </c>
    </row>
    <row r="61" spans="1:27" x14ac:dyDescent="0.3">
      <c r="B61" s="11" t="s">
        <v>33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60">
        <f>N58+N59-N60</f>
        <v>1464061.8612451225</v>
      </c>
    </row>
    <row r="62" spans="1:27" x14ac:dyDescent="0.3">
      <c r="B62" s="1" t="s">
        <v>34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59">
        <v>10456</v>
      </c>
    </row>
    <row r="63" spans="1:27" x14ac:dyDescent="0.3">
      <c r="A63" t="s">
        <v>1</v>
      </c>
      <c r="B63" s="11" t="s">
        <v>35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63">
        <f>N61/N62</f>
        <v>140.02121855825578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CDFF6-F139-43AB-8D9F-D850B6A8A2F1}">
  <dimension ref="A2:J22"/>
  <sheetViews>
    <sheetView workbookViewId="0">
      <selection activeCell="H23" sqref="H23"/>
    </sheetView>
  </sheetViews>
  <sheetFormatPr defaultColWidth="9.6640625" defaultRowHeight="14.4" outlineLevelCol="1" x14ac:dyDescent="0.3"/>
  <cols>
    <col min="1" max="1" width="3.6640625" customWidth="1"/>
    <col min="5" max="10" width="9.6640625" outlineLevel="1"/>
    <col min="22" max="26" width="10.44140625" bestFit="1" customWidth="1"/>
    <col min="27" max="27" width="12" bestFit="1" customWidth="1"/>
    <col min="30" max="30" width="10.33203125" bestFit="1" customWidth="1"/>
  </cols>
  <sheetData>
    <row r="2" spans="1:9" s="1" customFormat="1" ht="21" x14ac:dyDescent="0.4">
      <c r="B2" s="2" t="s">
        <v>10</v>
      </c>
    </row>
    <row r="4" spans="1:9" x14ac:dyDescent="0.3">
      <c r="A4" t="s">
        <v>1</v>
      </c>
      <c r="B4" s="9" t="s">
        <v>10</v>
      </c>
      <c r="C4" s="10"/>
      <c r="D4" s="10"/>
      <c r="E4" s="10"/>
      <c r="F4" s="10"/>
      <c r="G4" s="10"/>
      <c r="H4" s="10"/>
      <c r="I4" s="10"/>
    </row>
    <row r="5" spans="1:9" x14ac:dyDescent="0.3">
      <c r="B5" s="11" t="s">
        <v>36</v>
      </c>
    </row>
    <row r="6" spans="1:9" x14ac:dyDescent="0.3">
      <c r="B6" s="11" t="s">
        <v>37</v>
      </c>
    </row>
    <row r="8" spans="1:9" x14ac:dyDescent="0.3">
      <c r="B8" t="s">
        <v>38</v>
      </c>
      <c r="D8" s="39">
        <v>47556</v>
      </c>
    </row>
    <row r="9" spans="1:9" x14ac:dyDescent="0.3">
      <c r="B9" t="s">
        <v>39</v>
      </c>
      <c r="D9" s="64">
        <f>D8/D20</f>
        <v>3.6650441291165854E-2</v>
      </c>
    </row>
    <row r="10" spans="1:9" x14ac:dyDescent="0.3">
      <c r="B10" t="s">
        <v>40</v>
      </c>
      <c r="D10" s="65">
        <v>0.02</v>
      </c>
    </row>
    <row r="11" spans="1:9" x14ac:dyDescent="0.3">
      <c r="B11" t="s">
        <v>41</v>
      </c>
      <c r="D11" s="65">
        <v>0.21</v>
      </c>
    </row>
    <row r="13" spans="1:9" x14ac:dyDescent="0.3">
      <c r="B13" t="s">
        <v>33</v>
      </c>
      <c r="D13" s="39">
        <v>1250000</v>
      </c>
    </row>
    <row r="14" spans="1:9" x14ac:dyDescent="0.3">
      <c r="B14" t="s">
        <v>42</v>
      </c>
      <c r="D14" s="66">
        <f>D13/D20</f>
        <v>0.9633495587088341</v>
      </c>
    </row>
    <row r="15" spans="1:9" x14ac:dyDescent="0.3">
      <c r="B15" t="s">
        <v>43</v>
      </c>
      <c r="D15" s="41">
        <f>D16+D17*D18</f>
        <v>8.0579999999999999E-2</v>
      </c>
    </row>
    <row r="16" spans="1:9" x14ac:dyDescent="0.3">
      <c r="B16" t="s">
        <v>44</v>
      </c>
      <c r="D16" s="65">
        <v>2.758E-2</v>
      </c>
    </row>
    <row r="17" spans="1:4" x14ac:dyDescent="0.3">
      <c r="B17" t="s">
        <v>45</v>
      </c>
      <c r="D17" s="67">
        <v>1.25</v>
      </c>
    </row>
    <row r="18" spans="1:4" x14ac:dyDescent="0.3">
      <c r="B18" t="s">
        <v>46</v>
      </c>
      <c r="D18" s="65">
        <v>4.24E-2</v>
      </c>
    </row>
    <row r="20" spans="1:4" x14ac:dyDescent="0.3">
      <c r="B20" t="s">
        <v>47</v>
      </c>
      <c r="D20" s="39">
        <f>D8+D13</f>
        <v>1297556</v>
      </c>
    </row>
    <row r="22" spans="1:4" x14ac:dyDescent="0.3">
      <c r="A22" t="s">
        <v>1</v>
      </c>
      <c r="B22" s="68" t="s">
        <v>10</v>
      </c>
      <c r="C22" s="69"/>
      <c r="D22" s="70">
        <f>(D9*D10*(1-D11))+(D14*D15)</f>
        <v>7.8205784413158272E-2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DCF</vt:lpstr>
      <vt:lpstr>WACC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Kumar Thakur</dc:creator>
  <cp:lastModifiedBy>Tarun Kumar Thakur</cp:lastModifiedBy>
  <dcterms:created xsi:type="dcterms:W3CDTF">2024-06-27T08:30:34Z</dcterms:created>
  <dcterms:modified xsi:type="dcterms:W3CDTF">2024-06-27T09:29:55Z</dcterms:modified>
</cp:coreProperties>
</file>