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8_{E9679F7B-98FA-4CAC-94D8-B51A2BFE44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ranch" sheetId="2" r:id="rId1"/>
    <sheet name="Loop" sheetId="1" r:id="rId2"/>
  </sheets>
  <calcPr calcId="181029"/>
</workbook>
</file>

<file path=xl/calcChain.xml><?xml version="1.0" encoding="utf-8"?>
<calcChain xmlns="http://schemas.openxmlformats.org/spreadsheetml/2006/main">
  <c r="L20" i="2" l="1"/>
  <c r="L19" i="2"/>
  <c r="L18" i="2"/>
  <c r="K20" i="2"/>
  <c r="K19" i="2"/>
  <c r="K18" i="2"/>
  <c r="H67" i="1"/>
  <c r="H68" i="1"/>
  <c r="H69" i="1"/>
  <c r="H66" i="1"/>
  <c r="H61" i="1"/>
  <c r="H62" i="1"/>
  <c r="H63" i="1"/>
  <c r="H64" i="1"/>
  <c r="I53" i="1"/>
  <c r="I54" i="1"/>
  <c r="J54" i="1" s="1"/>
  <c r="I55" i="1"/>
  <c r="J55" i="1" s="1"/>
  <c r="L41" i="1"/>
  <c r="L38" i="1"/>
  <c r="I39" i="1"/>
  <c r="J39" i="1" s="1"/>
  <c r="I40" i="1"/>
  <c r="J40" i="1" s="1"/>
  <c r="I41" i="1"/>
  <c r="J41" i="1" s="1"/>
  <c r="K56" i="1"/>
  <c r="L55" i="1"/>
  <c r="G55" i="1"/>
  <c r="E55" i="1"/>
  <c r="L54" i="1"/>
  <c r="G54" i="1"/>
  <c r="E54" i="1"/>
  <c r="L53" i="1"/>
  <c r="J53" i="1"/>
  <c r="G53" i="1"/>
  <c r="E53" i="1"/>
  <c r="L52" i="1"/>
  <c r="J52" i="1"/>
  <c r="I52" i="1"/>
  <c r="G52" i="1"/>
  <c r="E52" i="1"/>
  <c r="K50" i="1"/>
  <c r="L49" i="1"/>
  <c r="I49" i="1"/>
  <c r="J49" i="1" s="1"/>
  <c r="G49" i="1"/>
  <c r="E49" i="1"/>
  <c r="L48" i="1"/>
  <c r="I48" i="1"/>
  <c r="J48" i="1" s="1"/>
  <c r="G48" i="1"/>
  <c r="E48" i="1"/>
  <c r="L47" i="1"/>
  <c r="I47" i="1"/>
  <c r="J47" i="1" s="1"/>
  <c r="G47" i="1"/>
  <c r="E47" i="1"/>
  <c r="L46" i="1"/>
  <c r="I46" i="1"/>
  <c r="J46" i="1" s="1"/>
  <c r="G46" i="1"/>
  <c r="E46" i="1"/>
  <c r="I38" i="1"/>
  <c r="J38" i="1" s="1"/>
  <c r="I33" i="1"/>
  <c r="J33" i="1" s="1"/>
  <c r="I34" i="1"/>
  <c r="J34" i="1" s="1"/>
  <c r="I35" i="1"/>
  <c r="I32" i="1"/>
  <c r="J32" i="1" s="1"/>
  <c r="I25" i="1"/>
  <c r="I26" i="1"/>
  <c r="I27" i="1"/>
  <c r="I24" i="1"/>
  <c r="I19" i="1"/>
  <c r="I20" i="1"/>
  <c r="I21" i="1"/>
  <c r="I18" i="1"/>
  <c r="G41" i="1"/>
  <c r="E41" i="1"/>
  <c r="L40" i="1"/>
  <c r="G40" i="1"/>
  <c r="E40" i="1"/>
  <c r="L39" i="1"/>
  <c r="G39" i="1"/>
  <c r="E39" i="1"/>
  <c r="G38" i="1"/>
  <c r="E38" i="1"/>
  <c r="K36" i="1"/>
  <c r="L35" i="1"/>
  <c r="J35" i="1"/>
  <c r="G35" i="1"/>
  <c r="E35" i="1"/>
  <c r="L34" i="1"/>
  <c r="G34" i="1"/>
  <c r="E34" i="1"/>
  <c r="L33" i="1"/>
  <c r="G33" i="1"/>
  <c r="E33" i="1"/>
  <c r="L32" i="1"/>
  <c r="G32" i="1"/>
  <c r="E32" i="1"/>
  <c r="L36" i="1" l="1"/>
  <c r="M19" i="2"/>
  <c r="N19" i="2" s="1"/>
  <c r="M20" i="2"/>
  <c r="N20" i="2" s="1"/>
  <c r="M18" i="2"/>
  <c r="N18" i="2" s="1"/>
  <c r="K42" i="1"/>
  <c r="L56" i="1"/>
  <c r="M55" i="1" s="1"/>
  <c r="N55" i="1" s="1"/>
  <c r="L50" i="1"/>
  <c r="M49" i="1" s="1"/>
  <c r="L42" i="1"/>
  <c r="M38" i="1" s="1"/>
  <c r="M34" i="1"/>
  <c r="N34" i="1" s="1"/>
  <c r="M32" i="1"/>
  <c r="N32" i="1" s="1"/>
  <c r="M35" i="1"/>
  <c r="M33" i="1"/>
  <c r="N33" i="1" s="1"/>
  <c r="E18" i="1"/>
  <c r="G18" i="1"/>
  <c r="J18" i="1"/>
  <c r="L18" i="1"/>
  <c r="E19" i="1"/>
  <c r="G19" i="1"/>
  <c r="J19" i="1"/>
  <c r="L19" i="1"/>
  <c r="E20" i="1"/>
  <c r="G20" i="1"/>
  <c r="J20" i="1"/>
  <c r="L20" i="1"/>
  <c r="E21" i="1"/>
  <c r="G21" i="1"/>
  <c r="J21" i="1"/>
  <c r="L21" i="1"/>
  <c r="K22" i="1"/>
  <c r="E24" i="1"/>
  <c r="G24" i="1"/>
  <c r="J24" i="1"/>
  <c r="L24" i="1"/>
  <c r="E25" i="1"/>
  <c r="G25" i="1"/>
  <c r="J25" i="1"/>
  <c r="L25" i="1"/>
  <c r="E26" i="1"/>
  <c r="G26" i="1"/>
  <c r="J26" i="1"/>
  <c r="L26" i="1"/>
  <c r="E27" i="1"/>
  <c r="G27" i="1"/>
  <c r="J27" i="1"/>
  <c r="L27" i="1"/>
  <c r="K28" i="1"/>
  <c r="B9" i="2"/>
  <c r="B7" i="2" s="1"/>
  <c r="B5" i="2"/>
  <c r="B4" i="2" s="1"/>
  <c r="O18" i="2" l="1"/>
  <c r="P18" i="2" s="1"/>
  <c r="M54" i="1"/>
  <c r="N54" i="1" s="1"/>
  <c r="M41" i="1"/>
  <c r="N41" i="1" s="1"/>
  <c r="M47" i="1"/>
  <c r="N47" i="1" s="1"/>
  <c r="M39" i="1"/>
  <c r="N39" i="1" s="1"/>
  <c r="M46" i="1"/>
  <c r="N46" i="1" s="1"/>
  <c r="M53" i="1"/>
  <c r="N53" i="1" s="1"/>
  <c r="M52" i="1"/>
  <c r="N52" i="1" s="1"/>
  <c r="M48" i="1"/>
  <c r="N48" i="1" s="1"/>
  <c r="M40" i="1"/>
  <c r="N40" i="1" s="1"/>
  <c r="L28" i="1"/>
  <c r="M25" i="1" s="1"/>
  <c r="N25" i="1" s="1"/>
  <c r="L22" i="1"/>
  <c r="M19" i="1" s="1"/>
  <c r="N19" i="1" s="1"/>
  <c r="N38" i="1"/>
  <c r="N35" i="1"/>
  <c r="M20" i="1"/>
  <c r="N20" i="1" s="1"/>
  <c r="M21" i="1" l="1"/>
  <c r="M26" i="1"/>
  <c r="N26" i="1" s="1"/>
  <c r="M18" i="1"/>
  <c r="N18" i="1" s="1"/>
  <c r="N49" i="1"/>
  <c r="M24" i="1"/>
  <c r="N24" i="1" s="1"/>
  <c r="M27" i="1"/>
  <c r="N27" i="1" s="1"/>
  <c r="N21" i="1"/>
  <c r="I69" i="1" l="1"/>
  <c r="F69" i="1"/>
  <c r="E69" i="1"/>
  <c r="I68" i="1"/>
  <c r="F68" i="1"/>
  <c r="E68" i="1"/>
  <c r="I67" i="1"/>
  <c r="F67" i="1"/>
  <c r="E67" i="1"/>
  <c r="I66" i="1"/>
  <c r="F66" i="1"/>
  <c r="E66" i="1"/>
  <c r="J66" i="1" s="1"/>
  <c r="I64" i="1"/>
  <c r="F64" i="1"/>
  <c r="E64" i="1"/>
  <c r="I63" i="1"/>
  <c r="F63" i="1"/>
  <c r="E63" i="1"/>
  <c r="I62" i="1"/>
  <c r="F62" i="1"/>
  <c r="E62" i="1"/>
  <c r="I61" i="1"/>
  <c r="F61" i="1"/>
  <c r="E61" i="1"/>
  <c r="K14" i="1"/>
  <c r="H13" i="1"/>
  <c r="E13" i="1"/>
  <c r="L12" i="1"/>
  <c r="H12" i="1"/>
  <c r="I12" i="1" s="1"/>
  <c r="J12" i="1" s="1"/>
  <c r="E12" i="1"/>
  <c r="H11" i="1"/>
  <c r="E11" i="1"/>
  <c r="H10" i="1"/>
  <c r="E10" i="1"/>
  <c r="K8" i="1"/>
  <c r="H7" i="1"/>
  <c r="E7" i="1"/>
  <c r="H6" i="1"/>
  <c r="E6" i="1"/>
  <c r="H5" i="1"/>
  <c r="E5" i="1"/>
  <c r="H4" i="1"/>
  <c r="E4" i="1"/>
  <c r="J61" i="1" l="1"/>
  <c r="J62" i="1"/>
  <c r="J67" i="1"/>
  <c r="L6" i="1"/>
  <c r="I6" i="1"/>
  <c r="J6" i="1" s="1"/>
  <c r="L7" i="1"/>
  <c r="I7" i="1"/>
  <c r="J7" i="1" s="1"/>
  <c r="L10" i="1"/>
  <c r="I10" i="1"/>
  <c r="J10" i="1" s="1"/>
  <c r="L4" i="1"/>
  <c r="I4" i="1"/>
  <c r="J4" i="1" s="1"/>
  <c r="L11" i="1"/>
  <c r="I11" i="1"/>
  <c r="J11" i="1" s="1"/>
  <c r="L5" i="1"/>
  <c r="I5" i="1"/>
  <c r="J5" i="1" s="1"/>
  <c r="L13" i="1"/>
  <c r="I13" i="1"/>
  <c r="J13" i="1" s="1"/>
  <c r="J63" i="1"/>
  <c r="J68" i="1"/>
  <c r="J64" i="1"/>
  <c r="J69" i="1"/>
  <c r="L8" i="1" l="1"/>
  <c r="M4" i="1" s="1"/>
  <c r="N4" i="1" s="1"/>
  <c r="L14" i="1"/>
  <c r="M10" i="1" s="1"/>
  <c r="M13" i="1"/>
  <c r="N13" i="1" s="1"/>
  <c r="M11" i="1"/>
  <c r="N11" i="1" s="1"/>
  <c r="M5" i="1"/>
  <c r="N5" i="1" s="1"/>
  <c r="M7" i="1" l="1"/>
  <c r="M6" i="1"/>
  <c r="N6" i="1" s="1"/>
  <c r="M12" i="1"/>
  <c r="N12" i="1" s="1"/>
  <c r="N7" i="1"/>
  <c r="N10" i="1"/>
  <c r="L14" i="2" l="1"/>
  <c r="L15" i="2"/>
  <c r="L16" i="2"/>
  <c r="L17" i="2"/>
  <c r="L13" i="2"/>
  <c r="K14" i="2"/>
  <c r="K15" i="2"/>
  <c r="K16" i="2"/>
  <c r="K17" i="2"/>
  <c r="K13" i="2"/>
  <c r="C5" i="2"/>
  <c r="E5" i="2" s="1"/>
  <c r="F5" i="2" s="1"/>
  <c r="C6" i="2"/>
  <c r="E6" i="2" s="1"/>
  <c r="C7" i="2"/>
  <c r="E7" i="2" s="1"/>
  <c r="F7" i="2" s="1"/>
  <c r="C8" i="2"/>
  <c r="C9" i="2"/>
  <c r="C10" i="2"/>
  <c r="E10" i="2" s="1"/>
  <c r="F10" i="2" s="1"/>
  <c r="C4" i="2"/>
  <c r="E4" i="2" s="1"/>
  <c r="F4" i="2" s="1"/>
  <c r="M15" i="2" l="1"/>
  <c r="N15" i="2" s="1"/>
  <c r="M17" i="2"/>
  <c r="N17" i="2" s="1"/>
  <c r="M14" i="2"/>
  <c r="N14" i="2" s="1"/>
  <c r="M16" i="2"/>
  <c r="N16" i="2" s="1"/>
  <c r="O16" i="2" s="1"/>
  <c r="P16" i="2" s="1"/>
  <c r="M13" i="2"/>
  <c r="N13" i="2" s="1"/>
  <c r="O13" i="2" s="1"/>
  <c r="P13" i="2" s="1"/>
  <c r="E9" i="2"/>
  <c r="F9" i="2" s="1"/>
  <c r="E8" i="2"/>
  <c r="F8" i="2" s="1"/>
  <c r="F6" i="2"/>
</calcChain>
</file>

<file path=xl/sharedStrings.xml><?xml version="1.0" encoding="utf-8"?>
<sst xmlns="http://schemas.openxmlformats.org/spreadsheetml/2006/main" count="215" uniqueCount="66">
  <si>
    <t>Node</t>
  </si>
  <si>
    <t>Supply (lpd)</t>
  </si>
  <si>
    <t>Supply (ft^3/sec)</t>
  </si>
  <si>
    <t>Length (ft)</t>
  </si>
  <si>
    <t>Area of Pipe Required(inch^2)</t>
  </si>
  <si>
    <t>Diameter of Pipe Required (inch)</t>
  </si>
  <si>
    <t>Diameter of provided pipe(inch)</t>
  </si>
  <si>
    <t>1,2</t>
  </si>
  <si>
    <t>2,3</t>
  </si>
  <si>
    <t>3,4</t>
  </si>
  <si>
    <t>7,8</t>
  </si>
  <si>
    <t>1,5</t>
  </si>
  <si>
    <t>5,6</t>
  </si>
  <si>
    <t>Diameter of provided pipe(ft)</t>
  </si>
  <si>
    <t>Head Loss (ft)</t>
  </si>
  <si>
    <t>Head Loss (psi)</t>
  </si>
  <si>
    <t>Total head loss (psi)</t>
  </si>
  <si>
    <t>Available Pressure (psi)</t>
  </si>
  <si>
    <t>Comment</t>
  </si>
  <si>
    <t>Path I</t>
  </si>
  <si>
    <t>OK</t>
  </si>
  <si>
    <t>Path II</t>
  </si>
  <si>
    <t>Path</t>
  </si>
  <si>
    <t>Trial 1</t>
  </si>
  <si>
    <t>length (ft)</t>
  </si>
  <si>
    <t>length (m)</t>
  </si>
  <si>
    <t>k</t>
  </si>
  <si>
    <r>
      <t>Q</t>
    </r>
    <r>
      <rPr>
        <b/>
        <vertAlign val="subscript"/>
        <sz val="12"/>
        <color rgb="FF00B0F0"/>
        <rFont val="Calibri"/>
        <family val="2"/>
        <scheme val="minor"/>
      </rPr>
      <t xml:space="preserve">o </t>
    </r>
    <r>
      <rPr>
        <b/>
        <sz val="12"/>
        <color rgb="FF00B0F0"/>
        <rFont val="Calibri"/>
        <family val="2"/>
        <scheme val="minor"/>
      </rPr>
      <t>(lps)</t>
    </r>
  </si>
  <si>
    <r>
      <t>Q</t>
    </r>
    <r>
      <rPr>
        <b/>
        <vertAlign val="subscript"/>
        <sz val="12"/>
        <color rgb="FF00B0F0"/>
        <rFont val="Calibri"/>
        <family val="2"/>
        <scheme val="minor"/>
      </rPr>
      <t xml:space="preserve">o </t>
    </r>
    <r>
      <rPr>
        <b/>
        <sz val="12"/>
        <color rgb="FF00B0F0"/>
        <rFont val="Calibri"/>
        <family val="2"/>
        <scheme val="minor"/>
      </rPr>
      <t>(m</t>
    </r>
    <r>
      <rPr>
        <b/>
        <vertAlign val="superscript"/>
        <sz val="12"/>
        <color rgb="FF00B0F0"/>
        <rFont val="Calibri"/>
        <family val="2"/>
        <scheme val="minor"/>
      </rPr>
      <t>3</t>
    </r>
    <r>
      <rPr>
        <b/>
        <sz val="12"/>
        <color rgb="FF00B0F0"/>
        <rFont val="Calibri"/>
        <family val="2"/>
        <scheme val="minor"/>
      </rPr>
      <t>/s)</t>
    </r>
  </si>
  <si>
    <r>
      <t>Q</t>
    </r>
    <r>
      <rPr>
        <b/>
        <vertAlign val="subscript"/>
        <sz val="12"/>
        <color rgb="FF00B0F0"/>
        <rFont val="Calibri"/>
        <family val="2"/>
        <scheme val="minor"/>
      </rPr>
      <t>o(abs)</t>
    </r>
    <r>
      <rPr>
        <b/>
        <sz val="12"/>
        <color rgb="FF00B0F0"/>
        <rFont val="Calibri"/>
        <family val="2"/>
        <scheme val="minor"/>
      </rPr>
      <t>(m</t>
    </r>
    <r>
      <rPr>
        <b/>
        <vertAlign val="superscript"/>
        <sz val="12"/>
        <color rgb="FF00B0F0"/>
        <rFont val="Calibri"/>
        <family val="2"/>
        <scheme val="minor"/>
      </rPr>
      <t>3</t>
    </r>
    <r>
      <rPr>
        <b/>
        <sz val="12"/>
        <color rgb="FF00B0F0"/>
        <rFont val="Calibri"/>
        <family val="2"/>
        <scheme val="minor"/>
      </rPr>
      <t>/s)</t>
    </r>
  </si>
  <si>
    <t>Ho (abs) = k*Qo^1.85 (m)</t>
  </si>
  <si>
    <t>Ho (m)</t>
  </si>
  <si>
    <t>H0/Qo</t>
  </si>
  <si>
    <t>Δ (m3/s)</t>
  </si>
  <si>
    <r>
      <t>Corrected Q</t>
    </r>
    <r>
      <rPr>
        <b/>
        <vertAlign val="subscript"/>
        <sz val="12"/>
        <color rgb="FF00B0F0"/>
        <rFont val="Calibri"/>
        <family val="2"/>
        <scheme val="minor"/>
      </rPr>
      <t xml:space="preserve">o </t>
    </r>
    <r>
      <rPr>
        <b/>
        <sz val="12"/>
        <color rgb="FF00B0F0"/>
        <rFont val="Calibri"/>
        <family val="2"/>
        <scheme val="minor"/>
      </rPr>
      <t>(m</t>
    </r>
    <r>
      <rPr>
        <b/>
        <vertAlign val="superscript"/>
        <sz val="12"/>
        <color rgb="FF00B0F0"/>
        <rFont val="Calibri"/>
        <family val="2"/>
        <scheme val="minor"/>
      </rPr>
      <t>3</t>
    </r>
    <r>
      <rPr>
        <b/>
        <sz val="12"/>
        <color rgb="FF00B0F0"/>
        <rFont val="Calibri"/>
        <family val="2"/>
        <scheme val="minor"/>
      </rPr>
      <t>/s)</t>
    </r>
  </si>
  <si>
    <t>Loop 1</t>
  </si>
  <si>
    <t>AB</t>
  </si>
  <si>
    <t>BC</t>
  </si>
  <si>
    <t>DC</t>
  </si>
  <si>
    <t>Sum</t>
  </si>
  <si>
    <t>Qo (lps)</t>
  </si>
  <si>
    <t>Qo (m3/s)</t>
  </si>
  <si>
    <t>Qo(abs)(m3/s)</t>
  </si>
  <si>
    <t>Ho (abs) (m)</t>
  </si>
  <si>
    <t>Loop 2</t>
  </si>
  <si>
    <t>DE</t>
  </si>
  <si>
    <t>EF</t>
  </si>
  <si>
    <t>Trial 2</t>
  </si>
  <si>
    <t>Corrected Qo(Lps)</t>
  </si>
  <si>
    <t>Corrected Qo (m3/s)</t>
  </si>
  <si>
    <t>Ho/L (m/m)</t>
  </si>
  <si>
    <t>Diameter (mm)</t>
  </si>
  <si>
    <t>A</t>
  </si>
  <si>
    <t>B</t>
  </si>
  <si>
    <t>D</t>
  </si>
  <si>
    <t>C</t>
  </si>
  <si>
    <t>E</t>
  </si>
  <si>
    <t>F</t>
  </si>
  <si>
    <t>Calculation of Loop Network for Industrial &amp; Administrative Zone</t>
  </si>
  <si>
    <t>Calculation of Branch Network for Residential Zone &amp; Common Facilities</t>
  </si>
  <si>
    <t>5,7</t>
  </si>
  <si>
    <t>Trial 3</t>
  </si>
  <si>
    <t>Trial 4</t>
  </si>
  <si>
    <t>Path III</t>
  </si>
  <si>
    <t>DA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</si>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</sst>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"/>
  </numFmts>
  <fonts count="1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vertAlign val="subscript"/>
      <sz val="12"/>
      <color rgb="FF00B0F0"/>
      <name val="Calibri"/>
      <family val="2"/>
      <scheme val="minor"/>
    </font>
    <font>
      <b/>
      <vertAlign val="superscript"/>
      <sz val="12"/>
      <color rgb="FF00B0F0"/>
      <name val="Calibri"/>
      <family val="2"/>
      <scheme val="minor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48118533890809E-2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/>
      <right/>
      <top style="thin">
        <color auto="1"/>
      </top>
      <bottom/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>
      <left/>
      <right/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4" xfId="0" applyFont="1" applyBorder="1"/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2" fillId="0" borderId="0" xfId="0" applyFont="1"/>
    <xf numFmtId="2" fontId="6" fillId="0" borderId="4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6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0" xfId="0" applyNumberFormat="1" applyFont="1" applyBorder="1"/>
    <xf numFmtId="2" fontId="2" fillId="0" borderId="18" xfId="0" applyNumberFormat="1" applyFont="1" applyBorder="1"/>
    <xf numFmtId="164" fontId="2" fillId="0" borderId="0" xfId="0" applyNumberFormat="1" applyFont="1"/>
    <xf numFmtId="164" fontId="6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6" fillId="0" borderId="6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0" fillId="0" borderId="0" xfId="0" applyNumberFormat="1"/>
    <xf numFmtId="164" fontId="2" fillId="0" borderId="0" xfId="0" applyNumberFormat="1" applyFont="1" applyBorder="1"/>
    <xf numFmtId="2" fontId="2" fillId="0" borderId="14" xfId="0" applyNumberFormat="1" applyFont="1" applyBorder="1"/>
    <xf numFmtId="2" fontId="2" fillId="0" borderId="17" xfId="0" applyNumberFormat="1" applyFont="1" applyBorder="1"/>
    <xf numFmtId="2" fontId="4" fillId="0" borderId="9" xfId="0" applyNumberFormat="1" applyFont="1" applyBorder="1" applyAlignment="1">
      <alignment horizontal="left"/>
    </xf>
    <xf numFmtId="2" fontId="4" fillId="0" borderId="10" xfId="0" applyNumberFormat="1" applyFont="1" applyBorder="1" applyAlignment="1">
      <alignment horizontal="right"/>
    </xf>
    <xf numFmtId="2" fontId="2" fillId="0" borderId="11" xfId="0" applyNumberFormat="1" applyFont="1" applyBorder="1"/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right"/>
    </xf>
    <xf numFmtId="2" fontId="10" fillId="0" borderId="12" xfId="0" applyNumberFormat="1" applyFont="1" applyBorder="1" applyAlignment="1">
      <alignment horizontal="left" vertical="center"/>
    </xf>
    <xf numFmtId="2" fontId="10" fillId="0" borderId="13" xfId="0" applyNumberFormat="1" applyFont="1" applyBorder="1" applyAlignment="1">
      <alignment horizontal="right" vertical="center"/>
    </xf>
    <xf numFmtId="2" fontId="2" fillId="0" borderId="0" xfId="0" applyNumberFormat="1" applyFont="1" applyBorder="1"/>
    <xf numFmtId="2" fontId="4" fillId="0" borderId="15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right"/>
    </xf>
    <xf numFmtId="2" fontId="2" fillId="0" borderId="12" xfId="0" applyNumberFormat="1" applyFont="1" applyBorder="1"/>
    <xf numFmtId="2" fontId="2" fillId="0" borderId="9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2" fontId="4" fillId="0" borderId="15" xfId="0" applyNumberFormat="1" applyFont="1" applyBorder="1" applyAlignment="1">
      <alignment horizontal="left" vertical="center"/>
    </xf>
    <xf numFmtId="2" fontId="4" fillId="0" borderId="16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/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497416</xdr:colOff>
      <xdr:row>78</xdr:row>
      <xdr:rowOff>21167</xdr:rowOff>
    </xdr:from>
    <xdr:to>
      <xdr:col>6</xdr:col>
      <xdr:colOff>1111250</xdr:colOff>
      <xdr:row>80</xdr:row>
      <xdr:rowOff>105833</xdr:rowOff>
    </xdr:to>
    <xdr:sp macro="" textlink="">
      <xdr:nvSpPr>
        <xdr:cNvPr id="2" name="Curved Lef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526491" y="11089217"/>
          <a:ext cx="613834" cy="484716"/>
        </a:xfrm>
        <a:prstGeom prst="curvedLef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0" cap="none" spc="0">
            <a:ln w="10160">
              <a:solidFill>
                <a:schemeClr val="accent1"/>
              </a:solidFill>
              <a:prstDash val="solid"/>
            </a:ln>
            <a:solidFill>
              <a:srgbClr val="FFFFFF"/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68791</xdr:colOff>
      <xdr:row>83</xdr:row>
      <xdr:rowOff>40217</xdr:rowOff>
    </xdr:from>
    <xdr:to>
      <xdr:col>6</xdr:col>
      <xdr:colOff>682625</xdr:colOff>
      <xdr:row>85</xdr:row>
      <xdr:rowOff>124883</xdr:rowOff>
    </xdr:to>
    <xdr:sp macro="" textlink="">
      <xdr:nvSpPr>
        <xdr:cNvPr id="3" name="Curved Lef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878791" y="12346517"/>
          <a:ext cx="613834" cy="484716"/>
        </a:xfrm>
        <a:prstGeom prst="curvedLef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 b="0" cap="none" spc="0">
            <a:ln w="10160">
              <a:solidFill>
                <a:schemeClr val="accent1"/>
              </a:solidFill>
              <a:prstDash val="solid"/>
            </a:ln>
            <a:solidFill>
              <a:srgbClr val="FFFFFF"/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19050</xdr:colOff>
      <xdr:row>80</xdr:row>
      <xdr:rowOff>28575</xdr:rowOff>
    </xdr:from>
    <xdr:to>
      <xdr:col>7</xdr:col>
      <xdr:colOff>1238250</xdr:colOff>
      <xdr:row>82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5124450" y="11734800"/>
          <a:ext cx="12192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1285875</xdr:colOff>
      <xdr:row>82</xdr:row>
      <xdr:rowOff>9525</xdr:rowOff>
    </xdr:from>
    <xdr:to>
      <xdr:col>8</xdr:col>
      <xdr:colOff>0</xdr:colOff>
      <xdr:row>83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5095875" y="12115800"/>
          <a:ext cx="125730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sqref="A1:Q1"/>
    </sheetView>
  </sheetViews>
  <sheetFormatPr defaultColWidth="9.109375" defaultRowHeight="15.6"/>
  <cols>
    <col min="1" max="1" width="8" style="1" customWidth="1"/>
    <col min="2" max="2" width="9.33203125" style="1" customWidth="1"/>
    <col min="3" max="3" width="12.6640625" style="1" customWidth="1"/>
    <col min="4" max="4" width="9.109375" style="1"/>
    <col min="5" max="5" width="11.6640625" style="1" customWidth="1"/>
    <col min="6" max="6" width="12.33203125" style="1" customWidth="1"/>
    <col min="7" max="7" width="14.6640625" style="1" customWidth="1"/>
    <col min="8" max="11" width="9.109375" style="1"/>
    <col min="12" max="12" width="13" style="1" customWidth="1"/>
    <col min="13" max="15" width="9.109375" style="1"/>
    <col min="16" max="16" width="12.6640625" style="1" customWidth="1"/>
    <col min="17" max="17" width="12.109375" style="1" customWidth="1"/>
    <col min="18" max="16384" width="9.109375" style="1"/>
  </cols>
  <sheetData>
    <row r="1" spans="1:17" ht="18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3" spans="1:17" ht="75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17">
      <c r="A4" s="3" t="s">
        <v>7</v>
      </c>
      <c r="B4" s="4">
        <f>827762+B5</f>
        <v>928585</v>
      </c>
      <c r="C4" s="7">
        <f>B4*((0.001*3.28*3.28*3.28)/(24*60*60))</f>
        <v>0.37925337354074073</v>
      </c>
      <c r="D4" s="4">
        <v>385</v>
      </c>
      <c r="E4" s="5">
        <f>(C4*144)/3</f>
        <v>18.204161929955557</v>
      </c>
      <c r="F4" s="5">
        <f t="shared" ref="F4:F10" si="0">SQRT(4*E4/3.1416)</f>
        <v>4.8143747929774729</v>
      </c>
      <c r="G4" s="4">
        <v>5</v>
      </c>
    </row>
    <row r="5" spans="1:17">
      <c r="A5" s="4" t="s">
        <v>8</v>
      </c>
      <c r="B5" s="4">
        <f>33660+B6</f>
        <v>100823</v>
      </c>
      <c r="C5" s="7">
        <f t="shared" ref="C5:C10" si="1">B5*((0.001*3.28*3.28*3.28)/(24*60*60))</f>
        <v>4.11782043437037E-2</v>
      </c>
      <c r="D5" s="4">
        <v>345</v>
      </c>
      <c r="E5" s="5">
        <f t="shared" ref="E5:E10" si="2">(C5*144)/3</f>
        <v>1.9765538084977774</v>
      </c>
      <c r="F5" s="5">
        <f t="shared" si="0"/>
        <v>1.5863860142861224</v>
      </c>
      <c r="G5" s="4">
        <v>2</v>
      </c>
    </row>
    <row r="6" spans="1:17">
      <c r="A6" s="4" t="s">
        <v>9</v>
      </c>
      <c r="B6" s="4">
        <v>67163</v>
      </c>
      <c r="C6" s="7">
        <f t="shared" si="1"/>
        <v>2.7430762210370368E-2</v>
      </c>
      <c r="D6" s="4">
        <v>390</v>
      </c>
      <c r="E6" s="5">
        <f t="shared" si="2"/>
        <v>1.3166765860977776</v>
      </c>
      <c r="F6" s="5">
        <f t="shared" si="0"/>
        <v>1.2947744115477415</v>
      </c>
      <c r="G6" s="4">
        <v>2</v>
      </c>
    </row>
    <row r="7" spans="1:17">
      <c r="A7" s="4" t="s">
        <v>11</v>
      </c>
      <c r="B7" s="4">
        <f>503865+B8+B9</f>
        <v>1891719</v>
      </c>
      <c r="C7" s="7">
        <f t="shared" si="1"/>
        <v>0.77261727525333335</v>
      </c>
      <c r="D7" s="4">
        <v>190</v>
      </c>
      <c r="E7" s="5">
        <f t="shared" si="2"/>
        <v>37.085629212160001</v>
      </c>
      <c r="F7" s="5">
        <f t="shared" si="0"/>
        <v>6.871592190770766</v>
      </c>
      <c r="G7" s="4">
        <v>7</v>
      </c>
    </row>
    <row r="8" spans="1:17">
      <c r="A8" s="4" t="s">
        <v>12</v>
      </c>
      <c r="B8" s="4">
        <v>943794</v>
      </c>
      <c r="C8" s="7">
        <f t="shared" si="1"/>
        <v>0.38546504458666664</v>
      </c>
      <c r="D8" s="4">
        <v>600</v>
      </c>
      <c r="E8" s="5">
        <f t="shared" si="2"/>
        <v>18.50232214016</v>
      </c>
      <c r="F8" s="5">
        <f t="shared" si="0"/>
        <v>4.8536412238461963</v>
      </c>
      <c r="G8" s="4">
        <v>5</v>
      </c>
    </row>
    <row r="9" spans="1:17">
      <c r="A9" s="44" t="s">
        <v>60</v>
      </c>
      <c r="B9" s="4">
        <f>258000+B10</f>
        <v>444060</v>
      </c>
      <c r="C9" s="7">
        <f t="shared" si="1"/>
        <v>0.18136331413333331</v>
      </c>
      <c r="D9" s="4">
        <v>240</v>
      </c>
      <c r="E9" s="5">
        <f t="shared" si="2"/>
        <v>8.7054390783999995</v>
      </c>
      <c r="F9" s="5">
        <f t="shared" si="0"/>
        <v>3.329276703654001</v>
      </c>
      <c r="G9" s="4">
        <v>4</v>
      </c>
    </row>
    <row r="10" spans="1:17">
      <c r="A10" s="4" t="s">
        <v>10</v>
      </c>
      <c r="B10" s="4">
        <v>186060</v>
      </c>
      <c r="C10" s="7">
        <f t="shared" si="1"/>
        <v>7.5990763022222213E-2</v>
      </c>
      <c r="D10" s="4">
        <v>240</v>
      </c>
      <c r="E10" s="5">
        <f t="shared" si="2"/>
        <v>3.6475566250666662</v>
      </c>
      <c r="F10" s="5">
        <f t="shared" si="0"/>
        <v>2.1550411774557827</v>
      </c>
      <c r="G10" s="4">
        <v>3</v>
      </c>
    </row>
    <row r="11" spans="1:17">
      <c r="A11" s="8"/>
      <c r="B11" s="8"/>
      <c r="C11" s="9"/>
      <c r="D11" s="8"/>
      <c r="E11" s="10"/>
      <c r="F11" s="10"/>
      <c r="G11" s="8"/>
    </row>
    <row r="12" spans="1:17" ht="81.75" customHeight="1">
      <c r="I12" s="6" t="s">
        <v>22</v>
      </c>
      <c r="J12" s="6" t="s">
        <v>0</v>
      </c>
      <c r="K12" s="6" t="s">
        <v>3</v>
      </c>
      <c r="L12" s="6" t="s">
        <v>13</v>
      </c>
      <c r="M12" s="6" t="s">
        <v>14</v>
      </c>
      <c r="N12" s="6" t="s">
        <v>15</v>
      </c>
      <c r="O12" s="6" t="s">
        <v>16</v>
      </c>
      <c r="P12" s="6" t="s">
        <v>17</v>
      </c>
      <c r="Q12" s="6" t="s">
        <v>18</v>
      </c>
    </row>
    <row r="13" spans="1:17">
      <c r="I13" s="84" t="s">
        <v>19</v>
      </c>
      <c r="J13" s="3" t="s">
        <v>7</v>
      </c>
      <c r="K13" s="4">
        <f>D4</f>
        <v>385</v>
      </c>
      <c r="L13" s="7">
        <f>G4/12</f>
        <v>0.41666666666666669</v>
      </c>
      <c r="M13" s="7">
        <f>(4*0.01*K13*3^2)/(2*32*L13)</f>
        <v>5.1974999999999998</v>
      </c>
      <c r="N13" s="7">
        <f>(M13*62.4)/144</f>
        <v>2.2522499999999996</v>
      </c>
      <c r="O13" s="85">
        <f>SUM(N13:N15)</f>
        <v>13.001625000000001</v>
      </c>
      <c r="P13" s="85">
        <f>75-O13</f>
        <v>61.998374999999996</v>
      </c>
      <c r="Q13" s="84" t="s">
        <v>20</v>
      </c>
    </row>
    <row r="14" spans="1:17">
      <c r="I14" s="84"/>
      <c r="J14" s="4" t="s">
        <v>8</v>
      </c>
      <c r="K14" s="4">
        <f t="shared" ref="K14:K17" si="3">D5</f>
        <v>345</v>
      </c>
      <c r="L14" s="7">
        <f t="shared" ref="L14:L17" si="4">G5/12</f>
        <v>0.16666666666666666</v>
      </c>
      <c r="M14" s="7">
        <f t="shared" ref="M14:M17" si="5">(4*0.01*K14*3^2)/(2*32*L14)</f>
        <v>11.643750000000001</v>
      </c>
      <c r="N14" s="7">
        <f t="shared" ref="N14:N17" si="6">(M14*62.4)/144</f>
        <v>5.0456250000000002</v>
      </c>
      <c r="O14" s="85"/>
      <c r="P14" s="85"/>
      <c r="Q14" s="84"/>
    </row>
    <row r="15" spans="1:17">
      <c r="I15" s="84"/>
      <c r="J15" s="4" t="s">
        <v>9</v>
      </c>
      <c r="K15" s="4">
        <f t="shared" si="3"/>
        <v>390</v>
      </c>
      <c r="L15" s="7">
        <f t="shared" si="4"/>
        <v>0.16666666666666666</v>
      </c>
      <c r="M15" s="7">
        <f t="shared" si="5"/>
        <v>13.162500000000001</v>
      </c>
      <c r="N15" s="7">
        <f t="shared" si="6"/>
        <v>5.7037500000000003</v>
      </c>
      <c r="O15" s="85"/>
      <c r="P15" s="85"/>
      <c r="Q15" s="84"/>
    </row>
    <row r="16" spans="1:17">
      <c r="I16" s="84" t="s">
        <v>21</v>
      </c>
      <c r="J16" s="4" t="s">
        <v>11</v>
      </c>
      <c r="K16" s="4">
        <f t="shared" si="3"/>
        <v>190</v>
      </c>
      <c r="L16" s="7">
        <f t="shared" si="4"/>
        <v>0.58333333333333337</v>
      </c>
      <c r="M16" s="7">
        <f t="shared" si="5"/>
        <v>1.8321428571428571</v>
      </c>
      <c r="N16" s="7">
        <f t="shared" si="6"/>
        <v>0.79392857142857143</v>
      </c>
      <c r="O16" s="85">
        <f>SUM(N16:N17)</f>
        <v>4.3039285714285711</v>
      </c>
      <c r="P16" s="85">
        <f>75-O16</f>
        <v>70.696071428571429</v>
      </c>
      <c r="Q16" s="84" t="s">
        <v>20</v>
      </c>
    </row>
    <row r="17" spans="9:17">
      <c r="I17" s="84"/>
      <c r="J17" s="4" t="s">
        <v>12</v>
      </c>
      <c r="K17" s="4">
        <f t="shared" si="3"/>
        <v>600</v>
      </c>
      <c r="L17" s="7">
        <f t="shared" si="4"/>
        <v>0.41666666666666669</v>
      </c>
      <c r="M17" s="7">
        <f t="shared" si="5"/>
        <v>8.1</v>
      </c>
      <c r="N17" s="7">
        <f t="shared" si="6"/>
        <v>3.51</v>
      </c>
      <c r="O17" s="85"/>
      <c r="P17" s="85"/>
      <c r="Q17" s="84"/>
    </row>
    <row r="18" spans="9:17">
      <c r="I18" s="84" t="s">
        <v>63</v>
      </c>
      <c r="J18" s="81" t="s">
        <v>11</v>
      </c>
      <c r="K18" s="81">
        <f>D7</f>
        <v>190</v>
      </c>
      <c r="L18" s="82">
        <f>G7/12</f>
        <v>0.58333333333333337</v>
      </c>
      <c r="M18" s="82">
        <f t="shared" ref="M18:M20" si="7">(4*0.01*K18*3^2)/(2*32*L18)</f>
        <v>1.8321428571428571</v>
      </c>
      <c r="N18" s="82">
        <f t="shared" ref="N18:N20" si="8">(M18*62.4)/144</f>
        <v>0.79392857142857143</v>
      </c>
      <c r="O18" s="85">
        <f>SUM(N18:N20)</f>
        <v>4.8889285714285711</v>
      </c>
      <c r="P18" s="85">
        <f>75-O18</f>
        <v>70.111071428571435</v>
      </c>
      <c r="Q18" s="84" t="s">
        <v>20</v>
      </c>
    </row>
    <row r="19" spans="9:17">
      <c r="I19" s="84"/>
      <c r="J19" s="81" t="s">
        <v>60</v>
      </c>
      <c r="K19" s="81">
        <f>D9</f>
        <v>240</v>
      </c>
      <c r="L19" s="82">
        <f>G9/12</f>
        <v>0.33333333333333331</v>
      </c>
      <c r="M19" s="82">
        <f t="shared" si="7"/>
        <v>4.05</v>
      </c>
      <c r="N19" s="82">
        <f t="shared" si="8"/>
        <v>1.7549999999999999</v>
      </c>
      <c r="O19" s="85"/>
      <c r="P19" s="85"/>
      <c r="Q19" s="84"/>
    </row>
    <row r="20" spans="9:17">
      <c r="I20" s="84"/>
      <c r="J20" s="81" t="s">
        <v>10</v>
      </c>
      <c r="K20" s="81">
        <f>D10</f>
        <v>240</v>
      </c>
      <c r="L20" s="82">
        <f>G10/12</f>
        <v>0.25</v>
      </c>
      <c r="M20" s="82">
        <f t="shared" si="7"/>
        <v>5.3999999999999995</v>
      </c>
      <c r="N20" s="82">
        <f t="shared" si="8"/>
        <v>2.34</v>
      </c>
      <c r="O20" s="85"/>
      <c r="P20" s="85"/>
      <c r="Q20" s="84"/>
    </row>
  </sheetData>
  <mergeCells count="13">
    <mergeCell ref="A1:Q1"/>
    <mergeCell ref="I13:I15"/>
    <mergeCell ref="O13:O15"/>
    <mergeCell ref="P13:P15"/>
    <mergeCell ref="Q13:Q15"/>
    <mergeCell ref="I18:I20"/>
    <mergeCell ref="O18:O20"/>
    <mergeCell ref="P18:P20"/>
    <mergeCell ref="Q18:Q20"/>
    <mergeCell ref="I16:I17"/>
    <mergeCell ref="O16:O17"/>
    <mergeCell ref="P16:P17"/>
    <mergeCell ref="Q16:Q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opLeftCell="C1" zoomScaleNormal="100" workbookViewId="0">
      <selection activeCell="K67" sqref="K67:K69"/>
    </sheetView>
  </sheetViews>
  <sheetFormatPr defaultRowHeight="14.4"/>
  <cols>
    <col min="6" max="6" width="11.44140625" customWidth="1"/>
    <col min="7" max="7" width="19.44140625" style="59" customWidth="1"/>
    <col min="8" max="8" width="18.6640625" style="53" customWidth="1"/>
    <col min="9" max="9" width="19.33203125" customWidth="1"/>
    <col min="10" max="10" width="18.6640625" customWidth="1"/>
    <col min="11" max="11" width="14.88671875" customWidth="1"/>
    <col min="12" max="12" width="16.88671875" customWidth="1"/>
    <col min="13" max="13" width="15.5546875" customWidth="1"/>
    <col min="14" max="14" width="15.109375" style="53" customWidth="1"/>
  </cols>
  <sheetData>
    <row r="1" spans="1:15" ht="18">
      <c r="B1" s="87" t="s">
        <v>58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5" ht="15.6">
      <c r="A2" s="2"/>
      <c r="B2" s="2"/>
      <c r="C2" s="2"/>
      <c r="D2" s="2"/>
      <c r="E2" s="11"/>
      <c r="F2" s="2"/>
      <c r="G2" s="11"/>
      <c r="H2" s="47"/>
      <c r="I2" s="2"/>
      <c r="J2" s="2"/>
      <c r="K2" s="2"/>
      <c r="L2" s="2"/>
      <c r="M2" s="2"/>
      <c r="N2" s="47"/>
      <c r="O2" s="2"/>
    </row>
    <row r="3" spans="1:15" ht="35.4">
      <c r="A3" s="2"/>
      <c r="B3" s="12" t="s">
        <v>23</v>
      </c>
      <c r="C3" s="13"/>
      <c r="D3" s="14" t="s">
        <v>24</v>
      </c>
      <c r="E3" s="15" t="s">
        <v>25</v>
      </c>
      <c r="F3" s="14" t="s">
        <v>26</v>
      </c>
      <c r="G3" s="32" t="s">
        <v>27</v>
      </c>
      <c r="H3" s="48" t="s">
        <v>28</v>
      </c>
      <c r="I3" s="48" t="s">
        <v>29</v>
      </c>
      <c r="J3" s="14" t="s">
        <v>30</v>
      </c>
      <c r="K3" s="14" t="s">
        <v>31</v>
      </c>
      <c r="L3" s="14" t="s">
        <v>32</v>
      </c>
      <c r="M3" s="16" t="s">
        <v>33</v>
      </c>
      <c r="N3" s="48" t="s">
        <v>34</v>
      </c>
      <c r="O3" s="2"/>
    </row>
    <row r="4" spans="1:15" ht="15.6">
      <c r="A4" s="2"/>
      <c r="B4" s="91" t="s">
        <v>35</v>
      </c>
      <c r="C4" s="17" t="s">
        <v>36</v>
      </c>
      <c r="D4" s="18">
        <v>810</v>
      </c>
      <c r="E4" s="19">
        <f>D4/3.28</f>
        <v>246.95121951219514</v>
      </c>
      <c r="F4" s="18">
        <v>1</v>
      </c>
      <c r="G4" s="22">
        <v>2.9</v>
      </c>
      <c r="H4" s="49">
        <f>G4/1000</f>
        <v>2.8999999999999998E-3</v>
      </c>
      <c r="I4" s="49">
        <f>ABS(H4)</f>
        <v>2.8999999999999998E-3</v>
      </c>
      <c r="J4" s="18">
        <f>F4*(I4^1.85)</f>
        <v>2.0203950513948914E-5</v>
      </c>
      <c r="K4" s="18">
        <v>2.0203950513948914E-5</v>
      </c>
      <c r="L4" s="18">
        <f>K4/H4</f>
        <v>6.9668794875685919E-3</v>
      </c>
      <c r="M4" s="18">
        <f>-K8/(1.85*L8)</f>
        <v>8.5829254782624435E-3</v>
      </c>
      <c r="N4" s="49">
        <f>H4+M4</f>
        <v>1.1482925478262443E-2</v>
      </c>
      <c r="O4" s="2"/>
    </row>
    <row r="5" spans="1:15" ht="15.6">
      <c r="A5" s="2"/>
      <c r="B5" s="92"/>
      <c r="C5" s="17" t="s">
        <v>37</v>
      </c>
      <c r="D5" s="18">
        <v>435</v>
      </c>
      <c r="E5" s="19">
        <f t="shared" ref="E5:E7" si="0">D5/3.28</f>
        <v>132.6219512195122</v>
      </c>
      <c r="F5" s="18">
        <v>1</v>
      </c>
      <c r="G5" s="22">
        <v>2.89</v>
      </c>
      <c r="H5" s="49">
        <f t="shared" ref="H5:H7" si="1">G5/1000</f>
        <v>2.8900000000000002E-3</v>
      </c>
      <c r="I5" s="49">
        <f t="shared" ref="I5:I7" si="2">ABS(H5)</f>
        <v>2.8900000000000002E-3</v>
      </c>
      <c r="J5" s="18">
        <f t="shared" ref="J5:J7" si="3">F5*(I5^1.85)</f>
        <v>2.0075252162545046E-5</v>
      </c>
      <c r="K5" s="18">
        <v>2.0075252162545046E-5</v>
      </c>
      <c r="L5" s="18">
        <f t="shared" ref="L5:L7" si="4">K5/H5</f>
        <v>6.9464540354827143E-3</v>
      </c>
      <c r="M5" s="18">
        <f>-K8/(1.85*L8)</f>
        <v>8.5829254782624435E-3</v>
      </c>
      <c r="N5" s="49">
        <f>H5+M5</f>
        <v>1.1472925478262444E-2</v>
      </c>
      <c r="O5" s="2"/>
    </row>
    <row r="6" spans="1:15" ht="15.6">
      <c r="A6" s="2"/>
      <c r="B6" s="92"/>
      <c r="C6" s="17" t="s">
        <v>64</v>
      </c>
      <c r="D6" s="18">
        <v>435</v>
      </c>
      <c r="E6" s="19">
        <f t="shared" si="0"/>
        <v>132.6219512195122</v>
      </c>
      <c r="F6" s="18">
        <v>1</v>
      </c>
      <c r="G6" s="22">
        <v>3</v>
      </c>
      <c r="H6" s="49">
        <f t="shared" si="1"/>
        <v>3.0000000000000001E-3</v>
      </c>
      <c r="I6" s="49">
        <f t="shared" si="2"/>
        <v>3.0000000000000001E-3</v>
      </c>
      <c r="J6" s="18">
        <f t="shared" si="3"/>
        <v>2.1511679622379022E-5</v>
      </c>
      <c r="K6" s="18">
        <v>2.1511679622379022E-5</v>
      </c>
      <c r="L6" s="18">
        <f t="shared" si="4"/>
        <v>7.1705598741263407E-3</v>
      </c>
      <c r="M6" s="18">
        <f>-K8/(1.85*L8)</f>
        <v>8.5829254782624435E-3</v>
      </c>
      <c r="N6" s="49">
        <f>H6+M6</f>
        <v>1.1582925478262444E-2</v>
      </c>
      <c r="O6" s="2"/>
    </row>
    <row r="7" spans="1:15" ht="15.6">
      <c r="A7" s="2"/>
      <c r="B7" s="93"/>
      <c r="C7" s="17" t="s">
        <v>38</v>
      </c>
      <c r="D7" s="18">
        <v>810</v>
      </c>
      <c r="E7" s="19">
        <f t="shared" si="0"/>
        <v>246.95121951219514</v>
      </c>
      <c r="F7" s="18">
        <v>1</v>
      </c>
      <c r="G7" s="22">
        <v>-25</v>
      </c>
      <c r="H7" s="49">
        <f t="shared" si="1"/>
        <v>-2.5000000000000001E-2</v>
      </c>
      <c r="I7" s="49">
        <f t="shared" si="2"/>
        <v>2.5000000000000001E-2</v>
      </c>
      <c r="J7" s="18">
        <f t="shared" si="3"/>
        <v>1.0868985666889054E-3</v>
      </c>
      <c r="K7" s="18">
        <v>-1.08689856668891E-3</v>
      </c>
      <c r="L7" s="18">
        <f t="shared" si="4"/>
        <v>4.3475942667556396E-2</v>
      </c>
      <c r="M7" s="18">
        <f>-K8/(1.85*L8)</f>
        <v>8.5829254782624435E-3</v>
      </c>
      <c r="N7" s="49">
        <f>H7+M7-M10</f>
        <v>-6.6561132876514512E-3</v>
      </c>
      <c r="O7" s="2"/>
    </row>
    <row r="8" spans="1:15" ht="15.6">
      <c r="A8" s="2"/>
      <c r="B8" s="20" t="s">
        <v>39</v>
      </c>
      <c r="C8" s="21"/>
      <c r="D8" s="18"/>
      <c r="E8" s="22"/>
      <c r="F8" s="18"/>
      <c r="G8" s="22"/>
      <c r="H8" s="49"/>
      <c r="I8" s="49"/>
      <c r="J8" s="18"/>
      <c r="K8" s="18">
        <f>SUM(K4:K7)</f>
        <v>-1.025107684390037E-3</v>
      </c>
      <c r="L8" s="18">
        <f>SUM(L4:L7)</f>
        <v>6.4559836064734047E-2</v>
      </c>
      <c r="M8" s="18"/>
      <c r="N8" s="49"/>
      <c r="O8" s="2"/>
    </row>
    <row r="9" spans="1:15" ht="35.4">
      <c r="A9" s="2"/>
      <c r="B9" s="12" t="s">
        <v>23</v>
      </c>
      <c r="C9" s="23"/>
      <c r="D9" s="14" t="s">
        <v>24</v>
      </c>
      <c r="E9" s="15" t="s">
        <v>25</v>
      </c>
      <c r="F9" s="14" t="s">
        <v>26</v>
      </c>
      <c r="G9" s="32" t="s">
        <v>40</v>
      </c>
      <c r="H9" s="48" t="s">
        <v>41</v>
      </c>
      <c r="I9" s="48" t="s">
        <v>42</v>
      </c>
      <c r="J9" s="14" t="s">
        <v>43</v>
      </c>
      <c r="K9" s="14" t="s">
        <v>31</v>
      </c>
      <c r="L9" s="14" t="s">
        <v>32</v>
      </c>
      <c r="M9" s="16" t="s">
        <v>33</v>
      </c>
      <c r="N9" s="48" t="s">
        <v>34</v>
      </c>
      <c r="O9" s="2"/>
    </row>
    <row r="10" spans="1:15" ht="15.6">
      <c r="A10" s="2"/>
      <c r="B10" s="91" t="s">
        <v>44</v>
      </c>
      <c r="C10" s="17" t="s">
        <v>38</v>
      </c>
      <c r="D10" s="24">
        <v>810</v>
      </c>
      <c r="E10" s="25">
        <f>D10/3.28</f>
        <v>246.95121951219514</v>
      </c>
      <c r="F10" s="24">
        <v>1</v>
      </c>
      <c r="G10" s="25">
        <v>25</v>
      </c>
      <c r="H10" s="50">
        <f>G10/1000</f>
        <v>2.5000000000000001E-2</v>
      </c>
      <c r="I10" s="50">
        <f>ABS(H10)</f>
        <v>2.5000000000000001E-2</v>
      </c>
      <c r="J10" s="24">
        <f>F10*(I10^1.85)</f>
        <v>1.0868985666889054E-3</v>
      </c>
      <c r="K10" s="24">
        <v>1.0868985666889054E-3</v>
      </c>
      <c r="L10" s="24">
        <f>K10/H10</f>
        <v>4.3475942667556215E-2</v>
      </c>
      <c r="M10" s="24">
        <f>-K14/(1.85*L14)</f>
        <v>-9.7609612340861084E-3</v>
      </c>
      <c r="N10" s="50">
        <f>H10+M10-M7</f>
        <v>6.6561132876514495E-3</v>
      </c>
      <c r="O10" s="2"/>
    </row>
    <row r="11" spans="1:15" ht="15.6">
      <c r="A11" s="2"/>
      <c r="B11" s="92"/>
      <c r="C11" s="17" t="s">
        <v>65</v>
      </c>
      <c r="D11" s="24">
        <v>435</v>
      </c>
      <c r="E11" s="25">
        <f t="shared" ref="E11:E13" si="5">D11/3.28</f>
        <v>132.6219512195122</v>
      </c>
      <c r="F11" s="24">
        <v>1</v>
      </c>
      <c r="G11" s="25">
        <v>-1.96</v>
      </c>
      <c r="H11" s="50">
        <f t="shared" ref="H11:H13" si="6">G11/1000</f>
        <v>-1.9599999999999999E-3</v>
      </c>
      <c r="I11" s="50">
        <f t="shared" ref="I11:I13" si="7">ABS(H11)</f>
        <v>1.9599999999999999E-3</v>
      </c>
      <c r="J11" s="24">
        <f t="shared" ref="J11:J13" si="8">F11*(I11^1.85)</f>
        <v>9.7875441028570923E-6</v>
      </c>
      <c r="K11" s="33">
        <v>-9.7875441028570906E-6</v>
      </c>
      <c r="L11" s="24">
        <f t="shared" ref="L11:L13" si="9">K11/H11</f>
        <v>4.9936449504372916E-3</v>
      </c>
      <c r="M11" s="24">
        <f>-K14/(1.85*L14)</f>
        <v>-9.7609612340861084E-3</v>
      </c>
      <c r="N11" s="50">
        <f t="shared" ref="N11:N13" si="10">H11+M11</f>
        <v>-1.1720961234086108E-2</v>
      </c>
      <c r="O11" s="2"/>
    </row>
    <row r="12" spans="1:15" ht="15.6">
      <c r="A12" s="2"/>
      <c r="B12" s="92"/>
      <c r="C12" s="17" t="s">
        <v>45</v>
      </c>
      <c r="D12" s="24">
        <v>435</v>
      </c>
      <c r="E12" s="25">
        <f t="shared" si="5"/>
        <v>132.6219512195122</v>
      </c>
      <c r="F12" s="24">
        <v>1</v>
      </c>
      <c r="G12" s="25">
        <v>-2</v>
      </c>
      <c r="H12" s="50">
        <f t="shared" si="6"/>
        <v>-2E-3</v>
      </c>
      <c r="I12" s="50">
        <f t="shared" si="7"/>
        <v>2E-3</v>
      </c>
      <c r="J12" s="24">
        <f t="shared" si="8"/>
        <v>1.0160275682466231E-5</v>
      </c>
      <c r="K12" s="24">
        <v>-1.0160275682466201E-5</v>
      </c>
      <c r="L12" s="24">
        <f t="shared" si="9"/>
        <v>5.0801378412330999E-3</v>
      </c>
      <c r="M12" s="24">
        <f>-K14/(1.85*L14)</f>
        <v>-9.7609612340861084E-3</v>
      </c>
      <c r="N12" s="50">
        <f t="shared" si="10"/>
        <v>-1.1760961234086108E-2</v>
      </c>
      <c r="O12" s="2"/>
    </row>
    <row r="13" spans="1:15" ht="15.6">
      <c r="A13" s="2"/>
      <c r="B13" s="93"/>
      <c r="C13" s="17" t="s">
        <v>46</v>
      </c>
      <c r="D13" s="24">
        <v>810</v>
      </c>
      <c r="E13" s="25">
        <f t="shared" si="5"/>
        <v>246.95121951219514</v>
      </c>
      <c r="F13" s="24">
        <v>1</v>
      </c>
      <c r="G13" s="25">
        <v>-1.96</v>
      </c>
      <c r="H13" s="50">
        <f t="shared" si="6"/>
        <v>-1.9599999999999999E-3</v>
      </c>
      <c r="I13" s="50">
        <f t="shared" si="7"/>
        <v>1.9599999999999999E-3</v>
      </c>
      <c r="J13" s="24">
        <f t="shared" si="8"/>
        <v>9.7875441028570923E-6</v>
      </c>
      <c r="K13" s="33">
        <v>-9.7875441028570906E-6</v>
      </c>
      <c r="L13" s="24">
        <f t="shared" si="9"/>
        <v>4.9936449504372916E-3</v>
      </c>
      <c r="M13" s="24">
        <f>-K14/(1.85*L14)</f>
        <v>-9.7609612340861084E-3</v>
      </c>
      <c r="N13" s="50">
        <f t="shared" si="10"/>
        <v>-1.1720961234086108E-2</v>
      </c>
      <c r="O13" s="2"/>
    </row>
    <row r="14" spans="1:15" ht="15.6">
      <c r="A14" s="2"/>
      <c r="B14" s="20" t="s">
        <v>39</v>
      </c>
      <c r="C14" s="17"/>
      <c r="D14" s="18"/>
      <c r="E14" s="22"/>
      <c r="F14" s="18"/>
      <c r="G14" s="22"/>
      <c r="H14" s="49"/>
      <c r="I14" s="49"/>
      <c r="J14" s="18"/>
      <c r="K14" s="18">
        <f>SUM(K10:K13)</f>
        <v>1.0571632028007253E-3</v>
      </c>
      <c r="L14" s="18">
        <f>SUM(L10:L13)</f>
        <v>5.8543370409663897E-2</v>
      </c>
      <c r="M14" s="26"/>
      <c r="N14" s="83"/>
      <c r="O14" s="2"/>
    </row>
    <row r="15" spans="1:15" ht="15.6">
      <c r="A15" s="2"/>
      <c r="B15" s="27"/>
      <c r="C15" s="28"/>
      <c r="D15" s="29"/>
      <c r="E15" s="30"/>
      <c r="F15" s="29"/>
      <c r="G15" s="30"/>
      <c r="H15" s="51"/>
      <c r="I15" s="51"/>
      <c r="J15" s="29"/>
      <c r="K15" s="29"/>
      <c r="L15" s="29"/>
      <c r="M15" s="29"/>
      <c r="N15" s="51"/>
      <c r="O15" s="2"/>
    </row>
    <row r="16" spans="1:15" ht="15.6">
      <c r="A16" s="2"/>
      <c r="B16" s="2"/>
      <c r="C16" s="31"/>
      <c r="D16" s="2"/>
      <c r="E16" s="11"/>
      <c r="F16" s="2"/>
      <c r="G16" s="11"/>
      <c r="H16" s="47"/>
      <c r="I16" s="47"/>
      <c r="J16" s="2"/>
      <c r="K16" s="2"/>
      <c r="L16" s="2"/>
      <c r="M16" s="2"/>
      <c r="N16" s="47"/>
      <c r="O16" s="2"/>
    </row>
    <row r="17" spans="1:15" ht="35.4">
      <c r="A17" s="2"/>
      <c r="B17" s="12" t="s">
        <v>47</v>
      </c>
      <c r="C17" s="13"/>
      <c r="D17" s="14" t="s">
        <v>24</v>
      </c>
      <c r="E17" s="15" t="s">
        <v>25</v>
      </c>
      <c r="F17" s="14" t="s">
        <v>26</v>
      </c>
      <c r="G17" s="32" t="s">
        <v>40</v>
      </c>
      <c r="H17" s="48" t="s">
        <v>41</v>
      </c>
      <c r="I17" s="48" t="s">
        <v>42</v>
      </c>
      <c r="J17" s="14" t="s">
        <v>43</v>
      </c>
      <c r="K17" s="14" t="s">
        <v>31</v>
      </c>
      <c r="L17" s="14" t="s">
        <v>32</v>
      </c>
      <c r="M17" s="14" t="s">
        <v>33</v>
      </c>
      <c r="N17" s="48" t="s">
        <v>34</v>
      </c>
      <c r="O17" s="2"/>
    </row>
    <row r="18" spans="1:15" ht="15.6">
      <c r="A18" s="2"/>
      <c r="B18" s="91" t="s">
        <v>35</v>
      </c>
      <c r="C18" s="17" t="s">
        <v>36</v>
      </c>
      <c r="D18" s="18">
        <v>810</v>
      </c>
      <c r="E18" s="19">
        <f>D18/3.28</f>
        <v>246.95121951219514</v>
      </c>
      <c r="F18" s="18">
        <v>1</v>
      </c>
      <c r="G18" s="22">
        <f>H18*1000</f>
        <v>11.482925478262443</v>
      </c>
      <c r="H18" s="49">
        <v>1.1482925478262443E-2</v>
      </c>
      <c r="I18" s="49">
        <f>ABS(H18)</f>
        <v>1.1482925478262443E-2</v>
      </c>
      <c r="J18" s="18">
        <f>F18*(I18^1.85)</f>
        <v>2.5768978950760758E-4</v>
      </c>
      <c r="K18" s="18">
        <v>2.5768978950760758E-4</v>
      </c>
      <c r="L18" s="18">
        <f>K18/H18</f>
        <v>2.2441127045143928E-2</v>
      </c>
      <c r="M18" s="18">
        <f>-K22/(1.85*L22)</f>
        <v>-4.524012301701988E-3</v>
      </c>
      <c r="N18" s="49">
        <f>H18+M18</f>
        <v>6.9589131765604552E-3</v>
      </c>
      <c r="O18" s="2"/>
    </row>
    <row r="19" spans="1:15" ht="15.6">
      <c r="A19" s="2"/>
      <c r="B19" s="92"/>
      <c r="C19" s="17" t="s">
        <v>37</v>
      </c>
      <c r="D19" s="18">
        <v>435</v>
      </c>
      <c r="E19" s="19">
        <f t="shared" ref="E19:E21" si="11">D19/3.28</f>
        <v>132.6219512195122</v>
      </c>
      <c r="F19" s="18">
        <v>1</v>
      </c>
      <c r="G19" s="22">
        <f t="shared" ref="G19:G21" si="12">H19*1000</f>
        <v>11.472925478262443</v>
      </c>
      <c r="H19" s="49">
        <v>1.1472925478262444E-2</v>
      </c>
      <c r="I19" s="49">
        <f t="shared" ref="I19:I21" si="13">ABS(H19)</f>
        <v>1.1472925478262444E-2</v>
      </c>
      <c r="J19" s="18">
        <f t="shared" ref="J19:J21" si="14">F19*(I19^1.85)</f>
        <v>2.5727478232111554E-4</v>
      </c>
      <c r="K19" s="18">
        <v>2.5727478232111554E-4</v>
      </c>
      <c r="L19" s="18">
        <f t="shared" ref="L19:L21" si="15">K19/H19</f>
        <v>2.2424514375916561E-2</v>
      </c>
      <c r="M19" s="18">
        <f>-K22/(1.85*L22)</f>
        <v>-4.524012301701988E-3</v>
      </c>
      <c r="N19" s="49">
        <f>H19+M19</f>
        <v>6.9489131765604556E-3</v>
      </c>
      <c r="O19" s="2"/>
    </row>
    <row r="20" spans="1:15" ht="15.6">
      <c r="A20" s="2"/>
      <c r="B20" s="92"/>
      <c r="C20" s="17" t="s">
        <v>64</v>
      </c>
      <c r="D20" s="18">
        <v>435</v>
      </c>
      <c r="E20" s="19">
        <f t="shared" si="11"/>
        <v>132.6219512195122</v>
      </c>
      <c r="F20" s="18">
        <v>1</v>
      </c>
      <c r="G20" s="22">
        <f t="shared" si="12"/>
        <v>11.582925478262444</v>
      </c>
      <c r="H20" s="49">
        <v>1.1582925478262444E-2</v>
      </c>
      <c r="I20" s="49">
        <f t="shared" si="13"/>
        <v>1.1582925478262444E-2</v>
      </c>
      <c r="J20" s="18">
        <f t="shared" si="14"/>
        <v>2.6185675705206712E-4</v>
      </c>
      <c r="K20" s="18">
        <v>2.6185675705206712E-4</v>
      </c>
      <c r="L20" s="18">
        <f t="shared" si="15"/>
        <v>2.2607134747045638E-2</v>
      </c>
      <c r="M20" s="18">
        <f>-K22/(1.85*L22)</f>
        <v>-4.524012301701988E-3</v>
      </c>
      <c r="N20" s="49">
        <f>H20+M20</f>
        <v>7.0589131765604564E-3</v>
      </c>
      <c r="O20" s="2"/>
    </row>
    <row r="21" spans="1:15" ht="15.6">
      <c r="A21" s="2"/>
      <c r="B21" s="93"/>
      <c r="C21" s="17" t="s">
        <v>38</v>
      </c>
      <c r="D21" s="18">
        <v>810</v>
      </c>
      <c r="E21" s="19">
        <f t="shared" si="11"/>
        <v>246.95121951219514</v>
      </c>
      <c r="F21" s="18">
        <v>1</v>
      </c>
      <c r="G21" s="22">
        <f t="shared" si="12"/>
        <v>-6.6561132876514515</v>
      </c>
      <c r="H21" s="49">
        <v>-6.6561132876514512E-3</v>
      </c>
      <c r="I21" s="49">
        <f t="shared" si="13"/>
        <v>6.6561132876514512E-3</v>
      </c>
      <c r="J21" s="18">
        <f t="shared" si="14"/>
        <v>9.3963309423649512E-5</v>
      </c>
      <c r="K21" s="18">
        <v>-9.3963309423649498E-5</v>
      </c>
      <c r="L21" s="18">
        <f t="shared" si="15"/>
        <v>1.4116843473498571E-2</v>
      </c>
      <c r="M21" s="18">
        <f>-K22/(1.85*L22)</f>
        <v>-4.524012301701988E-3</v>
      </c>
      <c r="N21" s="49">
        <f>H21+M21-M24</f>
        <v>-1.5825929300538041E-2</v>
      </c>
      <c r="O21" s="2"/>
    </row>
    <row r="22" spans="1:15" ht="15.6">
      <c r="A22" s="2"/>
      <c r="B22" s="20" t="s">
        <v>39</v>
      </c>
      <c r="C22" s="21"/>
      <c r="D22" s="18"/>
      <c r="E22" s="22"/>
      <c r="F22" s="18"/>
      <c r="G22" s="22"/>
      <c r="H22" s="49"/>
      <c r="I22" s="49"/>
      <c r="J22" s="18"/>
      <c r="K22" s="18">
        <f>SUM(K18:K21)</f>
        <v>6.8285801945714071E-4</v>
      </c>
      <c r="L22" s="18">
        <f>SUM(L18:L21)</f>
        <v>8.1589619641604688E-2</v>
      </c>
      <c r="M22" s="18"/>
      <c r="N22" s="49"/>
      <c r="O22" s="2"/>
    </row>
    <row r="23" spans="1:15" ht="35.4">
      <c r="A23" s="2"/>
      <c r="B23" s="12" t="s">
        <v>47</v>
      </c>
      <c r="C23" s="23"/>
      <c r="D23" s="14" t="s">
        <v>24</v>
      </c>
      <c r="E23" s="32" t="s">
        <v>25</v>
      </c>
      <c r="F23" s="14" t="s">
        <v>26</v>
      </c>
      <c r="G23" s="32" t="s">
        <v>40</v>
      </c>
      <c r="H23" s="48" t="s">
        <v>41</v>
      </c>
      <c r="I23" s="48" t="s">
        <v>42</v>
      </c>
      <c r="J23" s="14" t="s">
        <v>43</v>
      </c>
      <c r="K23" s="14" t="s">
        <v>31</v>
      </c>
      <c r="L23" s="14" t="s">
        <v>32</v>
      </c>
      <c r="M23" s="14" t="s">
        <v>33</v>
      </c>
      <c r="N23" s="48" t="s">
        <v>34</v>
      </c>
      <c r="O23" s="2"/>
    </row>
    <row r="24" spans="1:15" ht="15.6">
      <c r="A24" s="2"/>
      <c r="B24" s="91" t="s">
        <v>44</v>
      </c>
      <c r="C24" s="17" t="s">
        <v>38</v>
      </c>
      <c r="D24" s="18">
        <v>810</v>
      </c>
      <c r="E24" s="25">
        <f>D24/3.28</f>
        <v>246.95121951219514</v>
      </c>
      <c r="F24" s="24">
        <v>1</v>
      </c>
      <c r="G24" s="25">
        <f>H24*1000</f>
        <v>6.6561132876514497</v>
      </c>
      <c r="H24" s="50">
        <v>6.6561132876514495E-3</v>
      </c>
      <c r="I24" s="50">
        <f>ABS(H24)</f>
        <v>6.6561132876514495E-3</v>
      </c>
      <c r="J24" s="24">
        <f>F24*(I24^1.85)</f>
        <v>9.3963309423649349E-5</v>
      </c>
      <c r="K24" s="24">
        <v>9.3963309423649349E-5</v>
      </c>
      <c r="L24" s="24">
        <f>K24/H24</f>
        <v>1.4116843473498552E-2</v>
      </c>
      <c r="M24" s="24">
        <f>-K28/(1.85*L28)</f>
        <v>4.645803711184603E-3</v>
      </c>
      <c r="N24" s="50">
        <f>H24+M24-M21</f>
        <v>1.5825929300538041E-2</v>
      </c>
      <c r="O24" s="2"/>
    </row>
    <row r="25" spans="1:15" ht="15.6">
      <c r="A25" s="2"/>
      <c r="B25" s="92"/>
      <c r="C25" s="17" t="s">
        <v>65</v>
      </c>
      <c r="D25" s="18">
        <v>435</v>
      </c>
      <c r="E25" s="25">
        <f t="shared" ref="E25:E27" si="16">D25/3.28</f>
        <v>132.6219512195122</v>
      </c>
      <c r="F25" s="24">
        <v>1</v>
      </c>
      <c r="G25" s="25">
        <f t="shared" ref="G25:G27" si="17">H25*1000</f>
        <v>-11.720961234086108</v>
      </c>
      <c r="H25" s="50">
        <v>-1.1720961234086108E-2</v>
      </c>
      <c r="I25" s="50">
        <f t="shared" ref="I25:I27" si="18">ABS(H25)</f>
        <v>1.1720961234086108E-2</v>
      </c>
      <c r="J25" s="24">
        <f t="shared" ref="J25:J27" si="19">F25*(I25^1.85)</f>
        <v>2.6765907619159465E-4</v>
      </c>
      <c r="K25" s="24">
        <v>-2.6765907619159498E-4</v>
      </c>
      <c r="L25" s="24">
        <f t="shared" ref="L25:L27" si="20">K25/H25</f>
        <v>2.2835932211191599E-2</v>
      </c>
      <c r="M25" s="24">
        <f>-K28/(1.85*L28)</f>
        <v>4.645803711184603E-3</v>
      </c>
      <c r="N25" s="50">
        <f t="shared" ref="N25:N27" si="21">H25+M25</f>
        <v>-7.0751575229015054E-3</v>
      </c>
      <c r="O25" s="2"/>
    </row>
    <row r="26" spans="1:15" ht="15.6">
      <c r="A26" s="2"/>
      <c r="B26" s="92"/>
      <c r="C26" s="17" t="s">
        <v>45</v>
      </c>
      <c r="D26" s="18">
        <v>435</v>
      </c>
      <c r="E26" s="25">
        <f t="shared" si="16"/>
        <v>132.6219512195122</v>
      </c>
      <c r="F26" s="24">
        <v>1</v>
      </c>
      <c r="G26" s="25">
        <f t="shared" si="17"/>
        <v>-11.760961234086109</v>
      </c>
      <c r="H26" s="50">
        <v>-1.1760961234086108E-2</v>
      </c>
      <c r="I26" s="50">
        <f t="shared" si="18"/>
        <v>1.1760961234086108E-2</v>
      </c>
      <c r="J26" s="24">
        <f t="shared" si="19"/>
        <v>2.6935138571703712E-4</v>
      </c>
      <c r="K26" s="24">
        <v>-2.6935138571703701E-4</v>
      </c>
      <c r="L26" s="24">
        <f t="shared" si="20"/>
        <v>2.2902157430499098E-2</v>
      </c>
      <c r="M26" s="24">
        <f>-K28/(1.85*L28)</f>
        <v>4.645803711184603E-3</v>
      </c>
      <c r="N26" s="50">
        <f t="shared" si="21"/>
        <v>-7.1151575229015055E-3</v>
      </c>
      <c r="O26" s="2"/>
    </row>
    <row r="27" spans="1:15" ht="15.6">
      <c r="A27" s="2"/>
      <c r="B27" s="93"/>
      <c r="C27" s="17" t="s">
        <v>46</v>
      </c>
      <c r="D27" s="18">
        <v>810</v>
      </c>
      <c r="E27" s="25">
        <f t="shared" si="16"/>
        <v>246.95121951219514</v>
      </c>
      <c r="F27" s="24">
        <v>1</v>
      </c>
      <c r="G27" s="25">
        <f t="shared" si="17"/>
        <v>-11.720961234086108</v>
      </c>
      <c r="H27" s="50">
        <v>-1.1720961234086108E-2</v>
      </c>
      <c r="I27" s="50">
        <f t="shared" si="18"/>
        <v>1.1720961234086108E-2</v>
      </c>
      <c r="J27" s="24">
        <f t="shared" si="19"/>
        <v>2.6765907619159465E-4</v>
      </c>
      <c r="K27" s="33">
        <v>-2.6765907619159498E-4</v>
      </c>
      <c r="L27" s="24">
        <f t="shared" si="20"/>
        <v>2.2835932211191599E-2</v>
      </c>
      <c r="M27" s="24">
        <f>-K28/(1.85*L28)</f>
        <v>4.645803711184603E-3</v>
      </c>
      <c r="N27" s="50">
        <f t="shared" si="21"/>
        <v>-7.0751575229015054E-3</v>
      </c>
      <c r="O27" s="2"/>
    </row>
    <row r="28" spans="1:15" ht="15.6">
      <c r="A28" s="2"/>
      <c r="B28" s="20" t="s">
        <v>39</v>
      </c>
      <c r="C28" s="17"/>
      <c r="D28" s="18"/>
      <c r="E28" s="22"/>
      <c r="F28" s="18"/>
      <c r="G28" s="22"/>
      <c r="H28" s="49"/>
      <c r="I28" s="49"/>
      <c r="J28" s="18"/>
      <c r="K28" s="18">
        <f>SUM(K24:K27)</f>
        <v>-7.1070622867657764E-4</v>
      </c>
      <c r="L28" s="18">
        <f>SUM(L24:L27)</f>
        <v>8.2690865326380841E-2</v>
      </c>
      <c r="M28" s="26"/>
      <c r="N28" s="83"/>
      <c r="O28" s="2"/>
    </row>
    <row r="29" spans="1:15" ht="15.6">
      <c r="A29" s="2"/>
      <c r="B29" s="27"/>
      <c r="C29" s="28"/>
      <c r="D29" s="29"/>
      <c r="E29" s="30"/>
      <c r="F29" s="29"/>
      <c r="G29" s="30"/>
      <c r="H29" s="51"/>
      <c r="I29" s="51"/>
      <c r="J29" s="29"/>
      <c r="K29" s="29"/>
      <c r="L29" s="29"/>
      <c r="M29" s="29"/>
      <c r="N29" s="51"/>
      <c r="O29" s="2"/>
    </row>
    <row r="30" spans="1:15" ht="15.6">
      <c r="A30" s="2"/>
      <c r="B30" s="27"/>
      <c r="C30" s="28"/>
      <c r="D30" s="29"/>
      <c r="E30" s="30"/>
      <c r="F30" s="29"/>
      <c r="G30" s="30"/>
      <c r="H30" s="51"/>
      <c r="I30" s="51"/>
      <c r="J30" s="29"/>
      <c r="K30" s="29"/>
      <c r="L30" s="29"/>
      <c r="M30" s="29"/>
      <c r="N30" s="51"/>
      <c r="O30" s="2"/>
    </row>
    <row r="31" spans="1:15" ht="35.4">
      <c r="A31" s="2"/>
      <c r="B31" s="12" t="s">
        <v>61</v>
      </c>
      <c r="C31" s="13"/>
      <c r="D31" s="14" t="s">
        <v>24</v>
      </c>
      <c r="E31" s="15" t="s">
        <v>25</v>
      </c>
      <c r="F31" s="14" t="s">
        <v>26</v>
      </c>
      <c r="G31" s="32" t="s">
        <v>40</v>
      </c>
      <c r="H31" s="48" t="s">
        <v>41</v>
      </c>
      <c r="I31" s="48" t="s">
        <v>42</v>
      </c>
      <c r="J31" s="14" t="s">
        <v>43</v>
      </c>
      <c r="K31" s="14" t="s">
        <v>31</v>
      </c>
      <c r="L31" s="14" t="s">
        <v>32</v>
      </c>
      <c r="M31" s="14" t="s">
        <v>33</v>
      </c>
      <c r="N31" s="48" t="s">
        <v>34</v>
      </c>
      <c r="O31" s="2"/>
    </row>
    <row r="32" spans="1:15" ht="15.6">
      <c r="A32" s="2"/>
      <c r="B32" s="91" t="s">
        <v>35</v>
      </c>
      <c r="C32" s="17" t="s">
        <v>36</v>
      </c>
      <c r="D32" s="18">
        <v>810</v>
      </c>
      <c r="E32" s="19">
        <f>D32/3.28</f>
        <v>246.95121951219514</v>
      </c>
      <c r="F32" s="18">
        <v>1</v>
      </c>
      <c r="G32" s="22">
        <f>H32*1000</f>
        <v>6.958913176560455</v>
      </c>
      <c r="H32" s="49">
        <v>6.9589131765604552E-3</v>
      </c>
      <c r="I32" s="49">
        <f>ABS(H32)</f>
        <v>6.9589131765604552E-3</v>
      </c>
      <c r="J32" s="18">
        <f>F32*(I32^1.85)</f>
        <v>1.0202383007295038E-4</v>
      </c>
      <c r="K32" s="18">
        <v>1.0202383007295038E-4</v>
      </c>
      <c r="L32" s="18">
        <f>K32/H32</f>
        <v>1.4660885613086087E-2</v>
      </c>
      <c r="M32" s="18">
        <f>-K36/(1.85*L36)</f>
        <v>1.1597337949627751E-3</v>
      </c>
      <c r="N32" s="49">
        <f>H32+M32</f>
        <v>8.1186469715232301E-3</v>
      </c>
      <c r="O32" s="2"/>
    </row>
    <row r="33" spans="1:15" ht="15.6">
      <c r="A33" s="2"/>
      <c r="B33" s="92"/>
      <c r="C33" s="17" t="s">
        <v>37</v>
      </c>
      <c r="D33" s="18">
        <v>435</v>
      </c>
      <c r="E33" s="19">
        <f t="shared" ref="E33:E35" si="22">D33/3.28</f>
        <v>132.6219512195122</v>
      </c>
      <c r="F33" s="18">
        <v>1</v>
      </c>
      <c r="G33" s="22">
        <f t="shared" ref="G33:G35" si="23">H33*1000</f>
        <v>6.9489131765604553</v>
      </c>
      <c r="H33" s="49">
        <v>6.9489131765604556E-3</v>
      </c>
      <c r="I33" s="49">
        <f t="shared" ref="I33:I35" si="24">ABS(H33)</f>
        <v>6.9489131765604556E-3</v>
      </c>
      <c r="J33" s="18">
        <f t="shared" ref="J33:J35" si="25">F33*(I33^1.85)</f>
        <v>1.0175276934643997E-4</v>
      </c>
      <c r="K33" s="18">
        <v>1.0175276934643997E-4</v>
      </c>
      <c r="L33" s="18">
        <f t="shared" ref="L33:L35" si="26">K33/H33</f>
        <v>1.4642976068497252E-2</v>
      </c>
      <c r="M33" s="18">
        <f>-K36/(1.85*L36)</f>
        <v>1.1597337949627751E-3</v>
      </c>
      <c r="N33" s="49">
        <f>H33+M33</f>
        <v>8.1086469715232305E-3</v>
      </c>
      <c r="O33" s="2"/>
    </row>
    <row r="34" spans="1:15" ht="15.6">
      <c r="A34" s="2"/>
      <c r="B34" s="92"/>
      <c r="C34" s="17" t="s">
        <v>64</v>
      </c>
      <c r="D34" s="18">
        <v>435</v>
      </c>
      <c r="E34" s="19">
        <f t="shared" si="22"/>
        <v>132.6219512195122</v>
      </c>
      <c r="F34" s="18">
        <v>1</v>
      </c>
      <c r="G34" s="22">
        <f t="shared" si="23"/>
        <v>7.0589131765604565</v>
      </c>
      <c r="H34" s="49">
        <v>7.0589131765604564E-3</v>
      </c>
      <c r="I34" s="49">
        <f t="shared" si="24"/>
        <v>7.0589131765604564E-3</v>
      </c>
      <c r="J34" s="18">
        <f t="shared" si="25"/>
        <v>1.0475264660107626E-4</v>
      </c>
      <c r="K34" s="18">
        <v>1.0475264660107626E-4</v>
      </c>
      <c r="L34" s="18">
        <f t="shared" si="26"/>
        <v>1.4839769803220373E-2</v>
      </c>
      <c r="M34" s="18">
        <f>-K36/(1.85*L36)</f>
        <v>1.1597337949627751E-3</v>
      </c>
      <c r="N34" s="49">
        <f>H34+M34</f>
        <v>8.2186469715232312E-3</v>
      </c>
      <c r="O34" s="2"/>
    </row>
    <row r="35" spans="1:15" ht="15.6">
      <c r="A35" s="2"/>
      <c r="B35" s="93"/>
      <c r="C35" s="17" t="s">
        <v>38</v>
      </c>
      <c r="D35" s="18">
        <v>810</v>
      </c>
      <c r="E35" s="19">
        <f t="shared" si="22"/>
        <v>246.95121951219514</v>
      </c>
      <c r="F35" s="18">
        <v>1</v>
      </c>
      <c r="G35" s="22">
        <f t="shared" si="23"/>
        <v>-15.825929300538041</v>
      </c>
      <c r="H35" s="49">
        <v>-1.5825929300538041E-2</v>
      </c>
      <c r="I35" s="49">
        <f t="shared" si="24"/>
        <v>1.5825929300538041E-2</v>
      </c>
      <c r="J35" s="18">
        <f t="shared" si="25"/>
        <v>4.664800332176532E-4</v>
      </c>
      <c r="K35" s="18">
        <v>-4.6648003321765299E-4</v>
      </c>
      <c r="L35" s="18">
        <f t="shared" si="26"/>
        <v>2.9475680344521308E-2</v>
      </c>
      <c r="M35" s="18">
        <f>-K36/(1.85*L36)</f>
        <v>1.1597337949627751E-3</v>
      </c>
      <c r="N35" s="49">
        <f>H35+M35-M38</f>
        <v>-1.3574377047807621E-2</v>
      </c>
      <c r="O35" s="2"/>
    </row>
    <row r="36" spans="1:15" ht="15.6">
      <c r="A36" s="2"/>
      <c r="B36" s="20" t="s">
        <v>39</v>
      </c>
      <c r="C36" s="21"/>
      <c r="D36" s="18"/>
      <c r="E36" s="22"/>
      <c r="F36" s="18"/>
      <c r="G36" s="22"/>
      <c r="H36" s="49"/>
      <c r="I36" s="49"/>
      <c r="J36" s="18"/>
      <c r="K36" s="18">
        <f>SUM(K32:K35)</f>
        <v>-1.5795078719718641E-4</v>
      </c>
      <c r="L36" s="18">
        <f>SUM(L32:L35)</f>
        <v>7.3619311829325018E-2</v>
      </c>
      <c r="M36" s="18"/>
      <c r="N36" s="49"/>
      <c r="O36" s="2"/>
    </row>
    <row r="37" spans="1:15" ht="35.4">
      <c r="A37" s="2"/>
      <c r="B37" s="12" t="s">
        <v>61</v>
      </c>
      <c r="C37" s="23"/>
      <c r="D37" s="14" t="s">
        <v>24</v>
      </c>
      <c r="E37" s="32" t="s">
        <v>25</v>
      </c>
      <c r="F37" s="14" t="s">
        <v>26</v>
      </c>
      <c r="G37" s="32" t="s">
        <v>40</v>
      </c>
      <c r="H37" s="48" t="s">
        <v>41</v>
      </c>
      <c r="I37" s="48" t="s">
        <v>42</v>
      </c>
      <c r="J37" s="14" t="s">
        <v>43</v>
      </c>
      <c r="K37" s="14" t="s">
        <v>31</v>
      </c>
      <c r="L37" s="14" t="s">
        <v>32</v>
      </c>
      <c r="M37" s="14" t="s">
        <v>33</v>
      </c>
      <c r="N37" s="48" t="s">
        <v>34</v>
      </c>
      <c r="O37" s="2"/>
    </row>
    <row r="38" spans="1:15" ht="15.6">
      <c r="A38" s="2"/>
      <c r="B38" s="91" t="s">
        <v>44</v>
      </c>
      <c r="C38" s="17" t="s">
        <v>38</v>
      </c>
      <c r="D38" s="18">
        <v>810</v>
      </c>
      <c r="E38" s="25">
        <f>D38/3.28</f>
        <v>246.95121951219514</v>
      </c>
      <c r="F38" s="24">
        <v>1</v>
      </c>
      <c r="G38" s="25">
        <f>H38*1000</f>
        <v>15.825929300538041</v>
      </c>
      <c r="H38" s="50">
        <v>1.5825929300538041E-2</v>
      </c>
      <c r="I38" s="50">
        <f>ABS(H38)</f>
        <v>1.5825929300538041E-2</v>
      </c>
      <c r="J38" s="24">
        <f>F38*(I38^1.85)</f>
        <v>4.664800332176532E-4</v>
      </c>
      <c r="K38" s="24">
        <v>4.664800332176532E-4</v>
      </c>
      <c r="L38" s="24">
        <f>K38/H38</f>
        <v>2.9475680344521322E-2</v>
      </c>
      <c r="M38" s="24">
        <f>-K42/(1.85*L42)</f>
        <v>-1.0918184577676452E-3</v>
      </c>
      <c r="N38" s="50">
        <f>H38+M38-M35</f>
        <v>1.3574377047807621E-2</v>
      </c>
      <c r="O38" s="2"/>
    </row>
    <row r="39" spans="1:15" ht="15.6">
      <c r="A39" s="2"/>
      <c r="B39" s="92"/>
      <c r="C39" s="17" t="s">
        <v>65</v>
      </c>
      <c r="D39" s="18">
        <v>435</v>
      </c>
      <c r="E39" s="25">
        <f t="shared" ref="E39:E41" si="27">D39/3.28</f>
        <v>132.6219512195122</v>
      </c>
      <c r="F39" s="24">
        <v>1</v>
      </c>
      <c r="G39" s="25">
        <f t="shared" ref="G39:G41" si="28">H39*1000</f>
        <v>-7.0751575229015051</v>
      </c>
      <c r="H39" s="50">
        <v>-7.0751575229015054E-3</v>
      </c>
      <c r="I39" s="50">
        <f t="shared" ref="I39:I41" si="29">ABS(H39)</f>
        <v>7.0751575229015054E-3</v>
      </c>
      <c r="J39" s="24">
        <f t="shared" ref="J39:J41" si="30">F39*(I39^1.85)</f>
        <v>1.0519904808615305E-4</v>
      </c>
      <c r="K39" s="24">
        <v>-1.05199048086153E-4</v>
      </c>
      <c r="L39" s="24">
        <f t="shared" ref="L39:L41" si="31">K39/H39</f>
        <v>1.4868792354888957E-2</v>
      </c>
      <c r="M39" s="24">
        <f>-K42/(1.85*L42)</f>
        <v>-1.0918184577676452E-3</v>
      </c>
      <c r="N39" s="50">
        <f t="shared" ref="N39:N41" si="32">H39+M39</f>
        <v>-8.16697598066915E-3</v>
      </c>
      <c r="O39" s="2"/>
    </row>
    <row r="40" spans="1:15" ht="15.6">
      <c r="A40" s="2"/>
      <c r="B40" s="92"/>
      <c r="C40" s="17" t="s">
        <v>45</v>
      </c>
      <c r="D40" s="18">
        <v>435</v>
      </c>
      <c r="E40" s="25">
        <f t="shared" si="27"/>
        <v>132.6219512195122</v>
      </c>
      <c r="F40" s="24">
        <v>1</v>
      </c>
      <c r="G40" s="25">
        <f t="shared" si="28"/>
        <v>-7.1151575229015052</v>
      </c>
      <c r="H40" s="50">
        <v>-7.1151575229015055E-3</v>
      </c>
      <c r="I40" s="50">
        <f t="shared" si="29"/>
        <v>7.1151575229015055E-3</v>
      </c>
      <c r="J40" s="24">
        <f t="shared" si="30"/>
        <v>1.0630198172331578E-4</v>
      </c>
      <c r="K40" s="24">
        <v>-1.06301981723316E-4</v>
      </c>
      <c r="L40" s="24">
        <f t="shared" si="31"/>
        <v>1.4940214799343878E-2</v>
      </c>
      <c r="M40" s="24">
        <f>-K42/(1.85*L42)</f>
        <v>-1.0918184577676452E-3</v>
      </c>
      <c r="N40" s="50">
        <f t="shared" si="32"/>
        <v>-8.2069759806691501E-3</v>
      </c>
      <c r="O40" s="2"/>
    </row>
    <row r="41" spans="1:15" ht="15.6">
      <c r="A41" s="2"/>
      <c r="B41" s="93"/>
      <c r="C41" s="17" t="s">
        <v>46</v>
      </c>
      <c r="D41" s="18">
        <v>810</v>
      </c>
      <c r="E41" s="25">
        <f t="shared" si="27"/>
        <v>246.95121951219514</v>
      </c>
      <c r="F41" s="24">
        <v>1</v>
      </c>
      <c r="G41" s="25">
        <f t="shared" si="28"/>
        <v>-7.0751575229015051</v>
      </c>
      <c r="H41" s="50">
        <v>-7.0751575229015054E-3</v>
      </c>
      <c r="I41" s="50">
        <f t="shared" si="29"/>
        <v>7.0751575229015054E-3</v>
      </c>
      <c r="J41" s="24">
        <f t="shared" si="30"/>
        <v>1.0519904808615305E-4</v>
      </c>
      <c r="K41" s="33">
        <v>-1.05199048086153E-4</v>
      </c>
      <c r="L41" s="24">
        <f t="shared" si="31"/>
        <v>1.4868792354888957E-2</v>
      </c>
      <c r="M41" s="24">
        <f>-K42/(1.85*L42)</f>
        <v>-1.0918184577676452E-3</v>
      </c>
      <c r="N41" s="50">
        <f t="shared" si="32"/>
        <v>-8.16697598066915E-3</v>
      </c>
      <c r="O41" s="2"/>
    </row>
    <row r="42" spans="1:15" ht="15.6">
      <c r="A42" s="2"/>
      <c r="B42" s="20" t="s">
        <v>39</v>
      </c>
      <c r="C42" s="17"/>
      <c r="D42" s="18"/>
      <c r="E42" s="22"/>
      <c r="F42" s="18"/>
      <c r="G42" s="22"/>
      <c r="H42" s="49"/>
      <c r="I42" s="49"/>
      <c r="J42" s="18"/>
      <c r="K42" s="18">
        <f>SUM(K38:K41)</f>
        <v>1.4977995532203123E-4</v>
      </c>
      <c r="L42" s="18">
        <f>SUM(L38:L41)</f>
        <v>7.4153479853643109E-2</v>
      </c>
      <c r="M42" s="26"/>
      <c r="N42" s="83"/>
      <c r="O42" s="2"/>
    </row>
    <row r="43" spans="1:15" ht="15.6">
      <c r="A43" s="2"/>
      <c r="B43" s="27"/>
      <c r="C43" s="28"/>
      <c r="D43" s="29"/>
      <c r="E43" s="30"/>
      <c r="F43" s="29"/>
      <c r="G43" s="30"/>
      <c r="H43" s="51"/>
      <c r="I43" s="51"/>
      <c r="J43" s="29"/>
      <c r="K43" s="29"/>
      <c r="L43" s="29"/>
      <c r="M43" s="29"/>
      <c r="N43" s="51"/>
      <c r="O43" s="2"/>
    </row>
    <row r="44" spans="1:15" ht="15.6">
      <c r="A44" s="2"/>
      <c r="B44" s="27"/>
      <c r="C44" s="28"/>
      <c r="D44" s="29"/>
      <c r="E44" s="30"/>
      <c r="F44" s="29"/>
      <c r="G44" s="30"/>
      <c r="H44" s="51"/>
      <c r="I44" s="51"/>
      <c r="J44" s="29"/>
      <c r="K44" s="29"/>
      <c r="L44" s="29"/>
      <c r="M44" s="29"/>
      <c r="N44" s="51"/>
      <c r="O44" s="2"/>
    </row>
    <row r="45" spans="1:15" ht="35.4">
      <c r="A45" s="2"/>
      <c r="B45" s="12" t="s">
        <v>62</v>
      </c>
      <c r="C45" s="13"/>
      <c r="D45" s="14" t="s">
        <v>24</v>
      </c>
      <c r="E45" s="15" t="s">
        <v>25</v>
      </c>
      <c r="F45" s="14" t="s">
        <v>26</v>
      </c>
      <c r="G45" s="32" t="s">
        <v>40</v>
      </c>
      <c r="H45" s="48" t="s">
        <v>41</v>
      </c>
      <c r="I45" s="48" t="s">
        <v>42</v>
      </c>
      <c r="J45" s="14" t="s">
        <v>43</v>
      </c>
      <c r="K45" s="14" t="s">
        <v>31</v>
      </c>
      <c r="L45" s="14" t="s">
        <v>32</v>
      </c>
      <c r="M45" s="14" t="s">
        <v>33</v>
      </c>
      <c r="N45" s="48" t="s">
        <v>34</v>
      </c>
      <c r="O45" s="2"/>
    </row>
    <row r="46" spans="1:15" ht="15.6">
      <c r="A46" s="2"/>
      <c r="B46" s="91" t="s">
        <v>35</v>
      </c>
      <c r="C46" s="17" t="s">
        <v>36</v>
      </c>
      <c r="D46" s="18">
        <v>810</v>
      </c>
      <c r="E46" s="19">
        <f>D46/3.28</f>
        <v>246.95121951219514</v>
      </c>
      <c r="F46" s="18">
        <v>1</v>
      </c>
      <c r="G46" s="22">
        <f>H46*1000</f>
        <v>8.1186469715232299</v>
      </c>
      <c r="H46" s="49">
        <v>8.1186469715232301E-3</v>
      </c>
      <c r="I46" s="49">
        <f>ABS(H46)</f>
        <v>8.1186469715232301E-3</v>
      </c>
      <c r="J46" s="18">
        <f>F46*(I46^1.85)</f>
        <v>1.3568903868694469E-4</v>
      </c>
      <c r="K46" s="18">
        <v>1.3568903868694469E-4</v>
      </c>
      <c r="L46" s="18">
        <f>K46/H46</f>
        <v>1.6713257660159912E-2</v>
      </c>
      <c r="M46" s="18">
        <f>-K50/(1.85*L50)</f>
        <v>-4.1646584246642375E-4</v>
      </c>
      <c r="N46" s="49">
        <f>H46+M46</f>
        <v>7.7021811290568067E-3</v>
      </c>
      <c r="O46" s="2"/>
    </row>
    <row r="47" spans="1:15" ht="15.6">
      <c r="A47" s="2"/>
      <c r="B47" s="92"/>
      <c r="C47" s="17" t="s">
        <v>37</v>
      </c>
      <c r="D47" s="18">
        <v>435</v>
      </c>
      <c r="E47" s="19">
        <f t="shared" ref="E47:E49" si="33">D47/3.28</f>
        <v>132.6219512195122</v>
      </c>
      <c r="F47" s="18">
        <v>1</v>
      </c>
      <c r="G47" s="22">
        <f t="shared" ref="G47:G49" si="34">H47*1000</f>
        <v>8.1086469715232301</v>
      </c>
      <c r="H47" s="49">
        <v>8.1086469715232305E-3</v>
      </c>
      <c r="I47" s="49">
        <f t="shared" ref="I47:I49" si="35">ABS(H47)</f>
        <v>8.1086469715232305E-3</v>
      </c>
      <c r="J47" s="18">
        <f t="shared" ref="J47:J49" si="36">F47*(I47^1.85)</f>
        <v>1.3538000528967221E-4</v>
      </c>
      <c r="K47" s="18">
        <v>1.3538000528967221E-4</v>
      </c>
      <c r="L47" s="18">
        <f t="shared" ref="L47:L49" si="37">K47/H47</f>
        <v>1.6695757721986598E-2</v>
      </c>
      <c r="M47" s="18">
        <f>-K50/(1.85*L50)</f>
        <v>-4.1646584246642375E-4</v>
      </c>
      <c r="N47" s="49">
        <f>H47+M47</f>
        <v>7.6921811290568071E-3</v>
      </c>
      <c r="O47" s="2"/>
    </row>
    <row r="48" spans="1:15" ht="15.6">
      <c r="A48" s="2"/>
      <c r="B48" s="92"/>
      <c r="C48" s="17" t="s">
        <v>64</v>
      </c>
      <c r="D48" s="18">
        <v>435</v>
      </c>
      <c r="E48" s="19">
        <f t="shared" si="33"/>
        <v>132.6219512195122</v>
      </c>
      <c r="F48" s="18">
        <v>1</v>
      </c>
      <c r="G48" s="22">
        <f t="shared" si="34"/>
        <v>8.2186469715232313</v>
      </c>
      <c r="H48" s="49">
        <v>8.2186469715232312E-3</v>
      </c>
      <c r="I48" s="49">
        <f t="shared" si="35"/>
        <v>8.2186469715232312E-3</v>
      </c>
      <c r="J48" s="18">
        <f t="shared" si="36"/>
        <v>1.3879716736765933E-4</v>
      </c>
      <c r="K48" s="18">
        <v>1.3879716736765933E-4</v>
      </c>
      <c r="L48" s="18">
        <f t="shared" si="37"/>
        <v>1.6888079978198026E-2</v>
      </c>
      <c r="M48" s="18">
        <f>-K50/(1.85*L50)</f>
        <v>-4.1646584246642375E-4</v>
      </c>
      <c r="N48" s="49">
        <f>H48+M48</f>
        <v>7.8021811290568078E-3</v>
      </c>
      <c r="O48" s="2"/>
    </row>
    <row r="49" spans="1:15" ht="15.6">
      <c r="A49" s="2"/>
      <c r="B49" s="93"/>
      <c r="C49" s="17" t="s">
        <v>38</v>
      </c>
      <c r="D49" s="18">
        <v>810</v>
      </c>
      <c r="E49" s="19">
        <f t="shared" si="33"/>
        <v>246.95121951219514</v>
      </c>
      <c r="F49" s="18">
        <v>1</v>
      </c>
      <c r="G49" s="22">
        <f t="shared" si="34"/>
        <v>-13.574377047807621</v>
      </c>
      <c r="H49" s="49">
        <v>-1.3574377047807621E-2</v>
      </c>
      <c r="I49" s="49">
        <f t="shared" si="35"/>
        <v>1.3574377047807621E-2</v>
      </c>
      <c r="J49" s="18">
        <f t="shared" si="36"/>
        <v>3.5118166222886891E-4</v>
      </c>
      <c r="K49" s="18">
        <v>-3.5118166222886902E-4</v>
      </c>
      <c r="L49" s="18">
        <f t="shared" si="37"/>
        <v>2.5870922915434112E-2</v>
      </c>
      <c r="M49" s="18">
        <f>-K50/(1.85*L50)</f>
        <v>-4.1646584246642375E-4</v>
      </c>
      <c r="N49" s="49">
        <f>H49+M49-M52</f>
        <v>-1.4427226600061686E-2</v>
      </c>
      <c r="O49" s="2"/>
    </row>
    <row r="50" spans="1:15" ht="15.6">
      <c r="A50" s="2"/>
      <c r="B50" s="20" t="s">
        <v>39</v>
      </c>
      <c r="C50" s="21"/>
      <c r="D50" s="18"/>
      <c r="E50" s="22"/>
      <c r="F50" s="18"/>
      <c r="G50" s="22"/>
      <c r="H50" s="49"/>
      <c r="I50" s="49"/>
      <c r="J50" s="18"/>
      <c r="K50" s="18">
        <f>SUM(K46:K49)</f>
        <v>5.8684549115407207E-5</v>
      </c>
      <c r="L50" s="18">
        <f>SUM(L46:L49)</f>
        <v>7.616801827577864E-2</v>
      </c>
      <c r="M50" s="18"/>
      <c r="N50" s="49"/>
      <c r="O50" s="2"/>
    </row>
    <row r="51" spans="1:15" ht="35.4">
      <c r="A51" s="2"/>
      <c r="B51" s="12" t="s">
        <v>62</v>
      </c>
      <c r="C51" s="23"/>
      <c r="D51" s="14" t="s">
        <v>24</v>
      </c>
      <c r="E51" s="32" t="s">
        <v>25</v>
      </c>
      <c r="F51" s="14" t="s">
        <v>26</v>
      </c>
      <c r="G51" s="32" t="s">
        <v>40</v>
      </c>
      <c r="H51" s="48" t="s">
        <v>41</v>
      </c>
      <c r="I51" s="48" t="s">
        <v>42</v>
      </c>
      <c r="J51" s="14" t="s">
        <v>43</v>
      </c>
      <c r="K51" s="14" t="s">
        <v>31</v>
      </c>
      <c r="L51" s="14" t="s">
        <v>32</v>
      </c>
      <c r="M51" s="14" t="s">
        <v>33</v>
      </c>
      <c r="N51" s="48" t="s">
        <v>34</v>
      </c>
      <c r="O51" s="2"/>
    </row>
    <row r="52" spans="1:15" ht="15.6">
      <c r="A52" s="2"/>
      <c r="B52" s="91" t="s">
        <v>44</v>
      </c>
      <c r="C52" s="17" t="s">
        <v>38</v>
      </c>
      <c r="D52" s="18">
        <v>810</v>
      </c>
      <c r="E52" s="25">
        <f>D52/3.28</f>
        <v>246.95121951219514</v>
      </c>
      <c r="F52" s="24">
        <v>1</v>
      </c>
      <c r="G52" s="25">
        <f>H52*1000</f>
        <v>13.574377047807621</v>
      </c>
      <c r="H52" s="50">
        <v>1.3574377047807621E-2</v>
      </c>
      <c r="I52" s="50">
        <f>ABS(H52)</f>
        <v>1.3574377047807621E-2</v>
      </c>
      <c r="J52" s="24">
        <f>F52*(I52^1.85)</f>
        <v>3.5118166222886891E-4</v>
      </c>
      <c r="K52" s="24">
        <v>3.5118166222886891E-4</v>
      </c>
      <c r="L52" s="24">
        <f>K52/H52</f>
        <v>2.5870922915434101E-2</v>
      </c>
      <c r="M52" s="24">
        <f>-K56/(1.85*L56)</f>
        <v>4.3638370978763984E-4</v>
      </c>
      <c r="N52" s="50">
        <f>H52+M52-M49</f>
        <v>1.4427226600061686E-2</v>
      </c>
      <c r="O52" s="2"/>
    </row>
    <row r="53" spans="1:15" ht="15.6">
      <c r="A53" s="2"/>
      <c r="B53" s="92"/>
      <c r="C53" s="17" t="s">
        <v>65</v>
      </c>
      <c r="D53" s="18">
        <v>435</v>
      </c>
      <c r="E53" s="25">
        <f t="shared" ref="E53:E55" si="38">D53/3.28</f>
        <v>132.6219512195122</v>
      </c>
      <c r="F53" s="24">
        <v>1</v>
      </c>
      <c r="G53" s="25">
        <f t="shared" ref="G53:G55" si="39">H53*1000</f>
        <v>-8.1669759806691502</v>
      </c>
      <c r="H53" s="50">
        <v>-8.16697598066915E-3</v>
      </c>
      <c r="I53" s="50">
        <f t="shared" ref="I53:I55" si="40">ABS(H53)</f>
        <v>8.16697598066915E-3</v>
      </c>
      <c r="J53" s="24">
        <f t="shared" ref="J53:J55" si="41">F53*(I53^1.85)</f>
        <v>1.3718712819137989E-4</v>
      </c>
      <c r="K53" s="24">
        <v>-1.3718712819138E-4</v>
      </c>
      <c r="L53" s="24">
        <f t="shared" ref="L53:L55" si="42">K53/H53</f>
        <v>1.6797787640871666E-2</v>
      </c>
      <c r="M53" s="24">
        <f>-K56/(1.85*L56)</f>
        <v>4.3638370978763984E-4</v>
      </c>
      <c r="N53" s="50">
        <f t="shared" ref="N53:N55" si="43">H53+M53</f>
        <v>-7.7305922708815105E-3</v>
      </c>
      <c r="O53" s="2"/>
    </row>
    <row r="54" spans="1:15" ht="15.6">
      <c r="A54" s="2"/>
      <c r="B54" s="92"/>
      <c r="C54" s="17" t="s">
        <v>45</v>
      </c>
      <c r="D54" s="18">
        <v>435</v>
      </c>
      <c r="E54" s="25">
        <f t="shared" si="38"/>
        <v>132.6219512195122</v>
      </c>
      <c r="F54" s="24">
        <v>1</v>
      </c>
      <c r="G54" s="25">
        <f t="shared" si="39"/>
        <v>-8.2069759806691494</v>
      </c>
      <c r="H54" s="50">
        <v>-8.2069759806691501E-3</v>
      </c>
      <c r="I54" s="50">
        <f t="shared" si="40"/>
        <v>8.2069759806691501E-3</v>
      </c>
      <c r="J54" s="24">
        <f t="shared" si="41"/>
        <v>1.384327512909788E-4</v>
      </c>
      <c r="K54" s="24">
        <v>-1.3843275129097899E-4</v>
      </c>
      <c r="L54" s="24">
        <f t="shared" si="42"/>
        <v>1.6867692998864117E-2</v>
      </c>
      <c r="M54" s="24">
        <f>-K56/(1.85*L56)</f>
        <v>4.3638370978763984E-4</v>
      </c>
      <c r="N54" s="50">
        <f t="shared" si="43"/>
        <v>-7.7705922708815106E-3</v>
      </c>
      <c r="O54" s="2"/>
    </row>
    <row r="55" spans="1:15" ht="15.6">
      <c r="A55" s="2"/>
      <c r="B55" s="93"/>
      <c r="C55" s="17" t="s">
        <v>46</v>
      </c>
      <c r="D55" s="18">
        <v>810</v>
      </c>
      <c r="E55" s="25">
        <f t="shared" si="38"/>
        <v>246.95121951219514</v>
      </c>
      <c r="F55" s="24">
        <v>1</v>
      </c>
      <c r="G55" s="25">
        <f t="shared" si="39"/>
        <v>-8.1669759806691502</v>
      </c>
      <c r="H55" s="50">
        <v>-8.16697598066915E-3</v>
      </c>
      <c r="I55" s="50">
        <f t="shared" si="40"/>
        <v>8.16697598066915E-3</v>
      </c>
      <c r="J55" s="24">
        <f t="shared" si="41"/>
        <v>1.3718712819137989E-4</v>
      </c>
      <c r="K55" s="33">
        <v>-1.3718712819138E-4</v>
      </c>
      <c r="L55" s="24">
        <f t="shared" si="42"/>
        <v>1.6797787640871666E-2</v>
      </c>
      <c r="M55" s="24">
        <f>-K56/(1.85*L56)</f>
        <v>4.3638370978763984E-4</v>
      </c>
      <c r="N55" s="50">
        <f t="shared" si="43"/>
        <v>-7.7305922708815105E-3</v>
      </c>
      <c r="O55" s="2"/>
    </row>
    <row r="56" spans="1:15" ht="15.6">
      <c r="A56" s="2"/>
      <c r="B56" s="20" t="s">
        <v>39</v>
      </c>
      <c r="C56" s="17"/>
      <c r="D56" s="18"/>
      <c r="E56" s="22"/>
      <c r="F56" s="18"/>
      <c r="G56" s="22"/>
      <c r="H56" s="49"/>
      <c r="I56" s="49"/>
      <c r="J56" s="18"/>
      <c r="K56" s="18">
        <f>SUM(K52:K55)</f>
        <v>-6.1625345444870077E-5</v>
      </c>
      <c r="L56" s="18">
        <f>SUM(L52:L55)</f>
        <v>7.6334191196041554E-2</v>
      </c>
      <c r="M56" s="26"/>
      <c r="N56" s="83"/>
      <c r="O56" s="2"/>
    </row>
    <row r="57" spans="1:15" ht="15.6">
      <c r="A57" s="2"/>
      <c r="B57" s="27"/>
      <c r="C57" s="28"/>
      <c r="D57" s="29"/>
      <c r="E57" s="30"/>
      <c r="F57" s="29"/>
      <c r="G57" s="30"/>
      <c r="H57" s="51"/>
      <c r="I57" s="51"/>
      <c r="J57" s="29"/>
      <c r="K57" s="29"/>
      <c r="L57" s="29"/>
      <c r="M57" s="29"/>
      <c r="N57" s="51"/>
      <c r="O57" s="2"/>
    </row>
    <row r="58" spans="1:15" ht="15.6">
      <c r="A58" s="2"/>
      <c r="B58" s="27"/>
      <c r="C58" s="28"/>
      <c r="D58" s="29"/>
      <c r="E58" s="30"/>
      <c r="F58" s="29"/>
      <c r="G58" s="30"/>
      <c r="H58" s="51"/>
      <c r="I58" s="51"/>
      <c r="J58" s="29"/>
      <c r="K58" s="29"/>
      <c r="L58" s="29"/>
      <c r="M58" s="29"/>
      <c r="N58" s="51"/>
      <c r="O58" s="2"/>
    </row>
    <row r="59" spans="1:15" ht="15.6">
      <c r="A59" s="2"/>
      <c r="B59" s="27"/>
      <c r="C59" s="28"/>
      <c r="D59" s="29"/>
      <c r="E59" s="30"/>
      <c r="F59" s="29"/>
      <c r="G59" s="30"/>
      <c r="H59" s="51"/>
      <c r="I59" s="51"/>
      <c r="J59" s="29"/>
      <c r="K59" s="29"/>
      <c r="L59" s="29"/>
      <c r="M59" s="29"/>
      <c r="N59" s="51"/>
      <c r="O59" s="2"/>
    </row>
    <row r="60" spans="1:15" ht="31.2">
      <c r="A60" s="2"/>
      <c r="B60" s="13"/>
      <c r="C60" s="23"/>
      <c r="D60" s="14" t="s">
        <v>24</v>
      </c>
      <c r="E60" s="15" t="s">
        <v>25</v>
      </c>
      <c r="F60" s="34" t="s">
        <v>48</v>
      </c>
      <c r="G60" s="54" t="s">
        <v>49</v>
      </c>
      <c r="H60" s="52" t="s">
        <v>42</v>
      </c>
      <c r="I60" s="52" t="s">
        <v>43</v>
      </c>
      <c r="J60" s="34" t="s">
        <v>50</v>
      </c>
      <c r="K60" s="35" t="s">
        <v>51</v>
      </c>
      <c r="L60" s="36"/>
      <c r="M60" s="2"/>
      <c r="N60" s="47"/>
      <c r="O60" s="2"/>
    </row>
    <row r="61" spans="1:15" ht="15.6">
      <c r="A61" s="2"/>
      <c r="B61" s="91" t="s">
        <v>35</v>
      </c>
      <c r="C61" s="17" t="s">
        <v>36</v>
      </c>
      <c r="D61" s="18">
        <v>810</v>
      </c>
      <c r="E61" s="19">
        <f>D61/3.28</f>
        <v>246.95121951219514</v>
      </c>
      <c r="F61" s="22">
        <f>G61*1000</f>
        <v>7.7021811290568065</v>
      </c>
      <c r="G61" s="49">
        <v>7.7021811290568067E-3</v>
      </c>
      <c r="H61" s="49">
        <f>ABS(G61)</f>
        <v>7.7021811290568067E-3</v>
      </c>
      <c r="I61" s="49">
        <f>1*(H61^1.85)</f>
        <v>1.2309357808256281E-4</v>
      </c>
      <c r="J61" s="37">
        <f>I61/E61</f>
        <v>4.9845300754420498E-7</v>
      </c>
      <c r="K61" s="18">
        <v>350</v>
      </c>
      <c r="L61" s="38"/>
      <c r="M61" s="2"/>
      <c r="N61" s="47"/>
      <c r="O61" s="2"/>
    </row>
    <row r="62" spans="1:15" ht="15.6">
      <c r="A62" s="2"/>
      <c r="B62" s="92"/>
      <c r="C62" s="17" t="s">
        <v>37</v>
      </c>
      <c r="D62" s="18">
        <v>435</v>
      </c>
      <c r="E62" s="19">
        <f t="shared" ref="E62:E64" si="44">D62/3.28</f>
        <v>132.6219512195122</v>
      </c>
      <c r="F62" s="22">
        <f t="shared" ref="F62:F64" si="45">G62*1000</f>
        <v>7.6921811290568067</v>
      </c>
      <c r="G62" s="49">
        <v>7.6921811290568071E-3</v>
      </c>
      <c r="H62" s="49">
        <f t="shared" ref="H62:H64" si="46">ABS(G62)</f>
        <v>7.6921811290568071E-3</v>
      </c>
      <c r="I62" s="49">
        <f>1*(H62^1.85)</f>
        <v>1.2279808067508768E-4</v>
      </c>
      <c r="J62" s="37">
        <f t="shared" ref="J62:J64" si="47">I62/E62</f>
        <v>9.2592575773399444E-7</v>
      </c>
      <c r="K62" s="18">
        <v>350</v>
      </c>
      <c r="L62" s="38"/>
      <c r="M62" s="2"/>
      <c r="N62" s="47"/>
      <c r="O62" s="2"/>
    </row>
    <row r="63" spans="1:15" ht="15.6">
      <c r="A63" s="2"/>
      <c r="B63" s="92"/>
      <c r="C63" s="17" t="s">
        <v>64</v>
      </c>
      <c r="D63" s="18">
        <v>435</v>
      </c>
      <c r="E63" s="19">
        <f t="shared" si="44"/>
        <v>132.6219512195122</v>
      </c>
      <c r="F63" s="22">
        <f t="shared" si="45"/>
        <v>7.8021811290568079</v>
      </c>
      <c r="G63" s="49">
        <v>7.8021811290568078E-3</v>
      </c>
      <c r="H63" s="49">
        <f t="shared" si="46"/>
        <v>7.8021811290568078E-3</v>
      </c>
      <c r="I63" s="49">
        <f>1*(H63^1.85)</f>
        <v>1.2606648744827939E-4</v>
      </c>
      <c r="J63" s="37">
        <f t="shared" si="47"/>
        <v>9.5057029616173891E-7</v>
      </c>
      <c r="K63" s="18">
        <v>350</v>
      </c>
      <c r="L63" s="38"/>
      <c r="M63" s="2"/>
      <c r="N63" s="47"/>
      <c r="O63" s="2"/>
    </row>
    <row r="64" spans="1:15" ht="15.6">
      <c r="A64" s="2"/>
      <c r="B64" s="93"/>
      <c r="C64" s="17" t="s">
        <v>38</v>
      </c>
      <c r="D64" s="18">
        <v>810</v>
      </c>
      <c r="E64" s="19">
        <f t="shared" si="44"/>
        <v>246.95121951219514</v>
      </c>
      <c r="F64" s="22">
        <f t="shared" si="45"/>
        <v>-14.427226600061685</v>
      </c>
      <c r="G64" s="49">
        <v>-1.4427226600061686E-2</v>
      </c>
      <c r="H64" s="49">
        <f t="shared" si="46"/>
        <v>1.4427226600061686E-2</v>
      </c>
      <c r="I64" s="49">
        <f>1*(H64^1.85)</f>
        <v>3.9308663514365253E-4</v>
      </c>
      <c r="J64" s="37">
        <f t="shared" si="47"/>
        <v>1.5917582262607163E-6</v>
      </c>
      <c r="K64" s="18">
        <v>400</v>
      </c>
      <c r="L64" s="38"/>
      <c r="M64" s="2"/>
      <c r="N64" s="47"/>
      <c r="O64" s="2"/>
    </row>
    <row r="65" spans="1:15" ht="31.2">
      <c r="A65" s="2"/>
      <c r="B65" s="13"/>
      <c r="C65" s="23"/>
      <c r="D65" s="14" t="s">
        <v>24</v>
      </c>
      <c r="E65" s="32" t="s">
        <v>25</v>
      </c>
      <c r="F65" s="32" t="s">
        <v>48</v>
      </c>
      <c r="G65" s="48" t="s">
        <v>49</v>
      </c>
      <c r="H65" s="48" t="s">
        <v>42</v>
      </c>
      <c r="I65" s="48" t="s">
        <v>43</v>
      </c>
      <c r="J65" s="14" t="s">
        <v>50</v>
      </c>
      <c r="K65" s="14" t="s">
        <v>51</v>
      </c>
      <c r="L65" s="2"/>
      <c r="M65" s="2"/>
      <c r="N65" s="47"/>
      <c r="O65" s="2"/>
    </row>
    <row r="66" spans="1:15" ht="15.6">
      <c r="A66" s="2"/>
      <c r="B66" s="91" t="s">
        <v>44</v>
      </c>
      <c r="C66" s="17" t="s">
        <v>38</v>
      </c>
      <c r="D66" s="18">
        <v>810</v>
      </c>
      <c r="E66" s="25">
        <f>D66/3.28</f>
        <v>246.95121951219514</v>
      </c>
      <c r="F66" s="25">
        <f>G66*1000</f>
        <v>14.427226600061685</v>
      </c>
      <c r="G66" s="50">
        <v>1.4427226600061686E-2</v>
      </c>
      <c r="H66" s="50">
        <f>ABS(G66)</f>
        <v>1.4427226600061686E-2</v>
      </c>
      <c r="I66" s="50">
        <f>1*(H66^1.85)</f>
        <v>3.9308663514365253E-4</v>
      </c>
      <c r="J66" s="43">
        <f>I66/E66</f>
        <v>1.5917582262607163E-6</v>
      </c>
      <c r="K66" s="24">
        <v>400</v>
      </c>
      <c r="L66" s="2"/>
      <c r="M66" s="2"/>
      <c r="N66" s="47"/>
      <c r="O66" s="2"/>
    </row>
    <row r="67" spans="1:15" ht="15.6">
      <c r="A67" s="2"/>
      <c r="B67" s="92"/>
      <c r="C67" s="17" t="s">
        <v>65</v>
      </c>
      <c r="D67" s="18">
        <v>435</v>
      </c>
      <c r="E67" s="25">
        <f t="shared" ref="E67:E69" si="48">D67/3.28</f>
        <v>132.6219512195122</v>
      </c>
      <c r="F67" s="25">
        <f t="shared" ref="F67:F69" si="49">G67*1000</f>
        <v>-7.7305922708815107</v>
      </c>
      <c r="G67" s="50">
        <v>-7.7305922708815105E-3</v>
      </c>
      <c r="H67" s="50">
        <f t="shared" ref="H67:H69" si="50">ABS(G67)</f>
        <v>7.7305922708815105E-3</v>
      </c>
      <c r="I67" s="50">
        <f>1*(H67^1.85)</f>
        <v>1.2393490013267206E-4</v>
      </c>
      <c r="J67" s="43">
        <f t="shared" ref="J67:J69" si="51">I67/E67</f>
        <v>9.3449763778198708E-7</v>
      </c>
      <c r="K67" s="24">
        <v>350</v>
      </c>
      <c r="L67" s="2"/>
      <c r="M67" s="2"/>
      <c r="N67" s="47"/>
      <c r="O67" s="2"/>
    </row>
    <row r="68" spans="1:15" ht="15.6">
      <c r="A68" s="2"/>
      <c r="B68" s="92"/>
      <c r="C68" s="17" t="s">
        <v>45</v>
      </c>
      <c r="D68" s="18">
        <v>435</v>
      </c>
      <c r="E68" s="25">
        <f t="shared" si="48"/>
        <v>132.6219512195122</v>
      </c>
      <c r="F68" s="25">
        <f t="shared" si="49"/>
        <v>-7.7705922708815107</v>
      </c>
      <c r="G68" s="50">
        <v>-7.7705922708815106E-3</v>
      </c>
      <c r="H68" s="50">
        <f t="shared" si="50"/>
        <v>7.7705922708815106E-3</v>
      </c>
      <c r="I68" s="50">
        <f>1*(H68^1.85)</f>
        <v>1.2512385759099324E-4</v>
      </c>
      <c r="J68" s="43">
        <f t="shared" si="51"/>
        <v>9.4346265034128237E-7</v>
      </c>
      <c r="K68" s="24">
        <v>350</v>
      </c>
      <c r="L68" s="2"/>
      <c r="M68" s="2"/>
      <c r="N68" s="47"/>
      <c r="O68" s="2"/>
    </row>
    <row r="69" spans="1:15" ht="15.6">
      <c r="A69" s="2"/>
      <c r="B69" s="93"/>
      <c r="C69" s="17" t="s">
        <v>46</v>
      </c>
      <c r="D69" s="18">
        <v>810</v>
      </c>
      <c r="E69" s="25">
        <f t="shared" si="48"/>
        <v>246.95121951219514</v>
      </c>
      <c r="F69" s="25">
        <f t="shared" si="49"/>
        <v>-7.7305922708815107</v>
      </c>
      <c r="G69" s="50">
        <v>-7.7305922708815105E-3</v>
      </c>
      <c r="H69" s="50">
        <f t="shared" si="50"/>
        <v>7.7305922708815105E-3</v>
      </c>
      <c r="I69" s="50">
        <f>1*(H69^1.85)</f>
        <v>1.2393490013267206E-4</v>
      </c>
      <c r="J69" s="43">
        <f t="shared" si="51"/>
        <v>5.0185984251254856E-7</v>
      </c>
      <c r="K69" s="24">
        <v>350</v>
      </c>
      <c r="L69" s="2"/>
      <c r="M69" s="2"/>
      <c r="N69" s="47"/>
      <c r="O69" s="2"/>
    </row>
    <row r="70" spans="1:15" ht="15.6">
      <c r="A70" s="2"/>
      <c r="B70" s="2"/>
      <c r="C70" s="2"/>
      <c r="D70" s="2"/>
      <c r="E70" s="11"/>
      <c r="F70" s="2"/>
      <c r="G70" s="11"/>
      <c r="H70" s="47"/>
      <c r="I70" s="2"/>
      <c r="J70" s="2"/>
      <c r="K70" s="2"/>
      <c r="L70" s="2"/>
      <c r="M70" s="2"/>
      <c r="N70" s="47"/>
      <c r="O70" s="2"/>
    </row>
    <row r="71" spans="1:15" ht="15.6">
      <c r="A71" s="2"/>
      <c r="B71" s="2"/>
      <c r="C71" s="2"/>
      <c r="D71" s="2"/>
      <c r="E71" s="11"/>
      <c r="F71" s="2"/>
      <c r="G71" s="11"/>
      <c r="H71" s="47"/>
      <c r="I71" s="2"/>
      <c r="J71" s="2"/>
      <c r="K71" s="2"/>
      <c r="L71" s="2"/>
      <c r="M71" s="2"/>
      <c r="N71" s="47"/>
      <c r="O71" s="2"/>
    </row>
    <row r="72" spans="1:15" ht="15.6">
      <c r="A72" s="2"/>
      <c r="B72" s="2"/>
      <c r="C72" s="2"/>
      <c r="D72" s="2"/>
      <c r="E72" s="11"/>
      <c r="F72" s="2"/>
      <c r="G72" s="11"/>
      <c r="H72" s="47"/>
      <c r="I72" s="2"/>
      <c r="J72" s="2"/>
      <c r="K72" s="2"/>
      <c r="L72" s="2"/>
      <c r="M72" s="2"/>
      <c r="N72" s="47"/>
      <c r="O72" s="2"/>
    </row>
    <row r="73" spans="1:15" ht="15.6">
      <c r="A73" s="2"/>
      <c r="B73" s="2"/>
      <c r="C73" s="2"/>
      <c r="D73" s="2"/>
      <c r="E73" s="11"/>
      <c r="F73" s="2"/>
      <c r="G73" s="11"/>
      <c r="H73" s="47"/>
      <c r="I73" s="2"/>
      <c r="J73" s="2"/>
      <c r="K73" s="2"/>
      <c r="L73" s="2"/>
      <c r="M73" s="2"/>
      <c r="N73" s="47"/>
      <c r="O73" s="2"/>
    </row>
    <row r="74" spans="1:15" ht="15.6">
      <c r="A74" s="2"/>
      <c r="B74" s="2"/>
      <c r="C74" s="2"/>
      <c r="D74" s="2"/>
      <c r="E74" s="11"/>
      <c r="F74" s="2"/>
      <c r="G74" s="11"/>
      <c r="H74" s="47"/>
      <c r="I74" s="2"/>
      <c r="J74" s="2"/>
      <c r="K74" s="2"/>
      <c r="L74" s="2"/>
      <c r="M74" s="2"/>
      <c r="N74" s="47"/>
      <c r="O74" s="2"/>
    </row>
    <row r="75" spans="1:15" ht="15.6">
      <c r="A75" s="2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2"/>
      <c r="M75" s="2"/>
      <c r="N75" s="47"/>
      <c r="O75" s="2"/>
    </row>
    <row r="76" spans="1:15" ht="15.6">
      <c r="A76" s="2"/>
      <c r="B76" s="2"/>
      <c r="C76" s="11"/>
      <c r="D76" s="11"/>
      <c r="E76" s="11"/>
      <c r="F76" s="11"/>
      <c r="G76" s="11"/>
      <c r="H76" s="11"/>
      <c r="I76" s="11"/>
      <c r="J76" s="11"/>
      <c r="K76" s="11"/>
      <c r="L76" s="2"/>
      <c r="M76" s="2"/>
      <c r="N76" s="47"/>
      <c r="O76" s="2"/>
    </row>
    <row r="77" spans="1:15" ht="15.6">
      <c r="A77" s="2"/>
      <c r="B77" s="2"/>
      <c r="C77" s="88">
        <v>0.1</v>
      </c>
      <c r="D77" s="61"/>
      <c r="E77" s="41"/>
      <c r="F77" s="11"/>
      <c r="G77" s="55"/>
      <c r="H77" s="11"/>
      <c r="I77" s="41"/>
      <c r="J77" s="39"/>
      <c r="K77" s="90">
        <v>0.01</v>
      </c>
      <c r="L77" s="2"/>
      <c r="M77" s="2"/>
      <c r="N77" s="47"/>
      <c r="O77" s="2"/>
    </row>
    <row r="78" spans="1:15" ht="15.6">
      <c r="A78" s="2"/>
      <c r="B78" s="2"/>
      <c r="C78" s="88"/>
      <c r="D78" s="62"/>
      <c r="E78" s="45"/>
      <c r="F78" s="63" t="s">
        <v>52</v>
      </c>
      <c r="G78" s="56">
        <v>2.9</v>
      </c>
      <c r="H78" s="64" t="s">
        <v>53</v>
      </c>
      <c r="I78" s="42"/>
      <c r="J78" s="65"/>
      <c r="K78" s="90"/>
      <c r="L78" s="2"/>
      <c r="M78" s="2"/>
      <c r="N78" s="47"/>
      <c r="O78" s="2"/>
    </row>
    <row r="79" spans="1:15" ht="15.6">
      <c r="A79" s="2"/>
      <c r="B79" s="2"/>
      <c r="C79" s="11"/>
      <c r="D79" s="11"/>
      <c r="E79" s="11"/>
      <c r="F79" s="66"/>
      <c r="G79" s="11"/>
      <c r="H79" s="67"/>
      <c r="I79" s="11"/>
      <c r="J79" s="11"/>
      <c r="K79" s="11"/>
      <c r="L79" s="2"/>
      <c r="M79" s="2"/>
      <c r="N79" s="47"/>
      <c r="O79" s="2"/>
    </row>
    <row r="80" spans="1:15" ht="15.6">
      <c r="A80" s="2"/>
      <c r="B80" s="2"/>
      <c r="C80" s="11"/>
      <c r="D80" s="11"/>
      <c r="E80" s="11"/>
      <c r="F80" s="68">
        <v>3</v>
      </c>
      <c r="G80" s="11"/>
      <c r="H80" s="69">
        <v>2.89</v>
      </c>
      <c r="I80" s="11"/>
      <c r="J80" s="11"/>
      <c r="K80" s="11"/>
      <c r="L80" s="2"/>
      <c r="M80" s="2"/>
      <c r="N80" s="47"/>
      <c r="O80" s="2"/>
    </row>
    <row r="81" spans="1:15" ht="15.6">
      <c r="A81" s="2"/>
      <c r="B81" s="2"/>
      <c r="C81" s="11"/>
      <c r="D81" s="11"/>
      <c r="E81" s="11"/>
      <c r="F81" s="66"/>
      <c r="G81" s="11">
        <v>9.35</v>
      </c>
      <c r="H81" s="67"/>
      <c r="I81" s="11"/>
      <c r="J81" s="70"/>
      <c r="K81" s="70"/>
      <c r="L81" s="2"/>
      <c r="M81" s="2"/>
      <c r="N81" s="47"/>
      <c r="O81" s="2"/>
    </row>
    <row r="82" spans="1:15" ht="15.6">
      <c r="A82" s="2"/>
      <c r="B82" s="2"/>
      <c r="C82" s="88">
        <v>30</v>
      </c>
      <c r="D82" s="41"/>
      <c r="E82" s="46"/>
      <c r="F82" s="71" t="s">
        <v>54</v>
      </c>
      <c r="G82" s="57">
        <v>-25</v>
      </c>
      <c r="H82" s="72" t="s">
        <v>55</v>
      </c>
      <c r="I82" s="73"/>
      <c r="J82" s="70"/>
      <c r="K82" s="70"/>
      <c r="L82" s="2"/>
      <c r="M82" s="2"/>
      <c r="N82" s="47"/>
      <c r="O82" s="2"/>
    </row>
    <row r="83" spans="1:15" ht="15.6">
      <c r="A83" s="2"/>
      <c r="B83" s="2"/>
      <c r="C83" s="88"/>
      <c r="D83" s="42"/>
      <c r="E83" s="40"/>
      <c r="F83" s="74"/>
      <c r="G83" s="56">
        <v>25</v>
      </c>
      <c r="H83" s="75"/>
      <c r="I83" s="73"/>
      <c r="J83" s="70"/>
      <c r="K83" s="70"/>
      <c r="L83" s="2"/>
      <c r="M83" s="2"/>
      <c r="N83" s="47"/>
      <c r="O83" s="2"/>
    </row>
    <row r="84" spans="1:15" ht="15.6">
      <c r="A84" s="2"/>
      <c r="B84" s="2"/>
      <c r="C84" s="11"/>
      <c r="D84" s="11"/>
      <c r="E84" s="11"/>
      <c r="F84" s="76"/>
      <c r="G84" s="58">
        <v>20.5</v>
      </c>
      <c r="H84" s="77"/>
      <c r="I84" s="73"/>
      <c r="J84" s="70"/>
      <c r="K84" s="70"/>
      <c r="L84" s="2"/>
      <c r="M84" s="2"/>
      <c r="N84" s="47"/>
      <c r="O84" s="2"/>
    </row>
    <row r="85" spans="1:15" ht="15.6">
      <c r="A85" s="2"/>
      <c r="B85" s="2"/>
      <c r="C85" s="11"/>
      <c r="D85" s="11"/>
      <c r="E85" s="11"/>
      <c r="F85" s="68">
        <v>-2</v>
      </c>
      <c r="G85" s="55"/>
      <c r="H85" s="78">
        <v>-1.96</v>
      </c>
      <c r="I85" s="73"/>
      <c r="J85" s="70"/>
      <c r="K85" s="70"/>
      <c r="L85" s="2"/>
      <c r="M85" s="2"/>
      <c r="N85" s="47"/>
      <c r="O85" s="2"/>
    </row>
    <row r="86" spans="1:15" ht="15.6">
      <c r="A86" s="2"/>
      <c r="B86" s="2"/>
      <c r="C86" s="11"/>
      <c r="D86" s="11"/>
      <c r="E86" s="11"/>
      <c r="F86" s="76"/>
      <c r="G86" s="55"/>
      <c r="H86" s="77"/>
      <c r="I86" s="73"/>
      <c r="J86" s="70"/>
      <c r="K86" s="70"/>
      <c r="L86" s="2"/>
      <c r="M86" s="2"/>
      <c r="N86" s="47"/>
      <c r="O86" s="2"/>
    </row>
    <row r="87" spans="1:15" ht="15.6">
      <c r="A87" s="2"/>
      <c r="B87" s="2"/>
      <c r="C87" s="89">
        <v>0.04</v>
      </c>
      <c r="D87" s="61"/>
      <c r="E87" s="41"/>
      <c r="F87" s="79" t="s">
        <v>56</v>
      </c>
      <c r="G87" s="57">
        <v>-1.96</v>
      </c>
      <c r="H87" s="80" t="s">
        <v>57</v>
      </c>
      <c r="I87" s="70"/>
      <c r="J87" s="70"/>
      <c r="K87" s="70"/>
      <c r="L87" s="2"/>
      <c r="M87" s="2"/>
      <c r="N87" s="47"/>
      <c r="O87" s="2"/>
    </row>
    <row r="88" spans="1:15" ht="15.6">
      <c r="A88" s="2"/>
      <c r="B88" s="2"/>
      <c r="C88" s="89"/>
      <c r="D88" s="62"/>
      <c r="E88" s="42"/>
      <c r="F88" s="11"/>
      <c r="G88" s="11"/>
      <c r="H88" s="42"/>
      <c r="I88" s="70"/>
      <c r="J88" s="70"/>
      <c r="K88" s="70"/>
      <c r="L88" s="2"/>
      <c r="M88" s="2"/>
      <c r="N88" s="47"/>
      <c r="O88" s="2"/>
    </row>
    <row r="89" spans="1:15" ht="15.6">
      <c r="A89" s="2"/>
      <c r="B89" s="2"/>
      <c r="C89" s="2"/>
      <c r="D89" s="2"/>
      <c r="E89" s="11"/>
      <c r="F89" s="2"/>
      <c r="G89" s="11"/>
      <c r="H89" s="60"/>
      <c r="I89" s="38"/>
      <c r="J89" s="38"/>
      <c r="K89" s="38"/>
      <c r="L89" s="2"/>
      <c r="M89" s="2"/>
      <c r="N89" s="47"/>
      <c r="O89" s="2"/>
    </row>
    <row r="90" spans="1:15" ht="15.6">
      <c r="A90" s="2"/>
      <c r="B90" s="2"/>
      <c r="C90" s="2"/>
      <c r="D90" s="2"/>
      <c r="E90" s="11"/>
      <c r="F90" s="2"/>
      <c r="G90" s="11"/>
      <c r="H90" s="47"/>
      <c r="I90" s="2"/>
      <c r="J90" s="2"/>
      <c r="K90" s="2"/>
      <c r="L90" s="2"/>
      <c r="M90" s="2"/>
      <c r="N90" s="47"/>
      <c r="O90" s="2"/>
    </row>
    <row r="91" spans="1:15" ht="15.6">
      <c r="A91" s="2"/>
      <c r="B91" s="2"/>
      <c r="C91" s="2"/>
      <c r="D91" s="2"/>
      <c r="E91" s="11"/>
      <c r="F91" s="2"/>
      <c r="G91" s="11"/>
      <c r="H91" s="47"/>
      <c r="I91" s="2"/>
      <c r="J91" s="2"/>
      <c r="K91" s="2"/>
      <c r="L91" s="2"/>
      <c r="M91" s="2"/>
      <c r="N91" s="47"/>
      <c r="O91" s="2"/>
    </row>
  </sheetData>
  <mergeCells count="15">
    <mergeCell ref="B1:N1"/>
    <mergeCell ref="C82:C83"/>
    <mergeCell ref="C77:C78"/>
    <mergeCell ref="C87:C88"/>
    <mergeCell ref="K77:K78"/>
    <mergeCell ref="B61:B64"/>
    <mergeCell ref="B66:B69"/>
    <mergeCell ref="B52:B55"/>
    <mergeCell ref="B46:B49"/>
    <mergeCell ref="B38:B41"/>
    <mergeCell ref="B32:B35"/>
    <mergeCell ref="B24:B27"/>
    <mergeCell ref="B18:B21"/>
    <mergeCell ref="B10:B13"/>
    <mergeCell ref="B4:B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</vt:lpstr>
      <vt:lpstr>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2021-01-04T10:27:58Z</dcterms:modified>
</cp:coreProperties>
</file>