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hdid\Desktop\CEE\8TH SEMESTER\Transportation Lab\Assignments\Assignment 2\"/>
    </mc:Choice>
  </mc:AlternateContent>
  <xr:revisionPtr revIDLastSave="0" documentId="13_ncr:1_{EE4614A8-7DFD-45B3-BF25-4C1970EC087E}" xr6:coauthVersionLast="45" xr6:coauthVersionMax="45" xr10:uidLastSave="{00000000-0000-0000-0000-000000000000}"/>
  <bookViews>
    <workbookView xWindow="-108" yWindow="-108" windowWidth="23256" windowHeight="12576" tabRatio="675" xr2:uid="{3C0E593C-008E-43B4-AAE9-BA463A68D858}"/>
  </bookViews>
  <sheets>
    <sheet name="Passenger Car (Before)" sheetId="1" r:id="rId1"/>
    <sheet name="Passenger Car (After)" sheetId="2" r:id="rId2"/>
    <sheet name="Bus (Before)" sheetId="3" r:id="rId3"/>
    <sheet name="Bus (After)" sheetId="4" r:id="rId4"/>
    <sheet name="Budgeting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5" l="1"/>
  <c r="H11" i="5"/>
  <c r="H10" i="5"/>
  <c r="H9" i="5"/>
  <c r="H8" i="5"/>
  <c r="H7" i="5"/>
  <c r="H6" i="5"/>
  <c r="H5" i="5"/>
  <c r="H4" i="5"/>
  <c r="H13" i="5" l="1"/>
  <c r="H14" i="5" s="1"/>
  <c r="H15" i="5" s="1"/>
  <c r="H16" i="5" s="1"/>
  <c r="Z27" i="2" l="1"/>
  <c r="Z28" i="1"/>
  <c r="Z27" i="4" l="1"/>
  <c r="Z13" i="4"/>
  <c r="Z14" i="4"/>
  <c r="Z15" i="4"/>
  <c r="Z16" i="4"/>
  <c r="Z17" i="4"/>
  <c r="Z18" i="4"/>
  <c r="Z19" i="4"/>
  <c r="Z12" i="4"/>
  <c r="Y19" i="4"/>
  <c r="Y12" i="4"/>
  <c r="X27" i="4"/>
  <c r="Q27" i="4"/>
  <c r="P13" i="4"/>
  <c r="S13" i="4" s="1"/>
  <c r="U13" i="4" s="1"/>
  <c r="S12" i="4"/>
  <c r="U12" i="4" s="1"/>
  <c r="P12" i="4"/>
  <c r="S11" i="4"/>
  <c r="U11" i="4" s="1"/>
  <c r="R11" i="4"/>
  <c r="T11" i="4" s="1"/>
  <c r="O11" i="4"/>
  <c r="O12" i="4" s="1"/>
  <c r="M10" i="4"/>
  <c r="L10" i="4"/>
  <c r="Z13" i="3"/>
  <c r="Z14" i="3"/>
  <c r="Z15" i="3"/>
  <c r="Z16" i="3"/>
  <c r="Z17" i="3"/>
  <c r="Z18" i="3"/>
  <c r="Z12" i="3"/>
  <c r="Y18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11" i="3"/>
  <c r="Q27" i="3"/>
  <c r="R11" i="3"/>
  <c r="X27" i="3"/>
  <c r="P12" i="3"/>
  <c r="P13" i="3" s="1"/>
  <c r="U11" i="3"/>
  <c r="S11" i="3"/>
  <c r="O11" i="3"/>
  <c r="O12" i="3" s="1"/>
  <c r="M10" i="3"/>
  <c r="L10" i="3"/>
  <c r="Z13" i="1"/>
  <c r="Z14" i="1"/>
  <c r="Z15" i="1"/>
  <c r="Z16" i="1"/>
  <c r="Z17" i="1"/>
  <c r="Z18" i="1"/>
  <c r="Z19" i="1"/>
  <c r="Z20" i="1"/>
  <c r="Z21" i="1"/>
  <c r="X27" i="1"/>
  <c r="W11" i="2"/>
  <c r="P12" i="1"/>
  <c r="P13" i="1" s="1"/>
  <c r="O11" i="1"/>
  <c r="Z15" i="2"/>
  <c r="Z16" i="2"/>
  <c r="Z17" i="2"/>
  <c r="Z18" i="2"/>
  <c r="Z19" i="2"/>
  <c r="Z20" i="2"/>
  <c r="Z21" i="2"/>
  <c r="Z22" i="2"/>
  <c r="Z14" i="2"/>
  <c r="Y27" i="2"/>
  <c r="Y22" i="2"/>
  <c r="Y14" i="2"/>
  <c r="X27" i="2"/>
  <c r="W27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11" i="2"/>
  <c r="T11" i="2"/>
  <c r="P12" i="2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O11" i="2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G26" i="3"/>
  <c r="J26" i="3"/>
  <c r="K26" i="3"/>
  <c r="G26" i="4"/>
  <c r="K26" i="4"/>
  <c r="J26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10" i="4"/>
  <c r="I12" i="4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11" i="4"/>
  <c r="I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10" i="4"/>
  <c r="E26" i="4"/>
  <c r="B11" i="4"/>
  <c r="B12" i="4" s="1"/>
  <c r="A10" i="4"/>
  <c r="A11" i="4" s="1"/>
  <c r="D2" i="4"/>
  <c r="E2" i="4" s="1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10" i="3"/>
  <c r="I12" i="3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11" i="3"/>
  <c r="I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10" i="3"/>
  <c r="E26" i="3"/>
  <c r="B11" i="3"/>
  <c r="F11" i="3" s="1"/>
  <c r="A11" i="3"/>
  <c r="A10" i="3"/>
  <c r="E2" i="3"/>
  <c r="D2" i="3"/>
  <c r="V11" i="4" l="1"/>
  <c r="W11" i="4" s="1"/>
  <c r="O13" i="4"/>
  <c r="R12" i="4"/>
  <c r="T12" i="4" s="1"/>
  <c r="V12" i="4" s="1"/>
  <c r="W12" i="4" s="1"/>
  <c r="P14" i="4"/>
  <c r="P14" i="3"/>
  <c r="S13" i="3"/>
  <c r="U13" i="3" s="1"/>
  <c r="O13" i="3"/>
  <c r="R12" i="3"/>
  <c r="T12" i="3" s="1"/>
  <c r="T11" i="3"/>
  <c r="W11" i="3" s="1"/>
  <c r="S12" i="3"/>
  <c r="U12" i="3" s="1"/>
  <c r="W12" i="3" s="1"/>
  <c r="P14" i="1"/>
  <c r="O12" i="1"/>
  <c r="B13" i="4"/>
  <c r="A12" i="4"/>
  <c r="F10" i="4"/>
  <c r="F11" i="4"/>
  <c r="B12" i="3"/>
  <c r="A12" i="3"/>
  <c r="F10" i="3"/>
  <c r="O14" i="4" l="1"/>
  <c r="R13" i="4"/>
  <c r="T13" i="4" s="1"/>
  <c r="V13" i="4" s="1"/>
  <c r="W13" i="4" s="1"/>
  <c r="P15" i="4"/>
  <c r="S14" i="4"/>
  <c r="U14" i="4" s="1"/>
  <c r="Y12" i="3"/>
  <c r="Y27" i="3" s="1"/>
  <c r="R13" i="3"/>
  <c r="T13" i="3" s="1"/>
  <c r="W13" i="3" s="1"/>
  <c r="O14" i="3"/>
  <c r="S14" i="3"/>
  <c r="U14" i="3" s="1"/>
  <c r="P15" i="3"/>
  <c r="P15" i="1"/>
  <c r="O13" i="1"/>
  <c r="A13" i="4"/>
  <c r="B14" i="4"/>
  <c r="F12" i="4"/>
  <c r="A13" i="3"/>
  <c r="F12" i="3"/>
  <c r="B13" i="3"/>
  <c r="S15" i="4" l="1"/>
  <c r="U15" i="4" s="1"/>
  <c r="P16" i="4"/>
  <c r="R14" i="4"/>
  <c r="T14" i="4" s="1"/>
  <c r="V14" i="4" s="1"/>
  <c r="W14" i="4" s="1"/>
  <c r="O15" i="4"/>
  <c r="S15" i="3"/>
  <c r="U15" i="3" s="1"/>
  <c r="P16" i="3"/>
  <c r="W14" i="3"/>
  <c r="O15" i="3"/>
  <c r="R14" i="3"/>
  <c r="T14" i="3" s="1"/>
  <c r="P16" i="1"/>
  <c r="O14" i="1"/>
  <c r="A14" i="4"/>
  <c r="F13" i="4"/>
  <c r="F14" i="4"/>
  <c r="B15" i="4"/>
  <c r="A14" i="3"/>
  <c r="F13" i="3"/>
  <c r="B14" i="3"/>
  <c r="H14" i="1"/>
  <c r="H18" i="1"/>
  <c r="H22" i="1"/>
  <c r="H10" i="1"/>
  <c r="G14" i="1"/>
  <c r="G18" i="1"/>
  <c r="G22" i="1"/>
  <c r="G10" i="1"/>
  <c r="E26" i="2"/>
  <c r="B11" i="2"/>
  <c r="A10" i="2"/>
  <c r="D2" i="2"/>
  <c r="E2" i="2" s="1"/>
  <c r="E26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25" i="1" s="1"/>
  <c r="D2" i="1"/>
  <c r="E2" i="1" s="1"/>
  <c r="K22" i="1" l="1"/>
  <c r="K14" i="1"/>
  <c r="F16" i="1"/>
  <c r="F24" i="1"/>
  <c r="F23" i="1"/>
  <c r="F19" i="1"/>
  <c r="F15" i="1"/>
  <c r="F11" i="1"/>
  <c r="G25" i="1"/>
  <c r="G21" i="1"/>
  <c r="G17" i="1"/>
  <c r="G13" i="1"/>
  <c r="H25" i="1"/>
  <c r="H21" i="1"/>
  <c r="H17" i="1"/>
  <c r="H13" i="1"/>
  <c r="F20" i="1"/>
  <c r="F10" i="1"/>
  <c r="K10" i="1" s="1"/>
  <c r="F22" i="1"/>
  <c r="F18" i="1"/>
  <c r="K18" i="1" s="1"/>
  <c r="F14" i="1"/>
  <c r="G24" i="1"/>
  <c r="G20" i="1"/>
  <c r="G16" i="1"/>
  <c r="G12" i="1"/>
  <c r="H24" i="1"/>
  <c r="H20" i="1"/>
  <c r="H16" i="1"/>
  <c r="H12" i="1"/>
  <c r="F12" i="1"/>
  <c r="I10" i="1"/>
  <c r="F21" i="1"/>
  <c r="F17" i="1"/>
  <c r="F13" i="1"/>
  <c r="G23" i="1"/>
  <c r="G19" i="1"/>
  <c r="G15" i="1"/>
  <c r="G26" i="1" s="1"/>
  <c r="G11" i="1"/>
  <c r="H23" i="1"/>
  <c r="H19" i="1"/>
  <c r="H15" i="1"/>
  <c r="H11" i="1"/>
  <c r="O16" i="4"/>
  <c r="R15" i="4"/>
  <c r="T15" i="4" s="1"/>
  <c r="V15" i="4" s="1"/>
  <c r="W15" i="4" s="1"/>
  <c r="P17" i="4"/>
  <c r="S16" i="4"/>
  <c r="U16" i="4" s="1"/>
  <c r="S16" i="3"/>
  <c r="U16" i="3" s="1"/>
  <c r="P17" i="3"/>
  <c r="O16" i="3"/>
  <c r="R15" i="3"/>
  <c r="T15" i="3" s="1"/>
  <c r="W15" i="3" s="1"/>
  <c r="O15" i="1"/>
  <c r="P17" i="1"/>
  <c r="H10" i="2"/>
  <c r="I10" i="2" s="1"/>
  <c r="G10" i="2"/>
  <c r="F10" i="2"/>
  <c r="A11" i="2"/>
  <c r="B12" i="2"/>
  <c r="F11" i="2"/>
  <c r="A15" i="4"/>
  <c r="F15" i="4"/>
  <c r="B16" i="4"/>
  <c r="F14" i="3"/>
  <c r="B15" i="3"/>
  <c r="A15" i="3"/>
  <c r="J22" i="1"/>
  <c r="J18" i="1"/>
  <c r="J14" i="1"/>
  <c r="K12" i="1"/>
  <c r="J10" i="1"/>
  <c r="J16" i="1" l="1"/>
  <c r="K16" i="1"/>
  <c r="K11" i="1"/>
  <c r="J11" i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J20" i="1"/>
  <c r="K20" i="1"/>
  <c r="K17" i="1"/>
  <c r="J17" i="1"/>
  <c r="K21" i="1"/>
  <c r="J21" i="1"/>
  <c r="J15" i="1"/>
  <c r="K15" i="1"/>
  <c r="J24" i="1"/>
  <c r="K24" i="1"/>
  <c r="K19" i="1"/>
  <c r="J19" i="1"/>
  <c r="J26" i="1" s="1"/>
  <c r="L10" i="1" s="1"/>
  <c r="J12" i="1"/>
  <c r="K25" i="1"/>
  <c r="J25" i="1"/>
  <c r="J23" i="1"/>
  <c r="K23" i="1"/>
  <c r="K13" i="1"/>
  <c r="K26" i="1" s="1"/>
  <c r="J13" i="1"/>
  <c r="R16" i="4"/>
  <c r="T16" i="4" s="1"/>
  <c r="O17" i="4"/>
  <c r="V16" i="4"/>
  <c r="W16" i="4" s="1"/>
  <c r="S17" i="4"/>
  <c r="U17" i="4" s="1"/>
  <c r="P18" i="4"/>
  <c r="R16" i="3"/>
  <c r="T16" i="3" s="1"/>
  <c r="W16" i="3" s="1"/>
  <c r="O17" i="3"/>
  <c r="P18" i="3"/>
  <c r="S17" i="3"/>
  <c r="U17" i="3" s="1"/>
  <c r="O16" i="1"/>
  <c r="P18" i="1"/>
  <c r="B13" i="2"/>
  <c r="A12" i="2"/>
  <c r="H11" i="2"/>
  <c r="I11" i="2" s="1"/>
  <c r="G11" i="2"/>
  <c r="K10" i="2"/>
  <c r="J10" i="2"/>
  <c r="B17" i="4"/>
  <c r="A16" i="4"/>
  <c r="A16" i="3"/>
  <c r="F15" i="3"/>
  <c r="B16" i="3"/>
  <c r="M10" i="1" l="1"/>
  <c r="S12" i="1" s="1"/>
  <c r="U12" i="1" s="1"/>
  <c r="O18" i="4"/>
  <c r="R17" i="4"/>
  <c r="T17" i="4" s="1"/>
  <c r="V17" i="4" s="1"/>
  <c r="W17" i="4" s="1"/>
  <c r="P19" i="4"/>
  <c r="S18" i="4"/>
  <c r="U18" i="4" s="1"/>
  <c r="S18" i="3"/>
  <c r="U18" i="3" s="1"/>
  <c r="P19" i="3"/>
  <c r="R17" i="3"/>
  <c r="T17" i="3" s="1"/>
  <c r="W17" i="3" s="1"/>
  <c r="O18" i="3"/>
  <c r="O17" i="1"/>
  <c r="P19" i="1"/>
  <c r="A13" i="2"/>
  <c r="H12" i="2"/>
  <c r="I12" i="2" s="1"/>
  <c r="G12" i="2"/>
  <c r="F12" i="2"/>
  <c r="K11" i="2"/>
  <c r="J11" i="2"/>
  <c r="B14" i="2"/>
  <c r="F13" i="2"/>
  <c r="A17" i="4"/>
  <c r="F16" i="4"/>
  <c r="B18" i="4"/>
  <c r="F17" i="4"/>
  <c r="A17" i="3"/>
  <c r="F16" i="3"/>
  <c r="B17" i="3"/>
  <c r="S18" i="1" l="1"/>
  <c r="U18" i="1" s="1"/>
  <c r="S17" i="1"/>
  <c r="U17" i="1" s="1"/>
  <c r="R13" i="1"/>
  <c r="T13" i="1" s="1"/>
  <c r="V13" i="1" s="1"/>
  <c r="W13" i="1" s="1"/>
  <c r="S13" i="1"/>
  <c r="U13" i="1" s="1"/>
  <c r="S15" i="1"/>
  <c r="U15" i="1" s="1"/>
  <c r="R15" i="1"/>
  <c r="T15" i="1" s="1"/>
  <c r="V15" i="1" s="1"/>
  <c r="W15" i="1" s="1"/>
  <c r="R11" i="1"/>
  <c r="T11" i="1" s="1"/>
  <c r="R16" i="1"/>
  <c r="T16" i="1" s="1"/>
  <c r="S16" i="1"/>
  <c r="U16" i="1" s="1"/>
  <c r="R12" i="1"/>
  <c r="T12" i="1" s="1"/>
  <c r="V12" i="1" s="1"/>
  <c r="W12" i="1" s="1"/>
  <c r="S11" i="1"/>
  <c r="U11" i="1" s="1"/>
  <c r="V11" i="1" s="1"/>
  <c r="W11" i="1" s="1"/>
  <c r="Y12" i="1" s="1"/>
  <c r="R14" i="1"/>
  <c r="T14" i="1" s="1"/>
  <c r="V14" i="1" s="1"/>
  <c r="W14" i="1" s="1"/>
  <c r="S14" i="1"/>
  <c r="U14" i="1" s="1"/>
  <c r="S19" i="4"/>
  <c r="U19" i="4" s="1"/>
  <c r="P20" i="4"/>
  <c r="O19" i="4"/>
  <c r="R18" i="4"/>
  <c r="T18" i="4" s="1"/>
  <c r="V18" i="4" s="1"/>
  <c r="W18" i="4" s="1"/>
  <c r="S19" i="3"/>
  <c r="U19" i="3" s="1"/>
  <c r="P20" i="3"/>
  <c r="O19" i="3"/>
  <c r="R18" i="3"/>
  <c r="T18" i="3" s="1"/>
  <c r="W18" i="3"/>
  <c r="S19" i="1"/>
  <c r="U19" i="1" s="1"/>
  <c r="P20" i="1"/>
  <c r="R17" i="1"/>
  <c r="T17" i="1" s="1"/>
  <c r="V17" i="1" s="1"/>
  <c r="W17" i="1" s="1"/>
  <c r="O18" i="1"/>
  <c r="K12" i="2"/>
  <c r="J12" i="2"/>
  <c r="B15" i="2"/>
  <c r="A14" i="2"/>
  <c r="H13" i="2"/>
  <c r="I13" i="2" s="1"/>
  <c r="G13" i="2"/>
  <c r="B19" i="4"/>
  <c r="A18" i="4"/>
  <c r="A18" i="3"/>
  <c r="F17" i="3"/>
  <c r="B18" i="3"/>
  <c r="V16" i="1" l="1"/>
  <c r="W16" i="1" s="1"/>
  <c r="Z12" i="1"/>
  <c r="O20" i="4"/>
  <c r="R19" i="4"/>
  <c r="T19" i="4" s="1"/>
  <c r="V19" i="4" s="1"/>
  <c r="W19" i="4" s="1"/>
  <c r="S20" i="4"/>
  <c r="U20" i="4" s="1"/>
  <c r="P21" i="4"/>
  <c r="O20" i="3"/>
  <c r="R19" i="3"/>
  <c r="T19" i="3" s="1"/>
  <c r="W19" i="3" s="1"/>
  <c r="S20" i="3"/>
  <c r="U20" i="3" s="1"/>
  <c r="P21" i="3"/>
  <c r="S20" i="1"/>
  <c r="U20" i="1" s="1"/>
  <c r="P21" i="1"/>
  <c r="O19" i="1"/>
  <c r="R18" i="1"/>
  <c r="T18" i="1" s="1"/>
  <c r="V18" i="1" s="1"/>
  <c r="W18" i="1" s="1"/>
  <c r="A15" i="2"/>
  <c r="H14" i="2"/>
  <c r="I14" i="2" s="1"/>
  <c r="G14" i="2"/>
  <c r="F14" i="2"/>
  <c r="J13" i="2"/>
  <c r="K13" i="2"/>
  <c r="B16" i="2"/>
  <c r="F15" i="2"/>
  <c r="A19" i="4"/>
  <c r="B20" i="4"/>
  <c r="F19" i="4"/>
  <c r="F18" i="4"/>
  <c r="A19" i="3"/>
  <c r="F18" i="3"/>
  <c r="B19" i="3"/>
  <c r="O21" i="4" l="1"/>
  <c r="R20" i="4"/>
  <c r="T20" i="4" s="1"/>
  <c r="V20" i="4" s="1"/>
  <c r="W20" i="4" s="1"/>
  <c r="S21" i="4"/>
  <c r="U21" i="4" s="1"/>
  <c r="P22" i="4"/>
  <c r="P22" i="3"/>
  <c r="S21" i="3"/>
  <c r="U21" i="3" s="1"/>
  <c r="R20" i="3"/>
  <c r="T20" i="3" s="1"/>
  <c r="W20" i="3" s="1"/>
  <c r="O21" i="3"/>
  <c r="R19" i="1"/>
  <c r="T19" i="1" s="1"/>
  <c r="V19" i="1" s="1"/>
  <c r="W19" i="1" s="1"/>
  <c r="O20" i="1"/>
  <c r="P22" i="1"/>
  <c r="S21" i="1"/>
  <c r="U21" i="1" s="1"/>
  <c r="A16" i="2"/>
  <c r="H15" i="2"/>
  <c r="I15" i="2" s="1"/>
  <c r="G15" i="2"/>
  <c r="B17" i="2"/>
  <c r="F16" i="2"/>
  <c r="K14" i="2"/>
  <c r="J14" i="2"/>
  <c r="A20" i="4"/>
  <c r="B21" i="4"/>
  <c r="A20" i="3"/>
  <c r="F19" i="3"/>
  <c r="B20" i="3"/>
  <c r="O22" i="4" l="1"/>
  <c r="R21" i="4"/>
  <c r="T21" i="4" s="1"/>
  <c r="V21" i="4" s="1"/>
  <c r="W21" i="4" s="1"/>
  <c r="S22" i="4"/>
  <c r="U22" i="4" s="1"/>
  <c r="P23" i="4"/>
  <c r="R21" i="3"/>
  <c r="T21" i="3" s="1"/>
  <c r="W21" i="3" s="1"/>
  <c r="O22" i="3"/>
  <c r="P23" i="3"/>
  <c r="S22" i="3"/>
  <c r="U22" i="3" s="1"/>
  <c r="P23" i="1"/>
  <c r="S22" i="1"/>
  <c r="U22" i="1" s="1"/>
  <c r="R20" i="1"/>
  <c r="T20" i="1" s="1"/>
  <c r="V20" i="1" s="1"/>
  <c r="W20" i="1" s="1"/>
  <c r="O21" i="1"/>
  <c r="A17" i="2"/>
  <c r="H16" i="2"/>
  <c r="I16" i="2" s="1"/>
  <c r="G16" i="2"/>
  <c r="B18" i="2"/>
  <c r="F17" i="2"/>
  <c r="J15" i="2"/>
  <c r="K15" i="2"/>
  <c r="B22" i="4"/>
  <c r="A21" i="4"/>
  <c r="F20" i="4"/>
  <c r="A21" i="3"/>
  <c r="F20" i="3"/>
  <c r="B21" i="3"/>
  <c r="O23" i="4" l="1"/>
  <c r="R22" i="4"/>
  <c r="T22" i="4" s="1"/>
  <c r="V22" i="4" s="1"/>
  <c r="W22" i="4" s="1"/>
  <c r="P24" i="4"/>
  <c r="S23" i="4"/>
  <c r="U23" i="4" s="1"/>
  <c r="O23" i="3"/>
  <c r="R22" i="3"/>
  <c r="T22" i="3" s="1"/>
  <c r="W22" i="3" s="1"/>
  <c r="S23" i="3"/>
  <c r="U23" i="3" s="1"/>
  <c r="P24" i="3"/>
  <c r="S23" i="1"/>
  <c r="U23" i="1" s="1"/>
  <c r="P24" i="1"/>
  <c r="R21" i="1"/>
  <c r="T21" i="1" s="1"/>
  <c r="V21" i="1" s="1"/>
  <c r="W21" i="1" s="1"/>
  <c r="O22" i="1"/>
  <c r="K16" i="2"/>
  <c r="J16" i="2"/>
  <c r="A18" i="2"/>
  <c r="H17" i="2"/>
  <c r="I17" i="2" s="1"/>
  <c r="G17" i="2"/>
  <c r="B19" i="2"/>
  <c r="F18" i="2"/>
  <c r="A22" i="4"/>
  <c r="F21" i="4"/>
  <c r="F22" i="4"/>
  <c r="B23" i="4"/>
  <c r="F21" i="3"/>
  <c r="B22" i="3"/>
  <c r="A22" i="3"/>
  <c r="P25" i="4" l="1"/>
  <c r="S24" i="4"/>
  <c r="U24" i="4" s="1"/>
  <c r="O24" i="4"/>
  <c r="R23" i="4"/>
  <c r="T23" i="4" s="1"/>
  <c r="V23" i="4" s="1"/>
  <c r="W23" i="4" s="1"/>
  <c r="S24" i="3"/>
  <c r="U24" i="3" s="1"/>
  <c r="P25" i="3"/>
  <c r="R23" i="3"/>
  <c r="T23" i="3" s="1"/>
  <c r="W23" i="3" s="1"/>
  <c r="O24" i="3"/>
  <c r="S24" i="1"/>
  <c r="U24" i="1" s="1"/>
  <c r="P25" i="1"/>
  <c r="O23" i="1"/>
  <c r="R22" i="1"/>
  <c r="T22" i="1" s="1"/>
  <c r="V22" i="1" s="1"/>
  <c r="W22" i="1" s="1"/>
  <c r="A19" i="2"/>
  <c r="H18" i="2"/>
  <c r="I18" i="2" s="1"/>
  <c r="G18" i="2"/>
  <c r="B20" i="2"/>
  <c r="K17" i="2"/>
  <c r="J17" i="2"/>
  <c r="A23" i="4"/>
  <c r="B24" i="4"/>
  <c r="F23" i="4"/>
  <c r="F22" i="3"/>
  <c r="B23" i="3"/>
  <c r="A23" i="3"/>
  <c r="O25" i="4" l="1"/>
  <c r="R24" i="4"/>
  <c r="T24" i="4" s="1"/>
  <c r="V24" i="4"/>
  <c r="W24" i="4" s="1"/>
  <c r="S25" i="4"/>
  <c r="U25" i="4" s="1"/>
  <c r="P26" i="4"/>
  <c r="S26" i="4" s="1"/>
  <c r="U26" i="4" s="1"/>
  <c r="R24" i="3"/>
  <c r="T24" i="3" s="1"/>
  <c r="W24" i="3" s="1"/>
  <c r="O25" i="3"/>
  <c r="S25" i="3"/>
  <c r="U25" i="3" s="1"/>
  <c r="P26" i="3"/>
  <c r="S26" i="3" s="1"/>
  <c r="U26" i="3" s="1"/>
  <c r="R23" i="1"/>
  <c r="T23" i="1" s="1"/>
  <c r="V23" i="1" s="1"/>
  <c r="W23" i="1" s="1"/>
  <c r="O24" i="1"/>
  <c r="S25" i="1"/>
  <c r="U25" i="1" s="1"/>
  <c r="P26" i="1"/>
  <c r="S26" i="1" s="1"/>
  <c r="U26" i="1" s="1"/>
  <c r="K18" i="2"/>
  <c r="J18" i="2"/>
  <c r="A20" i="2"/>
  <c r="H19" i="2"/>
  <c r="I19" i="2" s="1"/>
  <c r="G19" i="2"/>
  <c r="F19" i="2"/>
  <c r="B21" i="2"/>
  <c r="F20" i="2"/>
  <c r="A24" i="4"/>
  <c r="B25" i="4"/>
  <c r="A24" i="3"/>
  <c r="F23" i="3"/>
  <c r="B24" i="3"/>
  <c r="O26" i="4" l="1"/>
  <c r="R26" i="4" s="1"/>
  <c r="T26" i="4" s="1"/>
  <c r="V26" i="4" s="1"/>
  <c r="W26" i="4" s="1"/>
  <c r="R25" i="4"/>
  <c r="T25" i="4" s="1"/>
  <c r="V25" i="4" s="1"/>
  <c r="W25" i="4" s="1"/>
  <c r="O26" i="3"/>
  <c r="R26" i="3" s="1"/>
  <c r="T26" i="3" s="1"/>
  <c r="R25" i="3"/>
  <c r="T25" i="3" s="1"/>
  <c r="W25" i="3" s="1"/>
  <c r="W26" i="3"/>
  <c r="W27" i="3" s="1"/>
  <c r="R24" i="1"/>
  <c r="T24" i="1" s="1"/>
  <c r="V24" i="1" s="1"/>
  <c r="W24" i="1" s="1"/>
  <c r="O25" i="1"/>
  <c r="B22" i="2"/>
  <c r="A21" i="2"/>
  <c r="H20" i="2"/>
  <c r="I20" i="2" s="1"/>
  <c r="G20" i="2"/>
  <c r="K19" i="2"/>
  <c r="J19" i="2"/>
  <c r="F25" i="4"/>
  <c r="A25" i="4"/>
  <c r="F24" i="4"/>
  <c r="F24" i="3"/>
  <c r="B25" i="3"/>
  <c r="F25" i="3" s="1"/>
  <c r="A25" i="3"/>
  <c r="W27" i="4" l="1"/>
  <c r="R25" i="1"/>
  <c r="T25" i="1" s="1"/>
  <c r="V25" i="1" s="1"/>
  <c r="W25" i="1" s="1"/>
  <c r="Y22" i="1" s="1"/>
  <c r="O26" i="1"/>
  <c r="R26" i="1" s="1"/>
  <c r="T26" i="1" s="1"/>
  <c r="V26" i="1" s="1"/>
  <c r="W26" i="1" s="1"/>
  <c r="W27" i="1" s="1"/>
  <c r="A22" i="2"/>
  <c r="H21" i="2"/>
  <c r="I21" i="2" s="1"/>
  <c r="G21" i="2"/>
  <c r="F21" i="2"/>
  <c r="K20" i="2"/>
  <c r="J20" i="2"/>
  <c r="B23" i="2"/>
  <c r="Z22" i="1" l="1"/>
  <c r="Z27" i="1" s="1"/>
  <c r="Y27" i="1"/>
  <c r="Y27" i="4"/>
  <c r="Z27" i="3"/>
  <c r="B24" i="2"/>
  <c r="A23" i="2"/>
  <c r="H22" i="2"/>
  <c r="I22" i="2" s="1"/>
  <c r="G22" i="2"/>
  <c r="K21" i="2"/>
  <c r="J21" i="2"/>
  <c r="F22" i="2"/>
  <c r="A24" i="2" l="1"/>
  <c r="H23" i="2"/>
  <c r="I23" i="2" s="1"/>
  <c r="G23" i="2"/>
  <c r="F23" i="2"/>
  <c r="K22" i="2"/>
  <c r="J22" i="2"/>
  <c r="B25" i="2"/>
  <c r="A25" i="2" l="1"/>
  <c r="H24" i="2"/>
  <c r="I24" i="2" s="1"/>
  <c r="G24" i="2"/>
  <c r="J23" i="2"/>
  <c r="K23" i="2"/>
  <c r="F24" i="2"/>
  <c r="H25" i="2" l="1"/>
  <c r="I25" i="2" s="1"/>
  <c r="G25" i="2"/>
  <c r="F25" i="2"/>
  <c r="K24" i="2"/>
  <c r="J24" i="2"/>
  <c r="K25" i="2" l="1"/>
  <c r="K26" i="2" s="1"/>
  <c r="J25" i="2"/>
  <c r="J26" i="2" s="1"/>
  <c r="G26" i="2"/>
  <c r="L10" i="2" l="1"/>
  <c r="M10" i="2" s="1"/>
  <c r="S18" i="2" l="1"/>
  <c r="R15" i="2"/>
  <c r="R19" i="2"/>
  <c r="R23" i="2"/>
  <c r="R11" i="2"/>
  <c r="S14" i="2"/>
  <c r="S22" i="2"/>
  <c r="S11" i="2"/>
  <c r="R26" i="2"/>
  <c r="S17" i="2"/>
  <c r="R14" i="2"/>
  <c r="S12" i="2"/>
  <c r="R13" i="2"/>
  <c r="R24" i="2"/>
  <c r="S26" i="2"/>
  <c r="S13" i="2"/>
  <c r="S24" i="2"/>
  <c r="R25" i="2"/>
  <c r="S23" i="2"/>
  <c r="R20" i="2"/>
  <c r="S25" i="2"/>
  <c r="R22" i="2"/>
  <c r="S20" i="2"/>
  <c r="R21" i="2"/>
  <c r="S19" i="2"/>
  <c r="R16" i="2"/>
  <c r="S21" i="2"/>
  <c r="R18" i="2"/>
  <c r="S16" i="2"/>
  <c r="R17" i="2"/>
  <c r="S15" i="2"/>
  <c r="R12" i="2"/>
</calcChain>
</file>

<file path=xl/sharedStrings.xml><?xml version="1.0" encoding="utf-8"?>
<sst xmlns="http://schemas.openxmlformats.org/spreadsheetml/2006/main" count="281" uniqueCount="115">
  <si>
    <t>Confidence level</t>
  </si>
  <si>
    <t xml:space="preserve">Standard Deviation, s </t>
  </si>
  <si>
    <t xml:space="preserve">Tolerance, e </t>
  </si>
  <si>
    <t>Required Sample Size, n= (3.84*s^2)/e^2</t>
  </si>
  <si>
    <t>Actual Sample Size</t>
  </si>
  <si>
    <t>Speed Group</t>
  </si>
  <si>
    <t>Lower limit (mph)</t>
  </si>
  <si>
    <t>Upper limit (mph)</t>
  </si>
  <si>
    <t>Passenger Cars</t>
  </si>
  <si>
    <t>Bus</t>
  </si>
  <si>
    <t>Total</t>
  </si>
  <si>
    <t>Before</t>
  </si>
  <si>
    <t>|||</t>
  </si>
  <si>
    <t>|||| ||||</t>
  </si>
  <si>
    <t>||||</t>
  </si>
  <si>
    <t xml:space="preserve"> ||||</t>
  </si>
  <si>
    <t>||</t>
  </si>
  <si>
    <t>|||| |||| |||| |||| ||</t>
  </si>
  <si>
    <t>|||| |||| |||| |||| ||||</t>
  </si>
  <si>
    <t>|||| |||| |||| |||| |||| |||| ||||</t>
  </si>
  <si>
    <t>|||| |||| |||| |||| |||| |||| |||| |||</t>
  </si>
  <si>
    <t>|||| |||| ||||</t>
  </si>
  <si>
    <t xml:space="preserve"> |||| |||</t>
  </si>
  <si>
    <t>|||| |</t>
  </si>
  <si>
    <t>|||| |||| |</t>
  </si>
  <si>
    <t>After</t>
  </si>
  <si>
    <t>% Freq in Group (%)</t>
  </si>
  <si>
    <t>Cum. % Freq (%)</t>
  </si>
  <si>
    <t>nS</t>
  </si>
  <si>
    <t>nS^2</t>
  </si>
  <si>
    <t>Middle Speed, S (mph)</t>
  </si>
  <si>
    <t>Observed freq in group, n</t>
  </si>
  <si>
    <t>|||| ||</t>
  </si>
  <si>
    <t>|||| |||</t>
  </si>
  <si>
    <t xml:space="preserve">|||| </t>
  </si>
  <si>
    <t>|||| |||| |||| |||| |||| |||| ||</t>
  </si>
  <si>
    <t>|||| |||| ||</t>
  </si>
  <si>
    <t xml:space="preserve"> |||| |||| |||| ||</t>
  </si>
  <si>
    <t>|||| |||| |||| |||| |||| |||</t>
  </si>
  <si>
    <t>|||| |||| |||| |||| |||| |||| |||| |||| |||</t>
  </si>
  <si>
    <t>|||| |||| |||| |||| |||| |||| |||</t>
  </si>
  <si>
    <t xml:space="preserve"> ||</t>
  </si>
  <si>
    <t xml:space="preserve"> |||| |||| |||</t>
  </si>
  <si>
    <t>|||| |||| |||| |||</t>
  </si>
  <si>
    <r>
      <t xml:space="preserve">Mean speed, </t>
    </r>
    <r>
      <rPr>
        <b/>
        <sz val="11"/>
        <color theme="1"/>
        <rFont val="MS Reference Sans Serif"/>
        <family val="2"/>
      </rPr>
      <t></t>
    </r>
  </si>
  <si>
    <t>Standard Deviation, s</t>
  </si>
  <si>
    <t>Pace (mph)</t>
  </si>
  <si>
    <t>42.5-52.5</t>
  </si>
  <si>
    <t>Observed frequency, n</t>
  </si>
  <si>
    <t>Upper Limit (Std. Normal), zd</t>
  </si>
  <si>
    <t>Prob. Of Occurrence in Group</t>
  </si>
  <si>
    <t>Combined Groups, n</t>
  </si>
  <si>
    <t>Combined Groups, f</t>
  </si>
  <si>
    <t xml:space="preserve"> χ2
Group</t>
  </si>
  <si>
    <t>Theoretical Frequency, f</t>
  </si>
  <si>
    <t>Lower Limit (Std. Normal)</t>
  </si>
  <si>
    <t>Prob, z&lt;=zd
(upper limit)</t>
  </si>
  <si>
    <t>Prob, z&lt;=zd
(lower limit)</t>
  </si>
  <si>
    <t>15th percentile</t>
  </si>
  <si>
    <t>50th percentile</t>
  </si>
  <si>
    <t xml:space="preserve">85th percentile </t>
  </si>
  <si>
    <t>Mode</t>
  </si>
  <si>
    <t>49 mph</t>
  </si>
  <si>
    <t>37.5 mph</t>
  </si>
  <si>
    <t>47.5 mph</t>
  </si>
  <si>
    <t>52 mph</t>
  </si>
  <si>
    <t>42 mph</t>
  </si>
  <si>
    <t>53 mph</t>
  </si>
  <si>
    <t>59 mph</t>
  </si>
  <si>
    <t>54.9 mph</t>
  </si>
  <si>
    <t>29.8 mph</t>
  </si>
  <si>
    <t>44 mph</t>
  </si>
  <si>
    <t xml:space="preserve">Mode </t>
  </si>
  <si>
    <t>38 mph</t>
  </si>
  <si>
    <t>34 mph</t>
  </si>
  <si>
    <t>41 mph</t>
  </si>
  <si>
    <t>48.2 mph</t>
  </si>
  <si>
    <t>41.5 mph</t>
  </si>
  <si>
    <t>49.8-59.8</t>
  </si>
  <si>
    <t>34-44</t>
  </si>
  <si>
    <t>35.5-45.5</t>
  </si>
  <si>
    <t>p-value (%)</t>
  </si>
  <si>
    <t>Budget Preparation</t>
  </si>
  <si>
    <t>#</t>
  </si>
  <si>
    <t>Item</t>
  </si>
  <si>
    <t>Unit</t>
  </si>
  <si>
    <t>Shift</t>
  </si>
  <si>
    <t>Location</t>
  </si>
  <si>
    <t>Direction</t>
  </si>
  <si>
    <t>Unit Cost</t>
  </si>
  <si>
    <t>Total (BDT)</t>
  </si>
  <si>
    <t>Supervisor</t>
  </si>
  <si>
    <t>Surveyor</t>
  </si>
  <si>
    <t>Transportation</t>
  </si>
  <si>
    <t>Printing forms</t>
  </si>
  <si>
    <t>Refreshment</t>
  </si>
  <si>
    <t>Training + Pilot</t>
  </si>
  <si>
    <t>Data entry</t>
  </si>
  <si>
    <t>Miscellaneous</t>
  </si>
  <si>
    <t>Consulting firm's overhead</t>
  </si>
  <si>
    <t>City VAT + Tax (15% + 10%)</t>
  </si>
  <si>
    <t>After 5% discount</t>
  </si>
  <si>
    <t>Spot Speed Study</t>
  </si>
  <si>
    <t>Radar Meter</t>
  </si>
  <si>
    <t>Passenger Car</t>
  </si>
  <si>
    <t xml:space="preserve">Before </t>
  </si>
  <si>
    <t>Chi-Square Test (Before)</t>
  </si>
  <si>
    <t>Chi-Square Test (After)</t>
  </si>
  <si>
    <t>80th percentile</t>
  </si>
  <si>
    <t>Mode (mph)</t>
  </si>
  <si>
    <t>51.09 mph</t>
  </si>
  <si>
    <t>46.82 mph</t>
  </si>
  <si>
    <t xml:space="preserve">53 mph </t>
  </si>
  <si>
    <t>37.22 mph</t>
  </si>
  <si>
    <t>40.67 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</si>
</sst>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S Reference Sans Serif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/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Frequency</a:t>
            </a:r>
            <a:r>
              <a:rPr lang="en-US" sz="1400" baseline="0"/>
              <a:t> Distribution (Before)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'Passenger Car (Before)'!$H$7</c:f>
              <c:strCache>
                <c:ptCount val="1"/>
                <c:pt idx="0">
                  <c:v>% Freq in Group (%)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'Passenger Car (Before)'!$F$8:$F$25</c:f>
              <c:numCache>
                <c:formatCode>General</c:formatCode>
                <c:ptCount val="18"/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34</c:v>
                </c:pt>
                <c:pt idx="6">
                  <c:v>38</c:v>
                </c:pt>
                <c:pt idx="7">
                  <c:v>42</c:v>
                </c:pt>
                <c:pt idx="8">
                  <c:v>46</c:v>
                </c:pt>
                <c:pt idx="9">
                  <c:v>50</c:v>
                </c:pt>
                <c:pt idx="10">
                  <c:v>54</c:v>
                </c:pt>
                <c:pt idx="11">
                  <c:v>58</c:v>
                </c:pt>
                <c:pt idx="12">
                  <c:v>62</c:v>
                </c:pt>
                <c:pt idx="13">
                  <c:v>66</c:v>
                </c:pt>
                <c:pt idx="14">
                  <c:v>70</c:v>
                </c:pt>
                <c:pt idx="15">
                  <c:v>74</c:v>
                </c:pt>
                <c:pt idx="16">
                  <c:v>78</c:v>
                </c:pt>
                <c:pt idx="17">
                  <c:v>82</c:v>
                </c:pt>
              </c:numCache>
            </c:numRef>
          </c:xVal>
          <c:yVal>
            <c:numRef>
              <c:f>'Passenger Car (Before)'!$H$8:$H$25</c:f>
              <c:numCache>
                <c:formatCode>General</c:formatCode>
                <c:ptCount val="18"/>
                <c:pt idx="2" formatCode="0.0">
                  <c:v>3.0303030303030303</c:v>
                </c:pt>
                <c:pt idx="3" formatCode="0.0">
                  <c:v>1.2121212121212122</c:v>
                </c:pt>
                <c:pt idx="4" formatCode="0.0">
                  <c:v>2.4242424242424243</c:v>
                </c:pt>
                <c:pt idx="5" formatCode="0.0">
                  <c:v>6.0606060606060606</c:v>
                </c:pt>
                <c:pt idx="6" formatCode="0.0">
                  <c:v>6.666666666666667</c:v>
                </c:pt>
                <c:pt idx="7" formatCode="0.0">
                  <c:v>13.333333333333334</c:v>
                </c:pt>
                <c:pt idx="8" formatCode="0.0">
                  <c:v>21.212121212121211</c:v>
                </c:pt>
                <c:pt idx="9" formatCode="0.0">
                  <c:v>23.030303030303031</c:v>
                </c:pt>
                <c:pt idx="10" formatCode="0.0">
                  <c:v>9.0909090909090917</c:v>
                </c:pt>
                <c:pt idx="11" formatCode="0.0">
                  <c:v>4.8484848484848486</c:v>
                </c:pt>
                <c:pt idx="12" formatCode="0.0">
                  <c:v>3.6363636363636362</c:v>
                </c:pt>
                <c:pt idx="13" formatCode="0.0">
                  <c:v>3.6363636363636362</c:v>
                </c:pt>
                <c:pt idx="14" formatCode="0.0">
                  <c:v>1.8181818181818181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E-4E5D-8DB2-EF31689C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94927"/>
        <c:axId val="1292086095"/>
      </c:scatterChart>
      <c:valAx>
        <c:axId val="112099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86095"/>
        <c:crosses val="autoZero"/>
        <c:crossBetween val="midCat"/>
        <c:majorUnit val="5"/>
      </c:valAx>
      <c:valAx>
        <c:axId val="1292086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Frequncy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9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</a:t>
            </a:r>
            <a:r>
              <a:rPr lang="en-US" b="1" baseline="0"/>
              <a:t> Frequency (Before)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'Passenger Car (Before)'!$B$10:$B$25</c:f>
              <c:numCache>
                <c:formatCode>General</c:formatCode>
                <c:ptCount val="16"/>
                <c:pt idx="0">
                  <c:v>24</c:v>
                </c:pt>
                <c:pt idx="1">
                  <c:v>28</c:v>
                </c:pt>
                <c:pt idx="2">
                  <c:v>32</c:v>
                </c:pt>
                <c:pt idx="3">
                  <c:v>36</c:v>
                </c:pt>
                <c:pt idx="4">
                  <c:v>40</c:v>
                </c:pt>
                <c:pt idx="5">
                  <c:v>44</c:v>
                </c:pt>
                <c:pt idx="6">
                  <c:v>48</c:v>
                </c:pt>
                <c:pt idx="7">
                  <c:v>52</c:v>
                </c:pt>
                <c:pt idx="8">
                  <c:v>56</c:v>
                </c:pt>
                <c:pt idx="9">
                  <c:v>60</c:v>
                </c:pt>
                <c:pt idx="10">
                  <c:v>64</c:v>
                </c:pt>
                <c:pt idx="11">
                  <c:v>68</c:v>
                </c:pt>
                <c:pt idx="12">
                  <c:v>72</c:v>
                </c:pt>
                <c:pt idx="13">
                  <c:v>76</c:v>
                </c:pt>
                <c:pt idx="14">
                  <c:v>80</c:v>
                </c:pt>
                <c:pt idx="15">
                  <c:v>84</c:v>
                </c:pt>
              </c:numCache>
            </c:numRef>
          </c:xVal>
          <c:yVal>
            <c:numRef>
              <c:f>'Passenger Car (Before)'!$I$10:$I$25</c:f>
              <c:numCache>
                <c:formatCode>0.0</c:formatCode>
                <c:ptCount val="16"/>
                <c:pt idx="0">
                  <c:v>3.0303030303030303</c:v>
                </c:pt>
                <c:pt idx="1">
                  <c:v>4.2424242424242422</c:v>
                </c:pt>
                <c:pt idx="2">
                  <c:v>6.6666666666666661</c:v>
                </c:pt>
                <c:pt idx="3">
                  <c:v>12.727272727272727</c:v>
                </c:pt>
                <c:pt idx="4">
                  <c:v>19.393939393939394</c:v>
                </c:pt>
                <c:pt idx="5">
                  <c:v>32.727272727272727</c:v>
                </c:pt>
                <c:pt idx="6">
                  <c:v>53.939393939393938</c:v>
                </c:pt>
                <c:pt idx="7">
                  <c:v>76.969696969696969</c:v>
                </c:pt>
                <c:pt idx="8">
                  <c:v>86.060606060606062</c:v>
                </c:pt>
                <c:pt idx="9">
                  <c:v>90.909090909090907</c:v>
                </c:pt>
                <c:pt idx="10">
                  <c:v>94.545454545454547</c:v>
                </c:pt>
                <c:pt idx="11">
                  <c:v>98.181818181818187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98-4F45-AFD3-CC5A9006E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469647"/>
        <c:axId val="1406758415"/>
      </c:scatterChart>
      <c:valAx>
        <c:axId val="140646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58415"/>
        <c:crosses val="autoZero"/>
        <c:crossBetween val="midCat"/>
        <c:majorUnit val="5"/>
      </c:valAx>
      <c:valAx>
        <c:axId val="14067584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cumulative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6964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Frequency Distribution (After)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'Passenger Car (After)'!$F$10:$F$25</c:f>
              <c:numCache>
                <c:formatCode>General</c:formatCode>
                <c:ptCount val="16"/>
                <c:pt idx="0">
                  <c:v>22</c:v>
                </c:pt>
                <c:pt idx="1">
                  <c:v>26</c:v>
                </c:pt>
                <c:pt idx="2">
                  <c:v>30</c:v>
                </c:pt>
                <c:pt idx="3">
                  <c:v>34</c:v>
                </c:pt>
                <c:pt idx="4">
                  <c:v>38</c:v>
                </c:pt>
                <c:pt idx="5">
                  <c:v>42</c:v>
                </c:pt>
                <c:pt idx="6">
                  <c:v>46</c:v>
                </c:pt>
                <c:pt idx="7">
                  <c:v>50</c:v>
                </c:pt>
                <c:pt idx="8">
                  <c:v>54</c:v>
                </c:pt>
                <c:pt idx="9">
                  <c:v>58</c:v>
                </c:pt>
                <c:pt idx="10">
                  <c:v>62</c:v>
                </c:pt>
                <c:pt idx="11">
                  <c:v>66</c:v>
                </c:pt>
                <c:pt idx="12">
                  <c:v>70</c:v>
                </c:pt>
                <c:pt idx="13">
                  <c:v>74</c:v>
                </c:pt>
                <c:pt idx="14">
                  <c:v>78</c:v>
                </c:pt>
                <c:pt idx="15">
                  <c:v>82</c:v>
                </c:pt>
              </c:numCache>
            </c:numRef>
          </c:xVal>
          <c:yVal>
            <c:numRef>
              <c:f>'Passenger Car (After)'!$H$10:$H$25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2.4242424242424243</c:v>
                </c:pt>
                <c:pt idx="3">
                  <c:v>4.2424242424242431</c:v>
                </c:pt>
                <c:pt idx="4">
                  <c:v>4.8484848484848486</c:v>
                </c:pt>
                <c:pt idx="5">
                  <c:v>8.4848484848484862</c:v>
                </c:pt>
                <c:pt idx="6">
                  <c:v>13.333333333333334</c:v>
                </c:pt>
                <c:pt idx="7">
                  <c:v>14.545454545454545</c:v>
                </c:pt>
                <c:pt idx="8">
                  <c:v>21.212121212121211</c:v>
                </c:pt>
                <c:pt idx="9">
                  <c:v>19.393939393939394</c:v>
                </c:pt>
                <c:pt idx="10">
                  <c:v>6.666666666666667</c:v>
                </c:pt>
                <c:pt idx="11">
                  <c:v>3.0303030303030303</c:v>
                </c:pt>
                <c:pt idx="12">
                  <c:v>1.8181818181818181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D-4AD2-949F-A6A11249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310767"/>
        <c:axId val="1042639887"/>
      </c:scatterChart>
      <c:valAx>
        <c:axId val="163131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39887"/>
        <c:crosses val="autoZero"/>
        <c:crossBetween val="midCat"/>
        <c:majorUnit val="5"/>
      </c:valAx>
      <c:valAx>
        <c:axId val="10426398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11295681063124E-2"/>
              <c:y val="0.4278697632308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1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</a:t>
            </a:r>
            <a:r>
              <a:rPr lang="en-US" b="1" baseline="0"/>
              <a:t> Frequency (After)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'Passenger Car (After)'!$B$10:$B$25</c:f>
              <c:numCache>
                <c:formatCode>General</c:formatCode>
                <c:ptCount val="16"/>
                <c:pt idx="0">
                  <c:v>24</c:v>
                </c:pt>
                <c:pt idx="1">
                  <c:v>28</c:v>
                </c:pt>
                <c:pt idx="2">
                  <c:v>32</c:v>
                </c:pt>
                <c:pt idx="3">
                  <c:v>36</c:v>
                </c:pt>
                <c:pt idx="4">
                  <c:v>40</c:v>
                </c:pt>
                <c:pt idx="5">
                  <c:v>44</c:v>
                </c:pt>
                <c:pt idx="6">
                  <c:v>48</c:v>
                </c:pt>
                <c:pt idx="7">
                  <c:v>52</c:v>
                </c:pt>
                <c:pt idx="8">
                  <c:v>56</c:v>
                </c:pt>
                <c:pt idx="9">
                  <c:v>60</c:v>
                </c:pt>
                <c:pt idx="10">
                  <c:v>64</c:v>
                </c:pt>
                <c:pt idx="11">
                  <c:v>68</c:v>
                </c:pt>
                <c:pt idx="12">
                  <c:v>72</c:v>
                </c:pt>
                <c:pt idx="13">
                  <c:v>76</c:v>
                </c:pt>
                <c:pt idx="14">
                  <c:v>80</c:v>
                </c:pt>
                <c:pt idx="15">
                  <c:v>84</c:v>
                </c:pt>
              </c:numCache>
            </c:numRef>
          </c:xVal>
          <c:yVal>
            <c:numRef>
              <c:f>'Passenger Car (After)'!$I$10:$I$25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2.4242424242424243</c:v>
                </c:pt>
                <c:pt idx="3">
                  <c:v>6.6666666666666679</c:v>
                </c:pt>
                <c:pt idx="4">
                  <c:v>11.515151515151516</c:v>
                </c:pt>
                <c:pt idx="5">
                  <c:v>20</c:v>
                </c:pt>
                <c:pt idx="6">
                  <c:v>33.333333333333336</c:v>
                </c:pt>
                <c:pt idx="7">
                  <c:v>47.878787878787882</c:v>
                </c:pt>
                <c:pt idx="8">
                  <c:v>69.090909090909093</c:v>
                </c:pt>
                <c:pt idx="9">
                  <c:v>88.484848484848484</c:v>
                </c:pt>
                <c:pt idx="10">
                  <c:v>95.151515151515156</c:v>
                </c:pt>
                <c:pt idx="11">
                  <c:v>98.181818181818187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25-4CE3-875E-C4999695B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96255"/>
        <c:axId val="1410142815"/>
      </c:scatterChart>
      <c:valAx>
        <c:axId val="14035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42815"/>
        <c:crosses val="autoZero"/>
        <c:crossBetween val="midCat"/>
        <c:majorUnit val="5"/>
      </c:valAx>
      <c:valAx>
        <c:axId val="141014281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Cumulative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625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Frequency Distribution (Before)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'Bus (Before)'!$F$10:$F$25</c:f>
              <c:numCache>
                <c:formatCode>General</c:formatCode>
                <c:ptCount val="16"/>
                <c:pt idx="0">
                  <c:v>22</c:v>
                </c:pt>
                <c:pt idx="1">
                  <c:v>26</c:v>
                </c:pt>
                <c:pt idx="2">
                  <c:v>30</c:v>
                </c:pt>
                <c:pt idx="3">
                  <c:v>34</c:v>
                </c:pt>
                <c:pt idx="4">
                  <c:v>38</c:v>
                </c:pt>
                <c:pt idx="5">
                  <c:v>42</c:v>
                </c:pt>
                <c:pt idx="6">
                  <c:v>46</c:v>
                </c:pt>
                <c:pt idx="7">
                  <c:v>50</c:v>
                </c:pt>
                <c:pt idx="8">
                  <c:v>54</c:v>
                </c:pt>
                <c:pt idx="9">
                  <c:v>58</c:v>
                </c:pt>
                <c:pt idx="10">
                  <c:v>62</c:v>
                </c:pt>
                <c:pt idx="11">
                  <c:v>66</c:v>
                </c:pt>
                <c:pt idx="12">
                  <c:v>70</c:v>
                </c:pt>
                <c:pt idx="13">
                  <c:v>74</c:v>
                </c:pt>
                <c:pt idx="14">
                  <c:v>78</c:v>
                </c:pt>
                <c:pt idx="15">
                  <c:v>82</c:v>
                </c:pt>
              </c:numCache>
            </c:numRef>
          </c:xVal>
          <c:yVal>
            <c:numRef>
              <c:f>'Bus (Before)'!$H$10:$H$25</c:f>
              <c:numCache>
                <c:formatCode>0.0</c:formatCode>
                <c:ptCount val="16"/>
                <c:pt idx="0">
                  <c:v>4.2424242424242431</c:v>
                </c:pt>
                <c:pt idx="1">
                  <c:v>7.2727272727272725</c:v>
                </c:pt>
                <c:pt idx="2">
                  <c:v>10.303030303030303</c:v>
                </c:pt>
                <c:pt idx="3">
                  <c:v>16.969696969696972</c:v>
                </c:pt>
                <c:pt idx="4">
                  <c:v>26.060606060606062</c:v>
                </c:pt>
                <c:pt idx="5">
                  <c:v>20.606060606060606</c:v>
                </c:pt>
                <c:pt idx="6">
                  <c:v>9.0909090909090917</c:v>
                </c:pt>
                <c:pt idx="7">
                  <c:v>3.6363636363636362</c:v>
                </c:pt>
                <c:pt idx="8">
                  <c:v>1.8181818181818181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3-486F-96BB-869BC416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29119"/>
        <c:axId val="1558728959"/>
      </c:scatterChart>
      <c:valAx>
        <c:axId val="11346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28959"/>
        <c:crosses val="autoZero"/>
        <c:crossBetween val="midCat"/>
        <c:majorUnit val="5"/>
      </c:valAx>
      <c:valAx>
        <c:axId val="1558728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2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Cumulative Distribution (Before)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'Bus (Before)'!$B$10:$B$25</c:f>
              <c:numCache>
                <c:formatCode>General</c:formatCode>
                <c:ptCount val="16"/>
                <c:pt idx="0">
                  <c:v>24</c:v>
                </c:pt>
                <c:pt idx="1">
                  <c:v>28</c:v>
                </c:pt>
                <c:pt idx="2">
                  <c:v>32</c:v>
                </c:pt>
                <c:pt idx="3">
                  <c:v>36</c:v>
                </c:pt>
                <c:pt idx="4">
                  <c:v>40</c:v>
                </c:pt>
                <c:pt idx="5">
                  <c:v>44</c:v>
                </c:pt>
                <c:pt idx="6">
                  <c:v>48</c:v>
                </c:pt>
                <c:pt idx="7">
                  <c:v>52</c:v>
                </c:pt>
                <c:pt idx="8">
                  <c:v>56</c:v>
                </c:pt>
                <c:pt idx="9">
                  <c:v>60</c:v>
                </c:pt>
                <c:pt idx="10">
                  <c:v>64</c:v>
                </c:pt>
                <c:pt idx="11">
                  <c:v>68</c:v>
                </c:pt>
                <c:pt idx="12">
                  <c:v>72</c:v>
                </c:pt>
                <c:pt idx="13">
                  <c:v>76</c:v>
                </c:pt>
                <c:pt idx="14">
                  <c:v>80</c:v>
                </c:pt>
                <c:pt idx="15">
                  <c:v>84</c:v>
                </c:pt>
              </c:numCache>
            </c:numRef>
          </c:xVal>
          <c:yVal>
            <c:numRef>
              <c:f>'Bus (Before)'!$I$10:$I$25</c:f>
              <c:numCache>
                <c:formatCode>0.0</c:formatCode>
                <c:ptCount val="16"/>
                <c:pt idx="0">
                  <c:v>4.2424242424242431</c:v>
                </c:pt>
                <c:pt idx="1">
                  <c:v>11.515151515151516</c:v>
                </c:pt>
                <c:pt idx="2">
                  <c:v>21.81818181818182</c:v>
                </c:pt>
                <c:pt idx="3">
                  <c:v>38.787878787878796</c:v>
                </c:pt>
                <c:pt idx="4">
                  <c:v>64.848484848484858</c:v>
                </c:pt>
                <c:pt idx="5">
                  <c:v>85.454545454545467</c:v>
                </c:pt>
                <c:pt idx="6">
                  <c:v>94.545454545454561</c:v>
                </c:pt>
                <c:pt idx="7">
                  <c:v>98.181818181818201</c:v>
                </c:pt>
                <c:pt idx="8">
                  <c:v>100.00000000000001</c:v>
                </c:pt>
                <c:pt idx="9">
                  <c:v>100.00000000000001</c:v>
                </c:pt>
                <c:pt idx="10">
                  <c:v>100.00000000000001</c:v>
                </c:pt>
                <c:pt idx="11">
                  <c:v>100.00000000000001</c:v>
                </c:pt>
                <c:pt idx="12">
                  <c:v>100.00000000000001</c:v>
                </c:pt>
                <c:pt idx="13">
                  <c:v>100.00000000000001</c:v>
                </c:pt>
                <c:pt idx="14">
                  <c:v>100.00000000000001</c:v>
                </c:pt>
                <c:pt idx="15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8-4565-9760-9499FFC2F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461247"/>
        <c:axId val="1406762575"/>
      </c:scatterChart>
      <c:valAx>
        <c:axId val="140646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62575"/>
        <c:crosses val="autoZero"/>
        <c:crossBetween val="midCat"/>
        <c:majorUnit val="5"/>
      </c:valAx>
      <c:valAx>
        <c:axId val="14067625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Cumulative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6124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Frequency</a:t>
            </a:r>
            <a:r>
              <a:rPr lang="en-US" sz="1400" baseline="0"/>
              <a:t> Distribution (After)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'Bus (After)'!$F$10:$F$25</c:f>
              <c:numCache>
                <c:formatCode>General</c:formatCode>
                <c:ptCount val="16"/>
                <c:pt idx="0">
                  <c:v>22</c:v>
                </c:pt>
                <c:pt idx="1">
                  <c:v>26</c:v>
                </c:pt>
                <c:pt idx="2">
                  <c:v>30</c:v>
                </c:pt>
                <c:pt idx="3">
                  <c:v>34</c:v>
                </c:pt>
                <c:pt idx="4">
                  <c:v>38</c:v>
                </c:pt>
                <c:pt idx="5">
                  <c:v>42</c:v>
                </c:pt>
                <c:pt idx="6">
                  <c:v>46</c:v>
                </c:pt>
                <c:pt idx="7">
                  <c:v>50</c:v>
                </c:pt>
                <c:pt idx="8">
                  <c:v>54</c:v>
                </c:pt>
                <c:pt idx="9">
                  <c:v>58</c:v>
                </c:pt>
                <c:pt idx="10">
                  <c:v>62</c:v>
                </c:pt>
                <c:pt idx="11">
                  <c:v>66</c:v>
                </c:pt>
                <c:pt idx="12">
                  <c:v>70</c:v>
                </c:pt>
                <c:pt idx="13">
                  <c:v>74</c:v>
                </c:pt>
                <c:pt idx="14">
                  <c:v>78</c:v>
                </c:pt>
                <c:pt idx="15">
                  <c:v>82</c:v>
                </c:pt>
              </c:numCache>
            </c:numRef>
          </c:xVal>
          <c:yVal>
            <c:numRef>
              <c:f>'Bus (After)'!$H$10:$H$25</c:f>
              <c:numCache>
                <c:formatCode>0.0</c:formatCode>
                <c:ptCount val="16"/>
                <c:pt idx="0">
                  <c:v>1.2121212121212122</c:v>
                </c:pt>
                <c:pt idx="1">
                  <c:v>3.6363636363636362</c:v>
                </c:pt>
                <c:pt idx="2">
                  <c:v>7.878787878787878</c:v>
                </c:pt>
                <c:pt idx="3">
                  <c:v>10.909090909090908</c:v>
                </c:pt>
                <c:pt idx="4">
                  <c:v>20</c:v>
                </c:pt>
                <c:pt idx="5">
                  <c:v>26.060606060606062</c:v>
                </c:pt>
                <c:pt idx="6">
                  <c:v>15.151515151515152</c:v>
                </c:pt>
                <c:pt idx="7">
                  <c:v>9.0909090909090917</c:v>
                </c:pt>
                <c:pt idx="8">
                  <c:v>4.8484848484848486</c:v>
                </c:pt>
                <c:pt idx="9">
                  <c:v>1.2121212121212122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E-44D7-B6F8-6B38CA8F6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332367"/>
        <c:axId val="1042662767"/>
      </c:scatterChart>
      <c:valAx>
        <c:axId val="163133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62767"/>
        <c:crosses val="autoZero"/>
        <c:crossBetween val="midCat"/>
        <c:majorUnit val="5"/>
      </c:valAx>
      <c:valAx>
        <c:axId val="10426627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Freequency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3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Cumulative</a:t>
            </a:r>
            <a:r>
              <a:rPr lang="en-US" sz="1400" baseline="0"/>
              <a:t> Distribution (After)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'Bus (After)'!$B$10:$B$25</c:f>
              <c:numCache>
                <c:formatCode>General</c:formatCode>
                <c:ptCount val="16"/>
                <c:pt idx="0">
                  <c:v>24</c:v>
                </c:pt>
                <c:pt idx="1">
                  <c:v>28</c:v>
                </c:pt>
                <c:pt idx="2">
                  <c:v>32</c:v>
                </c:pt>
                <c:pt idx="3">
                  <c:v>36</c:v>
                </c:pt>
                <c:pt idx="4">
                  <c:v>40</c:v>
                </c:pt>
                <c:pt idx="5">
                  <c:v>44</c:v>
                </c:pt>
                <c:pt idx="6">
                  <c:v>48</c:v>
                </c:pt>
                <c:pt idx="7">
                  <c:v>52</c:v>
                </c:pt>
                <c:pt idx="8">
                  <c:v>56</c:v>
                </c:pt>
                <c:pt idx="9">
                  <c:v>60</c:v>
                </c:pt>
                <c:pt idx="10">
                  <c:v>64</c:v>
                </c:pt>
                <c:pt idx="11">
                  <c:v>68</c:v>
                </c:pt>
                <c:pt idx="12">
                  <c:v>72</c:v>
                </c:pt>
                <c:pt idx="13">
                  <c:v>76</c:v>
                </c:pt>
                <c:pt idx="14">
                  <c:v>80</c:v>
                </c:pt>
                <c:pt idx="15">
                  <c:v>84</c:v>
                </c:pt>
              </c:numCache>
            </c:numRef>
          </c:xVal>
          <c:yVal>
            <c:numRef>
              <c:f>'Bus (After)'!$I$10:$I$25</c:f>
              <c:numCache>
                <c:formatCode>0.0</c:formatCode>
                <c:ptCount val="16"/>
                <c:pt idx="0">
                  <c:v>1.2121212121212122</c:v>
                </c:pt>
                <c:pt idx="1">
                  <c:v>4.8484848484848486</c:v>
                </c:pt>
                <c:pt idx="2">
                  <c:v>12.727272727272727</c:v>
                </c:pt>
                <c:pt idx="3">
                  <c:v>23.636363636363633</c:v>
                </c:pt>
                <c:pt idx="4">
                  <c:v>43.636363636363633</c:v>
                </c:pt>
                <c:pt idx="5">
                  <c:v>69.696969696969688</c:v>
                </c:pt>
                <c:pt idx="6">
                  <c:v>84.848484848484844</c:v>
                </c:pt>
                <c:pt idx="7">
                  <c:v>93.939393939393938</c:v>
                </c:pt>
                <c:pt idx="8">
                  <c:v>98.787878787878782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D-435A-BD47-E5BD7BBAA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318703"/>
        <c:axId val="1406752591"/>
      </c:scatterChart>
      <c:valAx>
        <c:axId val="1556318703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52591"/>
        <c:crosses val="autoZero"/>
        <c:crossBetween val="midCat"/>
        <c:majorUnit val="5"/>
      </c:valAx>
      <c:valAx>
        <c:axId val="14067525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cumulative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1870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9</xdr:row>
      <xdr:rowOff>45720</xdr:rowOff>
    </xdr:from>
    <xdr:to>
      <xdr:col>3</xdr:col>
      <xdr:colOff>251460</xdr:colOff>
      <xdr:row>9</xdr:row>
      <xdr:rowOff>160020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AD072B9-7F31-4A43-B5F8-4118690B11F6}"/>
            </a:ext>
          </a:extLst>
        </xdr:cNvPr>
        <xdr:cNvCxnSpPr/>
      </xdr:nvCxnSpPr>
      <xdr:spPr>
        <a:xfrm flipV="1">
          <a:off x="2941320" y="2179320"/>
          <a:ext cx="220980" cy="1143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975360</xdr:colOff>
      <xdr:row>12</xdr:row>
      <xdr:rowOff>38100</xdr:rowOff>
    </xdr:from>
    <xdr:to>
      <xdr:col>3</xdr:col>
      <xdr:colOff>131085</xdr:colOff>
      <xdr:row>12</xdr:row>
      <xdr:rowOff>166127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146C00-BFDA-4075-9662-708367205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4160" y="27279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937260</xdr:colOff>
      <xdr:row>13</xdr:row>
      <xdr:rowOff>38100</xdr:rowOff>
    </xdr:from>
    <xdr:to>
      <xdr:col>3</xdr:col>
      <xdr:colOff>92985</xdr:colOff>
      <xdr:row>13</xdr:row>
      <xdr:rowOff>166127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AF5309F-5CE8-4F41-8948-552AB6260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6060" y="29108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13</xdr:row>
      <xdr:rowOff>30480</xdr:rowOff>
    </xdr:from>
    <xdr:to>
      <xdr:col>3</xdr:col>
      <xdr:colOff>359685</xdr:colOff>
      <xdr:row>13</xdr:row>
      <xdr:rowOff>158507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DE60B7E-4546-4BE0-9C31-F561B03DF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2760" y="290322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12</xdr:row>
      <xdr:rowOff>53340</xdr:rowOff>
    </xdr:from>
    <xdr:to>
      <xdr:col>3</xdr:col>
      <xdr:colOff>420645</xdr:colOff>
      <xdr:row>12</xdr:row>
      <xdr:rowOff>181367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0E7A7C9-FF81-4494-8FAF-4B7E364AD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3720" y="27432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</xdr:colOff>
      <xdr:row>14</xdr:row>
      <xdr:rowOff>53340</xdr:rowOff>
    </xdr:from>
    <xdr:to>
      <xdr:col>3</xdr:col>
      <xdr:colOff>336825</xdr:colOff>
      <xdr:row>14</xdr:row>
      <xdr:rowOff>181367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5AD5C5C-687F-48C7-8552-D1EEEACB7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0" y="31089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365760</xdr:colOff>
      <xdr:row>14</xdr:row>
      <xdr:rowOff>45720</xdr:rowOff>
    </xdr:from>
    <xdr:to>
      <xdr:col>3</xdr:col>
      <xdr:colOff>603525</xdr:colOff>
      <xdr:row>14</xdr:row>
      <xdr:rowOff>173747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C9B6736-31C1-417C-BC98-069F57F5C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31013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632460</xdr:colOff>
      <xdr:row>14</xdr:row>
      <xdr:rowOff>53340</xdr:rowOff>
    </xdr:from>
    <xdr:to>
      <xdr:col>2</xdr:col>
      <xdr:colOff>870225</xdr:colOff>
      <xdr:row>14</xdr:row>
      <xdr:rowOff>181367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25E9214-3748-4759-8D79-186663F53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1260" y="31089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899160</xdr:colOff>
      <xdr:row>14</xdr:row>
      <xdr:rowOff>38100</xdr:rowOff>
    </xdr:from>
    <xdr:to>
      <xdr:col>3</xdr:col>
      <xdr:colOff>54885</xdr:colOff>
      <xdr:row>14</xdr:row>
      <xdr:rowOff>166127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4B27212-270E-4297-A9B4-F5A787E1A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7960" y="309372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822960</xdr:colOff>
      <xdr:row>17</xdr:row>
      <xdr:rowOff>45720</xdr:rowOff>
    </xdr:from>
    <xdr:to>
      <xdr:col>2</xdr:col>
      <xdr:colOff>1060725</xdr:colOff>
      <xdr:row>17</xdr:row>
      <xdr:rowOff>173747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AD2DF09-ED65-4023-9176-C07372BA9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1760" y="36499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15</xdr:row>
      <xdr:rowOff>38100</xdr:rowOff>
    </xdr:from>
    <xdr:to>
      <xdr:col>2</xdr:col>
      <xdr:colOff>809265</xdr:colOff>
      <xdr:row>15</xdr:row>
      <xdr:rowOff>166127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71CE733-51AC-4DBC-9386-B06312D9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300" y="32766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830580</xdr:colOff>
      <xdr:row>15</xdr:row>
      <xdr:rowOff>22860</xdr:rowOff>
    </xdr:from>
    <xdr:to>
      <xdr:col>2</xdr:col>
      <xdr:colOff>1068345</xdr:colOff>
      <xdr:row>15</xdr:row>
      <xdr:rowOff>150887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167F361-5D62-4B92-A059-11D319A94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9380" y="32613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</xdr:colOff>
      <xdr:row>15</xdr:row>
      <xdr:rowOff>38100</xdr:rowOff>
    </xdr:from>
    <xdr:to>
      <xdr:col>3</xdr:col>
      <xdr:colOff>260625</xdr:colOff>
      <xdr:row>15</xdr:row>
      <xdr:rowOff>166127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76970BF-D82B-46BB-8128-8DDFB83EF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32766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304800</xdr:colOff>
      <xdr:row>15</xdr:row>
      <xdr:rowOff>38100</xdr:rowOff>
    </xdr:from>
    <xdr:to>
      <xdr:col>3</xdr:col>
      <xdr:colOff>542565</xdr:colOff>
      <xdr:row>15</xdr:row>
      <xdr:rowOff>166127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C99100A-EF0A-4156-95A8-005D47BDD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5640" y="32766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556260</xdr:colOff>
      <xdr:row>15</xdr:row>
      <xdr:rowOff>38100</xdr:rowOff>
    </xdr:from>
    <xdr:to>
      <xdr:col>3</xdr:col>
      <xdr:colOff>794025</xdr:colOff>
      <xdr:row>15</xdr:row>
      <xdr:rowOff>166127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618F79B-7D16-4F88-877A-7D7B3AEF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32766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845820</xdr:colOff>
      <xdr:row>15</xdr:row>
      <xdr:rowOff>38100</xdr:rowOff>
    </xdr:from>
    <xdr:to>
      <xdr:col>3</xdr:col>
      <xdr:colOff>1083585</xdr:colOff>
      <xdr:row>15</xdr:row>
      <xdr:rowOff>166127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197A157-690C-4F03-BCC4-D61128132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6660" y="32766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15</xdr:row>
      <xdr:rowOff>38100</xdr:rowOff>
    </xdr:from>
    <xdr:to>
      <xdr:col>2</xdr:col>
      <xdr:colOff>542565</xdr:colOff>
      <xdr:row>15</xdr:row>
      <xdr:rowOff>166127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B8EF1F2-6EDB-4D0F-9A44-01B18CF18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32766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1021080</xdr:colOff>
      <xdr:row>16</xdr:row>
      <xdr:rowOff>53340</xdr:rowOff>
    </xdr:from>
    <xdr:to>
      <xdr:col>3</xdr:col>
      <xdr:colOff>176805</xdr:colOff>
      <xdr:row>16</xdr:row>
      <xdr:rowOff>181367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E37419E-B0BF-4805-A8DE-327AF2DD8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9880" y="347472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175260</xdr:colOff>
      <xdr:row>16</xdr:row>
      <xdr:rowOff>45720</xdr:rowOff>
    </xdr:from>
    <xdr:to>
      <xdr:col>2</xdr:col>
      <xdr:colOff>413025</xdr:colOff>
      <xdr:row>16</xdr:row>
      <xdr:rowOff>173747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7511896-5488-4994-A877-0B47C0DA6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060" y="34671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723900</xdr:colOff>
      <xdr:row>16</xdr:row>
      <xdr:rowOff>38100</xdr:rowOff>
    </xdr:from>
    <xdr:to>
      <xdr:col>2</xdr:col>
      <xdr:colOff>961665</xdr:colOff>
      <xdr:row>16</xdr:row>
      <xdr:rowOff>166127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5707DC2-6C3F-4779-9017-C1AC5E59E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34594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16</xdr:row>
      <xdr:rowOff>45720</xdr:rowOff>
    </xdr:from>
    <xdr:to>
      <xdr:col>2</xdr:col>
      <xdr:colOff>694965</xdr:colOff>
      <xdr:row>16</xdr:row>
      <xdr:rowOff>173747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70AF140-5E9D-4C01-B45A-F61839CEA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34671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</xdr:colOff>
      <xdr:row>17</xdr:row>
      <xdr:rowOff>22860</xdr:rowOff>
    </xdr:from>
    <xdr:to>
      <xdr:col>3</xdr:col>
      <xdr:colOff>260625</xdr:colOff>
      <xdr:row>17</xdr:row>
      <xdr:rowOff>150887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F48744F-5787-40E9-935E-92F403814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362712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</xdr:colOff>
      <xdr:row>16</xdr:row>
      <xdr:rowOff>38100</xdr:rowOff>
    </xdr:from>
    <xdr:to>
      <xdr:col>3</xdr:col>
      <xdr:colOff>435885</xdr:colOff>
      <xdr:row>16</xdr:row>
      <xdr:rowOff>166127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2DE9968-F14F-425E-A958-5F076EA02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8960" y="34594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1066800</xdr:colOff>
      <xdr:row>19</xdr:row>
      <xdr:rowOff>60960</xdr:rowOff>
    </xdr:from>
    <xdr:to>
      <xdr:col>3</xdr:col>
      <xdr:colOff>222525</xdr:colOff>
      <xdr:row>20</xdr:row>
      <xdr:rowOff>6107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61522B2-9206-4721-8EB9-666B5FD76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0" y="40309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746760</xdr:colOff>
      <xdr:row>16</xdr:row>
      <xdr:rowOff>22860</xdr:rowOff>
    </xdr:from>
    <xdr:to>
      <xdr:col>3</xdr:col>
      <xdr:colOff>984525</xdr:colOff>
      <xdr:row>16</xdr:row>
      <xdr:rowOff>150887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792A889-546A-4682-B6AA-5F58A24A5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34442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312420</xdr:colOff>
      <xdr:row>17</xdr:row>
      <xdr:rowOff>38100</xdr:rowOff>
    </xdr:from>
    <xdr:to>
      <xdr:col>3</xdr:col>
      <xdr:colOff>550185</xdr:colOff>
      <xdr:row>17</xdr:row>
      <xdr:rowOff>166127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B8ED6D1-3999-4D28-BB68-606900E6D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3260" y="36423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1074420</xdr:colOff>
      <xdr:row>20</xdr:row>
      <xdr:rowOff>45720</xdr:rowOff>
    </xdr:from>
    <xdr:to>
      <xdr:col>3</xdr:col>
      <xdr:colOff>230145</xdr:colOff>
      <xdr:row>20</xdr:row>
      <xdr:rowOff>173747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FF1F904-E18D-464C-BED0-567E0DCAB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3220" y="419862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16</xdr:row>
      <xdr:rowOff>38100</xdr:rowOff>
    </xdr:from>
    <xdr:to>
      <xdr:col>3</xdr:col>
      <xdr:colOff>694965</xdr:colOff>
      <xdr:row>16</xdr:row>
      <xdr:rowOff>166127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6A38C4C-F671-4DA5-863D-BAE205462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8040" y="34594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1028700</xdr:colOff>
      <xdr:row>18</xdr:row>
      <xdr:rowOff>53340</xdr:rowOff>
    </xdr:from>
    <xdr:to>
      <xdr:col>3</xdr:col>
      <xdr:colOff>184425</xdr:colOff>
      <xdr:row>18</xdr:row>
      <xdr:rowOff>181367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D095744-87B4-466E-B34C-D80985A1C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3840480"/>
          <a:ext cx="237765" cy="128027"/>
        </a:xfrm>
        <a:prstGeom prst="rect">
          <a:avLst/>
        </a:prstGeom>
      </xdr:spPr>
    </xdr:pic>
    <xdr:clientData/>
  </xdr:twoCellAnchor>
  <xdr:twoCellAnchor>
    <xdr:from>
      <xdr:col>0</xdr:col>
      <xdr:colOff>7620</xdr:colOff>
      <xdr:row>26</xdr:row>
      <xdr:rowOff>175260</xdr:rowOff>
    </xdr:from>
    <xdr:to>
      <xdr:col>10</xdr:col>
      <xdr:colOff>601980</xdr:colOff>
      <xdr:row>50</xdr:row>
      <xdr:rowOff>15240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59D5D673-B6DD-405C-810D-0E8E6B916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</xdr:colOff>
      <xdr:row>52</xdr:row>
      <xdr:rowOff>0</xdr:rowOff>
    </xdr:from>
    <xdr:to>
      <xdr:col>11</xdr:col>
      <xdr:colOff>38100</xdr:colOff>
      <xdr:row>76</xdr:row>
      <xdr:rowOff>7620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4E74CA8-D632-43BB-8670-CBB320D20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556260</xdr:colOff>
      <xdr:row>33</xdr:row>
      <xdr:rowOff>45720</xdr:rowOff>
    </xdr:from>
    <xdr:to>
      <xdr:col>4</xdr:col>
      <xdr:colOff>899160</xdr:colOff>
      <xdr:row>33</xdr:row>
      <xdr:rowOff>53340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BA5AA8E9-BD15-407D-B88B-0FA8F1B4218D}"/>
            </a:ext>
          </a:extLst>
        </xdr:cNvPr>
        <xdr:cNvCxnSpPr/>
      </xdr:nvCxnSpPr>
      <xdr:spPr>
        <a:xfrm flipH="1">
          <a:off x="556260" y="6568440"/>
          <a:ext cx="4617720" cy="762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906780</xdr:colOff>
      <xdr:row>33</xdr:row>
      <xdr:rowOff>45720</xdr:rowOff>
    </xdr:from>
    <xdr:to>
      <xdr:col>4</xdr:col>
      <xdr:colOff>906780</xdr:colOff>
      <xdr:row>47</xdr:row>
      <xdr:rowOff>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6EF43F98-2077-4401-86ED-6150E0056271}"/>
            </a:ext>
          </a:extLst>
        </xdr:cNvPr>
        <xdr:cNvCxnSpPr/>
      </xdr:nvCxnSpPr>
      <xdr:spPr>
        <a:xfrm>
          <a:off x="5181600" y="6568440"/>
          <a:ext cx="0" cy="25146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38</xdr:row>
      <xdr:rowOff>129540</xdr:rowOff>
    </xdr:from>
    <xdr:to>
      <xdr:col>5</xdr:col>
      <xdr:colOff>167640</xdr:colOff>
      <xdr:row>38</xdr:row>
      <xdr:rowOff>129540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442C8190-BC69-432B-8D0D-839086DF6E15}"/>
            </a:ext>
          </a:extLst>
        </xdr:cNvPr>
        <xdr:cNvCxnSpPr/>
      </xdr:nvCxnSpPr>
      <xdr:spPr>
        <a:xfrm>
          <a:off x="4579620" y="7566660"/>
          <a:ext cx="929640" cy="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175260</xdr:colOff>
      <xdr:row>38</xdr:row>
      <xdr:rowOff>129540</xdr:rowOff>
    </xdr:from>
    <xdr:to>
      <xdr:col>5</xdr:col>
      <xdr:colOff>190500</xdr:colOff>
      <xdr:row>47</xdr:row>
      <xdr:rowOff>30480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3A0080FA-73F4-464A-8B35-3799FA0B86A8}"/>
            </a:ext>
          </a:extLst>
        </xdr:cNvPr>
        <xdr:cNvCxnSpPr/>
      </xdr:nvCxnSpPr>
      <xdr:spPr>
        <a:xfrm>
          <a:off x="5516880" y="7566660"/>
          <a:ext cx="15240" cy="1546860"/>
        </a:xfrm>
        <a:prstGeom prst="line">
          <a:avLst/>
        </a:prstGeom>
        <a:ln w="952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38</xdr:row>
      <xdr:rowOff>129540</xdr:rowOff>
    </xdr:from>
    <xdr:to>
      <xdr:col>4</xdr:col>
      <xdr:colOff>297180</xdr:colOff>
      <xdr:row>47</xdr:row>
      <xdr:rowOff>22860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27ABD242-F1A9-48D2-AD33-A410D638F320}"/>
            </a:ext>
          </a:extLst>
        </xdr:cNvPr>
        <xdr:cNvCxnSpPr/>
      </xdr:nvCxnSpPr>
      <xdr:spPr>
        <a:xfrm flipH="1">
          <a:off x="4564380" y="7566660"/>
          <a:ext cx="7620" cy="153924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762000</xdr:colOff>
      <xdr:row>58</xdr:row>
      <xdr:rowOff>129540</xdr:rowOff>
    </xdr:from>
    <xdr:to>
      <xdr:col>5</xdr:col>
      <xdr:colOff>243840</xdr:colOff>
      <xdr:row>58</xdr:row>
      <xdr:rowOff>137160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A306816-2F67-4324-906F-8B62E15C07D3}"/>
            </a:ext>
          </a:extLst>
        </xdr:cNvPr>
        <xdr:cNvCxnSpPr/>
      </xdr:nvCxnSpPr>
      <xdr:spPr>
        <a:xfrm>
          <a:off x="762000" y="11224260"/>
          <a:ext cx="48234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58</xdr:row>
      <xdr:rowOff>129540</xdr:rowOff>
    </xdr:from>
    <xdr:to>
      <xdr:col>5</xdr:col>
      <xdr:colOff>236220</xdr:colOff>
      <xdr:row>72</xdr:row>
      <xdr:rowOff>167640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F6AB50B4-96C6-4FB5-910D-F21631C038FB}"/>
            </a:ext>
          </a:extLst>
        </xdr:cNvPr>
        <xdr:cNvCxnSpPr/>
      </xdr:nvCxnSpPr>
      <xdr:spPr>
        <a:xfrm>
          <a:off x="5570220" y="11224260"/>
          <a:ext cx="7620" cy="25984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769620</xdr:colOff>
      <xdr:row>70</xdr:row>
      <xdr:rowOff>15240</xdr:rowOff>
    </xdr:from>
    <xdr:to>
      <xdr:col>3</xdr:col>
      <xdr:colOff>1341120</xdr:colOff>
      <xdr:row>70</xdr:row>
      <xdr:rowOff>30480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6EFB22EC-97D0-4AB6-A494-8C28B3A1A45D}"/>
            </a:ext>
          </a:extLst>
        </xdr:cNvPr>
        <xdr:cNvCxnSpPr/>
      </xdr:nvCxnSpPr>
      <xdr:spPr>
        <a:xfrm>
          <a:off x="769620" y="13304520"/>
          <a:ext cx="348234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70</xdr:row>
      <xdr:rowOff>38100</xdr:rowOff>
    </xdr:from>
    <xdr:to>
      <xdr:col>3</xdr:col>
      <xdr:colOff>1341120</xdr:colOff>
      <xdr:row>72</xdr:row>
      <xdr:rowOff>167640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5AA4D721-A0F7-42BB-BE08-430077F3A04A}"/>
            </a:ext>
          </a:extLst>
        </xdr:cNvPr>
        <xdr:cNvCxnSpPr/>
      </xdr:nvCxnSpPr>
      <xdr:spPr>
        <a:xfrm>
          <a:off x="4244340" y="13327380"/>
          <a:ext cx="7620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769620</xdr:colOff>
      <xdr:row>63</xdr:row>
      <xdr:rowOff>137160</xdr:rowOff>
    </xdr:from>
    <xdr:to>
      <xdr:col>4</xdr:col>
      <xdr:colOff>868680</xdr:colOff>
      <xdr:row>63</xdr:row>
      <xdr:rowOff>137160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A5DF3127-4705-4211-9ABA-8F86DE2A6EB8}"/>
            </a:ext>
          </a:extLst>
        </xdr:cNvPr>
        <xdr:cNvCxnSpPr/>
      </xdr:nvCxnSpPr>
      <xdr:spPr>
        <a:xfrm>
          <a:off x="769620" y="12146280"/>
          <a:ext cx="43738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868680</xdr:colOff>
      <xdr:row>63</xdr:row>
      <xdr:rowOff>129540</xdr:rowOff>
    </xdr:from>
    <xdr:to>
      <xdr:col>4</xdr:col>
      <xdr:colOff>883920</xdr:colOff>
      <xdr:row>72</xdr:row>
      <xdr:rowOff>175260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F8B3F963-D5EE-4016-8DED-B0FDB1E2751B}"/>
            </a:ext>
          </a:extLst>
        </xdr:cNvPr>
        <xdr:cNvCxnSpPr/>
      </xdr:nvCxnSpPr>
      <xdr:spPr>
        <a:xfrm>
          <a:off x="5143500" y="12138660"/>
          <a:ext cx="15240" cy="16916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1059180</xdr:colOff>
      <xdr:row>12</xdr:row>
      <xdr:rowOff>45720</xdr:rowOff>
    </xdr:from>
    <xdr:to>
      <xdr:col>3</xdr:col>
      <xdr:colOff>161565</xdr:colOff>
      <xdr:row>12</xdr:row>
      <xdr:rowOff>173747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CC27CEC-C670-4FC5-ACC7-32B7BBF0A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0840" y="27051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1005840</xdr:colOff>
      <xdr:row>13</xdr:row>
      <xdr:rowOff>38100</xdr:rowOff>
    </xdr:from>
    <xdr:to>
      <xdr:col>3</xdr:col>
      <xdr:colOff>108225</xdr:colOff>
      <xdr:row>13</xdr:row>
      <xdr:rowOff>166127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99E02F2-3B7E-41E0-AAAF-436DE9B6A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28803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</xdr:colOff>
      <xdr:row>18</xdr:row>
      <xdr:rowOff>45720</xdr:rowOff>
    </xdr:from>
    <xdr:to>
      <xdr:col>3</xdr:col>
      <xdr:colOff>291105</xdr:colOff>
      <xdr:row>18</xdr:row>
      <xdr:rowOff>173747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886BE7A-2949-4864-B7B4-CDA2DD16C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0380" y="38023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320040</xdr:colOff>
      <xdr:row>18</xdr:row>
      <xdr:rowOff>38100</xdr:rowOff>
    </xdr:from>
    <xdr:to>
      <xdr:col>3</xdr:col>
      <xdr:colOff>557805</xdr:colOff>
      <xdr:row>18</xdr:row>
      <xdr:rowOff>166127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440BA1E-F4FE-42F5-A0BA-524FAEB1D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7080" y="37947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632460</xdr:colOff>
      <xdr:row>18</xdr:row>
      <xdr:rowOff>30480</xdr:rowOff>
    </xdr:from>
    <xdr:to>
      <xdr:col>2</xdr:col>
      <xdr:colOff>870225</xdr:colOff>
      <xdr:row>18</xdr:row>
      <xdr:rowOff>158507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A2BAAEE-A1D1-48CA-955D-8937B284C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4120" y="37871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19</xdr:row>
      <xdr:rowOff>45720</xdr:rowOff>
    </xdr:from>
    <xdr:to>
      <xdr:col>3</xdr:col>
      <xdr:colOff>313965</xdr:colOff>
      <xdr:row>19</xdr:row>
      <xdr:rowOff>173747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70ADB3D-8FA3-4238-971C-15B3757A0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3240" y="39852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1104900</xdr:colOff>
      <xdr:row>14</xdr:row>
      <xdr:rowOff>53340</xdr:rowOff>
    </xdr:from>
    <xdr:to>
      <xdr:col>3</xdr:col>
      <xdr:colOff>207285</xdr:colOff>
      <xdr:row>15</xdr:row>
      <xdr:rowOff>2073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7DC6F51-B326-464A-9EEF-D10D53DBE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6560" y="30784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845820</xdr:colOff>
      <xdr:row>14</xdr:row>
      <xdr:rowOff>53340</xdr:rowOff>
    </xdr:from>
    <xdr:to>
      <xdr:col>2</xdr:col>
      <xdr:colOff>1083585</xdr:colOff>
      <xdr:row>15</xdr:row>
      <xdr:rowOff>2073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2B56B58-04BB-4AA7-8954-ACF91EDF0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7480" y="30784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822960</xdr:colOff>
      <xdr:row>17</xdr:row>
      <xdr:rowOff>45720</xdr:rowOff>
    </xdr:from>
    <xdr:to>
      <xdr:col>2</xdr:col>
      <xdr:colOff>1060725</xdr:colOff>
      <xdr:row>17</xdr:row>
      <xdr:rowOff>173747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8AA4209-4E0D-4A24-86BF-3B85973A0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1760" y="36499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914400</xdr:colOff>
      <xdr:row>18</xdr:row>
      <xdr:rowOff>38100</xdr:rowOff>
    </xdr:from>
    <xdr:to>
      <xdr:col>3</xdr:col>
      <xdr:colOff>16785</xdr:colOff>
      <xdr:row>18</xdr:row>
      <xdr:rowOff>166127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BA3CD77-6D71-444D-B516-4736BE32B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6060" y="37947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17</xdr:row>
      <xdr:rowOff>53340</xdr:rowOff>
    </xdr:from>
    <xdr:to>
      <xdr:col>2</xdr:col>
      <xdr:colOff>809265</xdr:colOff>
      <xdr:row>18</xdr:row>
      <xdr:rowOff>2073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388E9B2-2882-4F3A-9F5B-E8CA08DB6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3160" y="362712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259080</xdr:colOff>
      <xdr:row>17</xdr:row>
      <xdr:rowOff>45720</xdr:rowOff>
    </xdr:from>
    <xdr:to>
      <xdr:col>3</xdr:col>
      <xdr:colOff>496845</xdr:colOff>
      <xdr:row>17</xdr:row>
      <xdr:rowOff>173747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21C04F3-EDE6-43DE-A954-81EB804D5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6120" y="36195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304800</xdr:colOff>
      <xdr:row>15</xdr:row>
      <xdr:rowOff>38100</xdr:rowOff>
    </xdr:from>
    <xdr:to>
      <xdr:col>3</xdr:col>
      <xdr:colOff>542565</xdr:colOff>
      <xdr:row>15</xdr:row>
      <xdr:rowOff>166127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02C46D8-59DB-4820-AD49-467F44B54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5640" y="32766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525780</xdr:colOff>
      <xdr:row>17</xdr:row>
      <xdr:rowOff>30480</xdr:rowOff>
    </xdr:from>
    <xdr:to>
      <xdr:col>3</xdr:col>
      <xdr:colOff>763545</xdr:colOff>
      <xdr:row>17</xdr:row>
      <xdr:rowOff>158507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5ED9F80-EE43-432C-8753-C965F86A0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2820" y="36042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822960</xdr:colOff>
      <xdr:row>17</xdr:row>
      <xdr:rowOff>45720</xdr:rowOff>
    </xdr:from>
    <xdr:to>
      <xdr:col>3</xdr:col>
      <xdr:colOff>1060725</xdr:colOff>
      <xdr:row>17</xdr:row>
      <xdr:rowOff>173747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8B73242-8958-46B6-8E43-E6DDCAF18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36195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297180</xdr:colOff>
      <xdr:row>17</xdr:row>
      <xdr:rowOff>38100</xdr:rowOff>
    </xdr:from>
    <xdr:to>
      <xdr:col>2</xdr:col>
      <xdr:colOff>534945</xdr:colOff>
      <xdr:row>17</xdr:row>
      <xdr:rowOff>166127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B41A785-770C-4195-A8E2-70CBD7C52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8840" y="36118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53340</xdr:rowOff>
    </xdr:from>
    <xdr:to>
      <xdr:col>3</xdr:col>
      <xdr:colOff>237765</xdr:colOff>
      <xdr:row>17</xdr:row>
      <xdr:rowOff>2073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F2ED855D-A989-4782-B5E0-65FDD77B1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7040" y="34442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640080</xdr:colOff>
      <xdr:row>15</xdr:row>
      <xdr:rowOff>60960</xdr:rowOff>
    </xdr:from>
    <xdr:to>
      <xdr:col>2</xdr:col>
      <xdr:colOff>877845</xdr:colOff>
      <xdr:row>16</xdr:row>
      <xdr:rowOff>6107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BEF08A8-B2FF-4426-BCF4-75C0FD9AD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1740" y="32689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845820</xdr:colOff>
      <xdr:row>16</xdr:row>
      <xdr:rowOff>38100</xdr:rowOff>
    </xdr:from>
    <xdr:to>
      <xdr:col>2</xdr:col>
      <xdr:colOff>1083585</xdr:colOff>
      <xdr:row>16</xdr:row>
      <xdr:rowOff>166127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28C29549-3DAB-48F5-84CB-8A616EAC1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7480" y="34290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579120</xdr:colOff>
      <xdr:row>16</xdr:row>
      <xdr:rowOff>53340</xdr:rowOff>
    </xdr:from>
    <xdr:to>
      <xdr:col>2</xdr:col>
      <xdr:colOff>816885</xdr:colOff>
      <xdr:row>17</xdr:row>
      <xdr:rowOff>2073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C745430-4D95-4E0B-927D-915724773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0780" y="34442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</xdr:colOff>
      <xdr:row>17</xdr:row>
      <xdr:rowOff>22860</xdr:rowOff>
    </xdr:from>
    <xdr:to>
      <xdr:col>3</xdr:col>
      <xdr:colOff>260625</xdr:colOff>
      <xdr:row>17</xdr:row>
      <xdr:rowOff>150887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BF036A7-B3D8-408F-B439-0B86BF041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362712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274320</xdr:colOff>
      <xdr:row>16</xdr:row>
      <xdr:rowOff>45720</xdr:rowOff>
    </xdr:from>
    <xdr:to>
      <xdr:col>3</xdr:col>
      <xdr:colOff>512085</xdr:colOff>
      <xdr:row>16</xdr:row>
      <xdr:rowOff>173747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2E7E02E-0F47-4F44-B316-46FE13BE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1360" y="343662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937260</xdr:colOff>
      <xdr:row>19</xdr:row>
      <xdr:rowOff>45720</xdr:rowOff>
    </xdr:from>
    <xdr:to>
      <xdr:col>3</xdr:col>
      <xdr:colOff>39645</xdr:colOff>
      <xdr:row>19</xdr:row>
      <xdr:rowOff>173747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533B4F8-354C-46A1-B43F-6EFD63C08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8920" y="39852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914400</xdr:colOff>
      <xdr:row>15</xdr:row>
      <xdr:rowOff>53340</xdr:rowOff>
    </xdr:from>
    <xdr:to>
      <xdr:col>3</xdr:col>
      <xdr:colOff>16785</xdr:colOff>
      <xdr:row>16</xdr:row>
      <xdr:rowOff>2073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9236F37F-4085-4C97-AD7F-A01FA3AB4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6060" y="32613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601980</xdr:colOff>
      <xdr:row>18</xdr:row>
      <xdr:rowOff>38100</xdr:rowOff>
    </xdr:from>
    <xdr:to>
      <xdr:col>3</xdr:col>
      <xdr:colOff>839745</xdr:colOff>
      <xdr:row>18</xdr:row>
      <xdr:rowOff>166127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757ABE-2039-4D8F-B848-F9C5EBA4B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9020" y="37947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1112520</xdr:colOff>
      <xdr:row>20</xdr:row>
      <xdr:rowOff>53340</xdr:rowOff>
    </xdr:from>
    <xdr:to>
      <xdr:col>3</xdr:col>
      <xdr:colOff>214905</xdr:colOff>
      <xdr:row>21</xdr:row>
      <xdr:rowOff>2072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2235A4-FDDA-4E1F-9866-BD501C82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4180" y="41757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</xdr:colOff>
      <xdr:row>15</xdr:row>
      <xdr:rowOff>45720</xdr:rowOff>
    </xdr:from>
    <xdr:to>
      <xdr:col>3</xdr:col>
      <xdr:colOff>291105</xdr:colOff>
      <xdr:row>15</xdr:row>
      <xdr:rowOff>173747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263756F-7B6A-47B8-A9DC-5A801901A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0380" y="32537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358140</xdr:colOff>
      <xdr:row>18</xdr:row>
      <xdr:rowOff>38100</xdr:rowOff>
    </xdr:from>
    <xdr:to>
      <xdr:col>2</xdr:col>
      <xdr:colOff>595905</xdr:colOff>
      <xdr:row>18</xdr:row>
      <xdr:rowOff>166127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9D1A44B-6C4B-4D6D-AD4B-5D0AB9EAB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0" y="3794760"/>
          <a:ext cx="237765" cy="128027"/>
        </a:xfrm>
        <a:prstGeom prst="rect">
          <a:avLst/>
        </a:prstGeom>
      </xdr:spPr>
    </xdr:pic>
    <xdr:clientData/>
  </xdr:twoCellAnchor>
  <xdr:twoCellAnchor>
    <xdr:from>
      <xdr:col>0</xdr:col>
      <xdr:colOff>7620</xdr:colOff>
      <xdr:row>28</xdr:row>
      <xdr:rowOff>0</xdr:rowOff>
    </xdr:from>
    <xdr:to>
      <xdr:col>11</xdr:col>
      <xdr:colOff>15240</xdr:colOff>
      <xdr:row>51</xdr:row>
      <xdr:rowOff>167640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4C4FA9A-CBFF-4B7C-B9B1-9CDDC7B0F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</xdr:colOff>
      <xdr:row>54</xdr:row>
      <xdr:rowOff>15240</xdr:rowOff>
    </xdr:from>
    <xdr:to>
      <xdr:col>11</xdr:col>
      <xdr:colOff>0</xdr:colOff>
      <xdr:row>78</xdr:row>
      <xdr:rowOff>99060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CA5732F6-B7A0-4D33-9EB8-56F3DF247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250371</xdr:colOff>
      <xdr:row>33</xdr:row>
      <xdr:rowOff>21772</xdr:rowOff>
    </xdr:from>
    <xdr:to>
      <xdr:col>5</xdr:col>
      <xdr:colOff>250371</xdr:colOff>
      <xdr:row>48</xdr:row>
      <xdr:rowOff>163285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2C1FD8C9-624C-4164-B2EF-D2556981DD10}"/>
            </a:ext>
          </a:extLst>
        </xdr:cNvPr>
        <xdr:cNvCxnSpPr/>
      </xdr:nvCxnSpPr>
      <xdr:spPr>
        <a:xfrm>
          <a:off x="5736771" y="6596743"/>
          <a:ext cx="0" cy="29173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947056</xdr:colOff>
      <xdr:row>38</xdr:row>
      <xdr:rowOff>54429</xdr:rowOff>
    </xdr:from>
    <xdr:to>
      <xdr:col>6</xdr:col>
      <xdr:colOff>97971</xdr:colOff>
      <xdr:row>38</xdr:row>
      <xdr:rowOff>54429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22DAAEFF-0520-496E-AC99-423654659FB3}"/>
            </a:ext>
          </a:extLst>
        </xdr:cNvPr>
        <xdr:cNvCxnSpPr/>
      </xdr:nvCxnSpPr>
      <xdr:spPr>
        <a:xfrm>
          <a:off x="5279570" y="7554686"/>
          <a:ext cx="91440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784412</xdr:colOff>
      <xdr:row>72</xdr:row>
      <xdr:rowOff>104588</xdr:rowOff>
    </xdr:from>
    <xdr:to>
      <xdr:col>4</xdr:col>
      <xdr:colOff>283883</xdr:colOff>
      <xdr:row>72</xdr:row>
      <xdr:rowOff>104588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14C38E10-B241-4390-A820-ED4450BEC6CD}"/>
            </a:ext>
          </a:extLst>
        </xdr:cNvPr>
        <xdr:cNvCxnSpPr/>
      </xdr:nvCxnSpPr>
      <xdr:spPr>
        <a:xfrm>
          <a:off x="784412" y="13484412"/>
          <a:ext cx="383241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283883</xdr:colOff>
      <xdr:row>72</xdr:row>
      <xdr:rowOff>104588</xdr:rowOff>
    </xdr:from>
    <xdr:to>
      <xdr:col>4</xdr:col>
      <xdr:colOff>291353</xdr:colOff>
      <xdr:row>75</xdr:row>
      <xdr:rowOff>74706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CE8CAADC-31C1-49D1-8B47-81096D5EDD5F}"/>
            </a:ext>
          </a:extLst>
        </xdr:cNvPr>
        <xdr:cNvCxnSpPr/>
      </xdr:nvCxnSpPr>
      <xdr:spPr>
        <a:xfrm>
          <a:off x="4616824" y="13484412"/>
          <a:ext cx="7470" cy="508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784412</xdr:colOff>
      <xdr:row>66</xdr:row>
      <xdr:rowOff>7470</xdr:rowOff>
    </xdr:from>
    <xdr:to>
      <xdr:col>5</xdr:col>
      <xdr:colOff>89647</xdr:colOff>
      <xdr:row>66</xdr:row>
      <xdr:rowOff>14941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682A6C1C-D3D8-4141-9008-513A5A99D633}"/>
            </a:ext>
          </a:extLst>
        </xdr:cNvPr>
        <xdr:cNvCxnSpPr/>
      </xdr:nvCxnSpPr>
      <xdr:spPr>
        <a:xfrm>
          <a:off x="784412" y="12311529"/>
          <a:ext cx="4796117" cy="74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89647</xdr:colOff>
      <xdr:row>66</xdr:row>
      <xdr:rowOff>7470</xdr:rowOff>
    </xdr:from>
    <xdr:to>
      <xdr:col>5</xdr:col>
      <xdr:colOff>97118</xdr:colOff>
      <xdr:row>75</xdr:row>
      <xdr:rowOff>82176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968DECDE-83B9-4B8E-A87A-73B44F58E64E}"/>
            </a:ext>
          </a:extLst>
        </xdr:cNvPr>
        <xdr:cNvCxnSpPr/>
      </xdr:nvCxnSpPr>
      <xdr:spPr>
        <a:xfrm>
          <a:off x="5580529" y="12311529"/>
          <a:ext cx="7471" cy="168835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791882</xdr:colOff>
      <xdr:row>59</xdr:row>
      <xdr:rowOff>82176</xdr:rowOff>
    </xdr:from>
    <xdr:to>
      <xdr:col>6</xdr:col>
      <xdr:colOff>67235</xdr:colOff>
      <xdr:row>59</xdr:row>
      <xdr:rowOff>89647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CDBC74CD-BB9A-4F00-A050-A8DF0AFC9FDD}"/>
            </a:ext>
          </a:extLst>
        </xdr:cNvPr>
        <xdr:cNvCxnSpPr/>
      </xdr:nvCxnSpPr>
      <xdr:spPr>
        <a:xfrm>
          <a:off x="791882" y="11131176"/>
          <a:ext cx="5378824" cy="74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67235</xdr:colOff>
      <xdr:row>59</xdr:row>
      <xdr:rowOff>97118</xdr:rowOff>
    </xdr:from>
    <xdr:to>
      <xdr:col>6</xdr:col>
      <xdr:colOff>67235</xdr:colOff>
      <xdr:row>75</xdr:row>
      <xdr:rowOff>74706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C02C823F-8B66-46C9-AF6D-347746E45897}"/>
            </a:ext>
          </a:extLst>
        </xdr:cNvPr>
        <xdr:cNvCxnSpPr/>
      </xdr:nvCxnSpPr>
      <xdr:spPr>
        <a:xfrm>
          <a:off x="6170706" y="11146118"/>
          <a:ext cx="0" cy="28462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1226820</xdr:colOff>
      <xdr:row>9</xdr:row>
      <xdr:rowOff>38100</xdr:rowOff>
    </xdr:from>
    <xdr:to>
      <xdr:col>2</xdr:col>
      <xdr:colOff>1464585</xdr:colOff>
      <xdr:row>9</xdr:row>
      <xdr:rowOff>166127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D890E4D-E5F4-4A46-8642-28E5159E5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7540" y="24155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1219200</xdr:colOff>
      <xdr:row>12</xdr:row>
      <xdr:rowOff>38100</xdr:rowOff>
    </xdr:from>
    <xdr:to>
      <xdr:col>2</xdr:col>
      <xdr:colOff>1456965</xdr:colOff>
      <xdr:row>12</xdr:row>
      <xdr:rowOff>166127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593B18E-B085-47C2-8211-84AD32E4F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9920" y="29641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510540</xdr:colOff>
      <xdr:row>14</xdr:row>
      <xdr:rowOff>38100</xdr:rowOff>
    </xdr:from>
    <xdr:to>
      <xdr:col>2</xdr:col>
      <xdr:colOff>748305</xdr:colOff>
      <xdr:row>14</xdr:row>
      <xdr:rowOff>166127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F9223E8-60C5-40A3-8CF8-9CD278331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1260" y="33299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1318260</xdr:colOff>
      <xdr:row>15</xdr:row>
      <xdr:rowOff>38100</xdr:rowOff>
    </xdr:from>
    <xdr:to>
      <xdr:col>2</xdr:col>
      <xdr:colOff>1556025</xdr:colOff>
      <xdr:row>15</xdr:row>
      <xdr:rowOff>166127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C5C7DF8-423B-4CAB-B5C8-DAF402AB1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8980" y="351282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</xdr:colOff>
      <xdr:row>13</xdr:row>
      <xdr:rowOff>45720</xdr:rowOff>
    </xdr:from>
    <xdr:to>
      <xdr:col>3</xdr:col>
      <xdr:colOff>283485</xdr:colOff>
      <xdr:row>13</xdr:row>
      <xdr:rowOff>173747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2A6C8EE-1172-47C3-9B87-48C40D005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3780" y="31546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769620</xdr:colOff>
      <xdr:row>14</xdr:row>
      <xdr:rowOff>38100</xdr:rowOff>
    </xdr:from>
    <xdr:to>
      <xdr:col>2</xdr:col>
      <xdr:colOff>1007385</xdr:colOff>
      <xdr:row>14</xdr:row>
      <xdr:rowOff>166127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CCECB01-CE2C-4FA0-BF56-0D6CC1E40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0340" y="33299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1112520</xdr:colOff>
      <xdr:row>10</xdr:row>
      <xdr:rowOff>53340</xdr:rowOff>
    </xdr:from>
    <xdr:to>
      <xdr:col>2</xdr:col>
      <xdr:colOff>1350285</xdr:colOff>
      <xdr:row>10</xdr:row>
      <xdr:rowOff>181367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F5E521E-C5A6-4AFB-9D07-F12A24DBB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3240" y="26136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990600</xdr:colOff>
      <xdr:row>11</xdr:row>
      <xdr:rowOff>45720</xdr:rowOff>
    </xdr:from>
    <xdr:to>
      <xdr:col>2</xdr:col>
      <xdr:colOff>1228365</xdr:colOff>
      <xdr:row>11</xdr:row>
      <xdr:rowOff>173747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234E8AC-BEEF-4833-9AA9-083DF44C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1320" y="278892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815340</xdr:colOff>
      <xdr:row>13</xdr:row>
      <xdr:rowOff>45720</xdr:rowOff>
    </xdr:from>
    <xdr:to>
      <xdr:col>2</xdr:col>
      <xdr:colOff>1053105</xdr:colOff>
      <xdr:row>13</xdr:row>
      <xdr:rowOff>173747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E5637CA-E90F-4C7F-97CF-0F832B083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6060" y="31546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1348740</xdr:colOff>
      <xdr:row>13</xdr:row>
      <xdr:rowOff>53340</xdr:rowOff>
    </xdr:from>
    <xdr:to>
      <xdr:col>3</xdr:col>
      <xdr:colOff>9165</xdr:colOff>
      <xdr:row>13</xdr:row>
      <xdr:rowOff>181367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3B1A1D0-5E1F-4DC8-9AC6-FDB3529CC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9460" y="31623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1089660</xdr:colOff>
      <xdr:row>13</xdr:row>
      <xdr:rowOff>45720</xdr:rowOff>
    </xdr:from>
    <xdr:to>
      <xdr:col>2</xdr:col>
      <xdr:colOff>1327425</xdr:colOff>
      <xdr:row>13</xdr:row>
      <xdr:rowOff>173747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F361324-8851-4289-87BA-63EB12DF5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0380" y="31546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</xdr:colOff>
      <xdr:row>14</xdr:row>
      <xdr:rowOff>45720</xdr:rowOff>
    </xdr:from>
    <xdr:to>
      <xdr:col>3</xdr:col>
      <xdr:colOff>253005</xdr:colOff>
      <xdr:row>14</xdr:row>
      <xdr:rowOff>173747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9E54D85-F814-4DCD-BD76-D8F3AB6BA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3300" y="33375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1501140</xdr:colOff>
      <xdr:row>12</xdr:row>
      <xdr:rowOff>38100</xdr:rowOff>
    </xdr:from>
    <xdr:to>
      <xdr:col>3</xdr:col>
      <xdr:colOff>161565</xdr:colOff>
      <xdr:row>12</xdr:row>
      <xdr:rowOff>166127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C1F7384-3077-4BA4-87DF-477E1CF62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1860" y="29641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289560</xdr:colOff>
      <xdr:row>14</xdr:row>
      <xdr:rowOff>38100</xdr:rowOff>
    </xdr:from>
    <xdr:to>
      <xdr:col>3</xdr:col>
      <xdr:colOff>527325</xdr:colOff>
      <xdr:row>14</xdr:row>
      <xdr:rowOff>166127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3E41D61-FC26-423C-A200-C04B1A861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7620" y="33299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1051560</xdr:colOff>
      <xdr:row>15</xdr:row>
      <xdr:rowOff>38100</xdr:rowOff>
    </xdr:from>
    <xdr:to>
      <xdr:col>2</xdr:col>
      <xdr:colOff>1289325</xdr:colOff>
      <xdr:row>15</xdr:row>
      <xdr:rowOff>166127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DEAB8623-E8AD-47F7-A4F1-DB20124F4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2280" y="351282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320040</xdr:colOff>
      <xdr:row>13</xdr:row>
      <xdr:rowOff>45720</xdr:rowOff>
    </xdr:from>
    <xdr:to>
      <xdr:col>3</xdr:col>
      <xdr:colOff>557805</xdr:colOff>
      <xdr:row>13</xdr:row>
      <xdr:rowOff>173747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BC72AEF-8951-47CC-9B40-A44D506F3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31546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1272540</xdr:colOff>
      <xdr:row>16</xdr:row>
      <xdr:rowOff>45720</xdr:rowOff>
    </xdr:from>
    <xdr:to>
      <xdr:col>2</xdr:col>
      <xdr:colOff>1510305</xdr:colOff>
      <xdr:row>16</xdr:row>
      <xdr:rowOff>173747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C113701-049B-4579-96AC-3BA1C02D2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3260" y="370332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670560</xdr:colOff>
      <xdr:row>12</xdr:row>
      <xdr:rowOff>45720</xdr:rowOff>
    </xdr:from>
    <xdr:to>
      <xdr:col>2</xdr:col>
      <xdr:colOff>908325</xdr:colOff>
      <xdr:row>12</xdr:row>
      <xdr:rowOff>173747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5708357-5F16-4EF4-B8F6-737DB1095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1280" y="29718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944880</xdr:colOff>
      <xdr:row>12</xdr:row>
      <xdr:rowOff>45720</xdr:rowOff>
    </xdr:from>
    <xdr:to>
      <xdr:col>2</xdr:col>
      <xdr:colOff>1182645</xdr:colOff>
      <xdr:row>12</xdr:row>
      <xdr:rowOff>173747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FAB35892-FC59-40BA-8722-04F493262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0" y="29718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533400</xdr:colOff>
      <xdr:row>13</xdr:row>
      <xdr:rowOff>30480</xdr:rowOff>
    </xdr:from>
    <xdr:to>
      <xdr:col>2</xdr:col>
      <xdr:colOff>771165</xdr:colOff>
      <xdr:row>13</xdr:row>
      <xdr:rowOff>158507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6E79C55-3EA2-4D62-A71C-1D60C9F70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4120" y="31394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251460</xdr:colOff>
      <xdr:row>13</xdr:row>
      <xdr:rowOff>45720</xdr:rowOff>
    </xdr:from>
    <xdr:to>
      <xdr:col>2</xdr:col>
      <xdr:colOff>489225</xdr:colOff>
      <xdr:row>13</xdr:row>
      <xdr:rowOff>173747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5C151231-3DEE-404E-9C2C-8E3193570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2180" y="31546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12</xdr:row>
      <xdr:rowOff>45720</xdr:rowOff>
    </xdr:from>
    <xdr:to>
      <xdr:col>3</xdr:col>
      <xdr:colOff>420645</xdr:colOff>
      <xdr:row>12</xdr:row>
      <xdr:rowOff>173747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F3DEDAF-DBAF-4E10-8047-2C1EC66F5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0940" y="29718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1051560</xdr:colOff>
      <xdr:row>14</xdr:row>
      <xdr:rowOff>45720</xdr:rowOff>
    </xdr:from>
    <xdr:to>
      <xdr:col>2</xdr:col>
      <xdr:colOff>1289325</xdr:colOff>
      <xdr:row>14</xdr:row>
      <xdr:rowOff>173747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DB2153DE-6A9E-49CF-B797-58A15CB47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2280" y="33375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1257300</xdr:colOff>
      <xdr:row>11</xdr:row>
      <xdr:rowOff>45720</xdr:rowOff>
    </xdr:from>
    <xdr:to>
      <xdr:col>2</xdr:col>
      <xdr:colOff>1495065</xdr:colOff>
      <xdr:row>11</xdr:row>
      <xdr:rowOff>173747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DA804450-34D6-4D46-BC29-8C709A638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8020" y="278892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</xdr:colOff>
      <xdr:row>15</xdr:row>
      <xdr:rowOff>38100</xdr:rowOff>
    </xdr:from>
    <xdr:to>
      <xdr:col>3</xdr:col>
      <xdr:colOff>268245</xdr:colOff>
      <xdr:row>15</xdr:row>
      <xdr:rowOff>166127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C619495B-5EAF-4F37-AD85-9953DAA8D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8540" y="351282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1310640</xdr:colOff>
      <xdr:row>14</xdr:row>
      <xdr:rowOff>45720</xdr:rowOff>
    </xdr:from>
    <xdr:to>
      <xdr:col>2</xdr:col>
      <xdr:colOff>1548405</xdr:colOff>
      <xdr:row>14</xdr:row>
      <xdr:rowOff>173747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ADB2498-AC34-4021-94E4-425283B08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1360" y="33375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1554480</xdr:colOff>
      <xdr:row>11</xdr:row>
      <xdr:rowOff>45720</xdr:rowOff>
    </xdr:from>
    <xdr:to>
      <xdr:col>3</xdr:col>
      <xdr:colOff>214905</xdr:colOff>
      <xdr:row>11</xdr:row>
      <xdr:rowOff>173747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C108C64-4E97-4C7A-B923-79A3392F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0" y="278892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594360</xdr:colOff>
      <xdr:row>13</xdr:row>
      <xdr:rowOff>38100</xdr:rowOff>
    </xdr:from>
    <xdr:to>
      <xdr:col>3</xdr:col>
      <xdr:colOff>832125</xdr:colOff>
      <xdr:row>13</xdr:row>
      <xdr:rowOff>166127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521A7EC-8FB9-402D-AB2A-9D468338C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2420" y="3147060"/>
          <a:ext cx="237765" cy="128027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27</xdr:row>
      <xdr:rowOff>0</xdr:rowOff>
    </xdr:from>
    <xdr:to>
      <xdr:col>10</xdr:col>
      <xdr:colOff>0</xdr:colOff>
      <xdr:row>52</xdr:row>
      <xdr:rowOff>15240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88180E6C-B18F-4DDF-9294-47B6A0445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</xdr:colOff>
      <xdr:row>53</xdr:row>
      <xdr:rowOff>175260</xdr:rowOff>
    </xdr:from>
    <xdr:to>
      <xdr:col>9</xdr:col>
      <xdr:colOff>601980</xdr:colOff>
      <xdr:row>77</xdr:row>
      <xdr:rowOff>22860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8D4D7409-98EB-455C-867C-9EDA3B232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1562100</xdr:colOff>
      <xdr:row>38</xdr:row>
      <xdr:rowOff>99060</xdr:rowOff>
    </xdr:from>
    <xdr:to>
      <xdr:col>3</xdr:col>
      <xdr:colOff>838200</xdr:colOff>
      <xdr:row>38</xdr:row>
      <xdr:rowOff>99060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2D41EF1D-33BB-423C-A2CD-D312E97032FE}"/>
            </a:ext>
          </a:extLst>
        </xdr:cNvPr>
        <xdr:cNvCxnSpPr/>
      </xdr:nvCxnSpPr>
      <xdr:spPr>
        <a:xfrm>
          <a:off x="3512820" y="7780020"/>
          <a:ext cx="8534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373380</xdr:colOff>
      <xdr:row>32</xdr:row>
      <xdr:rowOff>7620</xdr:rowOff>
    </xdr:from>
    <xdr:to>
      <xdr:col>3</xdr:col>
      <xdr:colOff>381000</xdr:colOff>
      <xdr:row>49</xdr:row>
      <xdr:rowOff>15240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A509D7A6-2A20-465C-B617-63BEE480EE46}"/>
            </a:ext>
          </a:extLst>
        </xdr:cNvPr>
        <xdr:cNvCxnSpPr/>
      </xdr:nvCxnSpPr>
      <xdr:spPr>
        <a:xfrm flipH="1">
          <a:off x="3901440" y="6591300"/>
          <a:ext cx="7620" cy="31165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708660</xdr:colOff>
      <xdr:row>59</xdr:row>
      <xdr:rowOff>30480</xdr:rowOff>
    </xdr:from>
    <xdr:to>
      <xdr:col>3</xdr:col>
      <xdr:colOff>868680</xdr:colOff>
      <xdr:row>59</xdr:row>
      <xdr:rowOff>30480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F701D81A-2D5D-48D0-9F49-4B2541D9C5F7}"/>
            </a:ext>
          </a:extLst>
        </xdr:cNvPr>
        <xdr:cNvCxnSpPr/>
      </xdr:nvCxnSpPr>
      <xdr:spPr>
        <a:xfrm>
          <a:off x="708660" y="11551920"/>
          <a:ext cx="36880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853440</xdr:colOff>
      <xdr:row>59</xdr:row>
      <xdr:rowOff>30480</xdr:rowOff>
    </xdr:from>
    <xdr:to>
      <xdr:col>3</xdr:col>
      <xdr:colOff>868680</xdr:colOff>
      <xdr:row>74</xdr:row>
      <xdr:rowOff>22860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B2DA760C-8387-4054-B15A-D43C7FB011A7}"/>
            </a:ext>
          </a:extLst>
        </xdr:cNvPr>
        <xdr:cNvCxnSpPr/>
      </xdr:nvCxnSpPr>
      <xdr:spPr>
        <a:xfrm flipH="1">
          <a:off x="4381500" y="11551920"/>
          <a:ext cx="15240" cy="27355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701040</xdr:colOff>
      <xdr:row>65</xdr:row>
      <xdr:rowOff>45720</xdr:rowOff>
    </xdr:from>
    <xdr:to>
      <xdr:col>3</xdr:col>
      <xdr:colOff>373380</xdr:colOff>
      <xdr:row>65</xdr:row>
      <xdr:rowOff>53340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9A155923-FD4E-4C0B-8070-F5B12A49BABA}"/>
            </a:ext>
          </a:extLst>
        </xdr:cNvPr>
        <xdr:cNvCxnSpPr/>
      </xdr:nvCxnSpPr>
      <xdr:spPr>
        <a:xfrm>
          <a:off x="701040" y="12664440"/>
          <a:ext cx="320040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350520</xdr:colOff>
      <xdr:row>65</xdr:row>
      <xdr:rowOff>53340</xdr:rowOff>
    </xdr:from>
    <xdr:to>
      <xdr:col>3</xdr:col>
      <xdr:colOff>358140</xdr:colOff>
      <xdr:row>74</xdr:row>
      <xdr:rowOff>30480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B60B0F75-ECA3-481A-A2B2-DD1B2EFDB448}"/>
            </a:ext>
          </a:extLst>
        </xdr:cNvPr>
        <xdr:cNvCxnSpPr/>
      </xdr:nvCxnSpPr>
      <xdr:spPr>
        <a:xfrm flipH="1">
          <a:off x="3878580" y="12672060"/>
          <a:ext cx="7620" cy="16230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716280</xdr:colOff>
      <xdr:row>71</xdr:row>
      <xdr:rowOff>83820</xdr:rowOff>
    </xdr:from>
    <xdr:to>
      <xdr:col>2</xdr:col>
      <xdr:colOff>1257300</xdr:colOff>
      <xdr:row>71</xdr:row>
      <xdr:rowOff>91440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F6DE8526-C046-4CE6-AF4C-2C9BEFF3EEFB}"/>
            </a:ext>
          </a:extLst>
        </xdr:cNvPr>
        <xdr:cNvCxnSpPr/>
      </xdr:nvCxnSpPr>
      <xdr:spPr>
        <a:xfrm flipV="1">
          <a:off x="716280" y="13799820"/>
          <a:ext cx="249174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1257300</xdr:colOff>
      <xdr:row>71</xdr:row>
      <xdr:rowOff>91440</xdr:rowOff>
    </xdr:from>
    <xdr:to>
      <xdr:col>2</xdr:col>
      <xdr:colOff>1257300</xdr:colOff>
      <xdr:row>74</xdr:row>
      <xdr:rowOff>30480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5FC01A6C-2073-426C-ABFB-2F3B8C672171}"/>
            </a:ext>
          </a:extLst>
        </xdr:cNvPr>
        <xdr:cNvCxnSpPr/>
      </xdr:nvCxnSpPr>
      <xdr:spPr>
        <a:xfrm>
          <a:off x="3208020" y="13807440"/>
          <a:ext cx="0" cy="487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563880</xdr:colOff>
      <xdr:row>13</xdr:row>
      <xdr:rowOff>45720</xdr:rowOff>
    </xdr:from>
    <xdr:to>
      <xdr:col>2</xdr:col>
      <xdr:colOff>801645</xdr:colOff>
      <xdr:row>13</xdr:row>
      <xdr:rowOff>173747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C0517A-50F6-4902-A5C3-18F3DC6D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3660" y="31546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160020</xdr:colOff>
      <xdr:row>13</xdr:row>
      <xdr:rowOff>38100</xdr:rowOff>
    </xdr:from>
    <xdr:to>
      <xdr:col>3</xdr:col>
      <xdr:colOff>397785</xdr:colOff>
      <xdr:row>13</xdr:row>
      <xdr:rowOff>166127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BC12C2-AA3A-4796-A3A3-9C2230489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0940" y="31470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14</xdr:row>
      <xdr:rowOff>45720</xdr:rowOff>
    </xdr:from>
    <xdr:to>
      <xdr:col>3</xdr:col>
      <xdr:colOff>382545</xdr:colOff>
      <xdr:row>14</xdr:row>
      <xdr:rowOff>173747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EEBD9A-F768-47D6-9DB3-233C1849A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33375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708660</xdr:colOff>
      <xdr:row>14</xdr:row>
      <xdr:rowOff>45720</xdr:rowOff>
    </xdr:from>
    <xdr:to>
      <xdr:col>3</xdr:col>
      <xdr:colOff>946425</xdr:colOff>
      <xdr:row>14</xdr:row>
      <xdr:rowOff>173747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0F857D-51EE-46A8-B7FD-D81D381B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9580" y="33375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16</xdr:row>
      <xdr:rowOff>38100</xdr:rowOff>
    </xdr:from>
    <xdr:to>
      <xdr:col>3</xdr:col>
      <xdr:colOff>359685</xdr:colOff>
      <xdr:row>16</xdr:row>
      <xdr:rowOff>166127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C2C41FD-A97D-4BC3-8021-C794EC606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840" y="36957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967740</xdr:colOff>
      <xdr:row>12</xdr:row>
      <xdr:rowOff>38100</xdr:rowOff>
    </xdr:from>
    <xdr:to>
      <xdr:col>2</xdr:col>
      <xdr:colOff>1205505</xdr:colOff>
      <xdr:row>12</xdr:row>
      <xdr:rowOff>166127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B7E597-2A32-4DDA-83FD-1EE83D427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7520" y="29641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1242060</xdr:colOff>
      <xdr:row>12</xdr:row>
      <xdr:rowOff>45720</xdr:rowOff>
    </xdr:from>
    <xdr:to>
      <xdr:col>2</xdr:col>
      <xdr:colOff>1479825</xdr:colOff>
      <xdr:row>12</xdr:row>
      <xdr:rowOff>173747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0A4335D-1973-4D9B-BE0A-5FF9D051E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1840" y="29718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1082040</xdr:colOff>
      <xdr:row>15</xdr:row>
      <xdr:rowOff>53340</xdr:rowOff>
    </xdr:from>
    <xdr:to>
      <xdr:col>2</xdr:col>
      <xdr:colOff>1319805</xdr:colOff>
      <xdr:row>15</xdr:row>
      <xdr:rowOff>181367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BE14CE3-FA8F-4864-AC73-7F7DEB40E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1820" y="35280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14</xdr:row>
      <xdr:rowOff>45720</xdr:rowOff>
    </xdr:from>
    <xdr:to>
      <xdr:col>2</xdr:col>
      <xdr:colOff>809265</xdr:colOff>
      <xdr:row>14</xdr:row>
      <xdr:rowOff>173747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1AF1B7-367E-44E0-8441-0AC468C76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1280" y="33375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1104900</xdr:colOff>
      <xdr:row>14</xdr:row>
      <xdr:rowOff>45720</xdr:rowOff>
    </xdr:from>
    <xdr:to>
      <xdr:col>2</xdr:col>
      <xdr:colOff>1342665</xdr:colOff>
      <xdr:row>14</xdr:row>
      <xdr:rowOff>173747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1F6B27-A12B-4033-ADF1-CE9C39C41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4680" y="33375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1249680</xdr:colOff>
      <xdr:row>17</xdr:row>
      <xdr:rowOff>45720</xdr:rowOff>
    </xdr:from>
    <xdr:to>
      <xdr:col>2</xdr:col>
      <xdr:colOff>1487445</xdr:colOff>
      <xdr:row>17</xdr:row>
      <xdr:rowOff>173747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D72EE95-C4C0-4191-90E0-C8B96A68B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9460" y="38862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</xdr:colOff>
      <xdr:row>12</xdr:row>
      <xdr:rowOff>38100</xdr:rowOff>
    </xdr:from>
    <xdr:to>
      <xdr:col>3</xdr:col>
      <xdr:colOff>253005</xdr:colOff>
      <xdr:row>12</xdr:row>
      <xdr:rowOff>166127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E8BFD73-E407-426A-8196-3E8FB06B5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6160" y="29641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396240</xdr:colOff>
      <xdr:row>15</xdr:row>
      <xdr:rowOff>30480</xdr:rowOff>
    </xdr:from>
    <xdr:to>
      <xdr:col>3</xdr:col>
      <xdr:colOff>634005</xdr:colOff>
      <xdr:row>15</xdr:row>
      <xdr:rowOff>158507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91AF0A1-DB62-48B6-A014-F399E17F2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7160" y="35052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1310640</xdr:colOff>
      <xdr:row>10</xdr:row>
      <xdr:rowOff>45720</xdr:rowOff>
    </xdr:from>
    <xdr:to>
      <xdr:col>3</xdr:col>
      <xdr:colOff>47265</xdr:colOff>
      <xdr:row>10</xdr:row>
      <xdr:rowOff>173747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EAFB0AD-2829-4967-9B60-D69271726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0420" y="26060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830580</xdr:colOff>
      <xdr:row>14</xdr:row>
      <xdr:rowOff>38100</xdr:rowOff>
    </xdr:from>
    <xdr:to>
      <xdr:col>2</xdr:col>
      <xdr:colOff>1068345</xdr:colOff>
      <xdr:row>14</xdr:row>
      <xdr:rowOff>166127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5AE72D6-F9CC-47B9-90DE-DE3DF6F13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0360" y="33299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807720</xdr:colOff>
      <xdr:row>15</xdr:row>
      <xdr:rowOff>45720</xdr:rowOff>
    </xdr:from>
    <xdr:to>
      <xdr:col>2</xdr:col>
      <xdr:colOff>1045485</xdr:colOff>
      <xdr:row>15</xdr:row>
      <xdr:rowOff>173747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0677D9F-5EB9-43B6-B827-95EE69A8F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35204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838200</xdr:colOff>
      <xdr:row>13</xdr:row>
      <xdr:rowOff>45720</xdr:rowOff>
    </xdr:from>
    <xdr:to>
      <xdr:col>2</xdr:col>
      <xdr:colOff>1075965</xdr:colOff>
      <xdr:row>13</xdr:row>
      <xdr:rowOff>173747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35B79EC-3682-44CB-9C40-75D19F5A6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7980" y="31546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1386840</xdr:colOff>
      <xdr:row>13</xdr:row>
      <xdr:rowOff>38100</xdr:rowOff>
    </xdr:from>
    <xdr:to>
      <xdr:col>3</xdr:col>
      <xdr:colOff>123465</xdr:colOff>
      <xdr:row>13</xdr:row>
      <xdr:rowOff>166127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FF04F9F-71A8-49BE-9DD9-3D8442059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6620" y="314706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1112520</xdr:colOff>
      <xdr:row>13</xdr:row>
      <xdr:rowOff>45720</xdr:rowOff>
    </xdr:from>
    <xdr:to>
      <xdr:col>2</xdr:col>
      <xdr:colOff>1350285</xdr:colOff>
      <xdr:row>13</xdr:row>
      <xdr:rowOff>173747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03A07D8-2FCF-4154-BD2A-097284765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31546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1074420</xdr:colOff>
      <xdr:row>16</xdr:row>
      <xdr:rowOff>30480</xdr:rowOff>
    </xdr:from>
    <xdr:to>
      <xdr:col>2</xdr:col>
      <xdr:colOff>1312185</xdr:colOff>
      <xdr:row>16</xdr:row>
      <xdr:rowOff>158507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2D8956E-0084-4636-86F5-D94EC7BA5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368808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1386840</xdr:colOff>
      <xdr:row>14</xdr:row>
      <xdr:rowOff>38100</xdr:rowOff>
    </xdr:from>
    <xdr:to>
      <xdr:col>3</xdr:col>
      <xdr:colOff>123465</xdr:colOff>
      <xdr:row>14</xdr:row>
      <xdr:rowOff>166127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52698C0-32CB-41F3-8CE6-ECCCED451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6620" y="33299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1348740</xdr:colOff>
      <xdr:row>16</xdr:row>
      <xdr:rowOff>38100</xdr:rowOff>
    </xdr:from>
    <xdr:to>
      <xdr:col>3</xdr:col>
      <xdr:colOff>85365</xdr:colOff>
      <xdr:row>16</xdr:row>
      <xdr:rowOff>166127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96CF3A-0F8C-4E61-A830-4CD404B36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8520" y="36957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38100</xdr:rowOff>
    </xdr:from>
    <xdr:to>
      <xdr:col>2</xdr:col>
      <xdr:colOff>542565</xdr:colOff>
      <xdr:row>14</xdr:row>
      <xdr:rowOff>166127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C424BE-EAB7-48B8-AB8C-361AF2D79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4580" y="33299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15</xdr:row>
      <xdr:rowOff>45720</xdr:rowOff>
    </xdr:from>
    <xdr:to>
      <xdr:col>3</xdr:col>
      <xdr:colOff>352065</xdr:colOff>
      <xdr:row>15</xdr:row>
      <xdr:rowOff>173747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00EC3DD-2131-4AA7-BA90-A1BD875F9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5220" y="35204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426720</xdr:colOff>
      <xdr:row>13</xdr:row>
      <xdr:rowOff>53340</xdr:rowOff>
    </xdr:from>
    <xdr:to>
      <xdr:col>3</xdr:col>
      <xdr:colOff>664485</xdr:colOff>
      <xdr:row>13</xdr:row>
      <xdr:rowOff>181367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A22A088-0998-494B-A4FB-B0AF8CE29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7640" y="31623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1135380</xdr:colOff>
      <xdr:row>11</xdr:row>
      <xdr:rowOff>45720</xdr:rowOff>
    </xdr:from>
    <xdr:to>
      <xdr:col>2</xdr:col>
      <xdr:colOff>1373145</xdr:colOff>
      <xdr:row>11</xdr:row>
      <xdr:rowOff>173747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CD3DAED-9870-4BA6-BF4D-EF6E1D670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160" y="278892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1394460</xdr:colOff>
      <xdr:row>11</xdr:row>
      <xdr:rowOff>38100</xdr:rowOff>
    </xdr:from>
    <xdr:to>
      <xdr:col>3</xdr:col>
      <xdr:colOff>131085</xdr:colOff>
      <xdr:row>11</xdr:row>
      <xdr:rowOff>166127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262564B-3E01-40DF-9C0A-21933BBB9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4240" y="278130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1348740</xdr:colOff>
      <xdr:row>15</xdr:row>
      <xdr:rowOff>45720</xdr:rowOff>
    </xdr:from>
    <xdr:to>
      <xdr:col>3</xdr:col>
      <xdr:colOff>85365</xdr:colOff>
      <xdr:row>15</xdr:row>
      <xdr:rowOff>173747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40D456E-5373-41B0-921C-51F6206F5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8520" y="3520440"/>
          <a:ext cx="237765" cy="128027"/>
        </a:xfrm>
        <a:prstGeom prst="rect">
          <a:avLst/>
        </a:prstGeom>
      </xdr:spPr>
    </xdr:pic>
    <xdr:clientData/>
  </xdr:twoCellAnchor>
  <xdr:twoCellAnchor editAs="oneCell">
    <xdr:from>
      <xdr:col>3</xdr:col>
      <xdr:colOff>426720</xdr:colOff>
      <xdr:row>14</xdr:row>
      <xdr:rowOff>38100</xdr:rowOff>
    </xdr:from>
    <xdr:to>
      <xdr:col>3</xdr:col>
      <xdr:colOff>664485</xdr:colOff>
      <xdr:row>14</xdr:row>
      <xdr:rowOff>166127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6B1BB3A-BC25-4C20-B3CD-D9AC898A0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7640" y="3329940"/>
          <a:ext cx="237765" cy="128027"/>
        </a:xfrm>
        <a:prstGeom prst="rect">
          <a:avLst/>
        </a:prstGeom>
      </xdr:spPr>
    </xdr:pic>
    <xdr:clientData/>
  </xdr:twoCellAnchor>
  <xdr:twoCellAnchor>
    <xdr:from>
      <xdr:col>0</xdr:col>
      <xdr:colOff>68580</xdr:colOff>
      <xdr:row>28</xdr:row>
      <xdr:rowOff>91440</xdr:rowOff>
    </xdr:from>
    <xdr:to>
      <xdr:col>10</xdr:col>
      <xdr:colOff>0</xdr:colOff>
      <xdr:row>51</xdr:row>
      <xdr:rowOff>137160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7B4AFAF-3060-4E4D-8A26-3B2E20578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</xdr:colOff>
      <xdr:row>55</xdr:row>
      <xdr:rowOff>7620</xdr:rowOff>
    </xdr:from>
    <xdr:to>
      <xdr:col>9</xdr:col>
      <xdr:colOff>601980</xdr:colOff>
      <xdr:row>78</xdr:row>
      <xdr:rowOff>175260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CA12203-FE88-4D4D-97FE-441AE819E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251460</xdr:colOff>
      <xdr:row>39</xdr:row>
      <xdr:rowOff>144780</xdr:rowOff>
    </xdr:from>
    <xdr:to>
      <xdr:col>3</xdr:col>
      <xdr:colOff>1120140</xdr:colOff>
      <xdr:row>39</xdr:row>
      <xdr:rowOff>144780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562F4E71-9446-4EE9-A15E-FDFCDD0D5E04}"/>
            </a:ext>
          </a:extLst>
        </xdr:cNvPr>
        <xdr:cNvCxnSpPr/>
      </xdr:nvCxnSpPr>
      <xdr:spPr>
        <a:xfrm>
          <a:off x="3802380" y="8008620"/>
          <a:ext cx="8686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731520</xdr:colOff>
      <xdr:row>33</xdr:row>
      <xdr:rowOff>53340</xdr:rowOff>
    </xdr:from>
    <xdr:to>
      <xdr:col>3</xdr:col>
      <xdr:colOff>754380</xdr:colOff>
      <xdr:row>48</xdr:row>
      <xdr:rowOff>137160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2A6BEDEB-90E6-42D0-9594-83E5404392CE}"/>
            </a:ext>
          </a:extLst>
        </xdr:cNvPr>
        <xdr:cNvCxnSpPr/>
      </xdr:nvCxnSpPr>
      <xdr:spPr>
        <a:xfrm>
          <a:off x="4282440" y="6819900"/>
          <a:ext cx="22860" cy="28270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739140</xdr:colOff>
      <xdr:row>60</xdr:row>
      <xdr:rowOff>60960</xdr:rowOff>
    </xdr:from>
    <xdr:to>
      <xdr:col>3</xdr:col>
      <xdr:colOff>1295400</xdr:colOff>
      <xdr:row>60</xdr:row>
      <xdr:rowOff>60960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BEFCB02E-CE1B-4E4B-A27E-BA34825516C5}"/>
            </a:ext>
          </a:extLst>
        </xdr:cNvPr>
        <xdr:cNvCxnSpPr/>
      </xdr:nvCxnSpPr>
      <xdr:spPr>
        <a:xfrm>
          <a:off x="739140" y="11765280"/>
          <a:ext cx="41071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1287780</xdr:colOff>
      <xdr:row>60</xdr:row>
      <xdr:rowOff>60960</xdr:rowOff>
    </xdr:from>
    <xdr:to>
      <xdr:col>3</xdr:col>
      <xdr:colOff>1295400</xdr:colOff>
      <xdr:row>76</xdr:row>
      <xdr:rowOff>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69406988-5EA5-42BA-AB07-0C4BD477CE5C}"/>
            </a:ext>
          </a:extLst>
        </xdr:cNvPr>
        <xdr:cNvCxnSpPr/>
      </xdr:nvCxnSpPr>
      <xdr:spPr>
        <a:xfrm flipH="1">
          <a:off x="4838700" y="11765280"/>
          <a:ext cx="7620" cy="28651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731520</xdr:colOff>
      <xdr:row>66</xdr:row>
      <xdr:rowOff>129540</xdr:rowOff>
    </xdr:from>
    <xdr:to>
      <xdr:col>3</xdr:col>
      <xdr:colOff>701040</xdr:colOff>
      <xdr:row>66</xdr:row>
      <xdr:rowOff>137160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7782505A-7366-4057-9327-C04B452EF4F6}"/>
            </a:ext>
          </a:extLst>
        </xdr:cNvPr>
        <xdr:cNvCxnSpPr/>
      </xdr:nvCxnSpPr>
      <xdr:spPr>
        <a:xfrm>
          <a:off x="731520" y="12931140"/>
          <a:ext cx="352044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701040</xdr:colOff>
      <xdr:row>66</xdr:row>
      <xdr:rowOff>144780</xdr:rowOff>
    </xdr:from>
    <xdr:to>
      <xdr:col>3</xdr:col>
      <xdr:colOff>708660</xdr:colOff>
      <xdr:row>76</xdr:row>
      <xdr:rowOff>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648AC7E8-AF31-4BBC-B00D-FFD7BA82E848}"/>
            </a:ext>
          </a:extLst>
        </xdr:cNvPr>
        <xdr:cNvCxnSpPr/>
      </xdr:nvCxnSpPr>
      <xdr:spPr>
        <a:xfrm>
          <a:off x="4251960" y="12946380"/>
          <a:ext cx="7620" cy="16840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739140</xdr:colOff>
      <xdr:row>73</xdr:row>
      <xdr:rowOff>30480</xdr:rowOff>
    </xdr:from>
    <xdr:to>
      <xdr:col>3</xdr:col>
      <xdr:colOff>15240</xdr:colOff>
      <xdr:row>73</xdr:row>
      <xdr:rowOff>30480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C2AA7023-6C02-42FE-9762-D37BBD6444AB}"/>
            </a:ext>
          </a:extLst>
        </xdr:cNvPr>
        <xdr:cNvCxnSpPr/>
      </xdr:nvCxnSpPr>
      <xdr:spPr>
        <a:xfrm>
          <a:off x="739140" y="14112240"/>
          <a:ext cx="282702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73</xdr:row>
      <xdr:rowOff>38100</xdr:rowOff>
    </xdr:from>
    <xdr:to>
      <xdr:col>3</xdr:col>
      <xdr:colOff>22860</xdr:colOff>
      <xdr:row>75</xdr:row>
      <xdr:rowOff>175260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D08FAFFB-AF08-4203-9E81-E3E446162BD8}"/>
            </a:ext>
          </a:extLst>
        </xdr:cNvPr>
        <xdr:cNvCxnSpPr/>
      </xdr:nvCxnSpPr>
      <xdr:spPr>
        <a:xfrm>
          <a:off x="3566160" y="14119860"/>
          <a:ext cx="7620" cy="5029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20B0-DB25-4600-AA5F-063B1655A1C6}">
  <dimension ref="A1:Z61"/>
  <sheetViews>
    <sheetView tabSelected="1" topLeftCell="A4" zoomScaleNormal="100" workbookViewId="0">
      <selection activeCell="H21" sqref="H21"/>
    </sheetView>
  </sheetViews>
  <sheetFormatPr defaultRowHeight="14.4" x14ac:dyDescent="0.3"/>
  <cols>
    <col min="1" max="1" width="13.5546875" customWidth="1"/>
    <col min="2" max="2" width="13.109375" customWidth="1"/>
    <col min="3" max="3" width="15.77734375" customWidth="1"/>
    <col min="4" max="4" width="19.88671875" customWidth="1"/>
    <col min="5" max="5" width="15.5546875" customWidth="1"/>
    <col min="6" max="6" width="11.44140625" customWidth="1"/>
    <col min="7" max="7" width="10" customWidth="1"/>
    <col min="12" max="12" width="8.6640625" customWidth="1"/>
    <col min="13" max="13" width="13.109375" customWidth="1"/>
    <col min="14" max="14" width="10.109375" customWidth="1"/>
    <col min="17" max="17" width="11" customWidth="1"/>
    <col min="18" max="18" width="9.44140625" customWidth="1"/>
    <col min="19" max="19" width="8.88671875" customWidth="1"/>
    <col min="22" max="22" width="10.33203125" customWidth="1"/>
    <col min="23" max="23" width="10.5546875" customWidth="1"/>
    <col min="24" max="24" width="9.44140625" customWidth="1"/>
    <col min="25" max="25" width="10.5546875" customWidth="1"/>
  </cols>
  <sheetData>
    <row r="1" spans="1:26" ht="54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3"/>
    </row>
    <row r="2" spans="1:26" ht="13.8" customHeight="1" x14ac:dyDescent="0.3">
      <c r="A2" s="1">
        <v>0.95</v>
      </c>
      <c r="B2" s="6">
        <v>3.49</v>
      </c>
      <c r="C2" s="6">
        <v>0.54900000000000004</v>
      </c>
      <c r="D2" s="10">
        <f>(3.84*B2^2)/C2^2</f>
        <v>155.18058666029643</v>
      </c>
      <c r="E2" s="10">
        <f>ROUNDUP((D2+49/5),0)</f>
        <v>165</v>
      </c>
    </row>
    <row r="6" spans="1:26" ht="14.4" customHeight="1" x14ac:dyDescent="0.3">
      <c r="A6" s="28" t="s">
        <v>11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6" t="s">
        <v>106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4.4" customHeight="1" x14ac:dyDescent="0.3">
      <c r="A7" s="38" t="s">
        <v>5</v>
      </c>
      <c r="B7" s="38"/>
      <c r="C7" s="38" t="s">
        <v>8</v>
      </c>
      <c r="D7" s="38"/>
      <c r="E7" s="39" t="s">
        <v>10</v>
      </c>
      <c r="F7" s="23" t="s">
        <v>30</v>
      </c>
      <c r="G7" s="25" t="s">
        <v>31</v>
      </c>
      <c r="H7" s="23" t="s">
        <v>26</v>
      </c>
      <c r="I7" s="23" t="s">
        <v>27</v>
      </c>
      <c r="J7" s="23" t="s">
        <v>28</v>
      </c>
      <c r="K7" s="23" t="s">
        <v>29</v>
      </c>
      <c r="L7" s="23" t="s">
        <v>44</v>
      </c>
      <c r="M7" s="23" t="s">
        <v>45</v>
      </c>
      <c r="N7" s="23" t="s">
        <v>46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4.4" customHeight="1" x14ac:dyDescent="0.3">
      <c r="A8" s="38" t="s">
        <v>6</v>
      </c>
      <c r="B8" s="38" t="s">
        <v>7</v>
      </c>
      <c r="C8" s="38"/>
      <c r="D8" s="38"/>
      <c r="E8" s="39"/>
      <c r="F8" s="23"/>
      <c r="G8" s="25"/>
      <c r="H8" s="23"/>
      <c r="I8" s="23"/>
      <c r="J8" s="23"/>
      <c r="K8" s="23"/>
      <c r="L8" s="23"/>
      <c r="M8" s="23"/>
      <c r="N8" s="23"/>
      <c r="O8" s="23" t="s">
        <v>5</v>
      </c>
      <c r="P8" s="23"/>
      <c r="Q8" s="25" t="s">
        <v>48</v>
      </c>
      <c r="R8" s="23" t="s">
        <v>55</v>
      </c>
      <c r="S8" s="23" t="s">
        <v>49</v>
      </c>
      <c r="T8" s="23" t="s">
        <v>57</v>
      </c>
      <c r="U8" s="23" t="s">
        <v>56</v>
      </c>
      <c r="V8" s="23" t="s">
        <v>50</v>
      </c>
      <c r="W8" s="23" t="s">
        <v>54</v>
      </c>
      <c r="X8" s="23" t="s">
        <v>51</v>
      </c>
      <c r="Y8" s="23" t="s">
        <v>52</v>
      </c>
      <c r="Z8" s="23" t="s">
        <v>53</v>
      </c>
    </row>
    <row r="9" spans="1:26" ht="13.8" customHeight="1" x14ac:dyDescent="0.3">
      <c r="A9" s="38"/>
      <c r="B9" s="38"/>
      <c r="C9" s="38"/>
      <c r="D9" s="38"/>
      <c r="E9" s="39"/>
      <c r="F9" s="23"/>
      <c r="G9" s="25"/>
      <c r="H9" s="23"/>
      <c r="I9" s="23"/>
      <c r="J9" s="23"/>
      <c r="K9" s="23"/>
      <c r="L9" s="23"/>
      <c r="M9" s="23"/>
      <c r="N9" s="23"/>
      <c r="O9" s="23" t="s">
        <v>6</v>
      </c>
      <c r="P9" s="23" t="s">
        <v>7</v>
      </c>
      <c r="Q9" s="25"/>
      <c r="R9" s="23"/>
      <c r="S9" s="23"/>
      <c r="T9" s="23"/>
      <c r="U9" s="23"/>
      <c r="V9" s="23"/>
      <c r="W9" s="23"/>
      <c r="X9" s="23"/>
      <c r="Y9" s="23"/>
      <c r="Z9" s="24"/>
    </row>
    <row r="10" spans="1:26" x14ac:dyDescent="0.3">
      <c r="A10" s="6">
        <f>20</f>
        <v>20</v>
      </c>
      <c r="B10" s="6">
        <v>24</v>
      </c>
      <c r="C10" s="22" t="s">
        <v>14</v>
      </c>
      <c r="D10" s="22"/>
      <c r="E10" s="6">
        <v>5</v>
      </c>
      <c r="F10" s="6">
        <f>(A10+B10)/2</f>
        <v>22</v>
      </c>
      <c r="G10" s="12">
        <f>VLOOKUP(A10,$A$10:$E$25,5,0)</f>
        <v>5</v>
      </c>
      <c r="H10" s="11">
        <f>(VLOOKUP(A10,$A$10:$E$25,5,0)/$E$26)*100</f>
        <v>3.0303030303030303</v>
      </c>
      <c r="I10" s="11">
        <f>H10</f>
        <v>3.0303030303030303</v>
      </c>
      <c r="J10" s="6">
        <f>G10*F10</f>
        <v>110</v>
      </c>
      <c r="K10" s="6">
        <f>G10*(F10)^2</f>
        <v>2420</v>
      </c>
      <c r="L10" s="27">
        <f>J26/G26</f>
        <v>46.824242424242428</v>
      </c>
      <c r="M10" s="27">
        <f>SQRT((K26-(L10*L10)*(G26))/(G26-1))</f>
        <v>9.7129229450250278</v>
      </c>
      <c r="N10" s="24" t="s">
        <v>47</v>
      </c>
      <c r="O10" s="23"/>
      <c r="P10" s="23"/>
      <c r="Q10" s="25"/>
      <c r="R10" s="23"/>
      <c r="S10" s="23"/>
      <c r="T10" s="23"/>
      <c r="U10" s="23"/>
      <c r="V10" s="23"/>
      <c r="W10" s="23"/>
      <c r="X10" s="23"/>
      <c r="Y10" s="23"/>
      <c r="Z10" s="24"/>
    </row>
    <row r="11" spans="1:26" x14ac:dyDescent="0.3">
      <c r="A11" s="6">
        <f>A10+4</f>
        <v>24</v>
      </c>
      <c r="B11" s="6">
        <f>B10+4</f>
        <v>28</v>
      </c>
      <c r="C11" s="22" t="s">
        <v>16</v>
      </c>
      <c r="D11" s="22"/>
      <c r="E11" s="6">
        <v>2</v>
      </c>
      <c r="F11" s="6">
        <f t="shared" ref="F11:F25" si="0">(A11+B11)/2</f>
        <v>26</v>
      </c>
      <c r="G11" s="12">
        <f t="shared" ref="G11:G25" si="1">VLOOKUP(A11,$A$10:$E$25,5,0)</f>
        <v>2</v>
      </c>
      <c r="H11" s="11">
        <f t="shared" ref="H11:H25" si="2">(VLOOKUP(A11,$A$10:$E$25,5,0)/$E$26)*100</f>
        <v>1.2121212121212122</v>
      </c>
      <c r="I11" s="11">
        <f>I10+H11</f>
        <v>4.2424242424242422</v>
      </c>
      <c r="J11" s="6">
        <f t="shared" ref="J11:J25" si="3">G11*F11</f>
        <v>52</v>
      </c>
      <c r="K11" s="6">
        <f t="shared" ref="K11:K25" si="4">G11*(F11)^2</f>
        <v>1352</v>
      </c>
      <c r="L11" s="27"/>
      <c r="M11" s="27"/>
      <c r="N11" s="24"/>
      <c r="O11" s="6">
        <f>20</f>
        <v>20</v>
      </c>
      <c r="P11" s="6">
        <v>24</v>
      </c>
      <c r="Q11" s="6">
        <v>5</v>
      </c>
      <c r="R11" s="11">
        <f>(O11-$L$10)/$M$10</f>
        <v>-2.7617064992759817</v>
      </c>
      <c r="S11" s="11">
        <f>(P11-$L$10)/$M$10</f>
        <v>-2.3498840208480223</v>
      </c>
      <c r="T11" s="8">
        <f>_xlfn.NORM.S.DIST(R11,TRUE)</f>
        <v>2.8750071114663086E-3</v>
      </c>
      <c r="U11" s="8">
        <f>_xlfn.NORM.S.DIST(S11,TRUE)</f>
        <v>9.3896307212053085E-3</v>
      </c>
      <c r="V11" s="8">
        <f>U11-T11</f>
        <v>6.5146236097389995E-3</v>
      </c>
      <c r="W11" s="8">
        <f>V11*$G$26</f>
        <v>1.0749128956069349</v>
      </c>
      <c r="X11" s="6"/>
      <c r="Y11" s="6"/>
    </row>
    <row r="12" spans="1:26" x14ac:dyDescent="0.3">
      <c r="A12" s="6">
        <f t="shared" ref="A12:A25" si="5">A11+4</f>
        <v>28</v>
      </c>
      <c r="B12" s="6">
        <f t="shared" ref="B12:B25" si="6">B11+4</f>
        <v>32</v>
      </c>
      <c r="C12" s="22" t="s">
        <v>15</v>
      </c>
      <c r="D12" s="22"/>
      <c r="E12" s="6">
        <v>4</v>
      </c>
      <c r="F12" s="6">
        <f t="shared" si="0"/>
        <v>30</v>
      </c>
      <c r="G12" s="12">
        <f t="shared" si="1"/>
        <v>4</v>
      </c>
      <c r="H12" s="11">
        <f t="shared" si="2"/>
        <v>2.4242424242424243</v>
      </c>
      <c r="I12" s="11">
        <f t="shared" ref="I12:I25" si="7">I11+H12</f>
        <v>6.6666666666666661</v>
      </c>
      <c r="J12" s="6">
        <f t="shared" si="3"/>
        <v>120</v>
      </c>
      <c r="K12" s="6">
        <f t="shared" si="4"/>
        <v>3600</v>
      </c>
      <c r="L12" s="27"/>
      <c r="M12" s="27"/>
      <c r="N12" s="24"/>
      <c r="O12" s="6">
        <f>O11+4</f>
        <v>24</v>
      </c>
      <c r="P12" s="6">
        <f>P11+4</f>
        <v>28</v>
      </c>
      <c r="Q12" s="6">
        <v>2</v>
      </c>
      <c r="R12" s="11">
        <f t="shared" ref="R12:S26" si="8">(O12-$L$10)/$M$10</f>
        <v>-2.3498840208480223</v>
      </c>
      <c r="S12" s="11">
        <f t="shared" si="8"/>
        <v>-1.9380615424200631</v>
      </c>
      <c r="T12" s="8">
        <f t="shared" ref="T12:U26" si="9">_xlfn.NORM.S.DIST(R12,TRUE)</f>
        <v>9.3896307212053085E-3</v>
      </c>
      <c r="U12" s="8">
        <f t="shared" si="9"/>
        <v>2.6307857329040417E-2</v>
      </c>
      <c r="V12" s="8">
        <f t="shared" ref="V12:V26" si="10">U12-T12</f>
        <v>1.691822660783511E-2</v>
      </c>
      <c r="W12" s="8">
        <f t="shared" ref="W12:W26" si="11">V12*$G$26</f>
        <v>2.7915073902927934</v>
      </c>
      <c r="X12" s="6">
        <v>7</v>
      </c>
      <c r="Y12" s="8">
        <f>SUM(W11:W12)</f>
        <v>3.8664202858997285</v>
      </c>
      <c r="Z12" s="17">
        <f>(X12-Y12)^2/Y12</f>
        <v>2.5396416060691527</v>
      </c>
    </row>
    <row r="13" spans="1:26" x14ac:dyDescent="0.3">
      <c r="A13" s="6">
        <f t="shared" si="5"/>
        <v>32</v>
      </c>
      <c r="B13" s="6">
        <f t="shared" si="6"/>
        <v>36</v>
      </c>
      <c r="C13" s="22" t="s">
        <v>13</v>
      </c>
      <c r="D13" s="22"/>
      <c r="E13" s="6">
        <v>10</v>
      </c>
      <c r="F13" s="6">
        <f t="shared" si="0"/>
        <v>34</v>
      </c>
      <c r="G13" s="12">
        <f t="shared" si="1"/>
        <v>10</v>
      </c>
      <c r="H13" s="11">
        <f t="shared" si="2"/>
        <v>6.0606060606060606</v>
      </c>
      <c r="I13" s="11">
        <f t="shared" si="7"/>
        <v>12.727272727272727</v>
      </c>
      <c r="J13" s="6">
        <f t="shared" si="3"/>
        <v>340</v>
      </c>
      <c r="K13" s="6">
        <f t="shared" si="4"/>
        <v>11560</v>
      </c>
      <c r="L13" s="27"/>
      <c r="M13" s="27"/>
      <c r="N13" s="24"/>
      <c r="O13" s="6">
        <f t="shared" ref="O13:P26" si="12">O12+4</f>
        <v>28</v>
      </c>
      <c r="P13" s="6">
        <f t="shared" si="12"/>
        <v>32</v>
      </c>
      <c r="Q13" s="6">
        <v>4</v>
      </c>
      <c r="R13" s="11">
        <f t="shared" si="8"/>
        <v>-1.9380615424200631</v>
      </c>
      <c r="S13" s="11">
        <f t="shared" si="8"/>
        <v>-1.526239063992104</v>
      </c>
      <c r="T13" s="8">
        <f t="shared" si="9"/>
        <v>2.6307857329040417E-2</v>
      </c>
      <c r="U13" s="8">
        <f t="shared" si="9"/>
        <v>6.3475169059603084E-2</v>
      </c>
      <c r="V13" s="8">
        <f t="shared" si="10"/>
        <v>3.7167311730562667E-2</v>
      </c>
      <c r="W13" s="8">
        <f t="shared" si="11"/>
        <v>6.13260643554284</v>
      </c>
      <c r="X13" s="6">
        <v>4</v>
      </c>
      <c r="Y13" s="8">
        <v>6.13260643554284</v>
      </c>
      <c r="Z13" s="17">
        <f t="shared" ref="Z13:Z22" si="13">(X13-Y13)^2/Y13</f>
        <v>0.74161129639100354</v>
      </c>
    </row>
    <row r="14" spans="1:26" x14ac:dyDescent="0.3">
      <c r="A14" s="6">
        <f t="shared" si="5"/>
        <v>36</v>
      </c>
      <c r="B14" s="6">
        <f t="shared" si="6"/>
        <v>40</v>
      </c>
      <c r="C14" s="22" t="s">
        <v>24</v>
      </c>
      <c r="D14" s="22"/>
      <c r="E14" s="6">
        <v>11</v>
      </c>
      <c r="F14" s="6">
        <f t="shared" si="0"/>
        <v>38</v>
      </c>
      <c r="G14" s="12">
        <f t="shared" si="1"/>
        <v>11</v>
      </c>
      <c r="H14" s="11">
        <f t="shared" si="2"/>
        <v>6.666666666666667</v>
      </c>
      <c r="I14" s="11">
        <f t="shared" si="7"/>
        <v>19.393939393939394</v>
      </c>
      <c r="J14" s="6">
        <f t="shared" si="3"/>
        <v>418</v>
      </c>
      <c r="K14" s="6">
        <f t="shared" si="4"/>
        <v>15884</v>
      </c>
      <c r="L14" s="27"/>
      <c r="M14" s="27"/>
      <c r="N14" s="24"/>
      <c r="O14" s="6">
        <f t="shared" si="12"/>
        <v>32</v>
      </c>
      <c r="P14" s="6">
        <f t="shared" si="12"/>
        <v>36</v>
      </c>
      <c r="Q14" s="6">
        <v>10</v>
      </c>
      <c r="R14" s="11">
        <f t="shared" si="8"/>
        <v>-1.526239063992104</v>
      </c>
      <c r="S14" s="11">
        <f t="shared" si="8"/>
        <v>-1.1144165855641446</v>
      </c>
      <c r="T14" s="8">
        <f t="shared" si="9"/>
        <v>6.3475169059603084E-2</v>
      </c>
      <c r="U14" s="8">
        <f t="shared" si="9"/>
        <v>0.13255025565176526</v>
      </c>
      <c r="V14" s="8">
        <f t="shared" si="10"/>
        <v>6.9075086592162174E-2</v>
      </c>
      <c r="W14" s="8">
        <f t="shared" si="11"/>
        <v>11.397389287706758</v>
      </c>
      <c r="X14" s="6">
        <v>10</v>
      </c>
      <c r="Y14" s="9">
        <v>11.397389287706758</v>
      </c>
      <c r="Z14" s="17">
        <f t="shared" si="13"/>
        <v>0.17132843075771603</v>
      </c>
    </row>
    <row r="15" spans="1:26" x14ac:dyDescent="0.3">
      <c r="A15" s="6">
        <f t="shared" si="5"/>
        <v>40</v>
      </c>
      <c r="B15" s="6">
        <f t="shared" si="6"/>
        <v>44</v>
      </c>
      <c r="C15" s="22" t="s">
        <v>17</v>
      </c>
      <c r="D15" s="22"/>
      <c r="E15" s="6">
        <v>22</v>
      </c>
      <c r="F15" s="6">
        <f t="shared" si="0"/>
        <v>42</v>
      </c>
      <c r="G15" s="12">
        <f t="shared" si="1"/>
        <v>22</v>
      </c>
      <c r="H15" s="11">
        <f t="shared" si="2"/>
        <v>13.333333333333334</v>
      </c>
      <c r="I15" s="11">
        <f t="shared" si="7"/>
        <v>32.727272727272727</v>
      </c>
      <c r="J15" s="6">
        <f t="shared" si="3"/>
        <v>924</v>
      </c>
      <c r="K15" s="6">
        <f t="shared" si="4"/>
        <v>38808</v>
      </c>
      <c r="L15" s="27"/>
      <c r="M15" s="27"/>
      <c r="N15" s="24"/>
      <c r="O15" s="6">
        <f t="shared" si="12"/>
        <v>36</v>
      </c>
      <c r="P15" s="6">
        <f t="shared" si="12"/>
        <v>40</v>
      </c>
      <c r="Q15" s="6">
        <v>11</v>
      </c>
      <c r="R15" s="11">
        <f t="shared" si="8"/>
        <v>-1.1144165855641446</v>
      </c>
      <c r="S15" s="11">
        <f t="shared" si="8"/>
        <v>-0.70259410713618542</v>
      </c>
      <c r="T15" s="8">
        <f t="shared" si="9"/>
        <v>0.13255025565176526</v>
      </c>
      <c r="U15" s="8">
        <f t="shared" si="9"/>
        <v>0.24115436797619338</v>
      </c>
      <c r="V15" s="8">
        <f t="shared" si="10"/>
        <v>0.10860411232442813</v>
      </c>
      <c r="W15" s="8">
        <f t="shared" si="11"/>
        <v>17.919678533530639</v>
      </c>
      <c r="X15" s="6">
        <v>11</v>
      </c>
      <c r="Y15" s="9">
        <v>17.919678533530639</v>
      </c>
      <c r="Z15" s="17">
        <f t="shared" si="13"/>
        <v>2.6720318066984188</v>
      </c>
    </row>
    <row r="16" spans="1:26" x14ac:dyDescent="0.3">
      <c r="A16" s="6">
        <f t="shared" si="5"/>
        <v>44</v>
      </c>
      <c r="B16" s="6">
        <f t="shared" si="6"/>
        <v>48</v>
      </c>
      <c r="C16" s="22" t="s">
        <v>19</v>
      </c>
      <c r="D16" s="22"/>
      <c r="E16" s="6">
        <v>35</v>
      </c>
      <c r="F16" s="6">
        <f t="shared" si="0"/>
        <v>46</v>
      </c>
      <c r="G16" s="12">
        <f t="shared" si="1"/>
        <v>35</v>
      </c>
      <c r="H16" s="11">
        <f t="shared" si="2"/>
        <v>21.212121212121211</v>
      </c>
      <c r="I16" s="11">
        <f t="shared" si="7"/>
        <v>53.939393939393938</v>
      </c>
      <c r="J16" s="6">
        <f t="shared" si="3"/>
        <v>1610</v>
      </c>
      <c r="K16" s="6">
        <f t="shared" si="4"/>
        <v>74060</v>
      </c>
      <c r="L16" s="27"/>
      <c r="M16" s="27"/>
      <c r="N16" s="24"/>
      <c r="O16" s="6">
        <f t="shared" si="12"/>
        <v>40</v>
      </c>
      <c r="P16" s="6">
        <f t="shared" si="12"/>
        <v>44</v>
      </c>
      <c r="Q16" s="6">
        <v>22</v>
      </c>
      <c r="R16" s="11">
        <f t="shared" si="8"/>
        <v>-0.70259410713618542</v>
      </c>
      <c r="S16" s="11">
        <f t="shared" si="8"/>
        <v>-0.29077162870822615</v>
      </c>
      <c r="T16" s="8">
        <f t="shared" si="9"/>
        <v>0.24115436797619338</v>
      </c>
      <c r="U16" s="8">
        <f t="shared" si="9"/>
        <v>0.38561299262813936</v>
      </c>
      <c r="V16" s="8">
        <f t="shared" si="10"/>
        <v>0.14445862465194598</v>
      </c>
      <c r="W16" s="8">
        <f t="shared" si="11"/>
        <v>23.835673067571086</v>
      </c>
      <c r="X16" s="6">
        <v>22</v>
      </c>
      <c r="Y16" s="9">
        <v>23.835673067571086</v>
      </c>
      <c r="Z16" s="17">
        <f t="shared" si="13"/>
        <v>0.14137195125361832</v>
      </c>
    </row>
    <row r="17" spans="1:26" x14ac:dyDescent="0.3">
      <c r="A17" s="6">
        <f t="shared" si="5"/>
        <v>48</v>
      </c>
      <c r="B17" s="6">
        <f t="shared" si="6"/>
        <v>52</v>
      </c>
      <c r="C17" s="22" t="s">
        <v>20</v>
      </c>
      <c r="D17" s="22"/>
      <c r="E17" s="6">
        <v>38</v>
      </c>
      <c r="F17" s="6">
        <f t="shared" si="0"/>
        <v>50</v>
      </c>
      <c r="G17" s="12">
        <f t="shared" si="1"/>
        <v>38</v>
      </c>
      <c r="H17" s="11">
        <f t="shared" si="2"/>
        <v>23.030303030303031</v>
      </c>
      <c r="I17" s="11">
        <f t="shared" si="7"/>
        <v>76.969696969696969</v>
      </c>
      <c r="J17" s="6">
        <f t="shared" si="3"/>
        <v>1900</v>
      </c>
      <c r="K17" s="6">
        <f t="shared" si="4"/>
        <v>95000</v>
      </c>
      <c r="L17" s="27"/>
      <c r="M17" s="27"/>
      <c r="N17" s="24"/>
      <c r="O17" s="6">
        <f t="shared" si="12"/>
        <v>44</v>
      </c>
      <c r="P17" s="6">
        <f t="shared" si="12"/>
        <v>48</v>
      </c>
      <c r="Q17" s="6">
        <v>35</v>
      </c>
      <c r="R17" s="11">
        <f t="shared" si="8"/>
        <v>-0.29077162870822615</v>
      </c>
      <c r="S17" s="11">
        <f t="shared" si="8"/>
        <v>0.12105084971973311</v>
      </c>
      <c r="T17" s="8">
        <f t="shared" si="9"/>
        <v>0.38561299262813936</v>
      </c>
      <c r="U17" s="8">
        <f t="shared" si="9"/>
        <v>0.54817462048151566</v>
      </c>
      <c r="V17" s="8">
        <f t="shared" si="10"/>
        <v>0.1625616278533763</v>
      </c>
      <c r="W17" s="8">
        <f t="shared" si="11"/>
        <v>26.822668595807091</v>
      </c>
      <c r="X17" s="6">
        <v>35</v>
      </c>
      <c r="Y17" s="9">
        <v>26.822668595807091</v>
      </c>
      <c r="Z17" s="17">
        <f t="shared" si="13"/>
        <v>2.4929938889247016</v>
      </c>
    </row>
    <row r="18" spans="1:26" x14ac:dyDescent="0.3">
      <c r="A18" s="6">
        <f t="shared" si="5"/>
        <v>52</v>
      </c>
      <c r="B18" s="6">
        <f t="shared" si="6"/>
        <v>56</v>
      </c>
      <c r="C18" s="22" t="s">
        <v>21</v>
      </c>
      <c r="D18" s="22"/>
      <c r="E18" s="6">
        <v>15</v>
      </c>
      <c r="F18" s="6">
        <f t="shared" si="0"/>
        <v>54</v>
      </c>
      <c r="G18" s="12">
        <f t="shared" si="1"/>
        <v>15</v>
      </c>
      <c r="H18" s="11">
        <f t="shared" si="2"/>
        <v>9.0909090909090917</v>
      </c>
      <c r="I18" s="11">
        <f t="shared" si="7"/>
        <v>86.060606060606062</v>
      </c>
      <c r="J18" s="6">
        <f t="shared" si="3"/>
        <v>810</v>
      </c>
      <c r="K18" s="6">
        <f t="shared" si="4"/>
        <v>43740</v>
      </c>
      <c r="L18" s="27"/>
      <c r="M18" s="27"/>
      <c r="N18" s="24"/>
      <c r="O18" s="6">
        <f t="shared" si="12"/>
        <v>48</v>
      </c>
      <c r="P18" s="6">
        <f t="shared" si="12"/>
        <v>52</v>
      </c>
      <c r="Q18" s="6">
        <v>38</v>
      </c>
      <c r="R18" s="11">
        <f t="shared" si="8"/>
        <v>0.12105084971973311</v>
      </c>
      <c r="S18" s="11">
        <f t="shared" si="8"/>
        <v>0.53287332814769239</v>
      </c>
      <c r="T18" s="8">
        <f t="shared" si="9"/>
        <v>0.54817462048151566</v>
      </c>
      <c r="U18" s="8">
        <f t="shared" si="9"/>
        <v>0.70293936528768641</v>
      </c>
      <c r="V18" s="8">
        <f t="shared" si="10"/>
        <v>0.15476474480617075</v>
      </c>
      <c r="W18" s="8">
        <f t="shared" si="11"/>
        <v>25.536182893018175</v>
      </c>
      <c r="X18" s="6">
        <v>38</v>
      </c>
      <c r="Y18" s="9">
        <v>25.536182893018175</v>
      </c>
      <c r="Z18" s="17">
        <f t="shared" si="13"/>
        <v>6.0833969402203021</v>
      </c>
    </row>
    <row r="19" spans="1:26" x14ac:dyDescent="0.3">
      <c r="A19" s="6">
        <f t="shared" si="5"/>
        <v>56</v>
      </c>
      <c r="B19" s="6">
        <f t="shared" si="6"/>
        <v>60</v>
      </c>
      <c r="C19" s="22" t="s">
        <v>22</v>
      </c>
      <c r="D19" s="22"/>
      <c r="E19" s="6">
        <v>8</v>
      </c>
      <c r="F19" s="6">
        <f t="shared" si="0"/>
        <v>58</v>
      </c>
      <c r="G19" s="12">
        <f t="shared" si="1"/>
        <v>8</v>
      </c>
      <c r="H19" s="11">
        <f t="shared" si="2"/>
        <v>4.8484848484848486</v>
      </c>
      <c r="I19" s="11">
        <f t="shared" si="7"/>
        <v>90.909090909090907</v>
      </c>
      <c r="J19" s="6">
        <f t="shared" si="3"/>
        <v>464</v>
      </c>
      <c r="K19" s="6">
        <f t="shared" si="4"/>
        <v>26912</v>
      </c>
      <c r="L19" s="27"/>
      <c r="M19" s="27"/>
      <c r="N19" s="24"/>
      <c r="O19" s="6">
        <f t="shared" si="12"/>
        <v>52</v>
      </c>
      <c r="P19" s="6">
        <f t="shared" si="12"/>
        <v>56</v>
      </c>
      <c r="Q19" s="6">
        <v>15</v>
      </c>
      <c r="R19" s="11">
        <f t="shared" si="8"/>
        <v>0.53287332814769239</v>
      </c>
      <c r="S19" s="11">
        <f t="shared" si="8"/>
        <v>0.94469580657565166</v>
      </c>
      <c r="T19" s="8">
        <f t="shared" si="9"/>
        <v>0.70293936528768641</v>
      </c>
      <c r="U19" s="8">
        <f t="shared" si="9"/>
        <v>0.8275929007348285</v>
      </c>
      <c r="V19" s="8">
        <f t="shared" si="10"/>
        <v>0.12465353544714208</v>
      </c>
      <c r="W19" s="8">
        <f t="shared" si="11"/>
        <v>20.567833348778443</v>
      </c>
      <c r="X19" s="6">
        <v>15</v>
      </c>
      <c r="Y19" s="9">
        <v>20.567833348778443</v>
      </c>
      <c r="Z19" s="17">
        <f t="shared" si="13"/>
        <v>1.5072452053687295</v>
      </c>
    </row>
    <row r="20" spans="1:26" x14ac:dyDescent="0.3">
      <c r="A20" s="6">
        <f t="shared" si="5"/>
        <v>60</v>
      </c>
      <c r="B20" s="6">
        <f t="shared" si="6"/>
        <v>64</v>
      </c>
      <c r="C20" s="22" t="s">
        <v>23</v>
      </c>
      <c r="D20" s="22"/>
      <c r="E20" s="6">
        <v>6</v>
      </c>
      <c r="F20" s="6">
        <f t="shared" si="0"/>
        <v>62</v>
      </c>
      <c r="G20" s="12">
        <f t="shared" si="1"/>
        <v>6</v>
      </c>
      <c r="H20" s="11">
        <f t="shared" si="2"/>
        <v>3.6363636363636362</v>
      </c>
      <c r="I20" s="11">
        <f t="shared" si="7"/>
        <v>94.545454545454547</v>
      </c>
      <c r="J20" s="6">
        <f t="shared" si="3"/>
        <v>372</v>
      </c>
      <c r="K20" s="6">
        <f t="shared" si="4"/>
        <v>23064</v>
      </c>
      <c r="L20" s="27"/>
      <c r="M20" s="27"/>
      <c r="N20" s="24"/>
      <c r="O20" s="6">
        <f t="shared" si="12"/>
        <v>56</v>
      </c>
      <c r="P20" s="6">
        <f t="shared" si="12"/>
        <v>60</v>
      </c>
      <c r="Q20" s="6">
        <v>8</v>
      </c>
      <c r="R20" s="11">
        <f t="shared" si="8"/>
        <v>0.94469580657565166</v>
      </c>
      <c r="S20" s="11">
        <f t="shared" si="8"/>
        <v>1.3565182850036108</v>
      </c>
      <c r="T20" s="8">
        <f t="shared" si="9"/>
        <v>0.8275929007348285</v>
      </c>
      <c r="U20" s="8">
        <f t="shared" si="9"/>
        <v>0.91253283920625305</v>
      </c>
      <c r="V20" s="8">
        <f t="shared" si="10"/>
        <v>8.4939938471424559E-2</v>
      </c>
      <c r="W20" s="8">
        <f t="shared" si="11"/>
        <v>14.015089847785053</v>
      </c>
      <c r="X20" s="6">
        <v>8</v>
      </c>
      <c r="Y20" s="9">
        <v>14.015089847785053</v>
      </c>
      <c r="Z20" s="17">
        <f t="shared" si="13"/>
        <v>2.5815964271285003</v>
      </c>
    </row>
    <row r="21" spans="1:26" x14ac:dyDescent="0.3">
      <c r="A21" s="6">
        <f t="shared" si="5"/>
        <v>64</v>
      </c>
      <c r="B21" s="6">
        <f t="shared" si="6"/>
        <v>68</v>
      </c>
      <c r="C21" s="22" t="s">
        <v>23</v>
      </c>
      <c r="D21" s="22"/>
      <c r="E21" s="6">
        <v>6</v>
      </c>
      <c r="F21" s="6">
        <f t="shared" si="0"/>
        <v>66</v>
      </c>
      <c r="G21" s="12">
        <f t="shared" si="1"/>
        <v>6</v>
      </c>
      <c r="H21" s="11">
        <f t="shared" si="2"/>
        <v>3.6363636363636362</v>
      </c>
      <c r="I21" s="11">
        <f t="shared" si="7"/>
        <v>98.181818181818187</v>
      </c>
      <c r="J21" s="6">
        <f t="shared" si="3"/>
        <v>396</v>
      </c>
      <c r="K21" s="6">
        <f t="shared" si="4"/>
        <v>26136</v>
      </c>
      <c r="L21" s="27"/>
      <c r="M21" s="27"/>
      <c r="N21" s="24"/>
      <c r="O21" s="6">
        <f t="shared" si="12"/>
        <v>60</v>
      </c>
      <c r="P21" s="6">
        <f t="shared" si="12"/>
        <v>64</v>
      </c>
      <c r="Q21" s="6">
        <v>6</v>
      </c>
      <c r="R21" s="11">
        <f t="shared" si="8"/>
        <v>1.3565182850036108</v>
      </c>
      <c r="S21" s="11">
        <f t="shared" si="8"/>
        <v>1.7683407634315702</v>
      </c>
      <c r="T21" s="8">
        <f t="shared" si="9"/>
        <v>0.91253283920625305</v>
      </c>
      <c r="U21" s="8">
        <f t="shared" si="9"/>
        <v>0.96149802346086322</v>
      </c>
      <c r="V21" s="8">
        <f t="shared" si="10"/>
        <v>4.8965184254610161E-2</v>
      </c>
      <c r="W21" s="8">
        <f t="shared" si="11"/>
        <v>8.079255402010677</v>
      </c>
      <c r="X21" s="6">
        <v>6</v>
      </c>
      <c r="Y21" s="9">
        <v>8.079255402010677</v>
      </c>
      <c r="Z21" s="17">
        <f t="shared" si="13"/>
        <v>0.53511156804309534</v>
      </c>
    </row>
    <row r="22" spans="1:26" x14ac:dyDescent="0.3">
      <c r="A22" s="6">
        <f t="shared" si="5"/>
        <v>68</v>
      </c>
      <c r="B22" s="6">
        <f t="shared" si="6"/>
        <v>72</v>
      </c>
      <c r="C22" s="22" t="s">
        <v>12</v>
      </c>
      <c r="D22" s="22"/>
      <c r="E22" s="6">
        <v>3</v>
      </c>
      <c r="F22" s="6">
        <f t="shared" si="0"/>
        <v>70</v>
      </c>
      <c r="G22" s="12">
        <f t="shared" si="1"/>
        <v>3</v>
      </c>
      <c r="H22" s="11">
        <f t="shared" si="2"/>
        <v>1.8181818181818181</v>
      </c>
      <c r="I22" s="11">
        <f t="shared" si="7"/>
        <v>100</v>
      </c>
      <c r="J22" s="6">
        <f t="shared" si="3"/>
        <v>210</v>
      </c>
      <c r="K22" s="6">
        <f t="shared" si="4"/>
        <v>14700</v>
      </c>
      <c r="L22" s="27"/>
      <c r="M22" s="27"/>
      <c r="N22" s="24"/>
      <c r="O22" s="6">
        <f t="shared" si="12"/>
        <v>64</v>
      </c>
      <c r="P22" s="6">
        <f t="shared" si="12"/>
        <v>68</v>
      </c>
      <c r="Q22" s="6">
        <v>6</v>
      </c>
      <c r="R22" s="11">
        <f t="shared" si="8"/>
        <v>1.7683407634315702</v>
      </c>
      <c r="S22" s="11">
        <f t="shared" si="8"/>
        <v>2.1801632418595296</v>
      </c>
      <c r="T22" s="8">
        <f t="shared" si="9"/>
        <v>0.96149802346086322</v>
      </c>
      <c r="U22" s="8">
        <f t="shared" si="9"/>
        <v>0.98537731836596265</v>
      </c>
      <c r="V22" s="8">
        <f t="shared" si="10"/>
        <v>2.3879294905099435E-2</v>
      </c>
      <c r="W22" s="8">
        <f t="shared" si="11"/>
        <v>3.9400836593414068</v>
      </c>
      <c r="X22" s="6">
        <v>9</v>
      </c>
      <c r="Y22" s="9">
        <f>SUM(W22:W26)</f>
        <v>6.342144357705477</v>
      </c>
      <c r="Z22" s="17">
        <f t="shared" si="13"/>
        <v>1.113849861631435</v>
      </c>
    </row>
    <row r="23" spans="1:26" x14ac:dyDescent="0.3">
      <c r="A23" s="6">
        <f t="shared" si="5"/>
        <v>72</v>
      </c>
      <c r="B23" s="6">
        <f t="shared" si="6"/>
        <v>76</v>
      </c>
      <c r="C23" s="22"/>
      <c r="D23" s="22"/>
      <c r="E23" s="6">
        <v>0</v>
      </c>
      <c r="F23" s="6">
        <f t="shared" si="0"/>
        <v>74</v>
      </c>
      <c r="G23" s="12">
        <f t="shared" si="1"/>
        <v>0</v>
      </c>
      <c r="H23" s="11">
        <f t="shared" si="2"/>
        <v>0</v>
      </c>
      <c r="I23" s="11">
        <f t="shared" si="7"/>
        <v>100</v>
      </c>
      <c r="J23" s="6">
        <f t="shared" si="3"/>
        <v>0</v>
      </c>
      <c r="K23" s="6">
        <f t="shared" si="4"/>
        <v>0</v>
      </c>
      <c r="L23" s="27"/>
      <c r="M23" s="27"/>
      <c r="N23" s="24"/>
      <c r="O23" s="6">
        <f t="shared" si="12"/>
        <v>68</v>
      </c>
      <c r="P23" s="6">
        <f t="shared" si="12"/>
        <v>72</v>
      </c>
      <c r="Q23" s="6">
        <v>3</v>
      </c>
      <c r="R23" s="11">
        <f t="shared" si="8"/>
        <v>2.1801632418595296</v>
      </c>
      <c r="S23" s="11">
        <f t="shared" si="8"/>
        <v>2.5919857202874885</v>
      </c>
      <c r="T23" s="8">
        <f t="shared" si="9"/>
        <v>0.98537731836596265</v>
      </c>
      <c r="U23" s="8">
        <f t="shared" si="9"/>
        <v>0.99522881338551783</v>
      </c>
      <c r="V23" s="8">
        <f t="shared" si="10"/>
        <v>9.8514950195551787E-3</v>
      </c>
      <c r="W23" s="8">
        <f t="shared" si="11"/>
        <v>1.6254966782266045</v>
      </c>
      <c r="X23" s="6"/>
      <c r="Y23" s="6"/>
    </row>
    <row r="24" spans="1:26" x14ac:dyDescent="0.3">
      <c r="A24" s="6">
        <f t="shared" si="5"/>
        <v>76</v>
      </c>
      <c r="B24" s="6">
        <f t="shared" si="6"/>
        <v>80</v>
      </c>
      <c r="C24" s="22"/>
      <c r="D24" s="22"/>
      <c r="E24" s="6">
        <v>0</v>
      </c>
      <c r="F24" s="6">
        <f t="shared" si="0"/>
        <v>78</v>
      </c>
      <c r="G24" s="12">
        <f t="shared" si="1"/>
        <v>0</v>
      </c>
      <c r="H24" s="11">
        <f t="shared" si="2"/>
        <v>0</v>
      </c>
      <c r="I24" s="11">
        <f t="shared" si="7"/>
        <v>100</v>
      </c>
      <c r="J24" s="6">
        <f t="shared" si="3"/>
        <v>0</v>
      </c>
      <c r="K24" s="6">
        <f t="shared" si="4"/>
        <v>0</v>
      </c>
      <c r="L24" s="27"/>
      <c r="M24" s="27"/>
      <c r="N24" s="24"/>
      <c r="O24" s="6">
        <f t="shared" si="12"/>
        <v>72</v>
      </c>
      <c r="P24" s="6">
        <f t="shared" si="12"/>
        <v>76</v>
      </c>
      <c r="Q24" s="6">
        <v>0</v>
      </c>
      <c r="R24" s="11">
        <f t="shared" si="8"/>
        <v>2.5919857202874885</v>
      </c>
      <c r="S24" s="11">
        <f t="shared" si="8"/>
        <v>3.0038081987154479</v>
      </c>
      <c r="T24" s="8">
        <f t="shared" si="9"/>
        <v>0.99522881338551783</v>
      </c>
      <c r="U24" s="8">
        <f t="shared" si="9"/>
        <v>0.99866688324494246</v>
      </c>
      <c r="V24" s="8">
        <f t="shared" si="10"/>
        <v>3.4380698594246306E-3</v>
      </c>
      <c r="W24" s="8">
        <f t="shared" si="11"/>
        <v>0.56728152680506405</v>
      </c>
      <c r="X24" s="6"/>
      <c r="Y24" s="6"/>
    </row>
    <row r="25" spans="1:26" x14ac:dyDescent="0.3">
      <c r="A25" s="6">
        <f t="shared" si="5"/>
        <v>80</v>
      </c>
      <c r="B25" s="6">
        <f t="shared" si="6"/>
        <v>84</v>
      </c>
      <c r="C25" s="22"/>
      <c r="D25" s="22"/>
      <c r="E25" s="6">
        <v>0</v>
      </c>
      <c r="F25" s="6">
        <f t="shared" si="0"/>
        <v>82</v>
      </c>
      <c r="G25" s="12">
        <f t="shared" si="1"/>
        <v>0</v>
      </c>
      <c r="H25" s="11">
        <f t="shared" si="2"/>
        <v>0</v>
      </c>
      <c r="I25" s="11">
        <f t="shared" si="7"/>
        <v>100</v>
      </c>
      <c r="J25" s="6">
        <f t="shared" si="3"/>
        <v>0</v>
      </c>
      <c r="K25" s="6">
        <f t="shared" si="4"/>
        <v>0</v>
      </c>
      <c r="L25" s="27"/>
      <c r="M25" s="27"/>
      <c r="N25" s="24"/>
      <c r="O25" s="6">
        <f t="shared" si="12"/>
        <v>76</v>
      </c>
      <c r="P25" s="6">
        <f t="shared" si="12"/>
        <v>80</v>
      </c>
      <c r="Q25" s="6">
        <v>0</v>
      </c>
      <c r="R25" s="11">
        <f t="shared" si="8"/>
        <v>3.0038081987154479</v>
      </c>
      <c r="S25" s="11">
        <f t="shared" si="8"/>
        <v>3.4156306771434073</v>
      </c>
      <c r="T25" s="8">
        <f t="shared" si="9"/>
        <v>0.99866688324494246</v>
      </c>
      <c r="U25" s="8">
        <f t="shared" si="9"/>
        <v>0.99968182755694779</v>
      </c>
      <c r="V25" s="8">
        <f t="shared" si="10"/>
        <v>1.0149443120053281E-3</v>
      </c>
      <c r="W25" s="8">
        <f t="shared" si="11"/>
        <v>0.16746581148087913</v>
      </c>
      <c r="X25" s="6"/>
      <c r="Y25" s="6"/>
    </row>
    <row r="26" spans="1:26" x14ac:dyDescent="0.3">
      <c r="C26" s="22"/>
      <c r="D26" s="22"/>
      <c r="E26" s="6">
        <f>SUM(E10:E25)</f>
        <v>165</v>
      </c>
      <c r="F26" s="6"/>
      <c r="G26" s="14">
        <f>SUM(G10:G25)</f>
        <v>165</v>
      </c>
      <c r="H26" s="11"/>
      <c r="I26" s="6"/>
      <c r="J26" s="6">
        <f>SUM(J10:J25)</f>
        <v>7726</v>
      </c>
      <c r="K26" s="6">
        <f>SUM(K10:K25)</f>
        <v>377236</v>
      </c>
      <c r="O26" s="6">
        <f t="shared" si="12"/>
        <v>80</v>
      </c>
      <c r="P26" s="6">
        <f t="shared" si="12"/>
        <v>84</v>
      </c>
      <c r="Q26" s="6">
        <v>0</v>
      </c>
      <c r="R26" s="11">
        <f t="shared" si="8"/>
        <v>3.4156306771434073</v>
      </c>
      <c r="S26" s="11">
        <f>(P26-$L$10)/$M$10</f>
        <v>3.8274531555713662</v>
      </c>
      <c r="T26" s="8">
        <f t="shared" si="9"/>
        <v>0.99968182755694779</v>
      </c>
      <c r="U26" s="8">
        <f t="shared" si="9"/>
        <v>0.99993526199241156</v>
      </c>
      <c r="V26" s="8">
        <f t="shared" si="10"/>
        <v>2.5343443546377298E-4</v>
      </c>
      <c r="W26" s="8">
        <f t="shared" si="11"/>
        <v>4.1816681851522541E-2</v>
      </c>
      <c r="X26" s="6"/>
      <c r="Y26" s="6"/>
    </row>
    <row r="27" spans="1:26" x14ac:dyDescent="0.3">
      <c r="C27" s="22"/>
      <c r="D27" s="22"/>
      <c r="E27" s="22"/>
      <c r="F27" s="22"/>
      <c r="G27" s="22"/>
      <c r="H27" s="22"/>
      <c r="W27" s="16">
        <f>SUM(W11:W26)</f>
        <v>164.51494205535596</v>
      </c>
      <c r="X27" s="2">
        <f>SUM(X12:X22)</f>
        <v>165</v>
      </c>
      <c r="Y27" s="16">
        <f>SUM(Y11:Y26)</f>
        <v>164.51494205535599</v>
      </c>
      <c r="Z27" s="18">
        <f>SUM(Z12:Z22)</f>
        <v>20.580178982486675</v>
      </c>
    </row>
    <row r="28" spans="1:26" x14ac:dyDescent="0.3">
      <c r="C28" s="22"/>
      <c r="D28" s="22"/>
      <c r="E28" s="22"/>
      <c r="F28" s="22"/>
      <c r="G28" s="22"/>
      <c r="H28" s="22"/>
      <c r="Y28" s="19" t="s">
        <v>81</v>
      </c>
      <c r="Z28" s="29">
        <f>0.008351*100</f>
        <v>0.83510000000000006</v>
      </c>
    </row>
    <row r="29" spans="1:26" x14ac:dyDescent="0.3">
      <c r="C29" s="22"/>
      <c r="D29" s="22"/>
      <c r="E29" s="22"/>
      <c r="F29" s="22"/>
      <c r="G29" s="22"/>
      <c r="H29" s="22"/>
    </row>
    <row r="30" spans="1:26" x14ac:dyDescent="0.3">
      <c r="C30" s="22"/>
      <c r="D30" s="22"/>
      <c r="E30" s="22"/>
      <c r="F30" s="22"/>
      <c r="G30" s="22"/>
      <c r="H30" s="22"/>
    </row>
    <row r="31" spans="1:26" x14ac:dyDescent="0.3">
      <c r="C31" s="22"/>
      <c r="D31" s="22"/>
    </row>
    <row r="36" spans="13:21" ht="15.6" x14ac:dyDescent="0.3">
      <c r="Q36" s="37" t="s">
        <v>104</v>
      </c>
      <c r="R36" s="37"/>
      <c r="S36" s="37"/>
      <c r="T36" s="37"/>
      <c r="U36" s="37"/>
    </row>
    <row r="37" spans="13:21" x14ac:dyDescent="0.3">
      <c r="M37" s="2" t="s">
        <v>61</v>
      </c>
      <c r="N37" s="5" t="s">
        <v>62</v>
      </c>
      <c r="Q37" s="34"/>
      <c r="R37" s="36" t="s">
        <v>105</v>
      </c>
      <c r="S37" s="36"/>
      <c r="T37" s="36" t="s">
        <v>25</v>
      </c>
      <c r="U37" s="36"/>
    </row>
    <row r="38" spans="13:21" x14ac:dyDescent="0.3">
      <c r="M38" s="6"/>
      <c r="Q38" s="23" t="s">
        <v>44</v>
      </c>
      <c r="R38" s="35" t="s">
        <v>111</v>
      </c>
      <c r="S38" s="35"/>
      <c r="T38" s="35" t="s">
        <v>110</v>
      </c>
      <c r="U38" s="35"/>
    </row>
    <row r="39" spans="13:21" ht="16.8" customHeight="1" x14ac:dyDescent="0.3">
      <c r="M39" s="6"/>
      <c r="Q39" s="23"/>
      <c r="R39" s="35"/>
      <c r="S39" s="35"/>
      <c r="T39" s="35"/>
      <c r="U39" s="35"/>
    </row>
    <row r="40" spans="13:21" x14ac:dyDescent="0.3">
      <c r="M40" s="6"/>
      <c r="Q40" s="23" t="s">
        <v>45</v>
      </c>
      <c r="R40" s="35">
        <v>9.7100000000000009</v>
      </c>
      <c r="S40" s="35"/>
      <c r="T40" s="35">
        <v>8.65</v>
      </c>
      <c r="U40" s="35"/>
    </row>
    <row r="41" spans="13:21" x14ac:dyDescent="0.3">
      <c r="M41" s="6"/>
      <c r="Q41" s="23"/>
      <c r="R41" s="35"/>
      <c r="S41" s="35"/>
      <c r="T41" s="35"/>
      <c r="U41" s="35"/>
    </row>
    <row r="42" spans="13:21" x14ac:dyDescent="0.3">
      <c r="M42" s="6"/>
      <c r="Q42" s="24" t="s">
        <v>46</v>
      </c>
      <c r="R42" s="35" t="s">
        <v>47</v>
      </c>
      <c r="S42" s="35"/>
      <c r="T42" s="35" t="s">
        <v>78</v>
      </c>
      <c r="U42" s="35"/>
    </row>
    <row r="43" spans="13:21" x14ac:dyDescent="0.3">
      <c r="M43" s="6"/>
      <c r="Q43" s="24"/>
      <c r="R43" s="35"/>
      <c r="S43" s="35"/>
      <c r="T43" s="35"/>
      <c r="U43" s="35"/>
    </row>
    <row r="44" spans="13:21" x14ac:dyDescent="0.3">
      <c r="M44" s="6"/>
      <c r="Q44" s="24" t="s">
        <v>109</v>
      </c>
      <c r="R44" s="35">
        <v>49</v>
      </c>
      <c r="S44" s="35"/>
      <c r="T44" s="35">
        <v>54.9</v>
      </c>
      <c r="U44" s="35"/>
    </row>
    <row r="45" spans="13:21" x14ac:dyDescent="0.3">
      <c r="M45" s="6"/>
      <c r="Q45" s="24"/>
      <c r="R45" s="35"/>
      <c r="S45" s="35"/>
      <c r="T45" s="35"/>
      <c r="U45" s="35"/>
    </row>
    <row r="46" spans="13:21" x14ac:dyDescent="0.3">
      <c r="M46" s="6"/>
      <c r="Q46" s="23" t="s">
        <v>58</v>
      </c>
      <c r="R46" s="35" t="s">
        <v>63</v>
      </c>
      <c r="S46" s="35"/>
      <c r="T46" s="35" t="s">
        <v>66</v>
      </c>
      <c r="U46" s="35"/>
    </row>
    <row r="47" spans="13:21" x14ac:dyDescent="0.3">
      <c r="M47" s="6"/>
      <c r="Q47" s="23"/>
      <c r="R47" s="35"/>
      <c r="S47" s="35"/>
      <c r="T47" s="35"/>
      <c r="U47" s="35"/>
    </row>
    <row r="48" spans="13:21" x14ac:dyDescent="0.3">
      <c r="M48" s="6"/>
      <c r="Q48" s="23" t="s">
        <v>59</v>
      </c>
      <c r="R48" s="35" t="s">
        <v>64</v>
      </c>
      <c r="S48" s="35"/>
      <c r="T48" s="35" t="s">
        <v>112</v>
      </c>
      <c r="U48" s="35"/>
    </row>
    <row r="49" spans="13:21" x14ac:dyDescent="0.3">
      <c r="M49" s="6"/>
      <c r="Q49" s="23"/>
      <c r="R49" s="35"/>
      <c r="S49" s="35"/>
      <c r="T49" s="35"/>
      <c r="U49" s="35"/>
    </row>
    <row r="50" spans="13:21" x14ac:dyDescent="0.3">
      <c r="M50" s="6"/>
      <c r="Q50" s="23" t="s">
        <v>108</v>
      </c>
      <c r="R50" s="35" t="s">
        <v>65</v>
      </c>
      <c r="S50" s="35"/>
      <c r="T50" s="35" t="s">
        <v>68</v>
      </c>
      <c r="U50" s="35"/>
    </row>
    <row r="51" spans="13:21" x14ac:dyDescent="0.3">
      <c r="M51" s="6"/>
      <c r="Q51" s="23"/>
      <c r="R51" s="35"/>
      <c r="S51" s="35"/>
      <c r="T51" s="35"/>
      <c r="U51" s="35"/>
    </row>
    <row r="52" spans="13:21" x14ac:dyDescent="0.3">
      <c r="M52" s="6"/>
    </row>
    <row r="53" spans="13:21" x14ac:dyDescent="0.3">
      <c r="M53" s="6"/>
    </row>
    <row r="54" spans="13:21" x14ac:dyDescent="0.3">
      <c r="M54" s="6"/>
    </row>
    <row r="55" spans="13:21" x14ac:dyDescent="0.3">
      <c r="M55" s="6"/>
    </row>
    <row r="56" spans="13:21" x14ac:dyDescent="0.3">
      <c r="M56" s="6"/>
    </row>
    <row r="57" spans="13:21" x14ac:dyDescent="0.3">
      <c r="M57" s="6"/>
    </row>
    <row r="58" spans="13:21" x14ac:dyDescent="0.3">
      <c r="M58" s="6"/>
    </row>
    <row r="59" spans="13:21" x14ac:dyDescent="0.3">
      <c r="M59" s="2" t="s">
        <v>58</v>
      </c>
      <c r="N59" s="6" t="s">
        <v>63</v>
      </c>
    </row>
    <row r="60" spans="13:21" x14ac:dyDescent="0.3">
      <c r="M60" s="2" t="s">
        <v>59</v>
      </c>
      <c r="N60" s="6" t="s">
        <v>64</v>
      </c>
    </row>
    <row r="61" spans="13:21" x14ac:dyDescent="0.3">
      <c r="M61" s="2" t="s">
        <v>60</v>
      </c>
      <c r="N61" s="6" t="s">
        <v>65</v>
      </c>
    </row>
  </sheetData>
  <mergeCells count="86">
    <mergeCell ref="Q50:Q51"/>
    <mergeCell ref="R50:S51"/>
    <mergeCell ref="T50:U51"/>
    <mergeCell ref="R48:S49"/>
    <mergeCell ref="T44:U45"/>
    <mergeCell ref="T46:U47"/>
    <mergeCell ref="T48:U49"/>
    <mergeCell ref="Q44:Q45"/>
    <mergeCell ref="Q46:Q47"/>
    <mergeCell ref="Q48:Q49"/>
    <mergeCell ref="Q42:Q43"/>
    <mergeCell ref="R42:S43"/>
    <mergeCell ref="T42:U43"/>
    <mergeCell ref="R44:S45"/>
    <mergeCell ref="R46:S47"/>
    <mergeCell ref="Q38:Q39"/>
    <mergeCell ref="R38:S39"/>
    <mergeCell ref="T38:U39"/>
    <mergeCell ref="Q40:Q41"/>
    <mergeCell ref="R40:S41"/>
    <mergeCell ref="T40:U41"/>
    <mergeCell ref="Q36:U36"/>
    <mergeCell ref="R37:S37"/>
    <mergeCell ref="T37:U37"/>
    <mergeCell ref="L10:L25"/>
    <mergeCell ref="M10:M25"/>
    <mergeCell ref="N7:N9"/>
    <mergeCell ref="A6:N6"/>
    <mergeCell ref="N10:N25"/>
    <mergeCell ref="J7:J9"/>
    <mergeCell ref="K7:K9"/>
    <mergeCell ref="L7:L9"/>
    <mergeCell ref="M7:M9"/>
    <mergeCell ref="I7:I9"/>
    <mergeCell ref="C17:D17"/>
    <mergeCell ref="C18:D18"/>
    <mergeCell ref="C19:D19"/>
    <mergeCell ref="C20:D20"/>
    <mergeCell ref="C21:D21"/>
    <mergeCell ref="C22:D22"/>
    <mergeCell ref="O6:Z7"/>
    <mergeCell ref="O8:P8"/>
    <mergeCell ref="Q8:Q10"/>
    <mergeCell ref="R8:R10"/>
    <mergeCell ref="S8:S10"/>
    <mergeCell ref="Z8:Z10"/>
    <mergeCell ref="O9:O10"/>
    <mergeCell ref="P9:P10"/>
    <mergeCell ref="T8:T10"/>
    <mergeCell ref="U8:U10"/>
    <mergeCell ref="V8:V10"/>
    <mergeCell ref="W8:W10"/>
    <mergeCell ref="X8:X10"/>
    <mergeCell ref="Y8:Y10"/>
    <mergeCell ref="G30:H30"/>
    <mergeCell ref="E7:E9"/>
    <mergeCell ref="F7:F9"/>
    <mergeCell ref="G7:G9"/>
    <mergeCell ref="H7:H9"/>
    <mergeCell ref="G27:H27"/>
    <mergeCell ref="G28:H28"/>
    <mergeCell ref="G29:H29"/>
    <mergeCell ref="E29:F29"/>
    <mergeCell ref="E30:F30"/>
    <mergeCell ref="E27:F27"/>
    <mergeCell ref="E28:F28"/>
    <mergeCell ref="C29:D29"/>
    <mergeCell ref="C30:D30"/>
    <mergeCell ref="C31:D31"/>
    <mergeCell ref="C23:D23"/>
    <mergeCell ref="C24:D24"/>
    <mergeCell ref="C25:D25"/>
    <mergeCell ref="C26:D26"/>
    <mergeCell ref="C27:D27"/>
    <mergeCell ref="C28:D28"/>
    <mergeCell ref="C16:D16"/>
    <mergeCell ref="A8:A9"/>
    <mergeCell ref="B8:B9"/>
    <mergeCell ref="C10:D10"/>
    <mergeCell ref="C7:D9"/>
    <mergeCell ref="A7:B7"/>
    <mergeCell ref="C11:D11"/>
    <mergeCell ref="C12:D12"/>
    <mergeCell ref="C13:D13"/>
    <mergeCell ref="C14:D14"/>
    <mergeCell ref="C15:D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B8B0-DE61-4C93-B99D-9AA793F73548}">
  <dimension ref="A1:Z67"/>
  <sheetViews>
    <sheetView topLeftCell="H17" zoomScale="102" zoomScaleNormal="102" workbookViewId="0">
      <selection activeCell="O6" sqref="O6:Z28"/>
    </sheetView>
  </sheetViews>
  <sheetFormatPr defaultRowHeight="14.4" x14ac:dyDescent="0.3"/>
  <cols>
    <col min="1" max="1" width="13.88671875" customWidth="1"/>
    <col min="2" max="2" width="13.109375" customWidth="1"/>
    <col min="3" max="3" width="16.5546875" customWidth="1"/>
    <col min="4" max="4" width="19.5546875" customWidth="1"/>
    <col min="5" max="5" width="16.88671875" customWidth="1"/>
    <col min="7" max="7" width="9.44140625" customWidth="1"/>
    <col min="8" max="8" width="8.6640625" customWidth="1"/>
    <col min="12" max="12" width="9.5546875" customWidth="1"/>
    <col min="13" max="13" width="14.109375" customWidth="1"/>
    <col min="14" max="14" width="10.109375" customWidth="1"/>
    <col min="17" max="17" width="10" customWidth="1"/>
    <col min="18" max="18" width="11.88671875" customWidth="1"/>
    <col min="19" max="19" width="10" customWidth="1"/>
    <col min="20" max="20" width="10.44140625" customWidth="1"/>
    <col min="21" max="21" width="10.77734375" customWidth="1"/>
    <col min="22" max="22" width="11.109375" customWidth="1"/>
    <col min="23" max="23" width="12.21875" customWidth="1"/>
    <col min="24" max="24" width="10" customWidth="1"/>
    <col min="25" max="25" width="11" customWidth="1"/>
  </cols>
  <sheetData>
    <row r="1" spans="1:26" ht="51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26" x14ac:dyDescent="0.3">
      <c r="A2" s="1">
        <v>0.95</v>
      </c>
      <c r="B2" s="6">
        <v>3.49</v>
      </c>
      <c r="C2" s="6">
        <v>0.54900000000000004</v>
      </c>
      <c r="D2" s="10">
        <f>(3.84*B2^2)/C2^2</f>
        <v>155.18058666029643</v>
      </c>
      <c r="E2" s="10">
        <f>ROUNDUP((D2+49/5),0)</f>
        <v>165</v>
      </c>
    </row>
    <row r="6" spans="1:26" x14ac:dyDescent="0.3">
      <c r="A6" s="28" t="s">
        <v>25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6" t="s">
        <v>107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4.4" customHeight="1" x14ac:dyDescent="0.3">
      <c r="A7" s="23" t="s">
        <v>5</v>
      </c>
      <c r="B7" s="23"/>
      <c r="C7" s="23" t="s">
        <v>8</v>
      </c>
      <c r="D7" s="23"/>
      <c r="E7" s="24" t="s">
        <v>10</v>
      </c>
      <c r="F7" s="23" t="s">
        <v>30</v>
      </c>
      <c r="G7" s="25" t="s">
        <v>31</v>
      </c>
      <c r="H7" s="23" t="s">
        <v>26</v>
      </c>
      <c r="I7" s="23" t="s">
        <v>27</v>
      </c>
      <c r="J7" s="23" t="s">
        <v>28</v>
      </c>
      <c r="K7" s="23" t="s">
        <v>29</v>
      </c>
      <c r="L7" s="23" t="s">
        <v>44</v>
      </c>
      <c r="M7" s="23" t="s">
        <v>45</v>
      </c>
      <c r="N7" s="23" t="s">
        <v>46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4.4" customHeight="1" x14ac:dyDescent="0.3">
      <c r="A8" s="23" t="s">
        <v>6</v>
      </c>
      <c r="B8" s="23" t="s">
        <v>7</v>
      </c>
      <c r="C8" s="23"/>
      <c r="D8" s="23"/>
      <c r="E8" s="24"/>
      <c r="F8" s="23"/>
      <c r="G8" s="25"/>
      <c r="H8" s="23"/>
      <c r="I8" s="23"/>
      <c r="J8" s="23"/>
      <c r="K8" s="23"/>
      <c r="L8" s="23"/>
      <c r="M8" s="23"/>
      <c r="N8" s="23"/>
      <c r="O8" s="23" t="s">
        <v>5</v>
      </c>
      <c r="P8" s="23"/>
      <c r="Q8" s="25" t="s">
        <v>48</v>
      </c>
      <c r="R8" s="23" t="s">
        <v>55</v>
      </c>
      <c r="S8" s="23" t="s">
        <v>49</v>
      </c>
      <c r="T8" s="23" t="s">
        <v>57</v>
      </c>
      <c r="U8" s="23" t="s">
        <v>56</v>
      </c>
      <c r="V8" s="23" t="s">
        <v>50</v>
      </c>
      <c r="W8" s="23" t="s">
        <v>54</v>
      </c>
      <c r="X8" s="23" t="s">
        <v>51</v>
      </c>
      <c r="Y8" s="23" t="s">
        <v>52</v>
      </c>
      <c r="Z8" s="23" t="s">
        <v>53</v>
      </c>
    </row>
    <row r="9" spans="1:26" x14ac:dyDescent="0.3">
      <c r="A9" s="23"/>
      <c r="B9" s="23"/>
      <c r="C9" s="23"/>
      <c r="D9" s="23"/>
      <c r="E9" s="24"/>
      <c r="F9" s="23"/>
      <c r="G9" s="25"/>
      <c r="H9" s="23"/>
      <c r="I9" s="23"/>
      <c r="J9" s="23"/>
      <c r="K9" s="23"/>
      <c r="L9" s="23"/>
      <c r="M9" s="23"/>
      <c r="N9" s="23"/>
      <c r="O9" s="23" t="s">
        <v>6</v>
      </c>
      <c r="P9" s="23" t="s">
        <v>7</v>
      </c>
      <c r="Q9" s="25"/>
      <c r="R9" s="23"/>
      <c r="S9" s="23"/>
      <c r="T9" s="23"/>
      <c r="U9" s="23"/>
      <c r="V9" s="23"/>
      <c r="W9" s="23"/>
      <c r="X9" s="23"/>
      <c r="Y9" s="23"/>
      <c r="Z9" s="24"/>
    </row>
    <row r="10" spans="1:26" x14ac:dyDescent="0.3">
      <c r="A10" s="6">
        <f>20</f>
        <v>20</v>
      </c>
      <c r="B10" s="6">
        <v>24</v>
      </c>
      <c r="C10" s="22"/>
      <c r="D10" s="22"/>
      <c r="E10" s="6">
        <v>0</v>
      </c>
      <c r="F10" s="6">
        <f>(B10+A10)/2</f>
        <v>22</v>
      </c>
      <c r="G10" s="12">
        <f>VLOOKUP(A10,$A$10:$E$25,5,0)</f>
        <v>0</v>
      </c>
      <c r="H10" s="11">
        <f>(VLOOKUP(A10,$A$10:$E$25,5,0)/$E$26)*100</f>
        <v>0</v>
      </c>
      <c r="I10" s="11">
        <f>H10</f>
        <v>0</v>
      </c>
      <c r="J10" s="6">
        <f>G10*F10</f>
        <v>0</v>
      </c>
      <c r="K10" s="6">
        <f>G10*(F10)^2</f>
        <v>0</v>
      </c>
      <c r="L10" s="27">
        <f>J26/G26</f>
        <v>51.090909090909093</v>
      </c>
      <c r="M10" s="27">
        <f>SQRT((K26-(L10*L10)*(G26))/(G26-1))</f>
        <v>8.6488531467403149</v>
      </c>
      <c r="N10" s="24" t="s">
        <v>78</v>
      </c>
      <c r="O10" s="23"/>
      <c r="P10" s="23"/>
      <c r="Q10" s="25"/>
      <c r="R10" s="23"/>
      <c r="S10" s="23"/>
      <c r="T10" s="23"/>
      <c r="U10" s="23"/>
      <c r="V10" s="23"/>
      <c r="W10" s="23"/>
      <c r="X10" s="23"/>
      <c r="Y10" s="23"/>
      <c r="Z10" s="24"/>
    </row>
    <row r="11" spans="1:26" x14ac:dyDescent="0.3">
      <c r="A11" s="6">
        <f>A10+4</f>
        <v>24</v>
      </c>
      <c r="B11" s="6">
        <f>B10+4</f>
        <v>28</v>
      </c>
      <c r="C11" s="22"/>
      <c r="D11" s="22"/>
      <c r="E11" s="6">
        <v>0</v>
      </c>
      <c r="F11" s="6">
        <f t="shared" ref="F11:F25" si="0">(B11+A11)/2</f>
        <v>26</v>
      </c>
      <c r="G11" s="12">
        <f t="shared" ref="G11:G25" si="1">VLOOKUP(A11,$A$10:$E$25,5,0)</f>
        <v>0</v>
      </c>
      <c r="H11" s="11">
        <f t="shared" ref="H11:H25" si="2">(VLOOKUP(A11,$A$10:$E$25,5,0)/$E$26)*100</f>
        <v>0</v>
      </c>
      <c r="I11" s="11">
        <f>I10+H11</f>
        <v>0</v>
      </c>
      <c r="J11" s="6">
        <f t="shared" ref="J11:J25" si="3">G11*F11</f>
        <v>0</v>
      </c>
      <c r="K11" s="6">
        <f t="shared" ref="K11:K25" si="4">G11*(F11)^2</f>
        <v>0</v>
      </c>
      <c r="L11" s="27"/>
      <c r="M11" s="27"/>
      <c r="N11" s="24"/>
      <c r="O11" s="6">
        <f>20</f>
        <v>20</v>
      </c>
      <c r="P11" s="6">
        <v>24</v>
      </c>
      <c r="Q11" s="6">
        <v>0</v>
      </c>
      <c r="R11" s="11">
        <f>(O11-$L$10)/$M$10</f>
        <v>-3.5948013642279282</v>
      </c>
      <c r="S11" s="11">
        <f>(P11-$L$10)/$M$10</f>
        <v>-3.1323122998243349</v>
      </c>
      <c r="T11" s="8">
        <f>_xlfn.NORM.S.DIST(R11,TRUE)</f>
        <v>1.6231958432385039E-4</v>
      </c>
      <c r="U11" s="8">
        <f>_xlfn.NORM.S.DIST(S11,TRUE)</f>
        <v>8.6717642239749414E-4</v>
      </c>
      <c r="V11" s="8">
        <f>U11-T11</f>
        <v>7.048568380736437E-4</v>
      </c>
      <c r="W11" s="8">
        <f>V11*$G$26</f>
        <v>0.11630137828215122</v>
      </c>
      <c r="X11" s="6"/>
      <c r="Y11" s="6"/>
    </row>
    <row r="12" spans="1:26" x14ac:dyDescent="0.3">
      <c r="A12" s="6">
        <f t="shared" ref="A12:B25" si="5">A11+4</f>
        <v>28</v>
      </c>
      <c r="B12" s="6">
        <f t="shared" si="5"/>
        <v>32</v>
      </c>
      <c r="C12" s="22" t="s">
        <v>15</v>
      </c>
      <c r="D12" s="22"/>
      <c r="E12" s="6">
        <v>4</v>
      </c>
      <c r="F12" s="6">
        <f t="shared" si="0"/>
        <v>30</v>
      </c>
      <c r="G12" s="12">
        <f t="shared" si="1"/>
        <v>4</v>
      </c>
      <c r="H12" s="11">
        <f t="shared" si="2"/>
        <v>2.4242424242424243</v>
      </c>
      <c r="I12" s="11">
        <f t="shared" ref="I12:I25" si="6">I11+H12</f>
        <v>2.4242424242424243</v>
      </c>
      <c r="J12" s="6">
        <f t="shared" si="3"/>
        <v>120</v>
      </c>
      <c r="K12" s="6">
        <f t="shared" si="4"/>
        <v>3600</v>
      </c>
      <c r="L12" s="27"/>
      <c r="M12" s="27"/>
      <c r="N12" s="24"/>
      <c r="O12" s="6">
        <f>O11+4</f>
        <v>24</v>
      </c>
      <c r="P12" s="6">
        <f>P11+4</f>
        <v>28</v>
      </c>
      <c r="Q12" s="6">
        <v>0</v>
      </c>
      <c r="R12" s="11">
        <f t="shared" ref="R12:R26" si="7">(O12-$L$10)/$M$10</f>
        <v>-3.1323122998243349</v>
      </c>
      <c r="S12" s="11">
        <f t="shared" ref="S12:S25" si="8">(P12-$L$10)/$M$10</f>
        <v>-2.6698232354207421</v>
      </c>
      <c r="T12" s="8">
        <f t="shared" ref="T12:T26" si="9">_xlfn.NORM.S.DIST(R12,TRUE)</f>
        <v>8.6717642239749414E-4</v>
      </c>
      <c r="U12" s="8">
        <f t="shared" ref="U12:U26" si="10">_xlfn.NORM.S.DIST(S12,TRUE)</f>
        <v>3.7945593879927762E-3</v>
      </c>
      <c r="V12" s="8">
        <f t="shared" ref="V12:V26" si="11">U12-T12</f>
        <v>2.9273829655952822E-3</v>
      </c>
      <c r="W12" s="8">
        <f t="shared" ref="W12:W26" si="12">V12*$G$26</f>
        <v>0.48301818932322155</v>
      </c>
      <c r="X12" s="6"/>
      <c r="Y12" s="6"/>
    </row>
    <row r="13" spans="1:26" x14ac:dyDescent="0.3">
      <c r="A13" s="6">
        <f t="shared" si="5"/>
        <v>32</v>
      </c>
      <c r="B13" s="6">
        <f t="shared" si="5"/>
        <v>36</v>
      </c>
      <c r="C13" s="22" t="s">
        <v>32</v>
      </c>
      <c r="D13" s="22"/>
      <c r="E13" s="6">
        <v>7</v>
      </c>
      <c r="F13" s="6">
        <f t="shared" si="0"/>
        <v>34</v>
      </c>
      <c r="G13" s="12">
        <f t="shared" si="1"/>
        <v>7</v>
      </c>
      <c r="H13" s="11">
        <f t="shared" si="2"/>
        <v>4.2424242424242431</v>
      </c>
      <c r="I13" s="11">
        <f t="shared" si="6"/>
        <v>6.6666666666666679</v>
      </c>
      <c r="J13" s="6">
        <f t="shared" si="3"/>
        <v>238</v>
      </c>
      <c r="K13" s="6">
        <f t="shared" si="4"/>
        <v>8092</v>
      </c>
      <c r="L13" s="27"/>
      <c r="M13" s="27"/>
      <c r="N13" s="24"/>
      <c r="O13" s="6">
        <f t="shared" ref="O13:O26" si="13">O12+4</f>
        <v>28</v>
      </c>
      <c r="P13" s="6">
        <f t="shared" ref="P13:P26" si="14">P12+4</f>
        <v>32</v>
      </c>
      <c r="Q13" s="6">
        <v>4</v>
      </c>
      <c r="R13" s="11">
        <f t="shared" si="7"/>
        <v>-2.6698232354207421</v>
      </c>
      <c r="S13" s="11">
        <f t="shared" si="8"/>
        <v>-2.2073341710171488</v>
      </c>
      <c r="T13" s="8">
        <f t="shared" si="9"/>
        <v>3.7945593879927762E-3</v>
      </c>
      <c r="U13" s="8">
        <f t="shared" si="10"/>
        <v>1.3645360842079578E-2</v>
      </c>
      <c r="V13" s="8">
        <f t="shared" si="11"/>
        <v>9.8508014540868022E-3</v>
      </c>
      <c r="W13" s="8">
        <f t="shared" si="12"/>
        <v>1.6253822399243223</v>
      </c>
      <c r="X13" s="6"/>
      <c r="Y13" s="6"/>
    </row>
    <row r="14" spans="1:26" x14ac:dyDescent="0.3">
      <c r="A14" s="6">
        <f t="shared" si="5"/>
        <v>36</v>
      </c>
      <c r="B14" s="6">
        <f t="shared" si="5"/>
        <v>40</v>
      </c>
      <c r="C14" s="22" t="s">
        <v>33</v>
      </c>
      <c r="D14" s="22"/>
      <c r="E14" s="6">
        <v>8</v>
      </c>
      <c r="F14" s="6">
        <f t="shared" si="0"/>
        <v>38</v>
      </c>
      <c r="G14" s="12">
        <f t="shared" si="1"/>
        <v>8</v>
      </c>
      <c r="H14" s="11">
        <f t="shared" si="2"/>
        <v>4.8484848484848486</v>
      </c>
      <c r="I14" s="11">
        <f t="shared" si="6"/>
        <v>11.515151515151516</v>
      </c>
      <c r="J14" s="6">
        <f t="shared" si="3"/>
        <v>304</v>
      </c>
      <c r="K14" s="6">
        <f t="shared" si="4"/>
        <v>11552</v>
      </c>
      <c r="L14" s="27"/>
      <c r="M14" s="27"/>
      <c r="N14" s="24"/>
      <c r="O14" s="6">
        <f t="shared" si="13"/>
        <v>32</v>
      </c>
      <c r="P14" s="6">
        <f t="shared" si="14"/>
        <v>36</v>
      </c>
      <c r="Q14" s="6">
        <v>7</v>
      </c>
      <c r="R14" s="11">
        <f t="shared" si="7"/>
        <v>-2.2073341710171488</v>
      </c>
      <c r="S14" s="11">
        <f t="shared" si="8"/>
        <v>-1.744845106613556</v>
      </c>
      <c r="T14" s="8">
        <f t="shared" si="9"/>
        <v>1.3645360842079578E-2</v>
      </c>
      <c r="U14" s="8">
        <f t="shared" si="10"/>
        <v>4.0505917367539425E-2</v>
      </c>
      <c r="V14" s="8">
        <f t="shared" si="11"/>
        <v>2.6860556525459846E-2</v>
      </c>
      <c r="W14" s="8">
        <f t="shared" si="12"/>
        <v>4.4319918267008749</v>
      </c>
      <c r="X14" s="6">
        <v>11</v>
      </c>
      <c r="Y14" s="9">
        <f>SUM(W11:W14)</f>
        <v>6.65669363423057</v>
      </c>
      <c r="Z14" s="8">
        <f>((X14-Y14)^2)/Y14</f>
        <v>2.8338858934302946</v>
      </c>
    </row>
    <row r="15" spans="1:26" x14ac:dyDescent="0.3">
      <c r="A15" s="6">
        <f t="shared" si="5"/>
        <v>40</v>
      </c>
      <c r="B15" s="6">
        <f t="shared" si="5"/>
        <v>44</v>
      </c>
      <c r="C15" s="22" t="s">
        <v>21</v>
      </c>
      <c r="D15" s="22"/>
      <c r="E15" s="6">
        <v>14</v>
      </c>
      <c r="F15" s="6">
        <f t="shared" si="0"/>
        <v>42</v>
      </c>
      <c r="G15" s="12">
        <f t="shared" si="1"/>
        <v>14</v>
      </c>
      <c r="H15" s="11">
        <f t="shared" si="2"/>
        <v>8.4848484848484862</v>
      </c>
      <c r="I15" s="11">
        <f t="shared" si="6"/>
        <v>20</v>
      </c>
      <c r="J15" s="6">
        <f t="shared" si="3"/>
        <v>588</v>
      </c>
      <c r="K15" s="6">
        <f t="shared" si="4"/>
        <v>24696</v>
      </c>
      <c r="L15" s="27"/>
      <c r="M15" s="27"/>
      <c r="N15" s="24"/>
      <c r="O15" s="6">
        <f t="shared" si="13"/>
        <v>36</v>
      </c>
      <c r="P15" s="6">
        <f t="shared" si="14"/>
        <v>40</v>
      </c>
      <c r="Q15" s="6">
        <v>8</v>
      </c>
      <c r="R15" s="11">
        <f t="shared" si="7"/>
        <v>-1.744845106613556</v>
      </c>
      <c r="S15" s="11">
        <f t="shared" si="8"/>
        <v>-1.2823560422099629</v>
      </c>
      <c r="T15" s="8">
        <f t="shared" si="9"/>
        <v>4.0505917367539425E-2</v>
      </c>
      <c r="U15" s="8">
        <f t="shared" si="10"/>
        <v>9.9858888456345954E-2</v>
      </c>
      <c r="V15" s="8">
        <f t="shared" si="11"/>
        <v>5.9352971088806529E-2</v>
      </c>
      <c r="W15" s="8">
        <f t="shared" si="12"/>
        <v>9.7932402296530778</v>
      </c>
      <c r="X15" s="6">
        <v>8</v>
      </c>
      <c r="Y15" s="9">
        <v>9.7932402296530778</v>
      </c>
      <c r="Z15" s="8">
        <f t="shared" ref="Z15:Z22" si="15">((X15-Y15)^2)/Y15</f>
        <v>0.32836022050284563</v>
      </c>
    </row>
    <row r="16" spans="1:26" x14ac:dyDescent="0.3">
      <c r="A16" s="6">
        <f t="shared" si="5"/>
        <v>44</v>
      </c>
      <c r="B16" s="6">
        <f t="shared" si="5"/>
        <v>48</v>
      </c>
      <c r="C16" s="22" t="s">
        <v>17</v>
      </c>
      <c r="D16" s="22"/>
      <c r="E16" s="6">
        <v>22</v>
      </c>
      <c r="F16" s="6">
        <f t="shared" si="0"/>
        <v>46</v>
      </c>
      <c r="G16" s="12">
        <f t="shared" si="1"/>
        <v>22</v>
      </c>
      <c r="H16" s="11">
        <f t="shared" si="2"/>
        <v>13.333333333333334</v>
      </c>
      <c r="I16" s="11">
        <f t="shared" si="6"/>
        <v>33.333333333333336</v>
      </c>
      <c r="J16" s="6">
        <f t="shared" si="3"/>
        <v>1012</v>
      </c>
      <c r="K16" s="6">
        <f t="shared" si="4"/>
        <v>46552</v>
      </c>
      <c r="L16" s="27"/>
      <c r="M16" s="27"/>
      <c r="N16" s="24"/>
      <c r="O16" s="6">
        <f t="shared" si="13"/>
        <v>40</v>
      </c>
      <c r="P16" s="6">
        <f t="shared" si="14"/>
        <v>44</v>
      </c>
      <c r="Q16" s="6">
        <v>14</v>
      </c>
      <c r="R16" s="11">
        <f t="shared" si="7"/>
        <v>-1.2823560422099629</v>
      </c>
      <c r="S16" s="11">
        <f t="shared" si="8"/>
        <v>-0.81986697780636986</v>
      </c>
      <c r="T16" s="8">
        <f t="shared" si="9"/>
        <v>9.9858888456345954E-2</v>
      </c>
      <c r="U16" s="8">
        <f t="shared" si="10"/>
        <v>0.20614597181536029</v>
      </c>
      <c r="V16" s="8">
        <f t="shared" si="11"/>
        <v>0.10628708335901434</v>
      </c>
      <c r="W16" s="8">
        <f t="shared" si="12"/>
        <v>17.537368754237367</v>
      </c>
      <c r="X16" s="6">
        <v>14</v>
      </c>
      <c r="Y16" s="9">
        <v>17.537368754237367</v>
      </c>
      <c r="Z16" s="8">
        <f t="shared" si="15"/>
        <v>0.71350371191980799</v>
      </c>
    </row>
    <row r="17" spans="1:26" x14ac:dyDescent="0.3">
      <c r="A17" s="6">
        <f t="shared" si="5"/>
        <v>48</v>
      </c>
      <c r="B17" s="6">
        <f t="shared" si="5"/>
        <v>52</v>
      </c>
      <c r="C17" s="22" t="s">
        <v>18</v>
      </c>
      <c r="D17" s="22"/>
      <c r="E17" s="6">
        <v>24</v>
      </c>
      <c r="F17" s="6">
        <f t="shared" si="0"/>
        <v>50</v>
      </c>
      <c r="G17" s="12">
        <f t="shared" si="1"/>
        <v>24</v>
      </c>
      <c r="H17" s="11">
        <f t="shared" si="2"/>
        <v>14.545454545454545</v>
      </c>
      <c r="I17" s="11">
        <f t="shared" si="6"/>
        <v>47.878787878787882</v>
      </c>
      <c r="J17" s="6">
        <f t="shared" si="3"/>
        <v>1200</v>
      </c>
      <c r="K17" s="6">
        <f t="shared" si="4"/>
        <v>60000</v>
      </c>
      <c r="L17" s="27"/>
      <c r="M17" s="27"/>
      <c r="N17" s="24"/>
      <c r="O17" s="6">
        <f t="shared" si="13"/>
        <v>44</v>
      </c>
      <c r="P17" s="6">
        <f t="shared" si="14"/>
        <v>48</v>
      </c>
      <c r="Q17" s="6">
        <v>22</v>
      </c>
      <c r="R17" s="11">
        <f t="shared" si="7"/>
        <v>-0.81986697780636986</v>
      </c>
      <c r="S17" s="11">
        <f t="shared" si="8"/>
        <v>-0.35737791340277675</v>
      </c>
      <c r="T17" s="8">
        <f t="shared" si="9"/>
        <v>0.20614597181536029</v>
      </c>
      <c r="U17" s="8">
        <f t="shared" si="10"/>
        <v>0.3604044545274287</v>
      </c>
      <c r="V17" s="8">
        <f t="shared" si="11"/>
        <v>0.15425848271206841</v>
      </c>
      <c r="W17" s="8">
        <f t="shared" si="12"/>
        <v>25.452649647491288</v>
      </c>
      <c r="X17" s="6">
        <v>22</v>
      </c>
      <c r="Y17" s="9">
        <v>25.452649647491288</v>
      </c>
      <c r="Z17" s="8">
        <f t="shared" si="15"/>
        <v>0.46835161578145074</v>
      </c>
    </row>
    <row r="18" spans="1:26" x14ac:dyDescent="0.3">
      <c r="A18" s="6">
        <f t="shared" si="5"/>
        <v>52</v>
      </c>
      <c r="B18" s="6">
        <f t="shared" si="5"/>
        <v>56</v>
      </c>
      <c r="C18" s="22" t="s">
        <v>19</v>
      </c>
      <c r="D18" s="22"/>
      <c r="E18" s="6">
        <v>35</v>
      </c>
      <c r="F18" s="6">
        <f t="shared" si="0"/>
        <v>54</v>
      </c>
      <c r="G18" s="12">
        <f t="shared" si="1"/>
        <v>35</v>
      </c>
      <c r="H18" s="11">
        <f t="shared" si="2"/>
        <v>21.212121212121211</v>
      </c>
      <c r="I18" s="11">
        <f t="shared" si="6"/>
        <v>69.090909090909093</v>
      </c>
      <c r="J18" s="6">
        <f t="shared" si="3"/>
        <v>1890</v>
      </c>
      <c r="K18" s="6">
        <f t="shared" si="4"/>
        <v>102060</v>
      </c>
      <c r="L18" s="27"/>
      <c r="M18" s="27"/>
      <c r="N18" s="24"/>
      <c r="O18" s="6">
        <f t="shared" si="13"/>
        <v>48</v>
      </c>
      <c r="P18" s="6">
        <f t="shared" si="14"/>
        <v>52</v>
      </c>
      <c r="Q18" s="6">
        <v>24</v>
      </c>
      <c r="R18" s="11">
        <f t="shared" si="7"/>
        <v>-0.35737791340277675</v>
      </c>
      <c r="S18" s="11">
        <f t="shared" si="8"/>
        <v>0.10511115100081631</v>
      </c>
      <c r="T18" s="8">
        <f t="shared" si="9"/>
        <v>0.3604044545274287</v>
      </c>
      <c r="U18" s="8">
        <f t="shared" si="10"/>
        <v>0.54185619444864264</v>
      </c>
      <c r="V18" s="8">
        <f t="shared" si="11"/>
        <v>0.18145173992121394</v>
      </c>
      <c r="W18" s="8">
        <f t="shared" si="12"/>
        <v>29.9395370870003</v>
      </c>
      <c r="X18" s="6">
        <v>24</v>
      </c>
      <c r="Y18" s="9">
        <v>29.9395370870003</v>
      </c>
      <c r="Z18" s="8">
        <f t="shared" si="15"/>
        <v>1.1783114984489758</v>
      </c>
    </row>
    <row r="19" spans="1:26" x14ac:dyDescent="0.3">
      <c r="A19" s="6">
        <f t="shared" si="5"/>
        <v>56</v>
      </c>
      <c r="B19" s="6">
        <f t="shared" si="5"/>
        <v>60</v>
      </c>
      <c r="C19" s="22" t="s">
        <v>35</v>
      </c>
      <c r="D19" s="22"/>
      <c r="E19" s="6">
        <v>32</v>
      </c>
      <c r="F19" s="6">
        <f t="shared" si="0"/>
        <v>58</v>
      </c>
      <c r="G19" s="12">
        <f t="shared" si="1"/>
        <v>32</v>
      </c>
      <c r="H19" s="11">
        <f t="shared" si="2"/>
        <v>19.393939393939394</v>
      </c>
      <c r="I19" s="11">
        <f t="shared" si="6"/>
        <v>88.484848484848484</v>
      </c>
      <c r="J19" s="6">
        <f t="shared" si="3"/>
        <v>1856</v>
      </c>
      <c r="K19" s="6">
        <f t="shared" si="4"/>
        <v>107648</v>
      </c>
      <c r="L19" s="27"/>
      <c r="M19" s="27"/>
      <c r="N19" s="24"/>
      <c r="O19" s="6">
        <f t="shared" si="13"/>
        <v>52</v>
      </c>
      <c r="P19" s="6">
        <f t="shared" si="14"/>
        <v>56</v>
      </c>
      <c r="Q19" s="6">
        <v>35</v>
      </c>
      <c r="R19" s="11">
        <f t="shared" si="7"/>
        <v>0.10511115100081631</v>
      </c>
      <c r="S19" s="11">
        <f t="shared" si="8"/>
        <v>0.56760021540440941</v>
      </c>
      <c r="T19" s="8">
        <f t="shared" si="9"/>
        <v>0.54185619444864264</v>
      </c>
      <c r="U19" s="8">
        <f t="shared" si="10"/>
        <v>0.71484676957236859</v>
      </c>
      <c r="V19" s="8">
        <f t="shared" si="11"/>
        <v>0.17299057512372595</v>
      </c>
      <c r="W19" s="8">
        <f t="shared" si="12"/>
        <v>28.543444895414783</v>
      </c>
      <c r="X19" s="6">
        <v>35</v>
      </c>
      <c r="Y19" s="9">
        <v>28.543444895414783</v>
      </c>
      <c r="Z19" s="8">
        <f t="shared" si="15"/>
        <v>1.4604790687070162</v>
      </c>
    </row>
    <row r="20" spans="1:26" x14ac:dyDescent="0.3">
      <c r="A20" s="6">
        <f t="shared" si="5"/>
        <v>60</v>
      </c>
      <c r="B20" s="6">
        <f t="shared" si="5"/>
        <v>64</v>
      </c>
      <c r="C20" s="22" t="s">
        <v>24</v>
      </c>
      <c r="D20" s="22"/>
      <c r="E20" s="6">
        <v>11</v>
      </c>
      <c r="F20" s="6">
        <f t="shared" si="0"/>
        <v>62</v>
      </c>
      <c r="G20" s="12">
        <f t="shared" si="1"/>
        <v>11</v>
      </c>
      <c r="H20" s="11">
        <f t="shared" si="2"/>
        <v>6.666666666666667</v>
      </c>
      <c r="I20" s="11">
        <f t="shared" si="6"/>
        <v>95.151515151515156</v>
      </c>
      <c r="J20" s="6">
        <f t="shared" si="3"/>
        <v>682</v>
      </c>
      <c r="K20" s="6">
        <f t="shared" si="4"/>
        <v>42284</v>
      </c>
      <c r="L20" s="27"/>
      <c r="M20" s="27"/>
      <c r="N20" s="24"/>
      <c r="O20" s="6">
        <f t="shared" si="13"/>
        <v>56</v>
      </c>
      <c r="P20" s="6">
        <f t="shared" si="14"/>
        <v>60</v>
      </c>
      <c r="Q20" s="6">
        <v>32</v>
      </c>
      <c r="R20" s="11">
        <f t="shared" si="7"/>
        <v>0.56760021540440941</v>
      </c>
      <c r="S20" s="11">
        <f t="shared" si="8"/>
        <v>1.0300892798080024</v>
      </c>
      <c r="T20" s="8">
        <f t="shared" si="9"/>
        <v>0.71484676957236859</v>
      </c>
      <c r="U20" s="8">
        <f t="shared" si="10"/>
        <v>0.84851595144793301</v>
      </c>
      <c r="V20" s="8">
        <f t="shared" si="11"/>
        <v>0.13366918187556442</v>
      </c>
      <c r="W20" s="8">
        <f t="shared" si="12"/>
        <v>22.055415009468131</v>
      </c>
      <c r="X20" s="6">
        <v>32</v>
      </c>
      <c r="Y20" s="9">
        <v>22.055415009468131</v>
      </c>
      <c r="Z20" s="8">
        <f t="shared" si="15"/>
        <v>4.4839224558439446</v>
      </c>
    </row>
    <row r="21" spans="1:26" x14ac:dyDescent="0.3">
      <c r="A21" s="6">
        <f t="shared" si="5"/>
        <v>64</v>
      </c>
      <c r="B21" s="6">
        <f t="shared" si="5"/>
        <v>68</v>
      </c>
      <c r="C21" s="22" t="s">
        <v>34</v>
      </c>
      <c r="D21" s="22"/>
      <c r="E21" s="6">
        <v>5</v>
      </c>
      <c r="F21" s="6">
        <f t="shared" si="0"/>
        <v>66</v>
      </c>
      <c r="G21" s="12">
        <f t="shared" si="1"/>
        <v>5</v>
      </c>
      <c r="H21" s="11">
        <f t="shared" si="2"/>
        <v>3.0303030303030303</v>
      </c>
      <c r="I21" s="11">
        <f t="shared" si="6"/>
        <v>98.181818181818187</v>
      </c>
      <c r="J21" s="6">
        <f t="shared" si="3"/>
        <v>330</v>
      </c>
      <c r="K21" s="6">
        <f t="shared" si="4"/>
        <v>21780</v>
      </c>
      <c r="L21" s="27"/>
      <c r="M21" s="27"/>
      <c r="N21" s="24"/>
      <c r="O21" s="6">
        <f t="shared" si="13"/>
        <v>60</v>
      </c>
      <c r="P21" s="6">
        <f t="shared" si="14"/>
        <v>64</v>
      </c>
      <c r="Q21" s="6">
        <v>11</v>
      </c>
      <c r="R21" s="11">
        <f t="shared" si="7"/>
        <v>1.0300892798080024</v>
      </c>
      <c r="S21" s="11">
        <f t="shared" si="8"/>
        <v>1.4925783442115954</v>
      </c>
      <c r="T21" s="8">
        <f t="shared" si="9"/>
        <v>0.84851595144793301</v>
      </c>
      <c r="U21" s="8">
        <f t="shared" si="10"/>
        <v>0.93222620223920061</v>
      </c>
      <c r="V21" s="8">
        <f t="shared" si="11"/>
        <v>8.3710250791267593E-2</v>
      </c>
      <c r="W21" s="8">
        <f t="shared" si="12"/>
        <v>13.812191380559153</v>
      </c>
      <c r="X21" s="6">
        <v>11</v>
      </c>
      <c r="Y21" s="9">
        <v>13.812191380559153</v>
      </c>
      <c r="Z21" s="8">
        <f t="shared" si="15"/>
        <v>0.57256811341481995</v>
      </c>
    </row>
    <row r="22" spans="1:26" x14ac:dyDescent="0.3">
      <c r="A22" s="6">
        <f t="shared" si="5"/>
        <v>68</v>
      </c>
      <c r="B22" s="6">
        <f t="shared" si="5"/>
        <v>72</v>
      </c>
      <c r="C22" s="22" t="s">
        <v>12</v>
      </c>
      <c r="D22" s="22"/>
      <c r="E22" s="6">
        <v>3</v>
      </c>
      <c r="F22" s="6">
        <f t="shared" si="0"/>
        <v>70</v>
      </c>
      <c r="G22" s="12">
        <f t="shared" si="1"/>
        <v>3</v>
      </c>
      <c r="H22" s="11">
        <f t="shared" si="2"/>
        <v>1.8181818181818181</v>
      </c>
      <c r="I22" s="11">
        <f t="shared" si="6"/>
        <v>100</v>
      </c>
      <c r="J22" s="6">
        <f t="shared" si="3"/>
        <v>210</v>
      </c>
      <c r="K22" s="6">
        <f t="shared" si="4"/>
        <v>14700</v>
      </c>
      <c r="L22" s="27"/>
      <c r="M22" s="27"/>
      <c r="N22" s="24"/>
      <c r="O22" s="6">
        <f t="shared" si="13"/>
        <v>64</v>
      </c>
      <c r="P22" s="6">
        <f t="shared" si="14"/>
        <v>68</v>
      </c>
      <c r="Q22" s="6">
        <v>5</v>
      </c>
      <c r="R22" s="11">
        <f t="shared" si="7"/>
        <v>1.4925783442115954</v>
      </c>
      <c r="S22" s="11">
        <f t="shared" si="8"/>
        <v>1.9550674086151885</v>
      </c>
      <c r="T22" s="8">
        <f t="shared" si="9"/>
        <v>0.93222620223920061</v>
      </c>
      <c r="U22" s="8">
        <f t="shared" si="10"/>
        <v>0.97471244277218672</v>
      </c>
      <c r="V22" s="8">
        <f t="shared" si="11"/>
        <v>4.2486240532986108E-2</v>
      </c>
      <c r="W22" s="8">
        <f t="shared" si="12"/>
        <v>7.010229687942708</v>
      </c>
      <c r="X22" s="6">
        <v>8</v>
      </c>
      <c r="Y22" s="9">
        <f>SUM(W22:W26)</f>
        <v>11.170978903308804</v>
      </c>
      <c r="Z22" s="8">
        <f t="shared" si="15"/>
        <v>0.9001097658729994</v>
      </c>
    </row>
    <row r="23" spans="1:26" x14ac:dyDescent="0.3">
      <c r="A23" s="6">
        <f t="shared" si="5"/>
        <v>72</v>
      </c>
      <c r="B23" s="6">
        <f t="shared" si="5"/>
        <v>76</v>
      </c>
      <c r="C23" s="22"/>
      <c r="D23" s="22"/>
      <c r="E23" s="6">
        <v>0</v>
      </c>
      <c r="F23" s="6">
        <f t="shared" si="0"/>
        <v>74</v>
      </c>
      <c r="G23" s="12">
        <f t="shared" si="1"/>
        <v>0</v>
      </c>
      <c r="H23" s="11">
        <f t="shared" si="2"/>
        <v>0</v>
      </c>
      <c r="I23" s="11">
        <f t="shared" si="6"/>
        <v>100</v>
      </c>
      <c r="J23" s="6">
        <f t="shared" si="3"/>
        <v>0</v>
      </c>
      <c r="K23" s="6">
        <f t="shared" si="4"/>
        <v>0</v>
      </c>
      <c r="L23" s="27"/>
      <c r="M23" s="27"/>
      <c r="N23" s="24"/>
      <c r="O23" s="6">
        <f t="shared" si="13"/>
        <v>68</v>
      </c>
      <c r="P23" s="6">
        <f t="shared" si="14"/>
        <v>72</v>
      </c>
      <c r="Q23" s="6">
        <v>3</v>
      </c>
      <c r="R23" s="11">
        <f t="shared" si="7"/>
        <v>1.9550674086151885</v>
      </c>
      <c r="S23" s="11">
        <f t="shared" si="8"/>
        <v>2.4175564730187817</v>
      </c>
      <c r="T23" s="8">
        <f t="shared" si="9"/>
        <v>0.97471244277218672</v>
      </c>
      <c r="U23" s="8">
        <f t="shared" si="10"/>
        <v>0.99218744540435477</v>
      </c>
      <c r="V23" s="8">
        <f t="shared" si="11"/>
        <v>1.7475002632168057E-2</v>
      </c>
      <c r="W23" s="8">
        <f t="shared" si="12"/>
        <v>2.8833754343077294</v>
      </c>
      <c r="X23" s="6"/>
      <c r="Y23" s="6"/>
    </row>
    <row r="24" spans="1:26" x14ac:dyDescent="0.3">
      <c r="A24" s="6">
        <f t="shared" si="5"/>
        <v>76</v>
      </c>
      <c r="B24" s="6">
        <f t="shared" si="5"/>
        <v>80</v>
      </c>
      <c r="C24" s="22"/>
      <c r="D24" s="22"/>
      <c r="E24" s="6">
        <v>0</v>
      </c>
      <c r="F24" s="6">
        <f t="shared" si="0"/>
        <v>78</v>
      </c>
      <c r="G24" s="12">
        <f t="shared" si="1"/>
        <v>0</v>
      </c>
      <c r="H24" s="11">
        <f t="shared" si="2"/>
        <v>0</v>
      </c>
      <c r="I24" s="11">
        <f t="shared" si="6"/>
        <v>100</v>
      </c>
      <c r="J24" s="6">
        <f t="shared" si="3"/>
        <v>0</v>
      </c>
      <c r="K24" s="6">
        <f t="shared" si="4"/>
        <v>0</v>
      </c>
      <c r="L24" s="27"/>
      <c r="M24" s="27"/>
      <c r="N24" s="24"/>
      <c r="O24" s="6">
        <f t="shared" si="13"/>
        <v>72</v>
      </c>
      <c r="P24" s="6">
        <f t="shared" si="14"/>
        <v>76</v>
      </c>
      <c r="Q24" s="6">
        <v>0</v>
      </c>
      <c r="R24" s="11">
        <f t="shared" si="7"/>
        <v>2.4175564730187817</v>
      </c>
      <c r="S24" s="11">
        <f t="shared" si="8"/>
        <v>2.8800455374223746</v>
      </c>
      <c r="T24" s="8">
        <f t="shared" si="9"/>
        <v>0.99218744540435477</v>
      </c>
      <c r="U24" s="8">
        <f t="shared" si="10"/>
        <v>0.99801191131833777</v>
      </c>
      <c r="V24" s="8">
        <f t="shared" si="11"/>
        <v>5.8244659139830013E-3</v>
      </c>
      <c r="W24" s="8">
        <f t="shared" si="12"/>
        <v>0.96103687580719521</v>
      </c>
      <c r="X24" s="6"/>
      <c r="Y24" s="6"/>
    </row>
    <row r="25" spans="1:26" x14ac:dyDescent="0.3">
      <c r="A25" s="6">
        <f t="shared" si="5"/>
        <v>80</v>
      </c>
      <c r="B25" s="6">
        <f t="shared" si="5"/>
        <v>84</v>
      </c>
      <c r="C25" s="22"/>
      <c r="D25" s="22"/>
      <c r="E25" s="6">
        <v>0</v>
      </c>
      <c r="F25" s="6">
        <f t="shared" si="0"/>
        <v>82</v>
      </c>
      <c r="G25" s="12">
        <f t="shared" si="1"/>
        <v>0</v>
      </c>
      <c r="H25" s="11">
        <f t="shared" si="2"/>
        <v>0</v>
      </c>
      <c r="I25" s="11">
        <f t="shared" si="6"/>
        <v>100</v>
      </c>
      <c r="J25" s="6">
        <f t="shared" si="3"/>
        <v>0</v>
      </c>
      <c r="K25" s="6">
        <f t="shared" si="4"/>
        <v>0</v>
      </c>
      <c r="L25" s="27"/>
      <c r="M25" s="27"/>
      <c r="N25" s="24"/>
      <c r="O25" s="6">
        <f t="shared" si="13"/>
        <v>76</v>
      </c>
      <c r="P25" s="6">
        <f t="shared" si="14"/>
        <v>80</v>
      </c>
      <c r="Q25" s="6">
        <v>0</v>
      </c>
      <c r="R25" s="11">
        <f t="shared" si="7"/>
        <v>2.8800455374223746</v>
      </c>
      <c r="S25" s="11">
        <f t="shared" si="8"/>
        <v>3.3425346018259678</v>
      </c>
      <c r="T25" s="8">
        <f t="shared" si="9"/>
        <v>0.99801191131833777</v>
      </c>
      <c r="U25" s="8">
        <f t="shared" si="10"/>
        <v>0.99958491497804625</v>
      </c>
      <c r="V25" s="8">
        <f t="shared" si="11"/>
        <v>1.5730036597084718E-3</v>
      </c>
      <c r="W25" s="8">
        <f t="shared" si="12"/>
        <v>0.25954560385189784</v>
      </c>
      <c r="X25" s="6"/>
      <c r="Y25" s="6"/>
    </row>
    <row r="26" spans="1:26" x14ac:dyDescent="0.3">
      <c r="C26" s="22"/>
      <c r="D26" s="22"/>
      <c r="E26" s="6">
        <f>SUM(E10:E25)</f>
        <v>165</v>
      </c>
      <c r="G26" s="12">
        <f>SUM(G10:G25)</f>
        <v>165</v>
      </c>
      <c r="J26" s="6">
        <f>SUM(J10:J25)</f>
        <v>8430</v>
      </c>
      <c r="K26" s="6">
        <f>SUM(K10:K25)</f>
        <v>442964</v>
      </c>
      <c r="O26" s="6">
        <f t="shared" si="13"/>
        <v>80</v>
      </c>
      <c r="P26" s="6">
        <f t="shared" si="14"/>
        <v>84</v>
      </c>
      <c r="Q26" s="6">
        <v>0</v>
      </c>
      <c r="R26" s="11">
        <f t="shared" si="7"/>
        <v>3.3425346018259678</v>
      </c>
      <c r="S26" s="11">
        <f>(P26-$L$10)/$M$10</f>
        <v>3.8050236662295607</v>
      </c>
      <c r="T26" s="8">
        <f t="shared" si="9"/>
        <v>0.99958491497804625</v>
      </c>
      <c r="U26" s="8">
        <f t="shared" si="10"/>
        <v>0.99992910468349638</v>
      </c>
      <c r="V26" s="8">
        <f t="shared" si="11"/>
        <v>3.441897054501375E-4</v>
      </c>
      <c r="W26" s="8">
        <f t="shared" si="12"/>
        <v>5.6791301399272687E-2</v>
      </c>
      <c r="X26" s="6"/>
      <c r="Y26" s="6"/>
    </row>
    <row r="27" spans="1:26" x14ac:dyDescent="0.3">
      <c r="W27" s="16">
        <f>SUM(W11:W26)</f>
        <v>164.96151954136349</v>
      </c>
      <c r="X27" s="2">
        <f>SUM(X14:X22)</f>
        <v>165</v>
      </c>
      <c r="Y27" s="16">
        <f>SUM(Y14:Y22)</f>
        <v>164.96151954136346</v>
      </c>
      <c r="Z27" s="18">
        <f>SUM(Z14:Z22)</f>
        <v>12.939492343922154</v>
      </c>
    </row>
    <row r="28" spans="1:26" x14ac:dyDescent="0.3">
      <c r="Y28" s="30" t="s">
        <v>81</v>
      </c>
      <c r="Z28" s="19">
        <v>4.4009999999999998</v>
      </c>
    </row>
    <row r="40" spans="13:14" x14ac:dyDescent="0.3">
      <c r="M40" s="2" t="s">
        <v>61</v>
      </c>
      <c r="N40" s="6" t="s">
        <v>69</v>
      </c>
    </row>
    <row r="65" spans="13:14" x14ac:dyDescent="0.3">
      <c r="M65" s="2" t="s">
        <v>58</v>
      </c>
      <c r="N65" s="6" t="s">
        <v>66</v>
      </c>
    </row>
    <row r="66" spans="13:14" x14ac:dyDescent="0.3">
      <c r="M66" s="2" t="s">
        <v>59</v>
      </c>
      <c r="N66" s="6" t="s">
        <v>67</v>
      </c>
    </row>
    <row r="67" spans="13:14" x14ac:dyDescent="0.3">
      <c r="M67" s="2" t="s">
        <v>60</v>
      </c>
      <c r="N67" s="6" t="s">
        <v>68</v>
      </c>
    </row>
  </sheetData>
  <mergeCells count="49">
    <mergeCell ref="O6:Z7"/>
    <mergeCell ref="Q8:Q10"/>
    <mergeCell ref="S8:S10"/>
    <mergeCell ref="U8:U10"/>
    <mergeCell ref="V8:V10"/>
    <mergeCell ref="W8:W10"/>
    <mergeCell ref="X8:X10"/>
    <mergeCell ref="O8:P8"/>
    <mergeCell ref="O9:O10"/>
    <mergeCell ref="P9:P10"/>
    <mergeCell ref="L10:L25"/>
    <mergeCell ref="M10:M25"/>
    <mergeCell ref="N10:N25"/>
    <mergeCell ref="Y8:Y10"/>
    <mergeCell ref="Z8:Z10"/>
    <mergeCell ref="R8:R10"/>
    <mergeCell ref="T8:T10"/>
    <mergeCell ref="A6:N6"/>
    <mergeCell ref="C22:D22"/>
    <mergeCell ref="C23:D23"/>
    <mergeCell ref="C24:D24"/>
    <mergeCell ref="C25:D25"/>
    <mergeCell ref="A7:B7"/>
    <mergeCell ref="A8:A9"/>
    <mergeCell ref="B8:B9"/>
    <mergeCell ref="G7:G9"/>
    <mergeCell ref="H7:H9"/>
    <mergeCell ref="I7:I9"/>
    <mergeCell ref="J7:J9"/>
    <mergeCell ref="K7:K9"/>
    <mergeCell ref="L7:L9"/>
    <mergeCell ref="M7:M9"/>
    <mergeCell ref="N7:N9"/>
    <mergeCell ref="C26:D26"/>
    <mergeCell ref="F7:F9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C7:D9"/>
    <mergeCell ref="E7:E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02E1-2855-4FFD-A725-AA872B87EF80}">
  <dimension ref="A1:Z64"/>
  <sheetViews>
    <sheetView topLeftCell="A4" workbookViewId="0">
      <selection activeCell="L31" sqref="L31"/>
    </sheetView>
  </sheetViews>
  <sheetFormatPr defaultRowHeight="14.4" x14ac:dyDescent="0.3"/>
  <cols>
    <col min="1" max="1" width="13.109375" customWidth="1"/>
    <col min="2" max="2" width="15.33203125" customWidth="1"/>
    <col min="3" max="3" width="23" customWidth="1"/>
    <col min="4" max="4" width="18.88671875" customWidth="1"/>
    <col min="13" max="13" width="13.6640625" customWidth="1"/>
    <col min="20" max="20" width="11.21875" customWidth="1"/>
    <col min="21" max="21" width="11.6640625" customWidth="1"/>
    <col min="22" max="22" width="10.6640625" customWidth="1"/>
    <col min="23" max="23" width="10.33203125" customWidth="1"/>
    <col min="24" max="24" width="9.5546875" customWidth="1"/>
    <col min="25" max="25" width="12" customWidth="1"/>
    <col min="26" max="26" width="10.44140625" customWidth="1"/>
  </cols>
  <sheetData>
    <row r="1" spans="1:26" ht="7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26" x14ac:dyDescent="0.3">
      <c r="A2" s="1">
        <v>0.95</v>
      </c>
      <c r="B2" s="6">
        <v>3.49</v>
      </c>
      <c r="C2" s="6">
        <v>0.54900000000000004</v>
      </c>
      <c r="D2" s="10">
        <f>(3.84*B2^2)/C2^2</f>
        <v>155.18058666029643</v>
      </c>
      <c r="E2" s="10">
        <f>ROUNDUP((D2+49/5),0)</f>
        <v>165</v>
      </c>
    </row>
    <row r="6" spans="1:26" ht="14.4" customHeight="1" x14ac:dyDescent="0.3">
      <c r="A6" s="28" t="s">
        <v>11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6" t="s">
        <v>106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4.4" customHeight="1" x14ac:dyDescent="0.3">
      <c r="A7" s="23" t="s">
        <v>5</v>
      </c>
      <c r="B7" s="23"/>
      <c r="C7" s="23" t="s">
        <v>9</v>
      </c>
      <c r="D7" s="23"/>
      <c r="E7" s="24" t="s">
        <v>10</v>
      </c>
      <c r="F7" s="23" t="s">
        <v>30</v>
      </c>
      <c r="G7" s="25" t="s">
        <v>31</v>
      </c>
      <c r="H7" s="23" t="s">
        <v>26</v>
      </c>
      <c r="I7" s="23" t="s">
        <v>27</v>
      </c>
      <c r="J7" s="23" t="s">
        <v>28</v>
      </c>
      <c r="K7" s="23" t="s">
        <v>29</v>
      </c>
      <c r="L7" s="23" t="s">
        <v>44</v>
      </c>
      <c r="M7" s="23" t="s">
        <v>45</v>
      </c>
      <c r="N7" s="23" t="s">
        <v>46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4.4" customHeight="1" x14ac:dyDescent="0.3">
      <c r="A8" s="23" t="s">
        <v>6</v>
      </c>
      <c r="B8" s="23" t="s">
        <v>7</v>
      </c>
      <c r="C8" s="23"/>
      <c r="D8" s="23"/>
      <c r="E8" s="24"/>
      <c r="F8" s="23"/>
      <c r="G8" s="25"/>
      <c r="H8" s="23"/>
      <c r="I8" s="23"/>
      <c r="J8" s="23"/>
      <c r="K8" s="23"/>
      <c r="L8" s="23"/>
      <c r="M8" s="23"/>
      <c r="N8" s="23"/>
      <c r="O8" s="23" t="s">
        <v>5</v>
      </c>
      <c r="P8" s="23"/>
      <c r="Q8" s="25" t="s">
        <v>48</v>
      </c>
      <c r="R8" s="23" t="s">
        <v>55</v>
      </c>
      <c r="S8" s="23" t="s">
        <v>49</v>
      </c>
      <c r="T8" s="23" t="s">
        <v>57</v>
      </c>
      <c r="U8" s="23" t="s">
        <v>56</v>
      </c>
      <c r="V8" s="23" t="s">
        <v>50</v>
      </c>
      <c r="W8" s="23" t="s">
        <v>54</v>
      </c>
      <c r="X8" s="23" t="s">
        <v>51</v>
      </c>
      <c r="Y8" s="23" t="s">
        <v>52</v>
      </c>
      <c r="Z8" s="23" t="s">
        <v>53</v>
      </c>
    </row>
    <row r="9" spans="1:26" ht="14.4" customHeight="1" x14ac:dyDescent="0.3">
      <c r="A9" s="23"/>
      <c r="B9" s="23"/>
      <c r="C9" s="23"/>
      <c r="D9" s="23"/>
      <c r="E9" s="24"/>
      <c r="F9" s="23"/>
      <c r="G9" s="25"/>
      <c r="H9" s="23"/>
      <c r="I9" s="23"/>
      <c r="J9" s="23"/>
      <c r="K9" s="23"/>
      <c r="L9" s="23"/>
      <c r="M9" s="23"/>
      <c r="N9" s="23"/>
      <c r="O9" s="23" t="s">
        <v>6</v>
      </c>
      <c r="P9" s="23" t="s">
        <v>7</v>
      </c>
      <c r="Q9" s="25"/>
      <c r="R9" s="23"/>
      <c r="S9" s="23"/>
      <c r="T9" s="23"/>
      <c r="U9" s="23"/>
      <c r="V9" s="23"/>
      <c r="W9" s="23"/>
      <c r="X9" s="23"/>
      <c r="Y9" s="23"/>
      <c r="Z9" s="24"/>
    </row>
    <row r="10" spans="1:26" x14ac:dyDescent="0.3">
      <c r="A10" s="6">
        <f>20</f>
        <v>20</v>
      </c>
      <c r="B10" s="6">
        <v>24</v>
      </c>
      <c r="C10" s="22" t="s">
        <v>32</v>
      </c>
      <c r="D10" s="22"/>
      <c r="E10" s="6">
        <v>7</v>
      </c>
      <c r="F10" s="6">
        <f>(B10+A10)/2</f>
        <v>22</v>
      </c>
      <c r="G10" s="13">
        <f>(VLOOKUP(A10,$A$10:$E$25,5,0))</f>
        <v>7</v>
      </c>
      <c r="H10" s="11">
        <f>((VLOOKUP(A10,$A$10:$E$25,5,0))/$E$26)*100</f>
        <v>4.2424242424242431</v>
      </c>
      <c r="I10" s="11">
        <f>H10</f>
        <v>4.2424242424242431</v>
      </c>
      <c r="J10" s="6">
        <f>G10*F10</f>
        <v>154</v>
      </c>
      <c r="K10" s="6">
        <f>G10*(F10)^2</f>
        <v>3388</v>
      </c>
      <c r="L10" s="27">
        <f>J26/G26</f>
        <v>37.224242424242426</v>
      </c>
      <c r="M10" s="27">
        <f>SQRT((K26-(L10*L10)*(G26))/(G26-1))</f>
        <v>7.0246530294936571</v>
      </c>
      <c r="N10" s="24" t="s">
        <v>79</v>
      </c>
      <c r="O10" s="23"/>
      <c r="P10" s="23"/>
      <c r="Q10" s="25"/>
      <c r="R10" s="23"/>
      <c r="S10" s="23"/>
      <c r="T10" s="23"/>
      <c r="U10" s="23"/>
      <c r="V10" s="23"/>
      <c r="W10" s="23"/>
      <c r="X10" s="23"/>
      <c r="Y10" s="23"/>
      <c r="Z10" s="24"/>
    </row>
    <row r="11" spans="1:26" x14ac:dyDescent="0.3">
      <c r="A11" s="6">
        <f>A10+4</f>
        <v>24</v>
      </c>
      <c r="B11" s="6">
        <f>B10+4</f>
        <v>28</v>
      </c>
      <c r="C11" s="22" t="s">
        <v>36</v>
      </c>
      <c r="D11" s="22"/>
      <c r="E11" s="6">
        <v>12</v>
      </c>
      <c r="F11" s="6">
        <f t="shared" ref="F11:F25" si="0">(B11+A11)/2</f>
        <v>26</v>
      </c>
      <c r="G11" s="13">
        <f t="shared" ref="G11:G25" si="1">(VLOOKUP(A11,$A$10:$E$25,5,0))</f>
        <v>12</v>
      </c>
      <c r="H11" s="11">
        <f t="shared" ref="H11:H25" si="2">((VLOOKUP(A11,$A$10:$E$25,5,0))/$E$26)*100</f>
        <v>7.2727272727272725</v>
      </c>
      <c r="I11" s="11">
        <f>I10+H11</f>
        <v>11.515151515151516</v>
      </c>
      <c r="J11" s="6">
        <f t="shared" ref="J11:J25" si="3">G11*F11</f>
        <v>312</v>
      </c>
      <c r="K11" s="6">
        <f t="shared" ref="K11:K25" si="4">G11*(F11)^2</f>
        <v>8112</v>
      </c>
      <c r="L11" s="27"/>
      <c r="M11" s="27"/>
      <c r="N11" s="24"/>
      <c r="O11" s="6">
        <f>20</f>
        <v>20</v>
      </c>
      <c r="P11" s="6">
        <v>24</v>
      </c>
      <c r="Q11" s="6">
        <v>7</v>
      </c>
      <c r="R11" s="11">
        <f>(O11-$L$10)/$M$10</f>
        <v>-2.4519705602433097</v>
      </c>
      <c r="S11" s="11">
        <f>(P11-$L$10)/$M$10</f>
        <v>-1.8825474181741388</v>
      </c>
      <c r="T11" s="8">
        <f>_xlfn.NORM.S.DIST(R11,TRUE)</f>
        <v>7.1038142693726413E-3</v>
      </c>
      <c r="U11" s="8">
        <f>_xlfn.NORM.S.DIST(S11,TRUE)</f>
        <v>2.9880864001078072E-2</v>
      </c>
      <c r="V11" s="8">
        <f>U11-T11</f>
        <v>2.2777049731705429E-2</v>
      </c>
      <c r="W11" s="7">
        <f>V11*$G$26</f>
        <v>3.7582132057313959</v>
      </c>
      <c r="X11" s="6"/>
      <c r="Y11" s="6"/>
    </row>
    <row r="12" spans="1:26" x14ac:dyDescent="0.3">
      <c r="A12" s="6">
        <f t="shared" ref="A12:B25" si="5">A11+4</f>
        <v>28</v>
      </c>
      <c r="B12" s="6">
        <f t="shared" si="5"/>
        <v>32</v>
      </c>
      <c r="C12" s="22" t="s">
        <v>37</v>
      </c>
      <c r="D12" s="22"/>
      <c r="E12" s="6">
        <v>17</v>
      </c>
      <c r="F12" s="6">
        <f t="shared" si="0"/>
        <v>30</v>
      </c>
      <c r="G12" s="13">
        <f t="shared" si="1"/>
        <v>17</v>
      </c>
      <c r="H12" s="11">
        <f t="shared" si="2"/>
        <v>10.303030303030303</v>
      </c>
      <c r="I12" s="11">
        <f t="shared" ref="I12:I25" si="6">I11+H12</f>
        <v>21.81818181818182</v>
      </c>
      <c r="J12" s="6">
        <f t="shared" si="3"/>
        <v>510</v>
      </c>
      <c r="K12" s="6">
        <f t="shared" si="4"/>
        <v>15300</v>
      </c>
      <c r="L12" s="27"/>
      <c r="M12" s="27"/>
      <c r="N12" s="24"/>
      <c r="O12" s="6">
        <f>O11+4</f>
        <v>24</v>
      </c>
      <c r="P12" s="6">
        <f>P11+4</f>
        <v>28</v>
      </c>
      <c r="Q12" s="6">
        <v>12</v>
      </c>
      <c r="R12" s="11">
        <f t="shared" ref="R12:S26" si="7">(O12-$L$10)/$M$10</f>
        <v>-1.8825474181741388</v>
      </c>
      <c r="S12" s="11">
        <f t="shared" si="7"/>
        <v>-1.3131242761049677</v>
      </c>
      <c r="T12" s="8">
        <f t="shared" ref="T12:U26" si="8">_xlfn.NORM.S.DIST(R12,TRUE)</f>
        <v>2.9880864001078072E-2</v>
      </c>
      <c r="U12" s="8">
        <f t="shared" si="8"/>
        <v>9.4570537438557103E-2</v>
      </c>
      <c r="V12" s="8">
        <f t="shared" ref="V12:V26" si="9">U12-T12</f>
        <v>6.4689673437479028E-2</v>
      </c>
      <c r="W12" s="8">
        <f t="shared" ref="W12:W26" si="10">V12*$G$26</f>
        <v>10.67379611718404</v>
      </c>
      <c r="X12" s="6">
        <v>19</v>
      </c>
      <c r="Y12" s="8">
        <f>SUM(W11:W12)</f>
        <v>14.432009322915436</v>
      </c>
      <c r="Z12" s="17">
        <f>(X12-Y12)^2/Y12</f>
        <v>1.4458512573712923</v>
      </c>
    </row>
    <row r="13" spans="1:26" x14ac:dyDescent="0.3">
      <c r="A13" s="6">
        <f t="shared" si="5"/>
        <v>32</v>
      </c>
      <c r="B13" s="6">
        <f t="shared" si="5"/>
        <v>36</v>
      </c>
      <c r="C13" s="22" t="s">
        <v>38</v>
      </c>
      <c r="D13" s="22"/>
      <c r="E13" s="6">
        <v>28</v>
      </c>
      <c r="F13" s="6">
        <f t="shared" si="0"/>
        <v>34</v>
      </c>
      <c r="G13" s="13">
        <f t="shared" si="1"/>
        <v>28</v>
      </c>
      <c r="H13" s="11">
        <f t="shared" si="2"/>
        <v>16.969696969696972</v>
      </c>
      <c r="I13" s="11">
        <f t="shared" si="6"/>
        <v>38.787878787878796</v>
      </c>
      <c r="J13" s="6">
        <f t="shared" si="3"/>
        <v>952</v>
      </c>
      <c r="K13" s="6">
        <f t="shared" si="4"/>
        <v>32368</v>
      </c>
      <c r="L13" s="27"/>
      <c r="M13" s="27"/>
      <c r="N13" s="24"/>
      <c r="O13" s="6">
        <f t="shared" ref="O13:P26" si="11">O12+4</f>
        <v>28</v>
      </c>
      <c r="P13" s="6">
        <f t="shared" si="11"/>
        <v>32</v>
      </c>
      <c r="Q13" s="6">
        <v>17</v>
      </c>
      <c r="R13" s="11">
        <f t="shared" si="7"/>
        <v>-1.3131242761049677</v>
      </c>
      <c r="S13" s="11">
        <f t="shared" si="7"/>
        <v>-0.74370113403579652</v>
      </c>
      <c r="T13" s="8">
        <f t="shared" si="8"/>
        <v>9.4570537438557103E-2</v>
      </c>
      <c r="U13" s="8">
        <f t="shared" si="8"/>
        <v>0.22852865161596458</v>
      </c>
      <c r="V13" s="8">
        <f t="shared" si="9"/>
        <v>0.13395811417740749</v>
      </c>
      <c r="W13" s="8">
        <f t="shared" si="10"/>
        <v>22.103088839272235</v>
      </c>
      <c r="X13" s="6">
        <v>17</v>
      </c>
      <c r="Y13" s="8">
        <v>22.103088839272235</v>
      </c>
      <c r="Z13" s="17">
        <f t="shared" ref="Z13:Z18" si="12">(X13-Y13)^2/Y13</f>
        <v>1.1781844560672856</v>
      </c>
    </row>
    <row r="14" spans="1:26" x14ac:dyDescent="0.3">
      <c r="A14" s="6">
        <f t="shared" si="5"/>
        <v>36</v>
      </c>
      <c r="B14" s="6">
        <f t="shared" si="5"/>
        <v>40</v>
      </c>
      <c r="C14" s="22" t="s">
        <v>39</v>
      </c>
      <c r="D14" s="22"/>
      <c r="E14" s="6">
        <v>43</v>
      </c>
      <c r="F14" s="6">
        <f t="shared" si="0"/>
        <v>38</v>
      </c>
      <c r="G14" s="13">
        <f t="shared" si="1"/>
        <v>43</v>
      </c>
      <c r="H14" s="11">
        <f t="shared" si="2"/>
        <v>26.060606060606062</v>
      </c>
      <c r="I14" s="11">
        <f t="shared" si="6"/>
        <v>64.848484848484858</v>
      </c>
      <c r="J14" s="6">
        <f t="shared" si="3"/>
        <v>1634</v>
      </c>
      <c r="K14" s="6">
        <f t="shared" si="4"/>
        <v>62092</v>
      </c>
      <c r="L14" s="27"/>
      <c r="M14" s="27"/>
      <c r="N14" s="24"/>
      <c r="O14" s="6">
        <f t="shared" si="11"/>
        <v>32</v>
      </c>
      <c r="P14" s="6">
        <f t="shared" si="11"/>
        <v>36</v>
      </c>
      <c r="Q14" s="6">
        <v>28</v>
      </c>
      <c r="R14" s="11">
        <f t="shared" si="7"/>
        <v>-0.74370113403579652</v>
      </c>
      <c r="S14" s="11">
        <f t="shared" si="7"/>
        <v>-0.17427799196662541</v>
      </c>
      <c r="T14" s="8">
        <f t="shared" si="8"/>
        <v>0.22852865161596458</v>
      </c>
      <c r="U14" s="8">
        <f t="shared" si="8"/>
        <v>0.43082349721198598</v>
      </c>
      <c r="V14" s="8">
        <f t="shared" si="9"/>
        <v>0.2022948455960214</v>
      </c>
      <c r="W14" s="8">
        <f t="shared" si="10"/>
        <v>33.378649523343533</v>
      </c>
      <c r="X14" s="6">
        <v>28</v>
      </c>
      <c r="Y14" s="8">
        <v>33.378649523343533</v>
      </c>
      <c r="Z14" s="17">
        <f t="shared" si="12"/>
        <v>0.86671783035234429</v>
      </c>
    </row>
    <row r="15" spans="1:26" x14ac:dyDescent="0.3">
      <c r="A15" s="6">
        <f t="shared" si="5"/>
        <v>40</v>
      </c>
      <c r="B15" s="6">
        <f t="shared" si="5"/>
        <v>44</v>
      </c>
      <c r="C15" s="22" t="s">
        <v>19</v>
      </c>
      <c r="D15" s="22"/>
      <c r="E15" s="6">
        <v>34</v>
      </c>
      <c r="F15" s="6">
        <f t="shared" si="0"/>
        <v>42</v>
      </c>
      <c r="G15" s="13">
        <f t="shared" si="1"/>
        <v>34</v>
      </c>
      <c r="H15" s="11">
        <f t="shared" si="2"/>
        <v>20.606060606060606</v>
      </c>
      <c r="I15" s="11">
        <f t="shared" si="6"/>
        <v>85.454545454545467</v>
      </c>
      <c r="J15" s="6">
        <f t="shared" si="3"/>
        <v>1428</v>
      </c>
      <c r="K15" s="6">
        <f t="shared" si="4"/>
        <v>59976</v>
      </c>
      <c r="L15" s="27"/>
      <c r="M15" s="27"/>
      <c r="N15" s="24"/>
      <c r="O15" s="6">
        <f t="shared" si="11"/>
        <v>36</v>
      </c>
      <c r="P15" s="6">
        <f t="shared" si="11"/>
        <v>40</v>
      </c>
      <c r="Q15" s="6">
        <v>43</v>
      </c>
      <c r="R15" s="11">
        <f t="shared" si="7"/>
        <v>-0.17427799196662541</v>
      </c>
      <c r="S15" s="11">
        <f t="shared" si="7"/>
        <v>0.39514515010254569</v>
      </c>
      <c r="T15" s="8">
        <f t="shared" si="8"/>
        <v>0.43082349721198598</v>
      </c>
      <c r="U15" s="8">
        <f t="shared" si="8"/>
        <v>0.65363211527310738</v>
      </c>
      <c r="V15" s="8">
        <f t="shared" si="9"/>
        <v>0.2228086180611214</v>
      </c>
      <c r="W15" s="8">
        <f t="shared" si="10"/>
        <v>36.763421980085027</v>
      </c>
      <c r="X15" s="6">
        <v>43</v>
      </c>
      <c r="Y15" s="8">
        <v>36.763421980085027</v>
      </c>
      <c r="Z15" s="17">
        <f t="shared" si="12"/>
        <v>1.057978373709503</v>
      </c>
    </row>
    <row r="16" spans="1:26" x14ac:dyDescent="0.3">
      <c r="A16" s="6">
        <f t="shared" si="5"/>
        <v>44</v>
      </c>
      <c r="B16" s="6">
        <f t="shared" si="5"/>
        <v>48</v>
      </c>
      <c r="C16" s="22" t="s">
        <v>21</v>
      </c>
      <c r="D16" s="22"/>
      <c r="E16" s="6">
        <v>15</v>
      </c>
      <c r="F16" s="6">
        <f t="shared" si="0"/>
        <v>46</v>
      </c>
      <c r="G16" s="13">
        <f t="shared" si="1"/>
        <v>15</v>
      </c>
      <c r="H16" s="11">
        <f t="shared" si="2"/>
        <v>9.0909090909090917</v>
      </c>
      <c r="I16" s="11">
        <f t="shared" si="6"/>
        <v>94.545454545454561</v>
      </c>
      <c r="J16" s="6">
        <f t="shared" si="3"/>
        <v>690</v>
      </c>
      <c r="K16" s="6">
        <f t="shared" si="4"/>
        <v>31740</v>
      </c>
      <c r="L16" s="27"/>
      <c r="M16" s="27"/>
      <c r="N16" s="24"/>
      <c r="O16" s="6">
        <f t="shared" si="11"/>
        <v>40</v>
      </c>
      <c r="P16" s="6">
        <f t="shared" si="11"/>
        <v>44</v>
      </c>
      <c r="Q16" s="6">
        <v>34</v>
      </c>
      <c r="R16" s="11">
        <f t="shared" si="7"/>
        <v>0.39514515010254569</v>
      </c>
      <c r="S16" s="11">
        <f t="shared" si="7"/>
        <v>0.9645682921717168</v>
      </c>
      <c r="T16" s="8">
        <f t="shared" si="8"/>
        <v>0.65363211527310738</v>
      </c>
      <c r="U16" s="8">
        <f t="shared" si="8"/>
        <v>0.83261945631528178</v>
      </c>
      <c r="V16" s="8">
        <f t="shared" si="9"/>
        <v>0.1789873410421744</v>
      </c>
      <c r="W16" s="8">
        <f t="shared" si="10"/>
        <v>29.532911271958774</v>
      </c>
      <c r="X16" s="6">
        <v>34</v>
      </c>
      <c r="Y16" s="8">
        <v>29.532911271958774</v>
      </c>
      <c r="Z16" s="17">
        <f t="shared" si="12"/>
        <v>0.67568285159682018</v>
      </c>
    </row>
    <row r="17" spans="1:26" x14ac:dyDescent="0.3">
      <c r="A17" s="6">
        <f t="shared" si="5"/>
        <v>48</v>
      </c>
      <c r="B17" s="6">
        <f t="shared" si="5"/>
        <v>52</v>
      </c>
      <c r="C17" s="22" t="s">
        <v>23</v>
      </c>
      <c r="D17" s="22"/>
      <c r="E17" s="6">
        <v>6</v>
      </c>
      <c r="F17" s="6">
        <f t="shared" si="0"/>
        <v>50</v>
      </c>
      <c r="G17" s="13">
        <f t="shared" si="1"/>
        <v>6</v>
      </c>
      <c r="H17" s="11">
        <f t="shared" si="2"/>
        <v>3.6363636363636362</v>
      </c>
      <c r="I17" s="11">
        <f t="shared" si="6"/>
        <v>98.181818181818201</v>
      </c>
      <c r="J17" s="6">
        <f t="shared" si="3"/>
        <v>300</v>
      </c>
      <c r="K17" s="6">
        <f t="shared" si="4"/>
        <v>15000</v>
      </c>
      <c r="L17" s="27"/>
      <c r="M17" s="27"/>
      <c r="N17" s="24"/>
      <c r="O17" s="6">
        <f t="shared" si="11"/>
        <v>44</v>
      </c>
      <c r="P17" s="6">
        <f t="shared" si="11"/>
        <v>48</v>
      </c>
      <c r="Q17" s="6">
        <v>15</v>
      </c>
      <c r="R17" s="11">
        <f t="shared" si="7"/>
        <v>0.9645682921717168</v>
      </c>
      <c r="S17" s="11">
        <f t="shared" si="7"/>
        <v>1.533991434240888</v>
      </c>
      <c r="T17" s="8">
        <f t="shared" si="8"/>
        <v>0.83261945631528178</v>
      </c>
      <c r="U17" s="8">
        <f t="shared" si="8"/>
        <v>0.93748411995646042</v>
      </c>
      <c r="V17" s="8">
        <f t="shared" si="9"/>
        <v>0.10486466364117863</v>
      </c>
      <c r="W17" s="8">
        <f t="shared" si="10"/>
        <v>17.302669500794476</v>
      </c>
      <c r="X17" s="6">
        <v>15</v>
      </c>
      <c r="Y17" s="8">
        <v>17.302669500794476</v>
      </c>
      <c r="Z17" s="17">
        <f t="shared" si="12"/>
        <v>0.30644328204070592</v>
      </c>
    </row>
    <row r="18" spans="1:26" x14ac:dyDescent="0.3">
      <c r="A18" s="6">
        <f t="shared" si="5"/>
        <v>52</v>
      </c>
      <c r="B18" s="6">
        <f t="shared" si="5"/>
        <v>56</v>
      </c>
      <c r="C18" s="22" t="s">
        <v>12</v>
      </c>
      <c r="D18" s="22"/>
      <c r="E18" s="6">
        <v>3</v>
      </c>
      <c r="F18" s="6">
        <f t="shared" si="0"/>
        <v>54</v>
      </c>
      <c r="G18" s="13">
        <f t="shared" si="1"/>
        <v>3</v>
      </c>
      <c r="H18" s="11">
        <f t="shared" si="2"/>
        <v>1.8181818181818181</v>
      </c>
      <c r="I18" s="11">
        <f t="shared" si="6"/>
        <v>100.00000000000001</v>
      </c>
      <c r="J18" s="6">
        <f t="shared" si="3"/>
        <v>162</v>
      </c>
      <c r="K18" s="6">
        <f t="shared" si="4"/>
        <v>8748</v>
      </c>
      <c r="L18" s="27"/>
      <c r="M18" s="27"/>
      <c r="N18" s="24"/>
      <c r="O18" s="6">
        <f t="shared" si="11"/>
        <v>48</v>
      </c>
      <c r="P18" s="6">
        <f t="shared" si="11"/>
        <v>52</v>
      </c>
      <c r="Q18" s="6">
        <v>6</v>
      </c>
      <c r="R18" s="11">
        <f t="shared" si="7"/>
        <v>1.533991434240888</v>
      </c>
      <c r="S18" s="11">
        <f t="shared" si="7"/>
        <v>2.1034145763100591</v>
      </c>
      <c r="T18" s="8">
        <f t="shared" si="8"/>
        <v>0.93748411995646042</v>
      </c>
      <c r="U18" s="8">
        <f t="shared" si="8"/>
        <v>0.98228522731621049</v>
      </c>
      <c r="V18" s="8">
        <f t="shared" si="9"/>
        <v>4.480110735975007E-2</v>
      </c>
      <c r="W18" s="8">
        <f t="shared" si="10"/>
        <v>7.3921827143587615</v>
      </c>
      <c r="X18" s="6">
        <v>9</v>
      </c>
      <c r="Y18" s="9">
        <f>SUM(W18:W26)</f>
        <v>10.315120204906435</v>
      </c>
      <c r="Z18" s="17">
        <f t="shared" si="12"/>
        <v>0.16767047974200822</v>
      </c>
    </row>
    <row r="19" spans="1:26" x14ac:dyDescent="0.3">
      <c r="A19" s="6">
        <f t="shared" si="5"/>
        <v>56</v>
      </c>
      <c r="B19" s="6">
        <f t="shared" si="5"/>
        <v>60</v>
      </c>
      <c r="C19" s="22"/>
      <c r="D19" s="22"/>
      <c r="E19" s="6">
        <v>0</v>
      </c>
      <c r="F19" s="6">
        <f t="shared" si="0"/>
        <v>58</v>
      </c>
      <c r="G19" s="13">
        <f t="shared" si="1"/>
        <v>0</v>
      </c>
      <c r="H19" s="11">
        <f t="shared" si="2"/>
        <v>0</v>
      </c>
      <c r="I19" s="11">
        <f t="shared" si="6"/>
        <v>100.00000000000001</v>
      </c>
      <c r="J19" s="6">
        <f t="shared" si="3"/>
        <v>0</v>
      </c>
      <c r="K19" s="6">
        <f t="shared" si="4"/>
        <v>0</v>
      </c>
      <c r="L19" s="27"/>
      <c r="M19" s="27"/>
      <c r="N19" s="24"/>
      <c r="O19" s="6">
        <f t="shared" si="11"/>
        <v>52</v>
      </c>
      <c r="P19" s="6">
        <f t="shared" si="11"/>
        <v>56</v>
      </c>
      <c r="Q19" s="6">
        <v>3</v>
      </c>
      <c r="R19" s="11">
        <f t="shared" si="7"/>
        <v>2.1034145763100591</v>
      </c>
      <c r="S19" s="11">
        <f t="shared" si="7"/>
        <v>2.6728377183792302</v>
      </c>
      <c r="T19" s="8">
        <f t="shared" si="8"/>
        <v>0.98228522731621049</v>
      </c>
      <c r="U19" s="8">
        <f t="shared" si="8"/>
        <v>0.99623936873089858</v>
      </c>
      <c r="V19" s="8">
        <f t="shared" si="9"/>
        <v>1.3954141414688093E-2</v>
      </c>
      <c r="W19" s="8">
        <f t="shared" si="10"/>
        <v>2.3024333334235352</v>
      </c>
      <c r="X19" s="6"/>
      <c r="Y19" s="9"/>
      <c r="Z19" s="17"/>
    </row>
    <row r="20" spans="1:26" x14ac:dyDescent="0.3">
      <c r="A20" s="6">
        <f t="shared" si="5"/>
        <v>60</v>
      </c>
      <c r="B20" s="6">
        <f t="shared" si="5"/>
        <v>64</v>
      </c>
      <c r="C20" s="22"/>
      <c r="D20" s="22"/>
      <c r="E20" s="6">
        <v>0</v>
      </c>
      <c r="F20" s="6">
        <f t="shared" si="0"/>
        <v>62</v>
      </c>
      <c r="G20" s="13">
        <f t="shared" si="1"/>
        <v>0</v>
      </c>
      <c r="H20" s="11">
        <f t="shared" si="2"/>
        <v>0</v>
      </c>
      <c r="I20" s="11">
        <f t="shared" si="6"/>
        <v>100.00000000000001</v>
      </c>
      <c r="J20" s="6">
        <f t="shared" si="3"/>
        <v>0</v>
      </c>
      <c r="K20" s="6">
        <f t="shared" si="4"/>
        <v>0</v>
      </c>
      <c r="L20" s="27"/>
      <c r="M20" s="27"/>
      <c r="N20" s="24"/>
      <c r="O20" s="6">
        <f t="shared" si="11"/>
        <v>56</v>
      </c>
      <c r="P20" s="6">
        <f t="shared" si="11"/>
        <v>60</v>
      </c>
      <c r="Q20" s="6">
        <v>0</v>
      </c>
      <c r="R20" s="11">
        <f t="shared" si="7"/>
        <v>2.6728377183792302</v>
      </c>
      <c r="S20" s="11">
        <f t="shared" si="7"/>
        <v>3.2422608604484013</v>
      </c>
      <c r="T20" s="8">
        <f t="shared" si="8"/>
        <v>0.99623936873089858</v>
      </c>
      <c r="U20" s="8">
        <f t="shared" si="8"/>
        <v>0.99940707288148822</v>
      </c>
      <c r="V20" s="8">
        <f t="shared" si="9"/>
        <v>3.1677041505896453E-3</v>
      </c>
      <c r="W20" s="8">
        <f t="shared" si="10"/>
        <v>0.52267118484729147</v>
      </c>
      <c r="X20" s="6"/>
      <c r="Y20" s="9"/>
      <c r="Z20" s="17"/>
    </row>
    <row r="21" spans="1:26" x14ac:dyDescent="0.3">
      <c r="A21" s="6">
        <f t="shared" si="5"/>
        <v>64</v>
      </c>
      <c r="B21" s="6">
        <f t="shared" si="5"/>
        <v>68</v>
      </c>
      <c r="C21" s="22"/>
      <c r="D21" s="22"/>
      <c r="E21" s="6">
        <v>0</v>
      </c>
      <c r="F21" s="6">
        <f t="shared" si="0"/>
        <v>66</v>
      </c>
      <c r="G21" s="13">
        <f t="shared" si="1"/>
        <v>0</v>
      </c>
      <c r="H21" s="11">
        <f t="shared" si="2"/>
        <v>0</v>
      </c>
      <c r="I21" s="11">
        <f t="shared" si="6"/>
        <v>100.00000000000001</v>
      </c>
      <c r="J21" s="6">
        <f t="shared" si="3"/>
        <v>0</v>
      </c>
      <c r="K21" s="6">
        <f t="shared" si="4"/>
        <v>0</v>
      </c>
      <c r="L21" s="27"/>
      <c r="M21" s="27"/>
      <c r="N21" s="24"/>
      <c r="O21" s="6">
        <f t="shared" si="11"/>
        <v>60</v>
      </c>
      <c r="P21" s="6">
        <f t="shared" si="11"/>
        <v>64</v>
      </c>
      <c r="Q21" s="6">
        <v>0</v>
      </c>
      <c r="R21" s="11">
        <f t="shared" si="7"/>
        <v>3.2422608604484013</v>
      </c>
      <c r="S21" s="11">
        <f t="shared" si="7"/>
        <v>3.8116840025175724</v>
      </c>
      <c r="T21" s="8">
        <f t="shared" si="8"/>
        <v>0.99940707288148822</v>
      </c>
      <c r="U21" s="8">
        <f t="shared" si="8"/>
        <v>0.99993098837274041</v>
      </c>
      <c r="V21" s="8">
        <f t="shared" si="9"/>
        <v>5.239154912521915E-4</v>
      </c>
      <c r="W21" s="8">
        <f t="shared" si="10"/>
        <v>8.6446056056611598E-2</v>
      </c>
      <c r="X21" s="6"/>
      <c r="Y21" s="9"/>
      <c r="Z21" s="17"/>
    </row>
    <row r="22" spans="1:26" x14ac:dyDescent="0.3">
      <c r="A22" s="6">
        <f t="shared" si="5"/>
        <v>68</v>
      </c>
      <c r="B22" s="6">
        <f t="shared" si="5"/>
        <v>72</v>
      </c>
      <c r="C22" s="22"/>
      <c r="D22" s="22"/>
      <c r="E22" s="6">
        <v>0</v>
      </c>
      <c r="F22" s="6">
        <f t="shared" si="0"/>
        <v>70</v>
      </c>
      <c r="G22" s="13">
        <f t="shared" si="1"/>
        <v>0</v>
      </c>
      <c r="H22" s="11">
        <f t="shared" si="2"/>
        <v>0</v>
      </c>
      <c r="I22" s="11">
        <f t="shared" si="6"/>
        <v>100.00000000000001</v>
      </c>
      <c r="J22" s="6">
        <f t="shared" si="3"/>
        <v>0</v>
      </c>
      <c r="K22" s="6">
        <f t="shared" si="4"/>
        <v>0</v>
      </c>
      <c r="L22" s="27"/>
      <c r="M22" s="27"/>
      <c r="N22" s="24"/>
      <c r="O22" s="6">
        <f t="shared" si="11"/>
        <v>64</v>
      </c>
      <c r="P22" s="6">
        <f t="shared" si="11"/>
        <v>68</v>
      </c>
      <c r="Q22" s="6">
        <v>0</v>
      </c>
      <c r="R22" s="11">
        <f t="shared" si="7"/>
        <v>3.8116840025175724</v>
      </c>
      <c r="S22" s="11">
        <f t="shared" si="7"/>
        <v>4.3811071445867436</v>
      </c>
      <c r="T22" s="8">
        <f t="shared" si="8"/>
        <v>0.99993098837274041</v>
      </c>
      <c r="U22" s="8">
        <f t="shared" si="8"/>
        <v>0.99999409611070167</v>
      </c>
      <c r="V22" s="8">
        <f t="shared" si="9"/>
        <v>6.3107737961254351E-5</v>
      </c>
      <c r="W22" s="8">
        <f t="shared" si="10"/>
        <v>1.0412776763606968E-2</v>
      </c>
      <c r="X22" s="6"/>
      <c r="Y22" s="9"/>
      <c r="Z22" s="17"/>
    </row>
    <row r="23" spans="1:26" x14ac:dyDescent="0.3">
      <c r="A23" s="6">
        <f t="shared" si="5"/>
        <v>72</v>
      </c>
      <c r="B23" s="6">
        <f t="shared" si="5"/>
        <v>76</v>
      </c>
      <c r="C23" s="22"/>
      <c r="D23" s="22"/>
      <c r="E23" s="6">
        <v>0</v>
      </c>
      <c r="F23" s="6">
        <f t="shared" si="0"/>
        <v>74</v>
      </c>
      <c r="G23" s="13">
        <f t="shared" si="1"/>
        <v>0</v>
      </c>
      <c r="H23" s="11">
        <f t="shared" si="2"/>
        <v>0</v>
      </c>
      <c r="I23" s="11">
        <f t="shared" si="6"/>
        <v>100.00000000000001</v>
      </c>
      <c r="J23" s="6">
        <f t="shared" si="3"/>
        <v>0</v>
      </c>
      <c r="K23" s="6">
        <f t="shared" si="4"/>
        <v>0</v>
      </c>
      <c r="L23" s="27"/>
      <c r="M23" s="27"/>
      <c r="N23" s="24"/>
      <c r="O23" s="6">
        <f t="shared" si="11"/>
        <v>68</v>
      </c>
      <c r="P23" s="6">
        <f t="shared" si="11"/>
        <v>72</v>
      </c>
      <c r="Q23" s="6">
        <v>0</v>
      </c>
      <c r="R23" s="11">
        <f t="shared" si="7"/>
        <v>4.3811071445867436</v>
      </c>
      <c r="S23" s="11">
        <f t="shared" si="7"/>
        <v>4.9505302866559147</v>
      </c>
      <c r="T23" s="8">
        <f t="shared" si="8"/>
        <v>0.99999409611070167</v>
      </c>
      <c r="U23" s="8">
        <f t="shared" si="8"/>
        <v>0.99999962994231117</v>
      </c>
      <c r="V23" s="8">
        <f t="shared" si="9"/>
        <v>5.5338316095054907E-6</v>
      </c>
      <c r="W23" s="8">
        <f t="shared" si="10"/>
        <v>9.1308221556840596E-4</v>
      </c>
      <c r="X23" s="6"/>
      <c r="Y23" s="6"/>
    </row>
    <row r="24" spans="1:26" x14ac:dyDescent="0.3">
      <c r="A24" s="6">
        <f t="shared" si="5"/>
        <v>76</v>
      </c>
      <c r="B24" s="6">
        <f t="shared" si="5"/>
        <v>80</v>
      </c>
      <c r="C24" s="22"/>
      <c r="D24" s="22"/>
      <c r="E24" s="6">
        <v>0</v>
      </c>
      <c r="F24" s="6">
        <f t="shared" si="0"/>
        <v>78</v>
      </c>
      <c r="G24" s="13">
        <f t="shared" si="1"/>
        <v>0</v>
      </c>
      <c r="H24" s="11">
        <f t="shared" si="2"/>
        <v>0</v>
      </c>
      <c r="I24" s="11">
        <f t="shared" si="6"/>
        <v>100.00000000000001</v>
      </c>
      <c r="J24" s="6">
        <f t="shared" si="3"/>
        <v>0</v>
      </c>
      <c r="K24" s="6">
        <f t="shared" si="4"/>
        <v>0</v>
      </c>
      <c r="L24" s="27"/>
      <c r="M24" s="27"/>
      <c r="N24" s="24"/>
      <c r="O24" s="6">
        <f t="shared" si="11"/>
        <v>72</v>
      </c>
      <c r="P24" s="6">
        <f t="shared" si="11"/>
        <v>76</v>
      </c>
      <c r="Q24" s="6">
        <v>0</v>
      </c>
      <c r="R24" s="11">
        <f t="shared" si="7"/>
        <v>4.9505302866559147</v>
      </c>
      <c r="S24" s="11">
        <f t="shared" si="7"/>
        <v>5.5199534287250858</v>
      </c>
      <c r="T24" s="8">
        <f t="shared" si="8"/>
        <v>0.99999962994231117</v>
      </c>
      <c r="U24" s="8">
        <f t="shared" si="8"/>
        <v>0.99999998304552407</v>
      </c>
      <c r="V24" s="8">
        <f t="shared" si="9"/>
        <v>3.5310321289117041E-7</v>
      </c>
      <c r="W24" s="8">
        <f t="shared" si="10"/>
        <v>5.8262030127043118E-5</v>
      </c>
      <c r="X24" s="6"/>
      <c r="Y24" s="6"/>
    </row>
    <row r="25" spans="1:26" x14ac:dyDescent="0.3">
      <c r="A25" s="6">
        <f t="shared" si="5"/>
        <v>80</v>
      </c>
      <c r="B25" s="6">
        <f t="shared" si="5"/>
        <v>84</v>
      </c>
      <c r="C25" s="22"/>
      <c r="D25" s="22"/>
      <c r="E25" s="6">
        <v>0</v>
      </c>
      <c r="F25" s="6">
        <f t="shared" si="0"/>
        <v>82</v>
      </c>
      <c r="G25" s="13">
        <f t="shared" si="1"/>
        <v>0</v>
      </c>
      <c r="H25" s="11">
        <f t="shared" si="2"/>
        <v>0</v>
      </c>
      <c r="I25" s="11">
        <f t="shared" si="6"/>
        <v>100.00000000000001</v>
      </c>
      <c r="J25" s="6">
        <f t="shared" si="3"/>
        <v>0</v>
      </c>
      <c r="K25" s="6">
        <f t="shared" si="4"/>
        <v>0</v>
      </c>
      <c r="L25" s="27"/>
      <c r="M25" s="27"/>
      <c r="N25" s="24"/>
      <c r="O25" s="6">
        <f t="shared" si="11"/>
        <v>76</v>
      </c>
      <c r="P25" s="6">
        <f t="shared" si="11"/>
        <v>80</v>
      </c>
      <c r="Q25" s="6">
        <v>0</v>
      </c>
      <c r="R25" s="11">
        <f t="shared" si="7"/>
        <v>5.5199534287250858</v>
      </c>
      <c r="S25" s="11">
        <f t="shared" si="7"/>
        <v>6.0893765707942569</v>
      </c>
      <c r="T25" s="8">
        <f t="shared" si="8"/>
        <v>0.99999998304552407</v>
      </c>
      <c r="U25" s="8">
        <f t="shared" si="8"/>
        <v>0.99999999943324391</v>
      </c>
      <c r="V25" s="8">
        <f t="shared" si="9"/>
        <v>1.6387719847799076E-8</v>
      </c>
      <c r="W25" s="8">
        <f t="shared" si="10"/>
        <v>2.7039737748868475E-6</v>
      </c>
      <c r="X25" s="6"/>
      <c r="Y25" s="6"/>
    </row>
    <row r="26" spans="1:26" x14ac:dyDescent="0.3">
      <c r="E26" s="6">
        <f>SUM(E10:E25)</f>
        <v>165</v>
      </c>
      <c r="G26" s="14">
        <f>SUM(G10:G25)</f>
        <v>165</v>
      </c>
      <c r="J26" s="6">
        <f>SUM(J10:J25)</f>
        <v>6142</v>
      </c>
      <c r="K26" s="6">
        <f>SUM(K10:K25)</f>
        <v>236724</v>
      </c>
      <c r="O26" s="6">
        <f t="shared" si="11"/>
        <v>80</v>
      </c>
      <c r="P26" s="6">
        <f t="shared" si="11"/>
        <v>84</v>
      </c>
      <c r="Q26" s="6">
        <v>0</v>
      </c>
      <c r="R26" s="11">
        <f t="shared" si="7"/>
        <v>6.0893765707942569</v>
      </c>
      <c r="S26" s="11">
        <f>(P26-$L$10)/$M$10</f>
        <v>6.658799712863428</v>
      </c>
      <c r="T26" s="8">
        <f t="shared" si="8"/>
        <v>0.99999999943324391</v>
      </c>
      <c r="U26" s="8">
        <f t="shared" si="8"/>
        <v>0.99999999998619638</v>
      </c>
      <c r="V26" s="8">
        <f t="shared" si="9"/>
        <v>5.5295246159658973E-10</v>
      </c>
      <c r="W26" s="8">
        <f t="shared" si="10"/>
        <v>9.1237156163437305E-8</v>
      </c>
      <c r="X26" s="6"/>
      <c r="Y26" s="6"/>
    </row>
    <row r="27" spans="1:26" x14ac:dyDescent="0.3">
      <c r="Q27">
        <f>SUM(Q11:Q19)</f>
        <v>165</v>
      </c>
      <c r="W27" s="16">
        <f>SUM(W11:W26)</f>
        <v>163.82787064327593</v>
      </c>
      <c r="X27" s="2">
        <f>SUM(X12:X22)</f>
        <v>165</v>
      </c>
      <c r="Y27" s="16">
        <f>SUM(Y11:Y26)</f>
        <v>163.82787064327593</v>
      </c>
      <c r="Z27" s="18">
        <f>SUM(Z11:Z26)</f>
        <v>5.6985285308799591</v>
      </c>
    </row>
    <row r="28" spans="1:26" x14ac:dyDescent="0.3">
      <c r="Y28" s="19" t="s">
        <v>81</v>
      </c>
      <c r="Z28" s="19">
        <v>22.28</v>
      </c>
    </row>
    <row r="36" spans="13:25" ht="15.6" x14ac:dyDescent="0.3">
      <c r="U36" s="37" t="s">
        <v>9</v>
      </c>
      <c r="V36" s="37"/>
      <c r="W36" s="37"/>
      <c r="X36" s="37"/>
      <c r="Y36" s="37"/>
    </row>
    <row r="37" spans="13:25" x14ac:dyDescent="0.3">
      <c r="U37" s="34"/>
      <c r="V37" s="36" t="s">
        <v>105</v>
      </c>
      <c r="W37" s="36"/>
      <c r="X37" s="36" t="s">
        <v>25</v>
      </c>
      <c r="Y37" s="36"/>
    </row>
    <row r="38" spans="13:25" x14ac:dyDescent="0.3">
      <c r="U38" s="23" t="s">
        <v>44</v>
      </c>
      <c r="V38" s="35" t="s">
        <v>113</v>
      </c>
      <c r="W38" s="35"/>
      <c r="X38" s="35" t="s">
        <v>114</v>
      </c>
      <c r="Y38" s="35"/>
    </row>
    <row r="39" spans="13:25" x14ac:dyDescent="0.3">
      <c r="U39" s="23"/>
      <c r="V39" s="35"/>
      <c r="W39" s="35"/>
      <c r="X39" s="35"/>
      <c r="Y39" s="35"/>
    </row>
    <row r="40" spans="13:25" x14ac:dyDescent="0.3">
      <c r="M40" s="2" t="s">
        <v>72</v>
      </c>
      <c r="N40" s="6" t="s">
        <v>73</v>
      </c>
      <c r="U40" s="23" t="s">
        <v>45</v>
      </c>
      <c r="V40" s="35">
        <v>7.02</v>
      </c>
      <c r="W40" s="35"/>
      <c r="X40" s="35">
        <v>7.25</v>
      </c>
      <c r="Y40" s="35"/>
    </row>
    <row r="41" spans="13:25" x14ac:dyDescent="0.3">
      <c r="U41" s="23"/>
      <c r="V41" s="35"/>
      <c r="W41" s="35"/>
      <c r="X41" s="35"/>
      <c r="Y41" s="35"/>
    </row>
    <row r="42" spans="13:25" x14ac:dyDescent="0.3">
      <c r="U42" s="24" t="s">
        <v>46</v>
      </c>
      <c r="V42" s="35" t="s">
        <v>79</v>
      </c>
      <c r="W42" s="35"/>
      <c r="X42" s="35" t="s">
        <v>80</v>
      </c>
      <c r="Y42" s="35"/>
    </row>
    <row r="43" spans="13:25" x14ac:dyDescent="0.3">
      <c r="U43" s="24"/>
      <c r="V43" s="35"/>
      <c r="W43" s="35"/>
      <c r="X43" s="35"/>
      <c r="Y43" s="35"/>
    </row>
    <row r="44" spans="13:25" x14ac:dyDescent="0.3">
      <c r="U44" s="24" t="s">
        <v>109</v>
      </c>
      <c r="V44" s="35">
        <v>38</v>
      </c>
      <c r="W44" s="35"/>
      <c r="X44" s="35">
        <v>41.5</v>
      </c>
      <c r="Y44" s="35"/>
    </row>
    <row r="45" spans="13:25" x14ac:dyDescent="0.3">
      <c r="U45" s="24"/>
      <c r="V45" s="35"/>
      <c r="W45" s="35"/>
      <c r="X45" s="35"/>
      <c r="Y45" s="35"/>
    </row>
    <row r="46" spans="13:25" x14ac:dyDescent="0.3">
      <c r="U46" s="23" t="s">
        <v>58</v>
      </c>
      <c r="V46" s="35" t="s">
        <v>70</v>
      </c>
      <c r="W46" s="35"/>
      <c r="X46" s="35" t="s">
        <v>74</v>
      </c>
      <c r="Y46" s="35"/>
    </row>
    <row r="47" spans="13:25" x14ac:dyDescent="0.3">
      <c r="U47" s="23"/>
      <c r="V47" s="35"/>
      <c r="W47" s="35"/>
      <c r="X47" s="35"/>
      <c r="Y47" s="35"/>
    </row>
    <row r="48" spans="13:25" x14ac:dyDescent="0.3">
      <c r="U48" s="23" t="s">
        <v>59</v>
      </c>
      <c r="V48" s="35" t="s">
        <v>63</v>
      </c>
      <c r="W48" s="35"/>
      <c r="X48" s="35" t="s">
        <v>75</v>
      </c>
      <c r="Y48" s="35"/>
    </row>
    <row r="49" spans="13:25" x14ac:dyDescent="0.3">
      <c r="U49" s="23"/>
      <c r="V49" s="35"/>
      <c r="W49" s="35"/>
      <c r="X49" s="35"/>
      <c r="Y49" s="35"/>
    </row>
    <row r="50" spans="13:25" x14ac:dyDescent="0.3">
      <c r="U50" s="23" t="s">
        <v>108</v>
      </c>
      <c r="V50" s="35" t="s">
        <v>71</v>
      </c>
      <c r="W50" s="35"/>
      <c r="X50" s="35">
        <v>48.2</v>
      </c>
      <c r="Y50" s="35"/>
    </row>
    <row r="51" spans="13:25" x14ac:dyDescent="0.3">
      <c r="U51" s="23"/>
      <c r="V51" s="35"/>
      <c r="W51" s="35"/>
      <c r="X51" s="35"/>
      <c r="Y51" s="35"/>
    </row>
    <row r="62" spans="13:25" x14ac:dyDescent="0.3">
      <c r="M62" s="2" t="s">
        <v>58</v>
      </c>
      <c r="N62" s="6" t="s">
        <v>70</v>
      </c>
    </row>
    <row r="63" spans="13:25" x14ac:dyDescent="0.3">
      <c r="M63" s="2" t="s">
        <v>59</v>
      </c>
      <c r="N63" s="6" t="s">
        <v>63</v>
      </c>
    </row>
    <row r="64" spans="13:25" x14ac:dyDescent="0.3">
      <c r="M64" s="2" t="s">
        <v>60</v>
      </c>
      <c r="N64" s="6" t="s">
        <v>71</v>
      </c>
    </row>
  </sheetData>
  <mergeCells count="72">
    <mergeCell ref="U48:U49"/>
    <mergeCell ref="V48:W49"/>
    <mergeCell ref="X48:Y49"/>
    <mergeCell ref="U50:U51"/>
    <mergeCell ref="V50:W51"/>
    <mergeCell ref="X50:Y51"/>
    <mergeCell ref="U44:U45"/>
    <mergeCell ref="V44:W45"/>
    <mergeCell ref="X44:Y45"/>
    <mergeCell ref="U46:U47"/>
    <mergeCell ref="V46:W47"/>
    <mergeCell ref="X46:Y47"/>
    <mergeCell ref="U40:U41"/>
    <mergeCell ref="V40:W41"/>
    <mergeCell ref="X40:Y41"/>
    <mergeCell ref="U42:U43"/>
    <mergeCell ref="V42:W43"/>
    <mergeCell ref="X42:Y43"/>
    <mergeCell ref="U36:Y36"/>
    <mergeCell ref="V37:W37"/>
    <mergeCell ref="X37:Y37"/>
    <mergeCell ref="U38:U39"/>
    <mergeCell ref="V38:W39"/>
    <mergeCell ref="X38:Y39"/>
    <mergeCell ref="Y8:Y10"/>
    <mergeCell ref="Z8:Z10"/>
    <mergeCell ref="O9:O10"/>
    <mergeCell ref="P9:P10"/>
    <mergeCell ref="A6:N6"/>
    <mergeCell ref="O6:Z7"/>
    <mergeCell ref="O8:P8"/>
    <mergeCell ref="Q8:Q10"/>
    <mergeCell ref="R8:R10"/>
    <mergeCell ref="S8:S10"/>
    <mergeCell ref="T8:T10"/>
    <mergeCell ref="U8:U10"/>
    <mergeCell ref="V8:V10"/>
    <mergeCell ref="W8:W10"/>
    <mergeCell ref="X8:X10"/>
    <mergeCell ref="L7:L9"/>
    <mergeCell ref="M7:M9"/>
    <mergeCell ref="N7:N9"/>
    <mergeCell ref="L10:L25"/>
    <mergeCell ref="M10:M25"/>
    <mergeCell ref="N10:N25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3:D13"/>
    <mergeCell ref="A7:B7"/>
    <mergeCell ref="C7:D9"/>
    <mergeCell ref="E7:E9"/>
    <mergeCell ref="F7:F9"/>
    <mergeCell ref="A8:A9"/>
    <mergeCell ref="B8:B9"/>
    <mergeCell ref="C10:D10"/>
    <mergeCell ref="C11:D11"/>
    <mergeCell ref="C12:D12"/>
    <mergeCell ref="G7:G9"/>
    <mergeCell ref="H7:H9"/>
    <mergeCell ref="I7:I9"/>
    <mergeCell ref="J7:J9"/>
    <mergeCell ref="K7:K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4EDA-CCE3-4E7E-A5D0-E899C015AC61}">
  <dimension ref="A1:Z67"/>
  <sheetViews>
    <sheetView topLeftCell="C4" workbookViewId="0">
      <selection activeCell="M31" sqref="M31"/>
    </sheetView>
  </sheetViews>
  <sheetFormatPr defaultRowHeight="14.4" x14ac:dyDescent="0.3"/>
  <cols>
    <col min="1" max="1" width="13.44140625" customWidth="1"/>
    <col min="2" max="2" width="16.44140625" customWidth="1"/>
    <col min="3" max="3" width="21.88671875" customWidth="1"/>
    <col min="4" max="4" width="20.77734375" customWidth="1"/>
    <col min="13" max="13" width="13.33203125" customWidth="1"/>
    <col min="17" max="17" width="10" customWidth="1"/>
    <col min="22" max="22" width="11" customWidth="1"/>
    <col min="23" max="23" width="11.44140625" customWidth="1"/>
    <col min="24" max="24" width="10" customWidth="1"/>
    <col min="25" max="25" width="10.109375" customWidth="1"/>
  </cols>
  <sheetData>
    <row r="1" spans="1:26" ht="7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26" x14ac:dyDescent="0.3">
      <c r="A2" s="1">
        <v>0.95</v>
      </c>
      <c r="B2" s="6">
        <v>3.49</v>
      </c>
      <c r="C2" s="6">
        <v>0.54900000000000004</v>
      </c>
      <c r="D2" s="10">
        <f>(3.84*B2^2)/C2^2</f>
        <v>155.18058666029643</v>
      </c>
      <c r="E2" s="10">
        <f>ROUNDUP((D2+49/5),0)</f>
        <v>165</v>
      </c>
    </row>
    <row r="6" spans="1:26" ht="14.4" customHeight="1" x14ac:dyDescent="0.3">
      <c r="A6" s="28" t="s">
        <v>25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6" t="s">
        <v>107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4.4" customHeight="1" x14ac:dyDescent="0.3">
      <c r="A7" s="23" t="s">
        <v>5</v>
      </c>
      <c r="B7" s="23"/>
      <c r="C7" s="23" t="s">
        <v>9</v>
      </c>
      <c r="D7" s="23"/>
      <c r="E7" s="24" t="s">
        <v>10</v>
      </c>
      <c r="F7" s="23" t="s">
        <v>30</v>
      </c>
      <c r="G7" s="25" t="s">
        <v>31</v>
      </c>
      <c r="H7" s="23" t="s">
        <v>26</v>
      </c>
      <c r="I7" s="23" t="s">
        <v>27</v>
      </c>
      <c r="J7" s="23" t="s">
        <v>28</v>
      </c>
      <c r="K7" s="23" t="s">
        <v>29</v>
      </c>
      <c r="L7" s="23" t="s">
        <v>44</v>
      </c>
      <c r="M7" s="23" t="s">
        <v>45</v>
      </c>
      <c r="N7" s="23" t="s">
        <v>46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4.4" customHeight="1" x14ac:dyDescent="0.3">
      <c r="A8" s="23" t="s">
        <v>6</v>
      </c>
      <c r="B8" s="23" t="s">
        <v>7</v>
      </c>
      <c r="C8" s="23"/>
      <c r="D8" s="23"/>
      <c r="E8" s="24"/>
      <c r="F8" s="23"/>
      <c r="G8" s="25"/>
      <c r="H8" s="23"/>
      <c r="I8" s="23"/>
      <c r="J8" s="23"/>
      <c r="K8" s="23"/>
      <c r="L8" s="23"/>
      <c r="M8" s="23"/>
      <c r="N8" s="23"/>
      <c r="O8" s="23" t="s">
        <v>5</v>
      </c>
      <c r="P8" s="23"/>
      <c r="Q8" s="25" t="s">
        <v>48</v>
      </c>
      <c r="R8" s="23" t="s">
        <v>55</v>
      </c>
      <c r="S8" s="23" t="s">
        <v>49</v>
      </c>
      <c r="T8" s="23" t="s">
        <v>57</v>
      </c>
      <c r="U8" s="23" t="s">
        <v>56</v>
      </c>
      <c r="V8" s="23" t="s">
        <v>50</v>
      </c>
      <c r="W8" s="23" t="s">
        <v>54</v>
      </c>
      <c r="X8" s="23" t="s">
        <v>51</v>
      </c>
      <c r="Y8" s="23" t="s">
        <v>52</v>
      </c>
      <c r="Z8" s="23" t="s">
        <v>53</v>
      </c>
    </row>
    <row r="9" spans="1:26" ht="14.4" customHeight="1" x14ac:dyDescent="0.3">
      <c r="A9" s="23"/>
      <c r="B9" s="23"/>
      <c r="C9" s="23"/>
      <c r="D9" s="23"/>
      <c r="E9" s="24"/>
      <c r="F9" s="23"/>
      <c r="G9" s="25"/>
      <c r="H9" s="23"/>
      <c r="I9" s="23"/>
      <c r="J9" s="23"/>
      <c r="K9" s="23"/>
      <c r="L9" s="23"/>
      <c r="M9" s="23"/>
      <c r="N9" s="23"/>
      <c r="O9" s="23" t="s">
        <v>6</v>
      </c>
      <c r="P9" s="23" t="s">
        <v>7</v>
      </c>
      <c r="Q9" s="25"/>
      <c r="R9" s="23"/>
      <c r="S9" s="23"/>
      <c r="T9" s="23"/>
      <c r="U9" s="23"/>
      <c r="V9" s="23"/>
      <c r="W9" s="23"/>
      <c r="X9" s="23"/>
      <c r="Y9" s="23"/>
      <c r="Z9" s="24"/>
    </row>
    <row r="10" spans="1:26" x14ac:dyDescent="0.3">
      <c r="A10" s="6">
        <f>20</f>
        <v>20</v>
      </c>
      <c r="B10" s="6">
        <v>24</v>
      </c>
      <c r="C10" s="22" t="s">
        <v>41</v>
      </c>
      <c r="D10" s="22"/>
      <c r="E10" s="6">
        <v>2</v>
      </c>
      <c r="F10" s="6">
        <f>(B10+A10)/2</f>
        <v>22</v>
      </c>
      <c r="G10" s="13">
        <f>VLOOKUP(A10,A$10:E$25,5,0)</f>
        <v>2</v>
      </c>
      <c r="H10" s="11">
        <f>(VLOOKUP(A10,A$10:E$25,5,0)/$E$26)*100</f>
        <v>1.2121212121212122</v>
      </c>
      <c r="I10" s="11">
        <f>H10</f>
        <v>1.2121212121212122</v>
      </c>
      <c r="J10" s="6">
        <f>G10*F10</f>
        <v>44</v>
      </c>
      <c r="K10" s="6">
        <f>G10*(F10)^2</f>
        <v>968</v>
      </c>
      <c r="L10" s="27">
        <f>J26/G26</f>
        <v>40.666666666666664</v>
      </c>
      <c r="M10" s="27">
        <f>SQRT((K26-(L10*L10)*(G26))/(G26-1))</f>
        <v>7.2493341437993735</v>
      </c>
      <c r="N10" s="24" t="s">
        <v>80</v>
      </c>
      <c r="O10" s="23"/>
      <c r="P10" s="23"/>
      <c r="Q10" s="25"/>
      <c r="R10" s="23"/>
      <c r="S10" s="23"/>
      <c r="T10" s="23"/>
      <c r="U10" s="23"/>
      <c r="V10" s="23"/>
      <c r="W10" s="23"/>
      <c r="X10" s="23"/>
      <c r="Y10" s="23"/>
      <c r="Z10" s="24"/>
    </row>
    <row r="11" spans="1:26" x14ac:dyDescent="0.3">
      <c r="A11" s="6">
        <f>A10+4</f>
        <v>24</v>
      </c>
      <c r="B11" s="6">
        <f>B10+4</f>
        <v>28</v>
      </c>
      <c r="C11" s="22" t="s">
        <v>23</v>
      </c>
      <c r="D11" s="22"/>
      <c r="E11" s="6">
        <v>6</v>
      </c>
      <c r="F11" s="6">
        <f t="shared" ref="F11:F25" si="0">(B11+A11)/2</f>
        <v>26</v>
      </c>
      <c r="G11" s="13">
        <f t="shared" ref="G11:G25" si="1">VLOOKUP(A11,A$10:E$25,5,0)</f>
        <v>6</v>
      </c>
      <c r="H11" s="11">
        <f t="shared" ref="H11:H25" si="2">(VLOOKUP(A11,A$10:E$25,5,0)/$E$26)*100</f>
        <v>3.6363636363636362</v>
      </c>
      <c r="I11" s="11">
        <f>I10+H11</f>
        <v>4.8484848484848486</v>
      </c>
      <c r="J11" s="6">
        <f t="shared" ref="J11:J25" si="3">G11*F11</f>
        <v>156</v>
      </c>
      <c r="K11" s="6">
        <f t="shared" ref="K11:K25" si="4">G11*(F11)^2</f>
        <v>4056</v>
      </c>
      <c r="L11" s="27"/>
      <c r="M11" s="27"/>
      <c r="N11" s="24"/>
      <c r="O11" s="6">
        <f>20</f>
        <v>20</v>
      </c>
      <c r="P11" s="6">
        <v>24</v>
      </c>
      <c r="Q11" s="6">
        <v>2</v>
      </c>
      <c r="R11" s="11">
        <f>(O11-$L$10)/$M$10</f>
        <v>-2.8508365398418882</v>
      </c>
      <c r="S11" s="11">
        <f>(P11-$L$10)/$M$10</f>
        <v>-2.2990617256789423</v>
      </c>
      <c r="T11" s="8">
        <f>_xlfn.NORM.S.DIST(R11,TRUE)</f>
        <v>2.1802189605938265E-3</v>
      </c>
      <c r="U11" s="8">
        <f>_xlfn.NORM.S.DIST(S11,TRUE)</f>
        <v>1.075071724916251E-2</v>
      </c>
      <c r="V11" s="8">
        <f>U11-T11</f>
        <v>8.5704982885686839E-3</v>
      </c>
      <c r="W11" s="7">
        <f>V11*$G$26</f>
        <v>1.4141322176138329</v>
      </c>
      <c r="X11" s="6"/>
      <c r="Y11" s="6"/>
    </row>
    <row r="12" spans="1:26" x14ac:dyDescent="0.3">
      <c r="A12" s="6">
        <f t="shared" ref="A12:B25" si="5">A11+4</f>
        <v>28</v>
      </c>
      <c r="B12" s="6">
        <f t="shared" si="5"/>
        <v>32</v>
      </c>
      <c r="C12" s="22" t="s">
        <v>42</v>
      </c>
      <c r="D12" s="22"/>
      <c r="E12" s="6">
        <v>13</v>
      </c>
      <c r="F12" s="6">
        <f t="shared" si="0"/>
        <v>30</v>
      </c>
      <c r="G12" s="13">
        <f t="shared" si="1"/>
        <v>13</v>
      </c>
      <c r="H12" s="11">
        <f t="shared" si="2"/>
        <v>7.878787878787878</v>
      </c>
      <c r="I12" s="11">
        <f t="shared" ref="I12:I25" si="6">I11+H12</f>
        <v>12.727272727272727</v>
      </c>
      <c r="J12" s="6">
        <f t="shared" si="3"/>
        <v>390</v>
      </c>
      <c r="K12" s="6">
        <f t="shared" si="4"/>
        <v>11700</v>
      </c>
      <c r="L12" s="27"/>
      <c r="M12" s="27"/>
      <c r="N12" s="24"/>
      <c r="O12" s="6">
        <f>O11+4</f>
        <v>24</v>
      </c>
      <c r="P12" s="6">
        <f>P11+4</f>
        <v>28</v>
      </c>
      <c r="Q12" s="6">
        <v>6</v>
      </c>
      <c r="R12" s="11">
        <f t="shared" ref="R12:S26" si="7">(O12-$L$10)/$M$10</f>
        <v>-2.2990617256789423</v>
      </c>
      <c r="S12" s="11">
        <f t="shared" si="7"/>
        <v>-1.7472869115159959</v>
      </c>
      <c r="T12" s="8">
        <f t="shared" ref="T12:U26" si="8">_xlfn.NORM.S.DIST(R12,TRUE)</f>
        <v>1.075071724916251E-2</v>
      </c>
      <c r="U12" s="8">
        <f t="shared" si="8"/>
        <v>4.0293791146298094E-2</v>
      </c>
      <c r="V12" s="8">
        <f t="shared" ref="V12:V26" si="9">U12-T12</f>
        <v>2.9543073897135584E-2</v>
      </c>
      <c r="W12" s="8">
        <f t="shared" ref="W12:W26" si="10">V12*$G$26</f>
        <v>4.8746071930273711</v>
      </c>
      <c r="X12" s="6">
        <v>8</v>
      </c>
      <c r="Y12" s="8">
        <f>SUM(W11:W12)</f>
        <v>6.2887394106412042</v>
      </c>
      <c r="Z12" s="17">
        <f>(X12-Y12)^2/Y12</f>
        <v>0.4656597472837613</v>
      </c>
    </row>
    <row r="13" spans="1:26" x14ac:dyDescent="0.3">
      <c r="A13" s="6">
        <f t="shared" si="5"/>
        <v>32</v>
      </c>
      <c r="B13" s="6">
        <f t="shared" si="5"/>
        <v>36</v>
      </c>
      <c r="C13" s="22" t="s">
        <v>43</v>
      </c>
      <c r="D13" s="22"/>
      <c r="E13" s="6">
        <v>18</v>
      </c>
      <c r="F13" s="6">
        <f t="shared" si="0"/>
        <v>34</v>
      </c>
      <c r="G13" s="13">
        <f t="shared" si="1"/>
        <v>18</v>
      </c>
      <c r="H13" s="11">
        <f t="shared" si="2"/>
        <v>10.909090909090908</v>
      </c>
      <c r="I13" s="11">
        <f t="shared" si="6"/>
        <v>23.636363636363633</v>
      </c>
      <c r="J13" s="6">
        <f t="shared" si="3"/>
        <v>612</v>
      </c>
      <c r="K13" s="6">
        <f t="shared" si="4"/>
        <v>20808</v>
      </c>
      <c r="L13" s="27"/>
      <c r="M13" s="27"/>
      <c r="N13" s="24"/>
      <c r="O13" s="6">
        <f t="shared" ref="O13:P26" si="11">O12+4</f>
        <v>28</v>
      </c>
      <c r="P13" s="6">
        <f t="shared" si="11"/>
        <v>32</v>
      </c>
      <c r="Q13" s="6">
        <v>13</v>
      </c>
      <c r="R13" s="11">
        <f t="shared" si="7"/>
        <v>-1.7472869115159959</v>
      </c>
      <c r="S13" s="11">
        <f t="shared" si="7"/>
        <v>-1.1955120973530498</v>
      </c>
      <c r="T13" s="8">
        <f t="shared" si="8"/>
        <v>4.0293791146298094E-2</v>
      </c>
      <c r="U13" s="8">
        <f t="shared" si="8"/>
        <v>0.11594350630520209</v>
      </c>
      <c r="V13" s="8">
        <f t="shared" si="9"/>
        <v>7.5649715158903993E-2</v>
      </c>
      <c r="W13" s="8">
        <f t="shared" si="10"/>
        <v>12.482203001219158</v>
      </c>
      <c r="X13" s="6">
        <v>13</v>
      </c>
      <c r="Y13" s="8">
        <v>12.482203001219158</v>
      </c>
      <c r="Z13" s="17">
        <f t="shared" ref="Z13:Z19" si="12">(X13-Y13)^2/Y13</f>
        <v>2.1479680463477469E-2</v>
      </c>
    </row>
    <row r="14" spans="1:26" x14ac:dyDescent="0.3">
      <c r="A14" s="6">
        <f t="shared" si="5"/>
        <v>36</v>
      </c>
      <c r="B14" s="6">
        <f t="shared" si="5"/>
        <v>40</v>
      </c>
      <c r="C14" s="22" t="s">
        <v>40</v>
      </c>
      <c r="D14" s="22"/>
      <c r="E14" s="6">
        <v>33</v>
      </c>
      <c r="F14" s="6">
        <f t="shared" si="0"/>
        <v>38</v>
      </c>
      <c r="G14" s="13">
        <f t="shared" si="1"/>
        <v>33</v>
      </c>
      <c r="H14" s="11">
        <f t="shared" si="2"/>
        <v>20</v>
      </c>
      <c r="I14" s="11">
        <f t="shared" si="6"/>
        <v>43.636363636363633</v>
      </c>
      <c r="J14" s="6">
        <f t="shared" si="3"/>
        <v>1254</v>
      </c>
      <c r="K14" s="6">
        <f t="shared" si="4"/>
        <v>47652</v>
      </c>
      <c r="L14" s="27"/>
      <c r="M14" s="27"/>
      <c r="N14" s="24"/>
      <c r="O14" s="6">
        <f t="shared" si="11"/>
        <v>32</v>
      </c>
      <c r="P14" s="6">
        <f t="shared" si="11"/>
        <v>36</v>
      </c>
      <c r="Q14" s="6">
        <v>18</v>
      </c>
      <c r="R14" s="11">
        <f t="shared" si="7"/>
        <v>-1.1955120973530498</v>
      </c>
      <c r="S14" s="11">
        <f t="shared" si="7"/>
        <v>-0.64373728319010359</v>
      </c>
      <c r="T14" s="8">
        <f t="shared" si="8"/>
        <v>0.11594350630520209</v>
      </c>
      <c r="U14" s="8">
        <f t="shared" si="8"/>
        <v>0.25987290449884565</v>
      </c>
      <c r="V14" s="8">
        <f t="shared" si="9"/>
        <v>0.14392939819364356</v>
      </c>
      <c r="W14" s="8">
        <f t="shared" si="10"/>
        <v>23.748350701951189</v>
      </c>
      <c r="X14" s="6">
        <v>18</v>
      </c>
      <c r="Y14" s="8">
        <v>23.748350701951189</v>
      </c>
      <c r="Z14" s="17">
        <f t="shared" si="12"/>
        <v>1.3914033950116729</v>
      </c>
    </row>
    <row r="15" spans="1:26" x14ac:dyDescent="0.3">
      <c r="A15" s="6">
        <f t="shared" si="5"/>
        <v>40</v>
      </c>
      <c r="B15" s="6">
        <f t="shared" si="5"/>
        <v>44</v>
      </c>
      <c r="C15" s="22" t="s">
        <v>39</v>
      </c>
      <c r="D15" s="22"/>
      <c r="E15" s="6">
        <v>43</v>
      </c>
      <c r="F15" s="6">
        <f t="shared" si="0"/>
        <v>42</v>
      </c>
      <c r="G15" s="13">
        <f t="shared" si="1"/>
        <v>43</v>
      </c>
      <c r="H15" s="11">
        <f t="shared" si="2"/>
        <v>26.060606060606062</v>
      </c>
      <c r="I15" s="11">
        <f t="shared" si="6"/>
        <v>69.696969696969688</v>
      </c>
      <c r="J15" s="6">
        <f t="shared" si="3"/>
        <v>1806</v>
      </c>
      <c r="K15" s="6">
        <f t="shared" si="4"/>
        <v>75852</v>
      </c>
      <c r="L15" s="27"/>
      <c r="M15" s="27"/>
      <c r="N15" s="24"/>
      <c r="O15" s="6">
        <f t="shared" si="11"/>
        <v>36</v>
      </c>
      <c r="P15" s="6">
        <f t="shared" si="11"/>
        <v>40</v>
      </c>
      <c r="Q15" s="6">
        <v>33</v>
      </c>
      <c r="R15" s="11">
        <f t="shared" si="7"/>
        <v>-0.64373728319010359</v>
      </c>
      <c r="S15" s="11">
        <f t="shared" si="7"/>
        <v>-9.1962469027157379E-2</v>
      </c>
      <c r="T15" s="8">
        <f t="shared" si="8"/>
        <v>0.25987290449884565</v>
      </c>
      <c r="U15" s="8">
        <f t="shared" si="8"/>
        <v>0.4633639292835367</v>
      </c>
      <c r="V15" s="8">
        <f t="shared" si="9"/>
        <v>0.20349102478469105</v>
      </c>
      <c r="W15" s="8">
        <f t="shared" si="10"/>
        <v>33.576019089474023</v>
      </c>
      <c r="X15" s="6">
        <v>33</v>
      </c>
      <c r="Y15" s="8">
        <v>33.576019089474023</v>
      </c>
      <c r="Z15" s="17">
        <f t="shared" si="12"/>
        <v>9.8819931735891989E-3</v>
      </c>
    </row>
    <row r="16" spans="1:26" x14ac:dyDescent="0.3">
      <c r="A16" s="6">
        <f t="shared" si="5"/>
        <v>44</v>
      </c>
      <c r="B16" s="6">
        <f t="shared" si="5"/>
        <v>48</v>
      </c>
      <c r="C16" s="22" t="s">
        <v>18</v>
      </c>
      <c r="D16" s="22"/>
      <c r="E16" s="6">
        <v>25</v>
      </c>
      <c r="F16" s="6">
        <f t="shared" si="0"/>
        <v>46</v>
      </c>
      <c r="G16" s="13">
        <f t="shared" si="1"/>
        <v>25</v>
      </c>
      <c r="H16" s="11">
        <f t="shared" si="2"/>
        <v>15.151515151515152</v>
      </c>
      <c r="I16" s="11">
        <f t="shared" si="6"/>
        <v>84.848484848484844</v>
      </c>
      <c r="J16" s="6">
        <f t="shared" si="3"/>
        <v>1150</v>
      </c>
      <c r="K16" s="6">
        <f t="shared" si="4"/>
        <v>52900</v>
      </c>
      <c r="L16" s="27"/>
      <c r="M16" s="27"/>
      <c r="N16" s="24"/>
      <c r="O16" s="6">
        <f t="shared" si="11"/>
        <v>40</v>
      </c>
      <c r="P16" s="6">
        <f t="shared" si="11"/>
        <v>44</v>
      </c>
      <c r="Q16" s="6">
        <v>43</v>
      </c>
      <c r="R16" s="11">
        <f t="shared" si="7"/>
        <v>-9.1962469027157379E-2</v>
      </c>
      <c r="S16" s="11">
        <f t="shared" si="7"/>
        <v>0.45981234513578884</v>
      </c>
      <c r="T16" s="8">
        <f t="shared" si="8"/>
        <v>0.4633639292835367</v>
      </c>
      <c r="U16" s="8">
        <f t="shared" si="8"/>
        <v>0.67717453933437322</v>
      </c>
      <c r="V16" s="8">
        <f t="shared" si="9"/>
        <v>0.21381061005083651</v>
      </c>
      <c r="W16" s="8">
        <f t="shared" si="10"/>
        <v>35.278750658388027</v>
      </c>
      <c r="X16" s="6">
        <v>43</v>
      </c>
      <c r="Y16" s="8">
        <v>35.278750658388027</v>
      </c>
      <c r="Z16" s="17">
        <f t="shared" si="12"/>
        <v>1.6899037035816449</v>
      </c>
    </row>
    <row r="17" spans="1:26" x14ac:dyDescent="0.3">
      <c r="A17" s="6">
        <f t="shared" si="5"/>
        <v>48</v>
      </c>
      <c r="B17" s="6">
        <f t="shared" si="5"/>
        <v>52</v>
      </c>
      <c r="C17" s="22" t="s">
        <v>21</v>
      </c>
      <c r="D17" s="22"/>
      <c r="E17" s="6">
        <v>15</v>
      </c>
      <c r="F17" s="6">
        <f t="shared" si="0"/>
        <v>50</v>
      </c>
      <c r="G17" s="13">
        <f t="shared" si="1"/>
        <v>15</v>
      </c>
      <c r="H17" s="11">
        <f t="shared" si="2"/>
        <v>9.0909090909090917</v>
      </c>
      <c r="I17" s="11">
        <f t="shared" si="6"/>
        <v>93.939393939393938</v>
      </c>
      <c r="J17" s="6">
        <f t="shared" si="3"/>
        <v>750</v>
      </c>
      <c r="K17" s="6">
        <f t="shared" si="4"/>
        <v>37500</v>
      </c>
      <c r="L17" s="27"/>
      <c r="M17" s="27"/>
      <c r="N17" s="24"/>
      <c r="O17" s="6">
        <f t="shared" si="11"/>
        <v>44</v>
      </c>
      <c r="P17" s="6">
        <f t="shared" si="11"/>
        <v>48</v>
      </c>
      <c r="Q17" s="6">
        <v>25</v>
      </c>
      <c r="R17" s="11">
        <f t="shared" si="7"/>
        <v>0.45981234513578884</v>
      </c>
      <c r="S17" s="11">
        <f t="shared" si="7"/>
        <v>1.0115871592987351</v>
      </c>
      <c r="T17" s="8">
        <f t="shared" si="8"/>
        <v>0.67717453933437322</v>
      </c>
      <c r="U17" s="8">
        <f t="shared" si="8"/>
        <v>0.84413225599357866</v>
      </c>
      <c r="V17" s="8">
        <f t="shared" si="9"/>
        <v>0.16695771665920545</v>
      </c>
      <c r="W17" s="8">
        <f t="shared" si="10"/>
        <v>27.548023248768899</v>
      </c>
      <c r="X17" s="6">
        <v>25</v>
      </c>
      <c r="Y17" s="8">
        <v>27.548023248768899</v>
      </c>
      <c r="Z17" s="17">
        <f t="shared" si="12"/>
        <v>0.23567652813553358</v>
      </c>
    </row>
    <row r="18" spans="1:26" x14ac:dyDescent="0.3">
      <c r="A18" s="6">
        <f t="shared" si="5"/>
        <v>52</v>
      </c>
      <c r="B18" s="6">
        <f t="shared" si="5"/>
        <v>56</v>
      </c>
      <c r="C18" s="22" t="s">
        <v>33</v>
      </c>
      <c r="D18" s="22"/>
      <c r="E18" s="6">
        <v>8</v>
      </c>
      <c r="F18" s="6">
        <f t="shared" si="0"/>
        <v>54</v>
      </c>
      <c r="G18" s="13">
        <f t="shared" si="1"/>
        <v>8</v>
      </c>
      <c r="H18" s="11">
        <f t="shared" si="2"/>
        <v>4.8484848484848486</v>
      </c>
      <c r="I18" s="11">
        <f t="shared" si="6"/>
        <v>98.787878787878782</v>
      </c>
      <c r="J18" s="6">
        <f t="shared" si="3"/>
        <v>432</v>
      </c>
      <c r="K18" s="6">
        <f t="shared" si="4"/>
        <v>23328</v>
      </c>
      <c r="L18" s="27"/>
      <c r="M18" s="27"/>
      <c r="N18" s="24"/>
      <c r="O18" s="6">
        <f t="shared" si="11"/>
        <v>48</v>
      </c>
      <c r="P18" s="6">
        <f t="shared" si="11"/>
        <v>52</v>
      </c>
      <c r="Q18" s="6">
        <v>15</v>
      </c>
      <c r="R18" s="11">
        <f t="shared" si="7"/>
        <v>1.0115871592987351</v>
      </c>
      <c r="S18" s="11">
        <f t="shared" si="7"/>
        <v>1.5633619734616813</v>
      </c>
      <c r="T18" s="8">
        <f t="shared" si="8"/>
        <v>0.84413225599357866</v>
      </c>
      <c r="U18" s="8">
        <f t="shared" si="8"/>
        <v>0.94101626046636189</v>
      </c>
      <c r="V18" s="8">
        <f t="shared" si="9"/>
        <v>9.6884004472783225E-2</v>
      </c>
      <c r="W18" s="8">
        <f t="shared" si="10"/>
        <v>15.985860738009233</v>
      </c>
      <c r="X18" s="6">
        <v>15</v>
      </c>
      <c r="Y18" s="9">
        <v>15.985860738009233</v>
      </c>
      <c r="Z18" s="17">
        <f t="shared" si="12"/>
        <v>6.0798815320415825E-2</v>
      </c>
    </row>
    <row r="19" spans="1:26" x14ac:dyDescent="0.3">
      <c r="A19" s="6">
        <f t="shared" si="5"/>
        <v>56</v>
      </c>
      <c r="B19" s="6">
        <f t="shared" si="5"/>
        <v>60</v>
      </c>
      <c r="C19" s="22" t="s">
        <v>16</v>
      </c>
      <c r="D19" s="22"/>
      <c r="E19" s="6">
        <v>2</v>
      </c>
      <c r="F19" s="6">
        <f t="shared" si="0"/>
        <v>58</v>
      </c>
      <c r="G19" s="13">
        <f t="shared" si="1"/>
        <v>2</v>
      </c>
      <c r="H19" s="11">
        <f t="shared" si="2"/>
        <v>1.2121212121212122</v>
      </c>
      <c r="I19" s="11">
        <f t="shared" si="6"/>
        <v>100</v>
      </c>
      <c r="J19" s="6">
        <f t="shared" si="3"/>
        <v>116</v>
      </c>
      <c r="K19" s="6">
        <f t="shared" si="4"/>
        <v>6728</v>
      </c>
      <c r="L19" s="27"/>
      <c r="M19" s="27"/>
      <c r="N19" s="24"/>
      <c r="O19" s="6">
        <f t="shared" si="11"/>
        <v>52</v>
      </c>
      <c r="P19" s="6">
        <f t="shared" si="11"/>
        <v>56</v>
      </c>
      <c r="Q19" s="6">
        <v>8</v>
      </c>
      <c r="R19" s="11">
        <f t="shared" si="7"/>
        <v>1.5633619734616813</v>
      </c>
      <c r="S19" s="11">
        <f t="shared" si="7"/>
        <v>2.1151367876246274</v>
      </c>
      <c r="T19" s="8">
        <f t="shared" si="8"/>
        <v>0.94101626046636189</v>
      </c>
      <c r="U19" s="8">
        <f t="shared" si="8"/>
        <v>0.98279085469203586</v>
      </c>
      <c r="V19" s="8">
        <f t="shared" si="9"/>
        <v>4.1774594225673978E-2</v>
      </c>
      <c r="W19" s="8">
        <f t="shared" si="10"/>
        <v>6.8928080472362065</v>
      </c>
      <c r="X19" s="6">
        <v>10</v>
      </c>
      <c r="Y19" s="9">
        <f>SUM(W19:W26)</f>
        <v>9.7323168361846228</v>
      </c>
      <c r="Z19" s="17">
        <f t="shared" si="12"/>
        <v>7.3625096055032254E-3</v>
      </c>
    </row>
    <row r="20" spans="1:26" x14ac:dyDescent="0.3">
      <c r="A20" s="6">
        <f t="shared" si="5"/>
        <v>60</v>
      </c>
      <c r="B20" s="6">
        <f t="shared" si="5"/>
        <v>64</v>
      </c>
      <c r="C20" s="22"/>
      <c r="D20" s="22"/>
      <c r="E20" s="6">
        <v>0</v>
      </c>
      <c r="F20" s="6">
        <f t="shared" si="0"/>
        <v>62</v>
      </c>
      <c r="G20" s="13">
        <f t="shared" si="1"/>
        <v>0</v>
      </c>
      <c r="H20" s="11">
        <f t="shared" si="2"/>
        <v>0</v>
      </c>
      <c r="I20" s="11">
        <f t="shared" si="6"/>
        <v>100</v>
      </c>
      <c r="J20" s="6">
        <f t="shared" si="3"/>
        <v>0</v>
      </c>
      <c r="K20" s="6">
        <f t="shared" si="4"/>
        <v>0</v>
      </c>
      <c r="L20" s="27"/>
      <c r="M20" s="27"/>
      <c r="N20" s="24"/>
      <c r="O20" s="6">
        <f t="shared" si="11"/>
        <v>56</v>
      </c>
      <c r="P20" s="6">
        <f t="shared" si="11"/>
        <v>60</v>
      </c>
      <c r="Q20" s="6">
        <v>2</v>
      </c>
      <c r="R20" s="11">
        <f t="shared" si="7"/>
        <v>2.1151367876246274</v>
      </c>
      <c r="S20" s="11">
        <f t="shared" si="7"/>
        <v>2.6669116017875738</v>
      </c>
      <c r="T20" s="8">
        <f t="shared" si="8"/>
        <v>0.98279085469203586</v>
      </c>
      <c r="U20" s="8">
        <f t="shared" si="8"/>
        <v>0.99617240979821964</v>
      </c>
      <c r="V20" s="8">
        <f t="shared" si="9"/>
        <v>1.3381555106183773E-2</v>
      </c>
      <c r="W20" s="8">
        <f t="shared" si="10"/>
        <v>2.2079565925203228</v>
      </c>
      <c r="X20" s="6"/>
      <c r="Y20" s="9"/>
      <c r="Z20" s="17"/>
    </row>
    <row r="21" spans="1:26" x14ac:dyDescent="0.3">
      <c r="A21" s="6">
        <f t="shared" si="5"/>
        <v>64</v>
      </c>
      <c r="B21" s="6">
        <f t="shared" si="5"/>
        <v>68</v>
      </c>
      <c r="C21" s="22"/>
      <c r="D21" s="22"/>
      <c r="E21" s="6">
        <v>0</v>
      </c>
      <c r="F21" s="6">
        <f t="shared" si="0"/>
        <v>66</v>
      </c>
      <c r="G21" s="13">
        <f t="shared" si="1"/>
        <v>0</v>
      </c>
      <c r="H21" s="11">
        <f t="shared" si="2"/>
        <v>0</v>
      </c>
      <c r="I21" s="11">
        <f t="shared" si="6"/>
        <v>100</v>
      </c>
      <c r="J21" s="6">
        <f t="shared" si="3"/>
        <v>0</v>
      </c>
      <c r="K21" s="6">
        <f t="shared" si="4"/>
        <v>0</v>
      </c>
      <c r="L21" s="27"/>
      <c r="M21" s="27"/>
      <c r="N21" s="24"/>
      <c r="O21" s="6">
        <f t="shared" si="11"/>
        <v>60</v>
      </c>
      <c r="P21" s="6">
        <f t="shared" si="11"/>
        <v>64</v>
      </c>
      <c r="Q21" s="6">
        <v>0</v>
      </c>
      <c r="R21" s="11">
        <f t="shared" si="7"/>
        <v>2.6669116017875738</v>
      </c>
      <c r="S21" s="11">
        <f t="shared" si="7"/>
        <v>3.2186864159505197</v>
      </c>
      <c r="T21" s="8">
        <f t="shared" si="8"/>
        <v>0.99617240979821964</v>
      </c>
      <c r="U21" s="8">
        <f t="shared" si="8"/>
        <v>0.99935610383409945</v>
      </c>
      <c r="V21" s="8">
        <f t="shared" si="9"/>
        <v>3.1836940358798138E-3</v>
      </c>
      <c r="W21" s="8">
        <f t="shared" si="10"/>
        <v>0.52530951592016928</v>
      </c>
      <c r="X21" s="6"/>
      <c r="Y21" s="9"/>
      <c r="Z21" s="17"/>
    </row>
    <row r="22" spans="1:26" x14ac:dyDescent="0.3">
      <c r="A22" s="6">
        <f t="shared" si="5"/>
        <v>68</v>
      </c>
      <c r="B22" s="6">
        <f t="shared" si="5"/>
        <v>72</v>
      </c>
      <c r="C22" s="22"/>
      <c r="D22" s="22"/>
      <c r="E22" s="6">
        <v>0</v>
      </c>
      <c r="F22" s="6">
        <f t="shared" si="0"/>
        <v>70</v>
      </c>
      <c r="G22" s="13">
        <f t="shared" si="1"/>
        <v>0</v>
      </c>
      <c r="H22" s="11">
        <f t="shared" si="2"/>
        <v>0</v>
      </c>
      <c r="I22" s="11">
        <f t="shared" si="6"/>
        <v>100</v>
      </c>
      <c r="J22" s="6">
        <f t="shared" si="3"/>
        <v>0</v>
      </c>
      <c r="K22" s="6">
        <f t="shared" si="4"/>
        <v>0</v>
      </c>
      <c r="L22" s="27"/>
      <c r="M22" s="27"/>
      <c r="N22" s="24"/>
      <c r="O22" s="6">
        <f t="shared" si="11"/>
        <v>64</v>
      </c>
      <c r="P22" s="6">
        <f t="shared" si="11"/>
        <v>68</v>
      </c>
      <c r="Q22" s="6">
        <v>0</v>
      </c>
      <c r="R22" s="11">
        <f t="shared" si="7"/>
        <v>3.2186864159505197</v>
      </c>
      <c r="S22" s="11">
        <f t="shared" si="7"/>
        <v>3.7704612301134661</v>
      </c>
      <c r="T22" s="8">
        <f t="shared" si="8"/>
        <v>0.99935610383409945</v>
      </c>
      <c r="U22" s="8">
        <f t="shared" si="8"/>
        <v>0.99991852694187933</v>
      </c>
      <c r="V22" s="8">
        <f t="shared" si="9"/>
        <v>5.624231077798747E-4</v>
      </c>
      <c r="W22" s="8">
        <f t="shared" si="10"/>
        <v>9.2799812783679325E-2</v>
      </c>
      <c r="X22" s="6"/>
      <c r="Y22" s="9"/>
      <c r="Z22" s="17"/>
    </row>
    <row r="23" spans="1:26" x14ac:dyDescent="0.3">
      <c r="A23" s="6">
        <f t="shared" si="5"/>
        <v>72</v>
      </c>
      <c r="B23" s="6">
        <f t="shared" si="5"/>
        <v>76</v>
      </c>
      <c r="C23" s="22"/>
      <c r="D23" s="22"/>
      <c r="E23" s="6">
        <v>0</v>
      </c>
      <c r="F23" s="6">
        <f t="shared" si="0"/>
        <v>74</v>
      </c>
      <c r="G23" s="13">
        <f t="shared" si="1"/>
        <v>0</v>
      </c>
      <c r="H23" s="11">
        <f t="shared" si="2"/>
        <v>0</v>
      </c>
      <c r="I23" s="11">
        <f t="shared" si="6"/>
        <v>100</v>
      </c>
      <c r="J23" s="6">
        <f t="shared" si="3"/>
        <v>0</v>
      </c>
      <c r="K23" s="6">
        <f t="shared" si="4"/>
        <v>0</v>
      </c>
      <c r="L23" s="27"/>
      <c r="M23" s="27"/>
      <c r="N23" s="24"/>
      <c r="O23" s="6">
        <f t="shared" si="11"/>
        <v>68</v>
      </c>
      <c r="P23" s="6">
        <f t="shared" si="11"/>
        <v>72</v>
      </c>
      <c r="Q23" s="6">
        <v>0</v>
      </c>
      <c r="R23" s="11">
        <f t="shared" si="7"/>
        <v>3.7704612301134661</v>
      </c>
      <c r="S23" s="11">
        <f t="shared" si="7"/>
        <v>4.3222360442764121</v>
      </c>
      <c r="T23" s="8">
        <f t="shared" si="8"/>
        <v>0.99991852694187933</v>
      </c>
      <c r="U23" s="8">
        <f t="shared" si="8"/>
        <v>0.9999922772093085</v>
      </c>
      <c r="V23" s="8">
        <f t="shared" si="9"/>
        <v>7.3750267429173455E-5</v>
      </c>
      <c r="W23" s="8">
        <f t="shared" si="10"/>
        <v>1.216879412581362E-2</v>
      </c>
      <c r="X23" s="6"/>
      <c r="Y23" s="6"/>
    </row>
    <row r="24" spans="1:26" x14ac:dyDescent="0.3">
      <c r="A24" s="6">
        <f t="shared" si="5"/>
        <v>76</v>
      </c>
      <c r="B24" s="6">
        <f t="shared" si="5"/>
        <v>80</v>
      </c>
      <c r="C24" s="22"/>
      <c r="D24" s="22"/>
      <c r="E24" s="6">
        <v>0</v>
      </c>
      <c r="F24" s="6">
        <f t="shared" si="0"/>
        <v>78</v>
      </c>
      <c r="G24" s="13">
        <f t="shared" si="1"/>
        <v>0</v>
      </c>
      <c r="H24" s="11">
        <f t="shared" si="2"/>
        <v>0</v>
      </c>
      <c r="I24" s="11">
        <f t="shared" si="6"/>
        <v>100</v>
      </c>
      <c r="J24" s="6">
        <f t="shared" si="3"/>
        <v>0</v>
      </c>
      <c r="K24" s="6">
        <f t="shared" si="4"/>
        <v>0</v>
      </c>
      <c r="L24" s="27"/>
      <c r="M24" s="27"/>
      <c r="N24" s="24"/>
      <c r="O24" s="6">
        <f t="shared" si="11"/>
        <v>72</v>
      </c>
      <c r="P24" s="6">
        <f t="shared" si="11"/>
        <v>76</v>
      </c>
      <c r="Q24" s="6">
        <v>0</v>
      </c>
      <c r="R24" s="11">
        <f t="shared" si="7"/>
        <v>4.3222360442764121</v>
      </c>
      <c r="S24" s="11">
        <f t="shared" si="7"/>
        <v>4.874010858439358</v>
      </c>
      <c r="T24" s="8">
        <f t="shared" si="8"/>
        <v>0.9999922772093085</v>
      </c>
      <c r="U24" s="8">
        <f t="shared" si="8"/>
        <v>0.9999994532251244</v>
      </c>
      <c r="V24" s="8">
        <f t="shared" si="9"/>
        <v>7.1760158159017706E-6</v>
      </c>
      <c r="W24" s="8">
        <f t="shared" si="10"/>
        <v>1.1840426096237922E-3</v>
      </c>
      <c r="X24" s="6"/>
      <c r="Y24" s="6"/>
    </row>
    <row r="25" spans="1:26" x14ac:dyDescent="0.3">
      <c r="A25" s="6">
        <f t="shared" si="5"/>
        <v>80</v>
      </c>
      <c r="B25" s="6">
        <f t="shared" si="5"/>
        <v>84</v>
      </c>
      <c r="C25" s="22"/>
      <c r="D25" s="22"/>
      <c r="E25" s="6">
        <v>0</v>
      </c>
      <c r="F25" s="6">
        <f t="shared" si="0"/>
        <v>82</v>
      </c>
      <c r="G25" s="13">
        <f t="shared" si="1"/>
        <v>0</v>
      </c>
      <c r="H25" s="11">
        <f t="shared" si="2"/>
        <v>0</v>
      </c>
      <c r="I25" s="11">
        <f t="shared" si="6"/>
        <v>100</v>
      </c>
      <c r="J25" s="6">
        <f t="shared" si="3"/>
        <v>0</v>
      </c>
      <c r="K25" s="6">
        <f t="shared" si="4"/>
        <v>0</v>
      </c>
      <c r="L25" s="27"/>
      <c r="M25" s="27"/>
      <c r="N25" s="24"/>
      <c r="O25" s="6">
        <f t="shared" si="11"/>
        <v>76</v>
      </c>
      <c r="P25" s="6">
        <f t="shared" si="11"/>
        <v>80</v>
      </c>
      <c r="Q25" s="6">
        <v>0</v>
      </c>
      <c r="R25" s="11">
        <f t="shared" si="7"/>
        <v>4.874010858439358</v>
      </c>
      <c r="S25" s="11">
        <f t="shared" si="7"/>
        <v>5.4257856726023048</v>
      </c>
      <c r="T25" s="8">
        <f t="shared" si="8"/>
        <v>0.9999994532251244</v>
      </c>
      <c r="U25" s="8">
        <f t="shared" si="8"/>
        <v>0.99999997114991834</v>
      </c>
      <c r="V25" s="8">
        <f t="shared" si="9"/>
        <v>5.1792479394130453E-7</v>
      </c>
      <c r="W25" s="8">
        <f t="shared" si="10"/>
        <v>8.5457591000315247E-5</v>
      </c>
      <c r="X25" s="6"/>
      <c r="Y25" s="6"/>
    </row>
    <row r="26" spans="1:26" x14ac:dyDescent="0.3">
      <c r="E26" s="6">
        <f>SUM(E10:E25)</f>
        <v>165</v>
      </c>
      <c r="G26" s="15">
        <f>SUM(G10:G25)</f>
        <v>165</v>
      </c>
      <c r="J26" s="6">
        <f>SUM(J10:J25)</f>
        <v>6710</v>
      </c>
      <c r="K26" s="6">
        <f>SUM(K10:K25)</f>
        <v>281492</v>
      </c>
      <c r="O26" s="6">
        <f t="shared" si="11"/>
        <v>80</v>
      </c>
      <c r="P26" s="6">
        <f t="shared" si="11"/>
        <v>84</v>
      </c>
      <c r="Q26" s="6">
        <v>0</v>
      </c>
      <c r="R26" s="11">
        <f t="shared" si="7"/>
        <v>5.4257856726023048</v>
      </c>
      <c r="S26" s="11">
        <f>(P26-$L$10)/$M$10</f>
        <v>5.9775604867652508</v>
      </c>
      <c r="T26" s="8">
        <f t="shared" si="8"/>
        <v>0.99999997114991834</v>
      </c>
      <c r="U26" s="8">
        <f t="shared" si="8"/>
        <v>0.99999999886748081</v>
      </c>
      <c r="V26" s="8">
        <f t="shared" si="9"/>
        <v>2.7717562467444168E-8</v>
      </c>
      <c r="W26" s="8">
        <f t="shared" si="10"/>
        <v>4.5733978071282877E-6</v>
      </c>
      <c r="X26" s="6"/>
      <c r="Y26" s="6"/>
    </row>
    <row r="27" spans="1:26" x14ac:dyDescent="0.3">
      <c r="Q27">
        <f>SUM(Q11:Q19)</f>
        <v>163</v>
      </c>
      <c r="W27" s="16">
        <f>SUM(W11:W26)</f>
        <v>164.64026368463632</v>
      </c>
      <c r="X27" s="2">
        <f>SUM(X12:X22)</f>
        <v>165</v>
      </c>
      <c r="Y27" s="16">
        <f>SUM(Y11:Y26)</f>
        <v>164.64026368463632</v>
      </c>
      <c r="Z27" s="18">
        <f>SUM(Z11:Z26)</f>
        <v>3.8821663725755982</v>
      </c>
    </row>
    <row r="28" spans="1:26" x14ac:dyDescent="0.3">
      <c r="Y28" s="19" t="s">
        <v>81</v>
      </c>
      <c r="Z28" s="19">
        <v>56.65</v>
      </c>
    </row>
    <row r="40" spans="13:14" x14ac:dyDescent="0.3">
      <c r="M40" s="2" t="s">
        <v>61</v>
      </c>
      <c r="N40" t="s">
        <v>77</v>
      </c>
    </row>
    <row r="65" spans="13:14" x14ac:dyDescent="0.3">
      <c r="M65" s="2" t="s">
        <v>58</v>
      </c>
      <c r="N65" s="6" t="s">
        <v>74</v>
      </c>
    </row>
    <row r="66" spans="13:14" x14ac:dyDescent="0.3">
      <c r="M66" s="2" t="s">
        <v>59</v>
      </c>
      <c r="N66" s="6" t="s">
        <v>75</v>
      </c>
    </row>
    <row r="67" spans="13:14" x14ac:dyDescent="0.3">
      <c r="M67" s="2" t="s">
        <v>60</v>
      </c>
      <c r="N67" s="6" t="s">
        <v>76</v>
      </c>
    </row>
  </sheetData>
  <mergeCells count="48">
    <mergeCell ref="X8:X10"/>
    <mergeCell ref="Y8:Y10"/>
    <mergeCell ref="Z8:Z10"/>
    <mergeCell ref="O9:O10"/>
    <mergeCell ref="P9:P10"/>
    <mergeCell ref="A6:N6"/>
    <mergeCell ref="O6:Z7"/>
    <mergeCell ref="O8:P8"/>
    <mergeCell ref="Q8:Q10"/>
    <mergeCell ref="R8:R10"/>
    <mergeCell ref="S8:S10"/>
    <mergeCell ref="T8:T10"/>
    <mergeCell ref="U8:U10"/>
    <mergeCell ref="V8:V10"/>
    <mergeCell ref="W8:W10"/>
    <mergeCell ref="L7:L9"/>
    <mergeCell ref="M7:M9"/>
    <mergeCell ref="N7:N9"/>
    <mergeCell ref="L10:L25"/>
    <mergeCell ref="M10:M25"/>
    <mergeCell ref="N10:N25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3:D13"/>
    <mergeCell ref="A7:B7"/>
    <mergeCell ref="C7:D9"/>
    <mergeCell ref="E7:E9"/>
    <mergeCell ref="F7:F9"/>
    <mergeCell ref="A8:A9"/>
    <mergeCell ref="B8:B9"/>
    <mergeCell ref="C10:D10"/>
    <mergeCell ref="C11:D11"/>
    <mergeCell ref="C12:D12"/>
    <mergeCell ref="G7:G9"/>
    <mergeCell ref="H7:H9"/>
    <mergeCell ref="I7:I9"/>
    <mergeCell ref="J7:J9"/>
    <mergeCell ref="K7:K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8E89-DFF8-4FD3-8B33-271B8EEBAC48}">
  <dimension ref="A1:H16"/>
  <sheetViews>
    <sheetView workbookViewId="0">
      <selection sqref="A1:H16"/>
    </sheetView>
  </sheetViews>
  <sheetFormatPr defaultRowHeight="14.4" x14ac:dyDescent="0.3"/>
  <cols>
    <col min="2" max="2" width="25.77734375" customWidth="1"/>
    <col min="7" max="7" width="12.21875" customWidth="1"/>
    <col min="8" max="8" width="13.33203125" customWidth="1"/>
  </cols>
  <sheetData>
    <row r="1" spans="1:8" ht="15.6" x14ac:dyDescent="0.3">
      <c r="A1" s="31" t="s">
        <v>82</v>
      </c>
      <c r="B1" s="31"/>
      <c r="C1" s="31"/>
      <c r="D1" s="31"/>
      <c r="E1" s="31"/>
      <c r="F1" s="31"/>
      <c r="G1" s="31"/>
      <c r="H1" s="31"/>
    </row>
    <row r="2" spans="1:8" ht="15.6" x14ac:dyDescent="0.3">
      <c r="A2" s="32" t="s">
        <v>102</v>
      </c>
      <c r="B2" s="32"/>
      <c r="C2" s="32"/>
      <c r="D2" s="32"/>
      <c r="E2" s="32"/>
      <c r="F2" s="32"/>
      <c r="G2" s="32"/>
      <c r="H2" s="32"/>
    </row>
    <row r="3" spans="1:8" x14ac:dyDescent="0.3">
      <c r="A3" s="33" t="s">
        <v>83</v>
      </c>
      <c r="B3" s="20" t="s">
        <v>84</v>
      </c>
      <c r="C3" s="20" t="s">
        <v>85</v>
      </c>
      <c r="D3" s="20" t="s">
        <v>86</v>
      </c>
      <c r="E3" s="20" t="s">
        <v>87</v>
      </c>
      <c r="F3" s="20" t="s">
        <v>88</v>
      </c>
      <c r="G3" s="20" t="s">
        <v>89</v>
      </c>
      <c r="H3" s="20" t="s">
        <v>90</v>
      </c>
    </row>
    <row r="4" spans="1:8" x14ac:dyDescent="0.3">
      <c r="A4" s="21">
        <v>1</v>
      </c>
      <c r="B4" t="s">
        <v>91</v>
      </c>
      <c r="C4" s="6">
        <v>1</v>
      </c>
      <c r="D4" s="6">
        <v>1</v>
      </c>
      <c r="E4" s="6">
        <v>1</v>
      </c>
      <c r="F4" s="6">
        <v>1</v>
      </c>
      <c r="G4" s="6">
        <v>2500</v>
      </c>
      <c r="H4" s="6">
        <f>G4*F4*E4*D4*C4</f>
        <v>2500</v>
      </c>
    </row>
    <row r="5" spans="1:8" x14ac:dyDescent="0.3">
      <c r="A5" s="21">
        <v>2</v>
      </c>
      <c r="B5" t="s">
        <v>92</v>
      </c>
      <c r="C5" s="6">
        <v>2</v>
      </c>
      <c r="D5" s="6">
        <v>1</v>
      </c>
      <c r="E5" s="6">
        <v>1</v>
      </c>
      <c r="F5" s="6">
        <v>1</v>
      </c>
      <c r="G5" s="6">
        <v>1500</v>
      </c>
      <c r="H5" s="6">
        <f t="shared" ref="H5:H12" si="0">G5*F5*E5*D5*C5</f>
        <v>3000</v>
      </c>
    </row>
    <row r="6" spans="1:8" x14ac:dyDescent="0.3">
      <c r="A6" s="21">
        <v>3</v>
      </c>
      <c r="B6" t="s">
        <v>93</v>
      </c>
      <c r="C6" s="6">
        <v>1</v>
      </c>
      <c r="D6" s="6">
        <v>1</v>
      </c>
      <c r="E6" s="6">
        <v>1</v>
      </c>
      <c r="F6" s="6">
        <v>1</v>
      </c>
      <c r="G6" s="6">
        <v>300</v>
      </c>
      <c r="H6" s="6">
        <f t="shared" si="0"/>
        <v>300</v>
      </c>
    </row>
    <row r="7" spans="1:8" x14ac:dyDescent="0.3">
      <c r="A7" s="21">
        <v>4</v>
      </c>
      <c r="B7" t="s">
        <v>94</v>
      </c>
      <c r="C7" s="6">
        <v>1</v>
      </c>
      <c r="D7" s="6">
        <v>1</v>
      </c>
      <c r="E7" s="6">
        <v>1</v>
      </c>
      <c r="F7" s="6">
        <v>1</v>
      </c>
      <c r="G7" s="6">
        <v>2000</v>
      </c>
      <c r="H7" s="6">
        <f t="shared" si="0"/>
        <v>2000</v>
      </c>
    </row>
    <row r="8" spans="1:8" x14ac:dyDescent="0.3">
      <c r="A8" s="21">
        <v>5</v>
      </c>
      <c r="B8" t="s">
        <v>95</v>
      </c>
      <c r="C8" s="6">
        <v>3</v>
      </c>
      <c r="D8" s="6">
        <v>1</v>
      </c>
      <c r="E8" s="6">
        <v>1</v>
      </c>
      <c r="F8" s="6">
        <v>1</v>
      </c>
      <c r="G8" s="6">
        <v>300</v>
      </c>
      <c r="H8" s="6">
        <f t="shared" si="0"/>
        <v>900</v>
      </c>
    </row>
    <row r="9" spans="1:8" x14ac:dyDescent="0.3">
      <c r="A9" s="21">
        <v>6</v>
      </c>
      <c r="B9" t="s">
        <v>103</v>
      </c>
      <c r="C9" s="6">
        <v>2</v>
      </c>
      <c r="D9" s="6">
        <v>1</v>
      </c>
      <c r="E9" s="6">
        <v>1</v>
      </c>
      <c r="F9" s="6">
        <v>1</v>
      </c>
      <c r="G9" s="6">
        <v>35000</v>
      </c>
      <c r="H9" s="6">
        <f t="shared" si="0"/>
        <v>70000</v>
      </c>
    </row>
    <row r="10" spans="1:8" x14ac:dyDescent="0.3">
      <c r="A10" s="21">
        <v>7</v>
      </c>
      <c r="B10" t="s">
        <v>96</v>
      </c>
      <c r="C10" s="6">
        <v>1</v>
      </c>
      <c r="D10" s="6">
        <v>1</v>
      </c>
      <c r="E10" s="6">
        <v>1</v>
      </c>
      <c r="F10" s="6">
        <v>1</v>
      </c>
      <c r="G10" s="6">
        <v>5500</v>
      </c>
      <c r="H10" s="6">
        <f t="shared" si="0"/>
        <v>5500</v>
      </c>
    </row>
    <row r="11" spans="1:8" x14ac:dyDescent="0.3">
      <c r="A11" s="21">
        <v>8</v>
      </c>
      <c r="B11" t="s">
        <v>97</v>
      </c>
      <c r="C11" s="6">
        <v>1</v>
      </c>
      <c r="D11" s="6">
        <v>1</v>
      </c>
      <c r="E11" s="6">
        <v>1</v>
      </c>
      <c r="F11" s="6">
        <v>1</v>
      </c>
      <c r="G11" s="6">
        <v>350</v>
      </c>
      <c r="H11" s="6">
        <f t="shared" si="0"/>
        <v>350</v>
      </c>
    </row>
    <row r="12" spans="1:8" x14ac:dyDescent="0.3">
      <c r="A12" s="21">
        <v>9</v>
      </c>
      <c r="B12" t="s">
        <v>98</v>
      </c>
      <c r="C12" s="6">
        <v>1</v>
      </c>
      <c r="D12" s="6">
        <v>1</v>
      </c>
      <c r="E12" s="6">
        <v>1</v>
      </c>
      <c r="F12" s="6">
        <v>1</v>
      </c>
      <c r="G12" s="6">
        <v>3500</v>
      </c>
      <c r="H12" s="6">
        <f t="shared" si="0"/>
        <v>3500</v>
      </c>
    </row>
    <row r="13" spans="1:8" x14ac:dyDescent="0.3">
      <c r="A13" s="21">
        <v>10</v>
      </c>
      <c r="B13" t="s">
        <v>99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f>SUM(H4:H12)</f>
        <v>88050</v>
      </c>
    </row>
    <row r="14" spans="1:8" x14ac:dyDescent="0.3">
      <c r="A14" s="21">
        <v>11</v>
      </c>
      <c r="B14" t="s">
        <v>100</v>
      </c>
      <c r="C14" s="6"/>
      <c r="D14" s="6"/>
      <c r="E14" s="6"/>
      <c r="F14" s="6"/>
      <c r="G14" s="6"/>
      <c r="H14" s="6">
        <f>H13*0.25</f>
        <v>22012.5</v>
      </c>
    </row>
    <row r="15" spans="1:8" x14ac:dyDescent="0.3">
      <c r="B15" s="30" t="s">
        <v>10</v>
      </c>
      <c r="C15" s="6"/>
      <c r="D15" s="6"/>
      <c r="E15" s="6"/>
      <c r="F15" s="6"/>
      <c r="G15" s="6"/>
      <c r="H15" s="6">
        <f>SUM(H13:H14)</f>
        <v>110062.5</v>
      </c>
    </row>
    <row r="16" spans="1:8" x14ac:dyDescent="0.3">
      <c r="B16" t="s">
        <v>101</v>
      </c>
      <c r="C16" s="6"/>
      <c r="D16" s="6"/>
      <c r="E16" s="6"/>
      <c r="F16" s="6"/>
      <c r="G16" s="6"/>
      <c r="H16" s="16">
        <f>H15*0.95</f>
        <v>104559.375</v>
      </c>
    </row>
  </sheetData>
  <mergeCells count="2"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Passenger Car (Before)</vt:lpstr>
      <vt:lpstr>Passenger Car (After)</vt:lpstr>
      <vt:lpstr>Bus (Before)</vt:lpstr>
      <vt:lpstr>Bus (After)</vt:lpstr>
      <vt:lpstr>Budgeting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Tashdid Haque</dc:creator>
  <cp:lastModifiedBy>Tashdid Haque</cp:lastModifiedBy>
  <dcterms:created xsi:type="dcterms:W3CDTF">2020-10-10T13:34:51Z</dcterms:created>
  <dcterms:modified xsi:type="dcterms:W3CDTF">2020-10-13T22:36:50Z</dcterms:modified>
</cp:coreProperties>
</file>