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8414CC6-7FAC-4427-8783-C9AEB91B70DE}" xr6:coauthVersionLast="47" xr6:coauthVersionMax="47" xr10:uidLastSave="{00000000-0000-0000-0000-000000000000}"/>
  <bookViews>
    <workbookView xWindow="-108" yWindow="-108" windowWidth="23256" windowHeight="12456" xr2:uid="{EB0A7988-F8A5-4486-B4DF-12CDE7605F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8" i="1" l="1"/>
  <c r="B237" i="1"/>
  <c r="B241" i="1"/>
  <c r="B239" i="1"/>
  <c r="B236" i="1"/>
  <c r="B235" i="1"/>
  <c r="B234" i="1"/>
  <c r="B233" i="1"/>
  <c r="B230" i="1"/>
  <c r="B222" i="1"/>
  <c r="B223" i="1" s="1"/>
  <c r="B224" i="1" s="1"/>
  <c r="B225" i="1" s="1"/>
  <c r="B215" i="1"/>
  <c r="B208" i="1"/>
  <c r="B193" i="1"/>
  <c r="B194" i="1" s="1"/>
  <c r="B195" i="1" s="1"/>
  <c r="B131" i="1"/>
  <c r="B169" i="1"/>
  <c r="B170" i="1" s="1"/>
  <c r="B171" i="1" s="1"/>
  <c r="B172" i="1" s="1"/>
  <c r="B165" i="1"/>
  <c r="B166" i="1" s="1"/>
  <c r="B167" i="1" s="1"/>
  <c r="B168" i="1" s="1"/>
  <c r="B159" i="1"/>
  <c r="B160" i="1" s="1"/>
  <c r="B153" i="1"/>
  <c r="B154" i="1" s="1"/>
  <c r="B150" i="1"/>
  <c r="B151" i="1" s="1"/>
  <c r="B147" i="1"/>
  <c r="B141" i="1"/>
  <c r="B129" i="1"/>
  <c r="B135" i="1" s="1"/>
  <c r="B118" i="1"/>
  <c r="B119" i="1" s="1"/>
  <c r="B120" i="1" s="1"/>
  <c r="B108" i="1"/>
  <c r="B109" i="1" s="1"/>
  <c r="B110" i="1" s="1"/>
  <c r="B111" i="1" s="1"/>
  <c r="B104" i="1"/>
  <c r="B105" i="1" s="1"/>
  <c r="B106" i="1" s="1"/>
  <c r="B107" i="1" s="1"/>
  <c r="B99" i="1"/>
  <c r="B100" i="1" s="1"/>
  <c r="B93" i="1"/>
  <c r="B94" i="1" s="1"/>
  <c r="B90" i="1"/>
  <c r="B91" i="1" s="1"/>
  <c r="B87" i="1"/>
  <c r="B81" i="1"/>
  <c r="B70" i="1"/>
  <c r="B71" i="1" s="1"/>
  <c r="B72" i="1" s="1"/>
  <c r="B73" i="1" s="1"/>
  <c r="B66" i="1"/>
  <c r="B67" i="1" s="1"/>
  <c r="B68" i="1" s="1"/>
  <c r="B69" i="1" s="1"/>
  <c r="B61" i="1"/>
  <c r="B62" i="1" s="1"/>
  <c r="B55" i="1"/>
  <c r="B56" i="1" s="1"/>
  <c r="B52" i="1"/>
  <c r="B53" i="1" s="1"/>
  <c r="B49" i="1"/>
  <c r="B43" i="1"/>
  <c r="B34" i="1"/>
  <c r="B35" i="1" s="1"/>
  <c r="B30" i="1"/>
  <c r="B31" i="1" s="1"/>
  <c r="B24" i="1"/>
  <c r="B18" i="1"/>
  <c r="B14" i="1"/>
  <c r="B15" i="1" s="1"/>
  <c r="B5" i="1"/>
  <c r="B246" i="1" l="1"/>
  <c r="B247" i="1" s="1"/>
  <c r="B248" i="1" s="1"/>
  <c r="B181" i="1"/>
  <c r="B185" i="1" s="1"/>
  <c r="B216" i="1"/>
  <c r="B217" i="1" s="1"/>
  <c r="B198" i="1"/>
  <c r="B155" i="1"/>
  <c r="B95" i="1"/>
  <c r="B130" i="1"/>
  <c r="B57" i="1"/>
  <c r="B19" i="1"/>
  <c r="B126" i="1"/>
  <c r="B127" i="1" s="1"/>
  <c r="B128" i="1" s="1"/>
  <c r="B122" i="1"/>
  <c r="B123" i="1" s="1"/>
  <c r="B124" i="1" s="1"/>
  <c r="B182" i="1" l="1"/>
  <c r="B219" i="1"/>
</calcChain>
</file>

<file path=xl/sharedStrings.xml><?xml version="1.0" encoding="utf-8"?>
<sst xmlns="http://schemas.openxmlformats.org/spreadsheetml/2006/main" count="366" uniqueCount="189">
  <si>
    <t xml:space="preserve">Calculation for Motor 1 A/B </t>
  </si>
  <si>
    <t>Rating (HP) at 480V</t>
  </si>
  <si>
    <t>Conductor Multiplier (125% of FLA)</t>
  </si>
  <si>
    <t>Calculated Conductor Current</t>
  </si>
  <si>
    <t>Derating for Cable  Tray ( &gt;43 conductors)</t>
  </si>
  <si>
    <t>Conductor Rating</t>
  </si>
  <si>
    <t>Select Conductor Number and Size (Table 2)</t>
  </si>
  <si>
    <t>Ref 1</t>
  </si>
  <si>
    <t>Order Code</t>
  </si>
  <si>
    <t>1300% of FLA</t>
  </si>
  <si>
    <t>Code Letter</t>
  </si>
  <si>
    <t>J</t>
  </si>
  <si>
    <t>Max LRA Multiplier for Code 'J'</t>
  </si>
  <si>
    <t>Max LRA for Code 'J'</t>
  </si>
  <si>
    <t>215% of Max LRA</t>
  </si>
  <si>
    <t>Min LRA Multiplier for Code 'J'</t>
  </si>
  <si>
    <t>Min LRA for Code 'J'</t>
  </si>
  <si>
    <t>215% of Min LRA</t>
  </si>
  <si>
    <t>Maximum Ampacity for MCP (Protect Process)</t>
  </si>
  <si>
    <t>MCP Specifications</t>
  </si>
  <si>
    <t>Ref 5</t>
  </si>
  <si>
    <t>Cam setting for MCP</t>
  </si>
  <si>
    <t>D (J frame)</t>
  </si>
  <si>
    <t>SF (Assumed SF = 1.0)</t>
  </si>
  <si>
    <t>NA</t>
  </si>
  <si>
    <t>O/L Current Multiplier</t>
  </si>
  <si>
    <t>O/L Setting</t>
  </si>
  <si>
    <t>Starter size</t>
  </si>
  <si>
    <t>Ref 7</t>
  </si>
  <si>
    <t>MCC Space required (Multiple of 6")</t>
  </si>
  <si>
    <t>Transformer for control circuit (VA)</t>
  </si>
  <si>
    <t>Current in Primary of the Control Transformer (Amp)</t>
  </si>
  <si>
    <t>125% of the Primary Current</t>
  </si>
  <si>
    <t>Choose a Fuse with Disconnect (Go to next) (Amp)</t>
  </si>
  <si>
    <t>Choose 2 Fuse with Rating (Amp)</t>
  </si>
  <si>
    <t>Current in Secondary of the Control Transformer (Amp)</t>
  </si>
  <si>
    <t>Choose a Fuse (Go to next) (Amp)</t>
  </si>
  <si>
    <t>Choose 1 Fuse with Rating (Amp)</t>
  </si>
  <si>
    <t>Control Circuit Cable (HOA, 2 LED &amp; Flow Switch)</t>
  </si>
  <si>
    <t>Ref 4</t>
  </si>
  <si>
    <t>HOA (For Field Switch)</t>
  </si>
  <si>
    <t>Ampacity</t>
  </si>
  <si>
    <t xml:space="preserve"> NEC 310.15(B)(3)(a) </t>
  </si>
  <si>
    <t>NEC 430.250</t>
  </si>
  <si>
    <t>1-3Conductor-1AWG</t>
  </si>
  <si>
    <t>Ref 2</t>
  </si>
  <si>
    <t>NEC 430.7(B)</t>
  </si>
  <si>
    <t>NEC 210.20(A)</t>
  </si>
  <si>
    <t>``</t>
  </si>
  <si>
    <t>NEC 310.15(B)(16)</t>
  </si>
  <si>
    <t>Ref 6</t>
  </si>
  <si>
    <t>Size 5</t>
  </si>
  <si>
    <t>Ref 3</t>
  </si>
  <si>
    <t>Size 4</t>
  </si>
  <si>
    <t>Conduit Size</t>
  </si>
  <si>
    <t>1-1/4"</t>
  </si>
  <si>
    <t>1AWG</t>
  </si>
  <si>
    <t>12AWG</t>
  </si>
  <si>
    <t>1STRXHHW</t>
  </si>
  <si>
    <t>12STRXHHW</t>
  </si>
  <si>
    <t>Part Number</t>
  </si>
  <si>
    <t>EFSC2561</t>
  </si>
  <si>
    <t xml:space="preserve">Calculation for Motor 2 A/B </t>
  </si>
  <si>
    <t>K</t>
  </si>
  <si>
    <t>E (K frame)</t>
  </si>
  <si>
    <t xml:space="preserve">SF </t>
  </si>
  <si>
    <t>Control Circuit Cable (HOA, 2 LED)</t>
  </si>
  <si>
    <t>HOA (Class B Hydrogen)</t>
  </si>
  <si>
    <t xml:space="preserve">Calculation for Motor 3 A/B </t>
  </si>
  <si>
    <t xml:space="preserve">Size 5 </t>
  </si>
  <si>
    <t>HOA</t>
  </si>
  <si>
    <t>Capacitor for Motor 3 A/B</t>
  </si>
  <si>
    <t>Full Load Efficiency (From Table)</t>
  </si>
  <si>
    <t>Power Factor</t>
  </si>
  <si>
    <t>Power input (kW)</t>
  </si>
  <si>
    <t>S Input (kVA)</t>
  </si>
  <si>
    <t>Q (kVAR)</t>
  </si>
  <si>
    <t>Improved Power Factor To</t>
  </si>
  <si>
    <t>Improved S (Power Input kVA)</t>
  </si>
  <si>
    <t>Improved Q (Power Input kVAR)</t>
  </si>
  <si>
    <t>Correction for kVAR</t>
  </si>
  <si>
    <t>New S (Power Input)</t>
  </si>
  <si>
    <t>New Power Factor (After Improvement)</t>
  </si>
  <si>
    <t>I_cap (Amp)</t>
  </si>
  <si>
    <t>Conductor Rating (135%)</t>
  </si>
  <si>
    <t xml:space="preserve">One third of Motor Conductor is </t>
  </si>
  <si>
    <t>Protection (Fuses of I_cap 250%)</t>
  </si>
  <si>
    <t>Choose 3 Fuses with Disconnect Switch</t>
  </si>
  <si>
    <t xml:space="preserve">Calculation for Motor 4 A/B </t>
  </si>
  <si>
    <t>H</t>
  </si>
  <si>
    <t>Choose Variable Frequency Drive Starter</t>
  </si>
  <si>
    <t>480V SVX9000 Drives</t>
  </si>
  <si>
    <t>Ref 8</t>
  </si>
  <si>
    <t>Bypass Starter size</t>
  </si>
  <si>
    <t xml:space="preserve">Ampacity </t>
  </si>
  <si>
    <t>2AWG</t>
  </si>
  <si>
    <t>1-1/2"</t>
  </si>
  <si>
    <t>EFSC3561</t>
  </si>
  <si>
    <t>2/0 AWG</t>
  </si>
  <si>
    <t>1-3Conductor-2/0 AWG</t>
  </si>
  <si>
    <t>2/0STRXHHW</t>
  </si>
  <si>
    <t>HMCP250L5C</t>
  </si>
  <si>
    <t>HMCP400N5C</t>
  </si>
  <si>
    <t>HMCP400R5C</t>
  </si>
  <si>
    <t>Derating for Cable  Tray ( &gt;41 conductors)</t>
  </si>
  <si>
    <t>3/0 AWG</t>
  </si>
  <si>
    <t>1-3Conductor-3/0 AWG</t>
  </si>
  <si>
    <t>3/0STRXHHW</t>
  </si>
  <si>
    <t>Choose Standard Capacitor Bank</t>
  </si>
  <si>
    <t>New kVAR with Improvement</t>
  </si>
  <si>
    <t>4 AWG</t>
  </si>
  <si>
    <t>1-3Conductor-4 AWG</t>
  </si>
  <si>
    <t>4STRXHHW</t>
  </si>
  <si>
    <t>3-100A Fuses</t>
  </si>
  <si>
    <t>2"</t>
  </si>
  <si>
    <t>4/0 AWG</t>
  </si>
  <si>
    <t>1-3Conductor-4/0 AWG</t>
  </si>
  <si>
    <t>4/0STRXHHW</t>
  </si>
  <si>
    <t>Transformer</t>
  </si>
  <si>
    <t>Voltage Primary</t>
  </si>
  <si>
    <t>Voltage Secondary</t>
  </si>
  <si>
    <t>Rating kVA</t>
  </si>
  <si>
    <t>Primary Current</t>
  </si>
  <si>
    <t>125% of Primary Conductor Ampacity</t>
  </si>
  <si>
    <t>Choose Conductor from Table 2</t>
  </si>
  <si>
    <t>Order Quantity</t>
  </si>
  <si>
    <r>
      <t>MCCB</t>
    </r>
    <r>
      <rPr>
        <sz val="11"/>
        <color theme="1"/>
        <rFont val="Aptos Narrow"/>
        <family val="2"/>
        <scheme val="minor"/>
      </rPr>
      <t xml:space="preserve">  (300% of Primary Current)</t>
    </r>
  </si>
  <si>
    <t>Choose MCCB</t>
  </si>
  <si>
    <t>250A</t>
  </si>
  <si>
    <t>KDC3250</t>
  </si>
  <si>
    <t>6X</t>
  </si>
  <si>
    <t>Transformer Panel Board</t>
  </si>
  <si>
    <t xml:space="preserve">Voltage </t>
  </si>
  <si>
    <t>208/120</t>
  </si>
  <si>
    <t>Rating used for calculation (kVA) (Client Requested)</t>
  </si>
  <si>
    <t>Current</t>
  </si>
  <si>
    <t>125% of Current</t>
  </si>
  <si>
    <t>Conductor Rating (Table 2)</t>
  </si>
  <si>
    <t>Choose 4C conductors from Table 2 (295A)</t>
  </si>
  <si>
    <t>125% of Secondary Current (Fuse Calculation) (Amp)</t>
  </si>
  <si>
    <t>Panel Board</t>
  </si>
  <si>
    <t>PRL3a</t>
  </si>
  <si>
    <t>Welding Panel Board</t>
  </si>
  <si>
    <t>Voltage</t>
  </si>
  <si>
    <t>Rating (Amp)</t>
  </si>
  <si>
    <t>Conductor size</t>
  </si>
  <si>
    <t>Choose 3 conductors / phase</t>
  </si>
  <si>
    <t>MCCB (250% of Rated Current) Check for Panel Board</t>
  </si>
  <si>
    <t>800A</t>
  </si>
  <si>
    <t>Feeder</t>
  </si>
  <si>
    <t>Biggest Motor Load</t>
  </si>
  <si>
    <t>MCCB Current for Biggest Motor Load (250%)</t>
  </si>
  <si>
    <t>Choose MCCB for biggest motor</t>
  </si>
  <si>
    <t>MCCB with rating not Exceeding Calculated Value</t>
  </si>
  <si>
    <t>Total Current for MCCB</t>
  </si>
  <si>
    <t>MCCB rating not Exceeding Calculated Value (AMP)</t>
  </si>
  <si>
    <t>For future Expansion choose 2000A FRAME</t>
  </si>
  <si>
    <t>125% of the Frame Rating (Amp)</t>
  </si>
  <si>
    <t>Parallel Run needed</t>
  </si>
  <si>
    <t>Conductor Needed</t>
  </si>
  <si>
    <t>Current in each conductor/phase (Amp)</t>
  </si>
  <si>
    <t>500 kcmil (395A)</t>
  </si>
  <si>
    <t>Choose 3conductors / phase</t>
  </si>
  <si>
    <t>7-3Conductor-500 kcmil</t>
  </si>
  <si>
    <t>MCC</t>
  </si>
  <si>
    <t>Frame Size (Amp)</t>
  </si>
  <si>
    <t>Choose Bus Bar (Amp)</t>
  </si>
  <si>
    <t>Space Required in MCC Multiple of 6"</t>
  </si>
  <si>
    <t>M1-A</t>
  </si>
  <si>
    <t>M1-B</t>
  </si>
  <si>
    <t>M2-A</t>
  </si>
  <si>
    <t>M2-B</t>
  </si>
  <si>
    <t>M3-A</t>
  </si>
  <si>
    <t>M3-B</t>
  </si>
  <si>
    <t>M4-A</t>
  </si>
  <si>
    <t>M4-A Bypass</t>
  </si>
  <si>
    <t>M4-B</t>
  </si>
  <si>
    <t>M4-B Bypass</t>
  </si>
  <si>
    <t>Future growth (Customer Requested)</t>
  </si>
  <si>
    <t>Total</t>
  </si>
  <si>
    <t xml:space="preserve">Multiple of unit (12 X 6" in a unit) </t>
  </si>
  <si>
    <t>Order 20" wide 2000A frame (number of units)</t>
  </si>
  <si>
    <t>1-3C - 2AWG</t>
  </si>
  <si>
    <t>300kcmil</t>
  </si>
  <si>
    <t>1-4Conductor-300kcmil</t>
  </si>
  <si>
    <t> Ref 9</t>
  </si>
  <si>
    <t>600 kcmil</t>
  </si>
  <si>
    <t>1-3C - 600 kcmil</t>
  </si>
  <si>
    <t>MDLB3800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</si>
</sst>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Aptos Narrow"/>
      <family val="2"/>
      <scheme val="minor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ptos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1" fillId="0" borderId="0" xfId="1"/>
    <xf numFmtId="0" fontId="1" fillId="0" borderId="1" xfId="1" applyBorder="1"/>
    <xf numFmtId="2" fontId="1" fillId="0" borderId="1" xfId="1" applyNumberFormat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4" fillId="0" borderId="1" xfId="1" applyFont="1" applyBorder="1"/>
    <xf numFmtId="2" fontId="4" fillId="0" borderId="1" xfId="1" applyNumberFormat="1" applyFont="1" applyBorder="1" applyAlignment="1">
      <alignment horizontal="center"/>
    </xf>
    <xf numFmtId="0" fontId="4" fillId="0" borderId="1" xfId="1" applyFont="1" applyFill="1" applyBorder="1"/>
    <xf numFmtId="0" fontId="1" fillId="0" borderId="2" xfId="1" applyFill="1" applyBorder="1"/>
    <xf numFmtId="2" fontId="3" fillId="0" borderId="1" xfId="1" applyNumberFormat="1" applyFont="1" applyBorder="1" applyAlignment="1">
      <alignment horizontal="center"/>
    </xf>
    <xf numFmtId="0" fontId="1" fillId="0" borderId="0" xfId="1" applyAlignment="1">
      <alignment horizontal="center"/>
    </xf>
    <xf numFmtId="0" fontId="2" fillId="0" borderId="0" xfId="1" applyFont="1"/>
    <xf numFmtId="0" fontId="1" fillId="0" borderId="0" xfId="1" applyBorder="1" applyAlignment="1">
      <alignment horizontal="center"/>
    </xf>
    <xf numFmtId="0" fontId="1" fillId="0" borderId="1" xfId="1" applyBorder="1" applyAlignment="1">
      <alignment horizontal="center"/>
    </xf>
    <xf numFmtId="0" fontId="4" fillId="0" borderId="1" xfId="1" applyFont="1" applyBorder="1" applyAlignment="1">
      <alignment horizontal="center"/>
    </xf>
    <xf numFmtId="49" fontId="4" fillId="0" borderId="1" xfId="1" applyNumberFormat="1" applyFont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49" fontId="3" fillId="0" borderId="0" xfId="0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65" fontId="1" fillId="0" borderId="1" xfId="1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/>
    <xf numFmtId="0" fontId="4" fillId="0" borderId="0" xfId="0" applyFont="1"/>
    <xf numFmtId="2" fontId="3" fillId="0" borderId="0" xfId="0" applyNumberFormat="1" applyFont="1"/>
    <xf numFmtId="0" fontId="3" fillId="0" borderId="3" xfId="0" applyFont="1" applyBorder="1"/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Normal 2" xfId="1" xr:uid="{A99D1217-F470-4EE1-952A-37091F5A0F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8060-3443-411D-9921-7C1A7B689763}">
  <dimension ref="A1:I248"/>
  <sheetViews>
    <sheetView tabSelected="1" topLeftCell="A200" zoomScale="59" workbookViewId="0">
      <selection activeCell="C69" sqref="C69"/>
    </sheetView>
  </sheetViews>
  <sheetFormatPr defaultRowHeight="14.4" x14ac:dyDescent="0.3"/>
  <cols>
    <col min="1" max="1" width="48.77734375" customWidth="1"/>
    <col min="2" max="2" width="38.5546875" style="20" customWidth="1"/>
    <col min="3" max="3" width="24.33203125" customWidth="1"/>
  </cols>
  <sheetData>
    <row r="1" spans="1:9" ht="15.6" x14ac:dyDescent="0.3">
      <c r="A1" s="11" t="s">
        <v>0</v>
      </c>
      <c r="B1" s="10"/>
      <c r="D1" s="1"/>
    </row>
    <row r="2" spans="1:9" x14ac:dyDescent="0.3">
      <c r="A2" s="2" t="s">
        <v>1</v>
      </c>
      <c r="B2" s="3">
        <v>75</v>
      </c>
      <c r="C2" s="13"/>
    </row>
    <row r="3" spans="1:9" x14ac:dyDescent="0.3">
      <c r="A3" s="2" t="s">
        <v>41</v>
      </c>
      <c r="B3" s="3">
        <v>96</v>
      </c>
      <c r="C3" s="14" t="s">
        <v>43</v>
      </c>
    </row>
    <row r="4" spans="1:9" x14ac:dyDescent="0.3">
      <c r="A4" s="2" t="s">
        <v>2</v>
      </c>
      <c r="B4" s="3">
        <v>1.25</v>
      </c>
      <c r="C4" s="13"/>
    </row>
    <row r="5" spans="1:9" x14ac:dyDescent="0.3">
      <c r="A5" s="2" t="s">
        <v>3</v>
      </c>
      <c r="B5" s="3">
        <f>PRODUCT(B3:B4)</f>
        <v>120</v>
      </c>
      <c r="C5" s="13"/>
    </row>
    <row r="6" spans="1:9" x14ac:dyDescent="0.3">
      <c r="A6" s="5" t="s">
        <v>104</v>
      </c>
      <c r="B6" s="3">
        <v>0.35</v>
      </c>
      <c r="C6" s="18" t="s">
        <v>42</v>
      </c>
    </row>
    <row r="7" spans="1:9" x14ac:dyDescent="0.3">
      <c r="A7" s="2" t="s">
        <v>5</v>
      </c>
      <c r="B7" s="20" t="s">
        <v>56</v>
      </c>
      <c r="C7" s="14" t="s">
        <v>49</v>
      </c>
    </row>
    <row r="8" spans="1:9" x14ac:dyDescent="0.3">
      <c r="A8" s="2" t="s">
        <v>6</v>
      </c>
      <c r="B8" s="6" t="s">
        <v>44</v>
      </c>
      <c r="C8" s="14"/>
      <c r="I8" t="s">
        <v>48</v>
      </c>
    </row>
    <row r="9" spans="1:9" x14ac:dyDescent="0.3">
      <c r="A9" s="5" t="s">
        <v>60</v>
      </c>
      <c r="B9" s="15" t="s">
        <v>58</v>
      </c>
      <c r="C9" s="14" t="s">
        <v>7</v>
      </c>
    </row>
    <row r="10" spans="1:9" x14ac:dyDescent="0.3">
      <c r="A10" s="8" t="s">
        <v>54</v>
      </c>
      <c r="B10" s="21" t="s">
        <v>55</v>
      </c>
      <c r="C10" s="17"/>
    </row>
    <row r="11" spans="1:9" x14ac:dyDescent="0.3">
      <c r="A11" s="2" t="s">
        <v>9</v>
      </c>
      <c r="B11" s="3">
        <v>1248</v>
      </c>
      <c r="C11" s="13"/>
    </row>
    <row r="12" spans="1:9" x14ac:dyDescent="0.3">
      <c r="A12" s="2" t="s">
        <v>10</v>
      </c>
      <c r="B12" s="6" t="s">
        <v>11</v>
      </c>
      <c r="C12" s="13"/>
    </row>
    <row r="13" spans="1:9" x14ac:dyDescent="0.3">
      <c r="A13" s="2" t="s">
        <v>12</v>
      </c>
      <c r="B13" s="3">
        <v>7.99</v>
      </c>
      <c r="C13" s="14" t="s">
        <v>46</v>
      </c>
    </row>
    <row r="14" spans="1:9" x14ac:dyDescent="0.3">
      <c r="A14" s="2" t="s">
        <v>13</v>
      </c>
      <c r="B14" s="3">
        <f>PRODUCT(B13,B3)</f>
        <v>767.04</v>
      </c>
      <c r="C14" s="13"/>
    </row>
    <row r="15" spans="1:9" x14ac:dyDescent="0.3">
      <c r="A15" s="2" t="s">
        <v>14</v>
      </c>
      <c r="B15" s="13">
        <f>PRODUCT(B14,2.15)</f>
        <v>1649.136</v>
      </c>
      <c r="C15" s="13"/>
    </row>
    <row r="16" spans="1:9" x14ac:dyDescent="0.3">
      <c r="A16" s="2" t="s">
        <v>15</v>
      </c>
      <c r="B16" s="3">
        <v>7.1</v>
      </c>
      <c r="C16" s="13"/>
    </row>
    <row r="17" spans="1:3" x14ac:dyDescent="0.3">
      <c r="A17" s="2" t="s">
        <v>16</v>
      </c>
      <c r="B17" s="13">
        <v>681.59999999999991</v>
      </c>
      <c r="C17" s="13"/>
    </row>
    <row r="18" spans="1:3" x14ac:dyDescent="0.3">
      <c r="A18" s="2" t="s">
        <v>17</v>
      </c>
      <c r="B18" s="6">
        <f xml:space="preserve"> 2.15*B17</f>
        <v>1465.4399999999998</v>
      </c>
      <c r="C18" s="13"/>
    </row>
    <row r="19" spans="1:3" x14ac:dyDescent="0.3">
      <c r="A19" s="2" t="s">
        <v>18</v>
      </c>
      <c r="B19" s="6">
        <f>MAX(B11,B15,B18)</f>
        <v>1649.136</v>
      </c>
      <c r="C19" s="13"/>
    </row>
    <row r="20" spans="1:3" x14ac:dyDescent="0.3">
      <c r="A20" s="5" t="s">
        <v>19</v>
      </c>
      <c r="B20" s="9" t="s">
        <v>101</v>
      </c>
      <c r="C20" s="14" t="s">
        <v>45</v>
      </c>
    </row>
    <row r="21" spans="1:3" x14ac:dyDescent="0.3">
      <c r="A21" s="5" t="s">
        <v>21</v>
      </c>
      <c r="B21" s="9" t="s">
        <v>22</v>
      </c>
      <c r="C21" s="13"/>
    </row>
    <row r="22" spans="1:3" x14ac:dyDescent="0.3">
      <c r="A22" s="5" t="s">
        <v>23</v>
      </c>
      <c r="B22" s="6" t="s">
        <v>24</v>
      </c>
      <c r="C22" s="13"/>
    </row>
    <row r="23" spans="1:3" x14ac:dyDescent="0.3">
      <c r="A23" s="5" t="s">
        <v>25</v>
      </c>
      <c r="B23" s="3">
        <v>1.1499999999999999</v>
      </c>
      <c r="C23" s="14"/>
    </row>
    <row r="24" spans="1:3" x14ac:dyDescent="0.3">
      <c r="A24" s="5" t="s">
        <v>26</v>
      </c>
      <c r="B24" s="35">
        <f>B23*B3</f>
        <v>110.39999999999999</v>
      </c>
      <c r="C24" s="13"/>
    </row>
    <row r="25" spans="1:3" x14ac:dyDescent="0.3">
      <c r="A25" s="7" t="s">
        <v>27</v>
      </c>
      <c r="B25" s="14" t="s">
        <v>53</v>
      </c>
      <c r="C25" s="14" t="s">
        <v>52</v>
      </c>
    </row>
    <row r="26" spans="1:3" x14ac:dyDescent="0.3">
      <c r="A26" s="7" t="s">
        <v>29</v>
      </c>
      <c r="B26" s="13">
        <v>4</v>
      </c>
      <c r="C26" s="13"/>
    </row>
    <row r="27" spans="1:3" x14ac:dyDescent="0.3">
      <c r="A27" s="7" t="s">
        <v>30</v>
      </c>
      <c r="B27" s="36">
        <v>250</v>
      </c>
      <c r="C27" s="14" t="s">
        <v>39</v>
      </c>
    </row>
    <row r="28" spans="1:3" x14ac:dyDescent="0.3">
      <c r="A28" s="7" t="s">
        <v>31</v>
      </c>
      <c r="B28" s="37">
        <v>0.52083333333333337</v>
      </c>
      <c r="C28" s="13"/>
    </row>
    <row r="29" spans="1:3" x14ac:dyDescent="0.3">
      <c r="A29" s="7" t="s">
        <v>32</v>
      </c>
      <c r="B29" s="37">
        <v>0.65104166666666674</v>
      </c>
      <c r="C29" s="14" t="s">
        <v>47</v>
      </c>
    </row>
    <row r="30" spans="1:3" x14ac:dyDescent="0.3">
      <c r="A30" s="7" t="s">
        <v>33</v>
      </c>
      <c r="B30" s="13">
        <f>CEILING(B29,0.1)</f>
        <v>0.70000000000000007</v>
      </c>
      <c r="C30" s="13"/>
    </row>
    <row r="31" spans="1:3" x14ac:dyDescent="0.3">
      <c r="A31" s="7" t="s">
        <v>34</v>
      </c>
      <c r="B31" s="35">
        <f>B30</f>
        <v>0.70000000000000007</v>
      </c>
      <c r="C31" s="14" t="s">
        <v>39</v>
      </c>
    </row>
    <row r="32" spans="1:3" x14ac:dyDescent="0.3">
      <c r="A32" s="7" t="s">
        <v>35</v>
      </c>
      <c r="B32" s="3">
        <v>2.0833333333333335</v>
      </c>
      <c r="C32" s="13"/>
    </row>
    <row r="33" spans="1:3" x14ac:dyDescent="0.3">
      <c r="A33" s="7" t="s">
        <v>32</v>
      </c>
      <c r="B33" s="3">
        <v>2.604166666666667</v>
      </c>
      <c r="C33" s="13"/>
    </row>
    <row r="34" spans="1:3" x14ac:dyDescent="0.3">
      <c r="A34" s="7" t="s">
        <v>36</v>
      </c>
      <c r="B34" s="3">
        <f>CEILING(B33,0.25)</f>
        <v>2.75</v>
      </c>
      <c r="C34" s="13"/>
    </row>
    <row r="35" spans="1:3" x14ac:dyDescent="0.3">
      <c r="A35" s="7" t="s">
        <v>37</v>
      </c>
      <c r="B35" s="9">
        <f>B34</f>
        <v>2.75</v>
      </c>
      <c r="C35" s="14"/>
    </row>
    <row r="36" spans="1:3" x14ac:dyDescent="0.3">
      <c r="A36" s="7" t="s">
        <v>38</v>
      </c>
      <c r="B36" s="14" t="s">
        <v>57</v>
      </c>
      <c r="C36" s="16"/>
    </row>
    <row r="37" spans="1:3" x14ac:dyDescent="0.3">
      <c r="A37" s="5" t="s">
        <v>60</v>
      </c>
      <c r="B37" s="4" t="s">
        <v>59</v>
      </c>
      <c r="C37" s="14" t="s">
        <v>7</v>
      </c>
    </row>
    <row r="38" spans="1:3" x14ac:dyDescent="0.3">
      <c r="A38" s="5" t="s">
        <v>40</v>
      </c>
      <c r="B38" s="14" t="s">
        <v>61</v>
      </c>
      <c r="C38" s="14" t="s">
        <v>20</v>
      </c>
    </row>
    <row r="39" spans="1:3" ht="15.6" x14ac:dyDescent="0.3">
      <c r="A39" s="19" t="s">
        <v>62</v>
      </c>
      <c r="C39" s="20"/>
    </row>
    <row r="40" spans="1:3" x14ac:dyDescent="0.3">
      <c r="A40" s="16" t="s">
        <v>1</v>
      </c>
      <c r="B40" s="22">
        <v>100</v>
      </c>
      <c r="C40" s="13"/>
    </row>
    <row r="41" spans="1:3" x14ac:dyDescent="0.3">
      <c r="A41" s="16" t="s">
        <v>94</v>
      </c>
      <c r="B41" s="38">
        <v>124</v>
      </c>
      <c r="C41" s="14" t="s">
        <v>43</v>
      </c>
    </row>
    <row r="42" spans="1:3" x14ac:dyDescent="0.3">
      <c r="A42" s="16" t="s">
        <v>2</v>
      </c>
      <c r="B42" s="22">
        <v>1.25</v>
      </c>
      <c r="C42" s="13"/>
    </row>
    <row r="43" spans="1:3" x14ac:dyDescent="0.3">
      <c r="A43" s="16" t="s">
        <v>3</v>
      </c>
      <c r="B43" s="22">
        <f>B41*B42</f>
        <v>155</v>
      </c>
      <c r="C43" s="13"/>
    </row>
    <row r="44" spans="1:3" x14ac:dyDescent="0.3">
      <c r="A44" s="16" t="s">
        <v>104</v>
      </c>
      <c r="B44" s="22">
        <v>0.35</v>
      </c>
      <c r="C44" s="18" t="s">
        <v>42</v>
      </c>
    </row>
    <row r="45" spans="1:3" x14ac:dyDescent="0.3">
      <c r="A45" s="16" t="s">
        <v>5</v>
      </c>
      <c r="B45" s="22" t="s">
        <v>98</v>
      </c>
      <c r="C45" s="14" t="s">
        <v>49</v>
      </c>
    </row>
    <row r="46" spans="1:3" x14ac:dyDescent="0.3">
      <c r="A46" s="16" t="s">
        <v>6</v>
      </c>
      <c r="B46" s="22" t="s">
        <v>99</v>
      </c>
      <c r="C46" s="14"/>
    </row>
    <row r="47" spans="1:3" x14ac:dyDescent="0.3">
      <c r="A47" s="16" t="s">
        <v>60</v>
      </c>
      <c r="B47" s="23" t="s">
        <v>100</v>
      </c>
      <c r="C47" s="14" t="s">
        <v>7</v>
      </c>
    </row>
    <row r="48" spans="1:3" x14ac:dyDescent="0.3">
      <c r="A48" s="8" t="s">
        <v>54</v>
      </c>
      <c r="B48" s="21" t="s">
        <v>96</v>
      </c>
      <c r="C48" s="17"/>
    </row>
    <row r="49" spans="1:3" x14ac:dyDescent="0.3">
      <c r="A49" s="16" t="s">
        <v>9</v>
      </c>
      <c r="B49" s="22">
        <f>13*B41</f>
        <v>1612</v>
      </c>
      <c r="C49" s="13"/>
    </row>
    <row r="50" spans="1:3" x14ac:dyDescent="0.3">
      <c r="A50" s="16" t="s">
        <v>10</v>
      </c>
      <c r="B50" s="22" t="s">
        <v>63</v>
      </c>
      <c r="C50" s="13"/>
    </row>
    <row r="51" spans="1:3" x14ac:dyDescent="0.3">
      <c r="A51" s="16" t="s">
        <v>12</v>
      </c>
      <c r="B51" s="22">
        <v>8.99</v>
      </c>
      <c r="C51" s="14" t="s">
        <v>46</v>
      </c>
    </row>
    <row r="52" spans="1:3" x14ac:dyDescent="0.3">
      <c r="A52" s="16" t="s">
        <v>13</v>
      </c>
      <c r="B52" s="22">
        <f>B51*B41</f>
        <v>1114.76</v>
      </c>
      <c r="C52" s="13"/>
    </row>
    <row r="53" spans="1:3" x14ac:dyDescent="0.3">
      <c r="A53" s="16" t="s">
        <v>14</v>
      </c>
      <c r="B53" s="22">
        <f>2.15*B52</f>
        <v>2396.7339999999999</v>
      </c>
      <c r="C53" s="13"/>
    </row>
    <row r="54" spans="1:3" x14ac:dyDescent="0.3">
      <c r="A54" s="16" t="s">
        <v>15</v>
      </c>
      <c r="B54" s="22">
        <v>8</v>
      </c>
      <c r="C54" s="13"/>
    </row>
    <row r="55" spans="1:3" x14ac:dyDescent="0.3">
      <c r="A55" s="16" t="s">
        <v>16</v>
      </c>
      <c r="B55" s="21">
        <f>B54*B41</f>
        <v>992</v>
      </c>
      <c r="C55" s="13"/>
    </row>
    <row r="56" spans="1:3" x14ac:dyDescent="0.3">
      <c r="A56" s="16" t="s">
        <v>17</v>
      </c>
      <c r="B56" s="22">
        <f>2.15*B55</f>
        <v>2132.7999999999997</v>
      </c>
      <c r="C56" s="13"/>
    </row>
    <row r="57" spans="1:3" x14ac:dyDescent="0.3">
      <c r="A57" s="16" t="s">
        <v>18</v>
      </c>
      <c r="B57" s="38">
        <f>MAX(B49,B53,B56)</f>
        <v>2396.7339999999999</v>
      </c>
      <c r="C57" s="13"/>
    </row>
    <row r="58" spans="1:3" x14ac:dyDescent="0.3">
      <c r="A58" s="24" t="s">
        <v>19</v>
      </c>
      <c r="B58" s="27" t="s">
        <v>102</v>
      </c>
      <c r="C58" s="14" t="s">
        <v>45</v>
      </c>
    </row>
    <row r="59" spans="1:3" x14ac:dyDescent="0.3">
      <c r="A59" s="24" t="s">
        <v>21</v>
      </c>
      <c r="B59" s="27" t="s">
        <v>64</v>
      </c>
      <c r="C59" s="13"/>
    </row>
    <row r="60" spans="1:3" x14ac:dyDescent="0.3">
      <c r="A60" s="24" t="s">
        <v>65</v>
      </c>
      <c r="B60" s="38">
        <v>1.2</v>
      </c>
      <c r="C60" s="13"/>
    </row>
    <row r="61" spans="1:3" x14ac:dyDescent="0.3">
      <c r="A61" s="24" t="s">
        <v>25</v>
      </c>
      <c r="B61" s="22">
        <f>IF(B60="NA",1.15,(IF(B60&lt;1.15,1.15,1.25)))</f>
        <v>1.25</v>
      </c>
      <c r="C61" s="14"/>
    </row>
    <row r="62" spans="1:3" x14ac:dyDescent="0.3">
      <c r="A62" s="24" t="s">
        <v>26</v>
      </c>
      <c r="B62" s="39">
        <f>B61*B41</f>
        <v>155</v>
      </c>
      <c r="C62" s="13"/>
    </row>
    <row r="63" spans="1:3" x14ac:dyDescent="0.3">
      <c r="A63" s="24" t="s">
        <v>27</v>
      </c>
      <c r="B63" s="21" t="s">
        <v>53</v>
      </c>
      <c r="C63" s="14" t="s">
        <v>52</v>
      </c>
    </row>
    <row r="64" spans="1:3" x14ac:dyDescent="0.3">
      <c r="A64" s="24" t="s">
        <v>29</v>
      </c>
      <c r="B64" s="21">
        <v>4</v>
      </c>
      <c r="C64" s="13"/>
    </row>
    <row r="65" spans="1:3" x14ac:dyDescent="0.3">
      <c r="A65" s="24" t="s">
        <v>30</v>
      </c>
      <c r="B65" s="40">
        <v>250</v>
      </c>
      <c r="C65" s="14" t="s">
        <v>39</v>
      </c>
    </row>
    <row r="66" spans="1:3" x14ac:dyDescent="0.3">
      <c r="A66" s="24" t="s">
        <v>31</v>
      </c>
      <c r="B66" s="41">
        <f>B65/480</f>
        <v>0.52083333333333337</v>
      </c>
      <c r="C66" s="13"/>
    </row>
    <row r="67" spans="1:3" x14ac:dyDescent="0.3">
      <c r="A67" s="24" t="s">
        <v>32</v>
      </c>
      <c r="B67" s="41">
        <f>1.25*B66</f>
        <v>0.65104166666666674</v>
      </c>
      <c r="C67" s="14" t="s">
        <v>47</v>
      </c>
    </row>
    <row r="68" spans="1:3" x14ac:dyDescent="0.3">
      <c r="A68" s="24" t="s">
        <v>33</v>
      </c>
      <c r="B68" s="21">
        <f>CEILING(B67,0.1)</f>
        <v>0.70000000000000007</v>
      </c>
      <c r="C68" s="13"/>
    </row>
    <row r="69" spans="1:3" x14ac:dyDescent="0.3">
      <c r="A69" s="24" t="s">
        <v>34</v>
      </c>
      <c r="B69" s="39">
        <f>B68</f>
        <v>0.70000000000000007</v>
      </c>
      <c r="C69" s="14"/>
    </row>
    <row r="70" spans="1:3" x14ac:dyDescent="0.3">
      <c r="A70" s="24" t="s">
        <v>35</v>
      </c>
      <c r="B70" s="22">
        <f>B65/120</f>
        <v>2.0833333333333335</v>
      </c>
      <c r="C70" s="13"/>
    </row>
    <row r="71" spans="1:3" x14ac:dyDescent="0.3">
      <c r="A71" s="24" t="s">
        <v>32</v>
      </c>
      <c r="B71" s="22">
        <f>1.25*B70</f>
        <v>2.604166666666667</v>
      </c>
      <c r="C71" s="13"/>
    </row>
    <row r="72" spans="1:3" x14ac:dyDescent="0.3">
      <c r="A72" s="24" t="s">
        <v>36</v>
      </c>
      <c r="B72" s="22">
        <f>CEILING(B71,0.25)</f>
        <v>2.75</v>
      </c>
      <c r="C72" s="13"/>
    </row>
    <row r="73" spans="1:3" x14ac:dyDescent="0.3">
      <c r="A73" s="24" t="s">
        <v>37</v>
      </c>
      <c r="B73" s="27">
        <f>B72</f>
        <v>2.75</v>
      </c>
      <c r="C73" s="14"/>
    </row>
    <row r="74" spans="1:3" x14ac:dyDescent="0.3">
      <c r="A74" s="24" t="s">
        <v>66</v>
      </c>
      <c r="B74" s="21" t="s">
        <v>57</v>
      </c>
      <c r="C74" s="16"/>
    </row>
    <row r="75" spans="1:3" x14ac:dyDescent="0.3">
      <c r="A75" s="24" t="s">
        <v>60</v>
      </c>
      <c r="B75" s="4" t="s">
        <v>59</v>
      </c>
      <c r="C75" s="14" t="s">
        <v>7</v>
      </c>
    </row>
    <row r="76" spans="1:3" x14ac:dyDescent="0.3">
      <c r="A76" s="24" t="s">
        <v>67</v>
      </c>
      <c r="B76" s="26" t="s">
        <v>97</v>
      </c>
      <c r="C76" s="14" t="s">
        <v>20</v>
      </c>
    </row>
    <row r="77" spans="1:3" ht="15.6" x14ac:dyDescent="0.3">
      <c r="A77" s="19" t="s">
        <v>68</v>
      </c>
      <c r="C77" s="20"/>
    </row>
    <row r="78" spans="1:3" x14ac:dyDescent="0.3">
      <c r="A78" s="16" t="s">
        <v>1</v>
      </c>
      <c r="B78" s="22">
        <v>125</v>
      </c>
      <c r="C78" s="13"/>
    </row>
    <row r="79" spans="1:3" x14ac:dyDescent="0.3">
      <c r="A79" s="16" t="s">
        <v>94</v>
      </c>
      <c r="B79" s="38">
        <v>156</v>
      </c>
      <c r="C79" s="14" t="s">
        <v>43</v>
      </c>
    </row>
    <row r="80" spans="1:3" x14ac:dyDescent="0.3">
      <c r="A80" s="16" t="s">
        <v>2</v>
      </c>
      <c r="B80" s="22">
        <v>1.25</v>
      </c>
      <c r="C80" s="13"/>
    </row>
    <row r="81" spans="1:3" x14ac:dyDescent="0.3">
      <c r="A81" s="16" t="s">
        <v>3</v>
      </c>
      <c r="B81" s="22">
        <f>B79*B80</f>
        <v>195</v>
      </c>
      <c r="C81" s="13"/>
    </row>
    <row r="82" spans="1:3" x14ac:dyDescent="0.3">
      <c r="A82" s="16" t="s">
        <v>104</v>
      </c>
      <c r="B82" s="22">
        <v>0.35</v>
      </c>
      <c r="C82" s="18" t="s">
        <v>42</v>
      </c>
    </row>
    <row r="83" spans="1:3" x14ac:dyDescent="0.3">
      <c r="A83" s="16" t="s">
        <v>5</v>
      </c>
      <c r="B83" s="22" t="s">
        <v>105</v>
      </c>
      <c r="C83" s="14" t="s">
        <v>49</v>
      </c>
    </row>
    <row r="84" spans="1:3" x14ac:dyDescent="0.3">
      <c r="A84" s="16" t="s">
        <v>6</v>
      </c>
      <c r="B84" s="27" t="s">
        <v>106</v>
      </c>
      <c r="C84" s="14"/>
    </row>
    <row r="85" spans="1:3" x14ac:dyDescent="0.3">
      <c r="A85" s="31" t="s">
        <v>60</v>
      </c>
      <c r="B85" s="15" t="s">
        <v>107</v>
      </c>
      <c r="C85" s="14" t="s">
        <v>7</v>
      </c>
    </row>
    <row r="86" spans="1:3" x14ac:dyDescent="0.3">
      <c r="A86" s="31" t="s">
        <v>54</v>
      </c>
      <c r="B86" s="21" t="s">
        <v>96</v>
      </c>
      <c r="C86" s="17"/>
    </row>
    <row r="87" spans="1:3" x14ac:dyDescent="0.3">
      <c r="A87" s="16" t="s">
        <v>9</v>
      </c>
      <c r="B87" s="22">
        <f>13*B79</f>
        <v>2028</v>
      </c>
      <c r="C87" s="13"/>
    </row>
    <row r="88" spans="1:3" x14ac:dyDescent="0.3">
      <c r="A88" s="16" t="s">
        <v>10</v>
      </c>
      <c r="B88" s="22" t="s">
        <v>11</v>
      </c>
      <c r="C88" s="13"/>
    </row>
    <row r="89" spans="1:3" x14ac:dyDescent="0.3">
      <c r="A89" s="16" t="s">
        <v>12</v>
      </c>
      <c r="B89" s="22">
        <v>7.99</v>
      </c>
      <c r="C89" s="14" t="s">
        <v>46</v>
      </c>
    </row>
    <row r="90" spans="1:3" x14ac:dyDescent="0.3">
      <c r="A90" s="16" t="s">
        <v>13</v>
      </c>
      <c r="B90" s="22">
        <f>B79*B89</f>
        <v>1246.44</v>
      </c>
      <c r="C90" s="13"/>
    </row>
    <row r="91" spans="1:3" x14ac:dyDescent="0.3">
      <c r="A91" s="16" t="s">
        <v>14</v>
      </c>
      <c r="B91" s="22">
        <f>2.15*B90</f>
        <v>2679.846</v>
      </c>
      <c r="C91" s="13"/>
    </row>
    <row r="92" spans="1:3" x14ac:dyDescent="0.3">
      <c r="A92" s="16" t="s">
        <v>15</v>
      </c>
      <c r="B92" s="22">
        <v>7.1</v>
      </c>
      <c r="C92" s="13"/>
    </row>
    <row r="93" spans="1:3" x14ac:dyDescent="0.3">
      <c r="A93" s="16" t="s">
        <v>16</v>
      </c>
      <c r="B93" s="22">
        <f>B92*B79</f>
        <v>1107.5999999999999</v>
      </c>
      <c r="C93" s="13"/>
    </row>
    <row r="94" spans="1:3" x14ac:dyDescent="0.3">
      <c r="A94" s="16" t="s">
        <v>17</v>
      </c>
      <c r="B94" s="22">
        <f>2.15*B93</f>
        <v>2381.3399999999997</v>
      </c>
      <c r="C94" s="13"/>
    </row>
    <row r="95" spans="1:3" x14ac:dyDescent="0.3">
      <c r="A95" s="16" t="s">
        <v>18</v>
      </c>
      <c r="B95" s="38">
        <f>MAX(B87,B91,B94)</f>
        <v>2679.846</v>
      </c>
      <c r="C95" s="13"/>
    </row>
    <row r="96" spans="1:3" x14ac:dyDescent="0.3">
      <c r="A96" s="24" t="s">
        <v>19</v>
      </c>
      <c r="B96" s="27" t="s">
        <v>103</v>
      </c>
      <c r="C96" s="14" t="s">
        <v>45</v>
      </c>
    </row>
    <row r="97" spans="1:3" x14ac:dyDescent="0.3">
      <c r="A97" s="24" t="s">
        <v>21</v>
      </c>
      <c r="B97" s="27" t="s">
        <v>64</v>
      </c>
      <c r="C97" s="13"/>
    </row>
    <row r="98" spans="1:3" x14ac:dyDescent="0.3">
      <c r="A98" s="24" t="s">
        <v>65</v>
      </c>
      <c r="B98" s="38">
        <v>1.2</v>
      </c>
      <c r="C98" s="13"/>
    </row>
    <row r="99" spans="1:3" x14ac:dyDescent="0.3">
      <c r="A99" s="24" t="s">
        <v>25</v>
      </c>
      <c r="B99" s="22">
        <f>IF(B98="NA",1.15,(IF(B98&lt;1.15,1.15,1.25)))</f>
        <v>1.25</v>
      </c>
      <c r="C99" s="14"/>
    </row>
    <row r="100" spans="1:3" x14ac:dyDescent="0.3">
      <c r="A100" s="24" t="s">
        <v>26</v>
      </c>
      <c r="B100" s="39">
        <f>B99*B79</f>
        <v>195</v>
      </c>
      <c r="C100" s="13"/>
    </row>
    <row r="101" spans="1:3" x14ac:dyDescent="0.3">
      <c r="A101" s="24" t="s">
        <v>27</v>
      </c>
      <c r="B101" s="21" t="s">
        <v>69</v>
      </c>
      <c r="C101" s="14" t="s">
        <v>52</v>
      </c>
    </row>
    <row r="102" spans="1:3" x14ac:dyDescent="0.3">
      <c r="A102" s="24" t="s">
        <v>29</v>
      </c>
      <c r="B102" s="21">
        <v>6</v>
      </c>
      <c r="C102" s="13"/>
    </row>
    <row r="103" spans="1:3" x14ac:dyDescent="0.3">
      <c r="A103" s="24" t="s">
        <v>30</v>
      </c>
      <c r="B103" s="40">
        <v>400</v>
      </c>
      <c r="C103" s="14" t="s">
        <v>39</v>
      </c>
    </row>
    <row r="104" spans="1:3" x14ac:dyDescent="0.3">
      <c r="A104" s="24" t="s">
        <v>31</v>
      </c>
      <c r="B104" s="41">
        <f>B103/480</f>
        <v>0.83333333333333337</v>
      </c>
      <c r="C104" s="13"/>
    </row>
    <row r="105" spans="1:3" x14ac:dyDescent="0.3">
      <c r="A105" s="24" t="s">
        <v>32</v>
      </c>
      <c r="B105" s="41">
        <f>1.25*B104</f>
        <v>1.0416666666666667</v>
      </c>
      <c r="C105" s="14" t="s">
        <v>47</v>
      </c>
    </row>
    <row r="106" spans="1:3" x14ac:dyDescent="0.3">
      <c r="A106" s="24" t="s">
        <v>33</v>
      </c>
      <c r="B106" s="21">
        <f>CEILING(B105,0.25)</f>
        <v>1.25</v>
      </c>
      <c r="C106" s="13"/>
    </row>
    <row r="107" spans="1:3" x14ac:dyDescent="0.3">
      <c r="A107" s="24" t="s">
        <v>34</v>
      </c>
      <c r="B107" s="27">
        <f>B106</f>
        <v>1.25</v>
      </c>
      <c r="C107" s="14"/>
    </row>
    <row r="108" spans="1:3" x14ac:dyDescent="0.3">
      <c r="A108" s="24" t="s">
        <v>35</v>
      </c>
      <c r="B108" s="22">
        <f>B103/120</f>
        <v>3.3333333333333335</v>
      </c>
      <c r="C108" s="13"/>
    </row>
    <row r="109" spans="1:3" x14ac:dyDescent="0.3">
      <c r="A109" s="24" t="s">
        <v>32</v>
      </c>
      <c r="B109" s="22">
        <f>1.25*B108</f>
        <v>4.166666666666667</v>
      </c>
      <c r="C109" s="13"/>
    </row>
    <row r="110" spans="1:3" x14ac:dyDescent="0.3">
      <c r="A110" s="24" t="s">
        <v>36</v>
      </c>
      <c r="B110" s="22">
        <f>CEILING(B109,0.25)</f>
        <v>4.25</v>
      </c>
      <c r="C110" s="13"/>
    </row>
    <row r="111" spans="1:3" x14ac:dyDescent="0.3">
      <c r="A111" s="24" t="s">
        <v>37</v>
      </c>
      <c r="B111" s="27">
        <f>B110</f>
        <v>4.25</v>
      </c>
      <c r="C111" s="14"/>
    </row>
    <row r="112" spans="1:3" x14ac:dyDescent="0.3">
      <c r="A112" s="24" t="s">
        <v>66</v>
      </c>
      <c r="B112" s="21" t="s">
        <v>57</v>
      </c>
      <c r="C112" s="16"/>
    </row>
    <row r="113" spans="1:3" x14ac:dyDescent="0.3">
      <c r="A113" s="24" t="s">
        <v>8</v>
      </c>
      <c r="B113" s="4" t="s">
        <v>59</v>
      </c>
      <c r="C113" s="14" t="s">
        <v>7</v>
      </c>
    </row>
    <row r="114" spans="1:3" x14ac:dyDescent="0.3">
      <c r="A114" s="24" t="s">
        <v>70</v>
      </c>
      <c r="B114" s="26" t="s">
        <v>61</v>
      </c>
      <c r="C114" s="14" t="s">
        <v>20</v>
      </c>
    </row>
    <row r="115" spans="1:3" ht="15.6" x14ac:dyDescent="0.3">
      <c r="A115" s="28" t="s">
        <v>71</v>
      </c>
      <c r="C115" s="14"/>
    </row>
    <row r="116" spans="1:3" x14ac:dyDescent="0.3">
      <c r="A116" s="24" t="s">
        <v>72</v>
      </c>
      <c r="B116" s="22">
        <v>0.91</v>
      </c>
      <c r="C116" s="21"/>
    </row>
    <row r="117" spans="1:3" x14ac:dyDescent="0.3">
      <c r="A117" s="24" t="s">
        <v>73</v>
      </c>
      <c r="B117" s="22">
        <v>0.82</v>
      </c>
      <c r="C117" s="21"/>
    </row>
    <row r="118" spans="1:3" x14ac:dyDescent="0.3">
      <c r="A118" s="24" t="s">
        <v>74</v>
      </c>
      <c r="B118" s="22">
        <f>B78*0.746/B116</f>
        <v>102.47252747252747</v>
      </c>
      <c r="C118" s="21"/>
    </row>
    <row r="119" spans="1:3" x14ac:dyDescent="0.3">
      <c r="A119" s="24" t="s">
        <v>75</v>
      </c>
      <c r="B119" s="22">
        <f>B118/B117</f>
        <v>124.96649691771644</v>
      </c>
      <c r="C119" s="21"/>
    </row>
    <row r="120" spans="1:3" x14ac:dyDescent="0.3">
      <c r="A120" s="24" t="s">
        <v>76</v>
      </c>
      <c r="B120" s="22">
        <f>SQRT(B119*B119-B118*B118)</f>
        <v>71.526264164135782</v>
      </c>
      <c r="C120" s="21"/>
    </row>
    <row r="121" spans="1:3" x14ac:dyDescent="0.3">
      <c r="A121" s="24" t="s">
        <v>77</v>
      </c>
      <c r="B121" s="22">
        <v>0.94</v>
      </c>
      <c r="C121" s="21"/>
    </row>
    <row r="122" spans="1:3" x14ac:dyDescent="0.3">
      <c r="A122" s="24" t="s">
        <v>78</v>
      </c>
      <c r="B122" s="22">
        <f>B118/B121</f>
        <v>109.01332709843349</v>
      </c>
      <c r="C122" s="21"/>
    </row>
    <row r="123" spans="1:3" x14ac:dyDescent="0.3">
      <c r="A123" s="24" t="s">
        <v>79</v>
      </c>
      <c r="B123" s="22">
        <f>SQRT(B122*B122-B118*B118)</f>
        <v>37.192561063499738</v>
      </c>
      <c r="C123" s="21"/>
    </row>
    <row r="124" spans="1:3" x14ac:dyDescent="0.3">
      <c r="A124" s="24" t="s">
        <v>80</v>
      </c>
      <c r="B124" s="22">
        <f>B120-B123</f>
        <v>34.333703100636043</v>
      </c>
      <c r="C124" s="32"/>
    </row>
    <row r="125" spans="1:3" x14ac:dyDescent="0.3">
      <c r="A125" s="24" t="s">
        <v>108</v>
      </c>
      <c r="B125" s="22">
        <v>35</v>
      </c>
      <c r="C125" s="21" t="s">
        <v>50</v>
      </c>
    </row>
    <row r="126" spans="1:3" x14ac:dyDescent="0.3">
      <c r="A126" s="24" t="s">
        <v>109</v>
      </c>
      <c r="B126" s="22">
        <f>B120-B125</f>
        <v>36.526264164135782</v>
      </c>
      <c r="C126" s="21"/>
    </row>
    <row r="127" spans="1:3" x14ac:dyDescent="0.3">
      <c r="A127" s="24" t="s">
        <v>81</v>
      </c>
      <c r="B127" s="22">
        <f>SQRT(B118*B118+B126*B126)</f>
        <v>108.78780657958008</v>
      </c>
      <c r="C127" s="21"/>
    </row>
    <row r="128" spans="1:3" x14ac:dyDescent="0.3">
      <c r="A128" s="24" t="s">
        <v>82</v>
      </c>
      <c r="B128" s="41">
        <f>B118/B127</f>
        <v>0.94194864934212208</v>
      </c>
      <c r="C128" s="21"/>
    </row>
    <row r="129" spans="1:3" x14ac:dyDescent="0.3">
      <c r="A129" s="24" t="s">
        <v>83</v>
      </c>
      <c r="B129" s="22">
        <f>B125*1000/(SQRT(3)*480)</f>
        <v>42.098457128410217</v>
      </c>
      <c r="C129" s="21"/>
    </row>
    <row r="130" spans="1:3" x14ac:dyDescent="0.3">
      <c r="A130" s="24" t="s">
        <v>84</v>
      </c>
      <c r="B130" s="22">
        <f>1.35*B129</f>
        <v>56.832917123353795</v>
      </c>
      <c r="C130" s="21"/>
    </row>
    <row r="131" spans="1:3" x14ac:dyDescent="0.3">
      <c r="A131" s="24" t="s">
        <v>85</v>
      </c>
      <c r="B131" s="22">
        <f>200/3</f>
        <v>66.666666666666671</v>
      </c>
      <c r="C131" s="21"/>
    </row>
    <row r="132" spans="1:3" x14ac:dyDescent="0.3">
      <c r="A132" s="16" t="s">
        <v>5</v>
      </c>
      <c r="B132" s="22" t="s">
        <v>110</v>
      </c>
      <c r="C132" s="21" t="s">
        <v>7</v>
      </c>
    </row>
    <row r="133" spans="1:3" x14ac:dyDescent="0.3">
      <c r="A133" s="16" t="s">
        <v>6</v>
      </c>
      <c r="B133" s="22" t="s">
        <v>111</v>
      </c>
      <c r="C133" s="21"/>
    </row>
    <row r="134" spans="1:3" x14ac:dyDescent="0.3">
      <c r="A134" s="16" t="s">
        <v>60</v>
      </c>
      <c r="B134" s="23" t="s">
        <v>112</v>
      </c>
      <c r="C134" s="21"/>
    </row>
    <row r="135" spans="1:3" x14ac:dyDescent="0.3">
      <c r="A135" s="16" t="s">
        <v>86</v>
      </c>
      <c r="B135" s="22">
        <f>2.5*B129</f>
        <v>105.24614282102554</v>
      </c>
      <c r="C135" s="21"/>
    </row>
    <row r="136" spans="1:3" x14ac:dyDescent="0.3">
      <c r="A136" s="24" t="s">
        <v>87</v>
      </c>
      <c r="B136" s="40" t="s">
        <v>113</v>
      </c>
      <c r="C136" s="16"/>
    </row>
    <row r="137" spans="1:3" ht="15.6" x14ac:dyDescent="0.3">
      <c r="A137" s="19" t="s">
        <v>88</v>
      </c>
      <c r="C137" s="12"/>
    </row>
    <row r="138" spans="1:3" x14ac:dyDescent="0.3">
      <c r="A138" s="16" t="s">
        <v>1</v>
      </c>
      <c r="B138" s="22">
        <v>150</v>
      </c>
      <c r="C138" s="13"/>
    </row>
    <row r="139" spans="1:3" x14ac:dyDescent="0.3">
      <c r="A139" s="16" t="s">
        <v>94</v>
      </c>
      <c r="B139" s="38">
        <v>180</v>
      </c>
      <c r="C139" s="14" t="s">
        <v>43</v>
      </c>
    </row>
    <row r="140" spans="1:3" x14ac:dyDescent="0.3">
      <c r="A140" s="16" t="s">
        <v>2</v>
      </c>
      <c r="B140" s="22">
        <v>1.25</v>
      </c>
      <c r="C140" s="13"/>
    </row>
    <row r="141" spans="1:3" x14ac:dyDescent="0.3">
      <c r="A141" s="16" t="s">
        <v>3</v>
      </c>
      <c r="B141" s="22">
        <f>B139*B140</f>
        <v>225</v>
      </c>
      <c r="C141" s="13"/>
    </row>
    <row r="142" spans="1:3" x14ac:dyDescent="0.3">
      <c r="A142" s="16" t="s">
        <v>4</v>
      </c>
      <c r="B142" s="22">
        <v>0.35</v>
      </c>
      <c r="C142" s="18" t="s">
        <v>42</v>
      </c>
    </row>
    <row r="143" spans="1:3" x14ac:dyDescent="0.3">
      <c r="A143" s="16" t="s">
        <v>5</v>
      </c>
      <c r="B143" s="23" t="s">
        <v>115</v>
      </c>
      <c r="C143" s="14" t="s">
        <v>49</v>
      </c>
    </row>
    <row r="144" spans="1:3" x14ac:dyDescent="0.3">
      <c r="A144" s="16" t="s">
        <v>6</v>
      </c>
      <c r="B144" s="30" t="s">
        <v>116</v>
      </c>
      <c r="C144" s="14"/>
    </row>
    <row r="145" spans="1:3" x14ac:dyDescent="0.3">
      <c r="A145" s="33" t="s">
        <v>60</v>
      </c>
      <c r="B145" s="34" t="s">
        <v>117</v>
      </c>
      <c r="C145" s="14" t="s">
        <v>7</v>
      </c>
    </row>
    <row r="146" spans="1:3" x14ac:dyDescent="0.3">
      <c r="A146" s="31" t="s">
        <v>54</v>
      </c>
      <c r="B146" s="21" t="s">
        <v>114</v>
      </c>
      <c r="C146" s="17"/>
    </row>
    <row r="147" spans="1:3" x14ac:dyDescent="0.3">
      <c r="A147" s="16" t="s">
        <v>9</v>
      </c>
      <c r="B147" s="22">
        <f>13*B139</f>
        <v>2340</v>
      </c>
      <c r="C147" s="13"/>
    </row>
    <row r="148" spans="1:3" x14ac:dyDescent="0.3">
      <c r="A148" s="16" t="s">
        <v>10</v>
      </c>
      <c r="B148" s="22" t="s">
        <v>89</v>
      </c>
      <c r="C148" s="13"/>
    </row>
    <row r="149" spans="1:3" x14ac:dyDescent="0.3">
      <c r="A149" s="16" t="s">
        <v>12</v>
      </c>
      <c r="B149" s="22">
        <v>7.09</v>
      </c>
      <c r="C149" s="14" t="s">
        <v>46</v>
      </c>
    </row>
    <row r="150" spans="1:3" x14ac:dyDescent="0.3">
      <c r="A150" s="16" t="s">
        <v>13</v>
      </c>
      <c r="B150" s="21">
        <f>B149*B139</f>
        <v>1276.2</v>
      </c>
      <c r="C150" s="13"/>
    </row>
    <row r="151" spans="1:3" x14ac:dyDescent="0.3">
      <c r="A151" s="16" t="s">
        <v>14</v>
      </c>
      <c r="B151" s="22">
        <f>2.15*B150</f>
        <v>2743.83</v>
      </c>
      <c r="C151" s="13"/>
    </row>
    <row r="152" spans="1:3" x14ac:dyDescent="0.3">
      <c r="A152" s="16" t="s">
        <v>15</v>
      </c>
      <c r="B152" s="22">
        <v>6.3</v>
      </c>
      <c r="C152" s="13"/>
    </row>
    <row r="153" spans="1:3" x14ac:dyDescent="0.3">
      <c r="A153" s="16" t="s">
        <v>16</v>
      </c>
      <c r="B153" s="22">
        <f>B152*B139</f>
        <v>1134</v>
      </c>
      <c r="C153" s="13"/>
    </row>
    <row r="154" spans="1:3" x14ac:dyDescent="0.3">
      <c r="A154" s="16" t="s">
        <v>17</v>
      </c>
      <c r="B154" s="38">
        <f>2.15*B153</f>
        <v>2438.1</v>
      </c>
      <c r="C154" s="13"/>
    </row>
    <row r="155" spans="1:3" x14ac:dyDescent="0.3">
      <c r="A155" s="16" t="s">
        <v>18</v>
      </c>
      <c r="B155" s="38">
        <f>MAX(B147,B151,B154)</f>
        <v>2743.83</v>
      </c>
      <c r="C155" s="13"/>
    </row>
    <row r="156" spans="1:3" x14ac:dyDescent="0.3">
      <c r="A156" s="24" t="s">
        <v>19</v>
      </c>
      <c r="B156" s="27" t="s">
        <v>103</v>
      </c>
      <c r="C156" s="14" t="s">
        <v>45</v>
      </c>
    </row>
    <row r="157" spans="1:3" x14ac:dyDescent="0.3">
      <c r="A157" s="24" t="s">
        <v>21</v>
      </c>
      <c r="B157" s="27" t="s">
        <v>64</v>
      </c>
      <c r="C157" s="13"/>
    </row>
    <row r="158" spans="1:3" x14ac:dyDescent="0.3">
      <c r="A158" s="24" t="s">
        <v>65</v>
      </c>
      <c r="B158" s="38">
        <v>1.18</v>
      </c>
      <c r="C158" s="13"/>
    </row>
    <row r="159" spans="1:3" x14ac:dyDescent="0.3">
      <c r="A159" s="24" t="s">
        <v>25</v>
      </c>
      <c r="B159" s="22">
        <f>IF(B158="NA",1.15,(IF(B158&lt;1.15,1.15,1.25)))</f>
        <v>1.25</v>
      </c>
      <c r="C159" s="14"/>
    </row>
    <row r="160" spans="1:3" x14ac:dyDescent="0.3">
      <c r="A160" s="24" t="s">
        <v>26</v>
      </c>
      <c r="B160" s="39">
        <f>B159*B139</f>
        <v>225</v>
      </c>
      <c r="C160" s="13"/>
    </row>
    <row r="161" spans="1:3" x14ac:dyDescent="0.3">
      <c r="A161" s="24" t="s">
        <v>90</v>
      </c>
      <c r="B161" s="39" t="s">
        <v>91</v>
      </c>
      <c r="C161" s="21" t="s">
        <v>28</v>
      </c>
    </row>
    <row r="162" spans="1:3" x14ac:dyDescent="0.3">
      <c r="A162" s="24" t="s">
        <v>93</v>
      </c>
      <c r="B162" s="26" t="s">
        <v>51</v>
      </c>
      <c r="C162" s="14" t="s">
        <v>52</v>
      </c>
    </row>
    <row r="163" spans="1:3" x14ac:dyDescent="0.3">
      <c r="A163" s="24" t="s">
        <v>29</v>
      </c>
      <c r="B163" s="21">
        <v>12</v>
      </c>
      <c r="C163" s="13"/>
    </row>
    <row r="164" spans="1:3" x14ac:dyDescent="0.3">
      <c r="A164" s="24" t="s">
        <v>30</v>
      </c>
      <c r="B164" s="40">
        <v>400</v>
      </c>
      <c r="C164" s="14" t="s">
        <v>39</v>
      </c>
    </row>
    <row r="165" spans="1:3" x14ac:dyDescent="0.3">
      <c r="A165" s="24" t="s">
        <v>31</v>
      </c>
      <c r="B165" s="41">
        <f>B164/480</f>
        <v>0.83333333333333337</v>
      </c>
      <c r="C165" s="13"/>
    </row>
    <row r="166" spans="1:3" x14ac:dyDescent="0.3">
      <c r="A166" s="24" t="s">
        <v>32</v>
      </c>
      <c r="B166" s="41">
        <f>1.25*B165</f>
        <v>1.0416666666666667</v>
      </c>
      <c r="C166" s="14" t="s">
        <v>47</v>
      </c>
    </row>
    <row r="167" spans="1:3" x14ac:dyDescent="0.3">
      <c r="A167" s="24" t="s">
        <v>33</v>
      </c>
      <c r="B167" s="21">
        <f>CEILING(B166,0.25)</f>
        <v>1.25</v>
      </c>
      <c r="C167" s="13"/>
    </row>
    <row r="168" spans="1:3" x14ac:dyDescent="0.3">
      <c r="A168" s="24" t="s">
        <v>34</v>
      </c>
      <c r="B168" s="27">
        <f>B167</f>
        <v>1.25</v>
      </c>
      <c r="C168" s="14"/>
    </row>
    <row r="169" spans="1:3" x14ac:dyDescent="0.3">
      <c r="A169" s="24" t="s">
        <v>35</v>
      </c>
      <c r="B169" s="22">
        <f>B164/120</f>
        <v>3.3333333333333335</v>
      </c>
      <c r="C169" s="13"/>
    </row>
    <row r="170" spans="1:3" x14ac:dyDescent="0.3">
      <c r="A170" s="24" t="s">
        <v>32</v>
      </c>
      <c r="B170" s="22">
        <f>1.25*B169</f>
        <v>4.166666666666667</v>
      </c>
      <c r="C170" s="13"/>
    </row>
    <row r="171" spans="1:3" x14ac:dyDescent="0.3">
      <c r="A171" s="24" t="s">
        <v>36</v>
      </c>
      <c r="B171" s="22">
        <f>CEILING(B170,0.25)</f>
        <v>4.25</v>
      </c>
      <c r="C171" s="13"/>
    </row>
    <row r="172" spans="1:3" x14ac:dyDescent="0.3">
      <c r="A172" s="24" t="s">
        <v>37</v>
      </c>
      <c r="B172" s="27">
        <f>B171</f>
        <v>4.25</v>
      </c>
      <c r="C172" s="14"/>
    </row>
    <row r="173" spans="1:3" x14ac:dyDescent="0.3">
      <c r="A173" s="24" t="s">
        <v>66</v>
      </c>
      <c r="B173" s="21" t="s">
        <v>57</v>
      </c>
      <c r="C173" s="16"/>
    </row>
    <row r="174" spans="1:3" x14ac:dyDescent="0.3">
      <c r="A174" s="24" t="s">
        <v>60</v>
      </c>
      <c r="B174" s="23" t="s">
        <v>59</v>
      </c>
      <c r="C174" s="14" t="s">
        <v>7</v>
      </c>
    </row>
    <row r="175" spans="1:3" x14ac:dyDescent="0.3">
      <c r="A175" s="24" t="s">
        <v>70</v>
      </c>
      <c r="B175" s="26" t="s">
        <v>61</v>
      </c>
      <c r="C175" s="14" t="s">
        <v>20</v>
      </c>
    </row>
    <row r="177" spans="1:3" x14ac:dyDescent="0.3">
      <c r="A177" s="42" t="s">
        <v>118</v>
      </c>
      <c r="B177"/>
      <c r="C177" s="20"/>
    </row>
    <row r="178" spans="1:3" x14ac:dyDescent="0.3">
      <c r="A178" s="16" t="s">
        <v>119</v>
      </c>
      <c r="B178" s="22">
        <v>480</v>
      </c>
      <c r="C178" s="21"/>
    </row>
    <row r="179" spans="1:3" x14ac:dyDescent="0.3">
      <c r="A179" s="16" t="s">
        <v>120</v>
      </c>
      <c r="B179" s="22">
        <v>208</v>
      </c>
      <c r="C179" s="21"/>
    </row>
    <row r="180" spans="1:3" x14ac:dyDescent="0.3">
      <c r="A180" s="16" t="s">
        <v>121</v>
      </c>
      <c r="B180" s="22">
        <v>45</v>
      </c>
      <c r="C180" s="21"/>
    </row>
    <row r="181" spans="1:3" x14ac:dyDescent="0.3">
      <c r="A181" s="16" t="s">
        <v>122</v>
      </c>
      <c r="B181" s="22">
        <f>B193*1000/(SQRT(3)*B178)</f>
        <v>90.210979560879039</v>
      </c>
      <c r="C181" s="21"/>
    </row>
    <row r="182" spans="1:3" x14ac:dyDescent="0.3">
      <c r="A182" s="16" t="s">
        <v>123</v>
      </c>
      <c r="B182" s="22">
        <f>1.25*B181</f>
        <v>112.7637244510988</v>
      </c>
      <c r="C182" s="21"/>
    </row>
    <row r="183" spans="1:3" x14ac:dyDescent="0.3">
      <c r="A183" s="16" t="s">
        <v>124</v>
      </c>
      <c r="B183" s="22" t="s">
        <v>95</v>
      </c>
      <c r="C183" s="21"/>
    </row>
    <row r="184" spans="1:3" x14ac:dyDescent="0.3">
      <c r="A184" s="16" t="s">
        <v>125</v>
      </c>
      <c r="B184" s="22" t="s">
        <v>182</v>
      </c>
      <c r="C184" s="21"/>
    </row>
    <row r="185" spans="1:3" x14ac:dyDescent="0.3">
      <c r="A185" s="25" t="s">
        <v>126</v>
      </c>
      <c r="B185" s="22">
        <f>3*B181</f>
        <v>270.63293868263713</v>
      </c>
      <c r="C185" s="21"/>
    </row>
    <row r="186" spans="1:3" x14ac:dyDescent="0.3">
      <c r="A186" s="16" t="s">
        <v>127</v>
      </c>
      <c r="B186" s="22" t="s">
        <v>128</v>
      </c>
      <c r="C186" s="21" t="s">
        <v>92</v>
      </c>
    </row>
    <row r="187" spans="1:3" x14ac:dyDescent="0.3">
      <c r="A187" s="16" t="s">
        <v>8</v>
      </c>
      <c r="B187" s="22" t="s">
        <v>129</v>
      </c>
      <c r="C187" s="21"/>
    </row>
    <row r="188" spans="1:3" x14ac:dyDescent="0.3">
      <c r="A188" s="24" t="s">
        <v>29</v>
      </c>
      <c r="B188" s="21" t="s">
        <v>130</v>
      </c>
      <c r="C188" s="21"/>
    </row>
    <row r="189" spans="1:3" x14ac:dyDescent="0.3">
      <c r="A189" s="43"/>
      <c r="C189" s="20"/>
    </row>
    <row r="190" spans="1:3" x14ac:dyDescent="0.3">
      <c r="A190" s="43"/>
      <c r="C190" s="20"/>
    </row>
    <row r="191" spans="1:3" x14ac:dyDescent="0.3">
      <c r="A191" s="44" t="s">
        <v>131</v>
      </c>
      <c r="C191" s="20"/>
    </row>
    <row r="192" spans="1:3" x14ac:dyDescent="0.3">
      <c r="A192" s="16" t="s">
        <v>132</v>
      </c>
      <c r="B192" s="23" t="s">
        <v>133</v>
      </c>
      <c r="C192" s="21"/>
    </row>
    <row r="193" spans="1:3" x14ac:dyDescent="0.3">
      <c r="A193" s="16" t="s">
        <v>134</v>
      </c>
      <c r="B193" s="22">
        <f>75</f>
        <v>75</v>
      </c>
      <c r="C193" s="21"/>
    </row>
    <row r="194" spans="1:3" x14ac:dyDescent="0.3">
      <c r="A194" s="16" t="s">
        <v>135</v>
      </c>
      <c r="B194" s="22">
        <f>B193*1000/(SQRT(3)*B179)</f>
        <v>208.17918360202853</v>
      </c>
      <c r="C194" s="21"/>
    </row>
    <row r="195" spans="1:3" x14ac:dyDescent="0.3">
      <c r="A195" s="16" t="s">
        <v>136</v>
      </c>
      <c r="B195" s="22">
        <f>1.25*B194</f>
        <v>260.22397950253566</v>
      </c>
      <c r="C195" s="21"/>
    </row>
    <row r="196" spans="1:3" x14ac:dyDescent="0.3">
      <c r="A196" s="16" t="s">
        <v>137</v>
      </c>
      <c r="B196" s="22" t="s">
        <v>183</v>
      </c>
      <c r="C196" s="21" t="s">
        <v>49</v>
      </c>
    </row>
    <row r="197" spans="1:3" x14ac:dyDescent="0.3">
      <c r="A197" s="16" t="s">
        <v>138</v>
      </c>
      <c r="B197" s="27" t="s">
        <v>184</v>
      </c>
      <c r="C197" s="21"/>
    </row>
    <row r="198" spans="1:3" x14ac:dyDescent="0.3">
      <c r="A198" s="16" t="s">
        <v>139</v>
      </c>
      <c r="B198" s="38">
        <f>B194*1.25</f>
        <v>260.22397950253566</v>
      </c>
      <c r="C198" s="21"/>
    </row>
    <row r="199" spans="1:3" x14ac:dyDescent="0.3">
      <c r="A199" s="16" t="s">
        <v>127</v>
      </c>
      <c r="B199" s="22" t="s">
        <v>128</v>
      </c>
      <c r="C199" s="21" t="s">
        <v>92</v>
      </c>
    </row>
    <row r="200" spans="1:3" x14ac:dyDescent="0.3">
      <c r="A200" s="16" t="s">
        <v>8</v>
      </c>
      <c r="B200" s="22" t="s">
        <v>129</v>
      </c>
      <c r="C200" s="21"/>
    </row>
    <row r="201" spans="1:3" x14ac:dyDescent="0.3">
      <c r="A201" s="24" t="s">
        <v>140</v>
      </c>
      <c r="B201" s="26" t="s">
        <v>141</v>
      </c>
      <c r="C201" s="26" t="s">
        <v>185</v>
      </c>
    </row>
    <row r="202" spans="1:3" x14ac:dyDescent="0.3">
      <c r="B202" s="47"/>
      <c r="C202" s="20"/>
    </row>
    <row r="203" spans="1:3" x14ac:dyDescent="0.3">
      <c r="A203" s="44" t="s">
        <v>142</v>
      </c>
      <c r="C203" s="20"/>
    </row>
    <row r="204" spans="1:3" x14ac:dyDescent="0.3">
      <c r="A204" s="16" t="s">
        <v>143</v>
      </c>
      <c r="B204" s="22">
        <v>480</v>
      </c>
      <c r="C204" s="21"/>
    </row>
    <row r="205" spans="1:3" x14ac:dyDescent="0.3">
      <c r="A205" s="16" t="s">
        <v>144</v>
      </c>
      <c r="B205" s="22">
        <v>400</v>
      </c>
      <c r="C205" s="21"/>
    </row>
    <row r="206" spans="1:3" x14ac:dyDescent="0.3">
      <c r="A206" s="16" t="s">
        <v>145</v>
      </c>
      <c r="B206" s="22" t="s">
        <v>186</v>
      </c>
      <c r="C206" s="21" t="s">
        <v>49</v>
      </c>
    </row>
    <row r="207" spans="1:3" x14ac:dyDescent="0.3">
      <c r="A207" s="16" t="s">
        <v>146</v>
      </c>
      <c r="B207" s="27" t="s">
        <v>187</v>
      </c>
      <c r="C207" s="21"/>
    </row>
    <row r="208" spans="1:3" x14ac:dyDescent="0.3">
      <c r="A208" s="16" t="s">
        <v>147</v>
      </c>
      <c r="B208" s="22">
        <f>2.5*B205</f>
        <v>1000</v>
      </c>
      <c r="C208" s="21" t="s">
        <v>7</v>
      </c>
    </row>
    <row r="209" spans="1:3" x14ac:dyDescent="0.3">
      <c r="A209" s="16" t="s">
        <v>127</v>
      </c>
      <c r="B209" s="22" t="s">
        <v>148</v>
      </c>
      <c r="C209" s="21" t="s">
        <v>92</v>
      </c>
    </row>
    <row r="210" spans="1:3" x14ac:dyDescent="0.3">
      <c r="A210" s="16" t="s">
        <v>8</v>
      </c>
      <c r="B210" s="22" t="s">
        <v>188</v>
      </c>
      <c r="C210" s="21"/>
    </row>
    <row r="211" spans="1:3" x14ac:dyDescent="0.3">
      <c r="A211" s="24" t="s">
        <v>29</v>
      </c>
      <c r="B211" s="21" t="s">
        <v>130</v>
      </c>
      <c r="C211" s="21"/>
    </row>
    <row r="212" spans="1:3" x14ac:dyDescent="0.3">
      <c r="C212" s="46"/>
    </row>
    <row r="213" spans="1:3" x14ac:dyDescent="0.3">
      <c r="A213" s="45" t="s">
        <v>149</v>
      </c>
      <c r="C213" s="20"/>
    </row>
    <row r="214" spans="1:3" x14ac:dyDescent="0.3">
      <c r="A214" s="16" t="s">
        <v>132</v>
      </c>
      <c r="B214" s="22">
        <v>480</v>
      </c>
      <c r="C214" s="21"/>
    </row>
    <row r="215" spans="1:3" x14ac:dyDescent="0.3">
      <c r="A215" s="16" t="s">
        <v>150</v>
      </c>
      <c r="B215" s="22">
        <f>MAX(B3,B41,B79,B138)</f>
        <v>156</v>
      </c>
      <c r="C215" s="21"/>
    </row>
    <row r="216" spans="1:3" x14ac:dyDescent="0.3">
      <c r="A216" s="16" t="s">
        <v>151</v>
      </c>
      <c r="B216" s="22">
        <f>2.5*B215</f>
        <v>390</v>
      </c>
      <c r="C216" s="21"/>
    </row>
    <row r="217" spans="1:3" x14ac:dyDescent="0.3">
      <c r="A217" s="16" t="s">
        <v>152</v>
      </c>
      <c r="B217" s="22">
        <f>B216</f>
        <v>390</v>
      </c>
      <c r="C217" s="21"/>
    </row>
    <row r="218" spans="1:3" x14ac:dyDescent="0.3">
      <c r="A218" s="16" t="s">
        <v>153</v>
      </c>
      <c r="B218" s="22">
        <v>450</v>
      </c>
      <c r="C218" s="21"/>
    </row>
    <row r="219" spans="1:3" x14ac:dyDescent="0.3">
      <c r="A219" s="16" t="s">
        <v>154</v>
      </c>
      <c r="B219" s="22">
        <f>B218+B215+2*B3+2*B41+2*B79+B181+B205</f>
        <v>1848.210979560879</v>
      </c>
      <c r="C219" s="21"/>
    </row>
    <row r="220" spans="1:3" x14ac:dyDescent="0.3">
      <c r="A220" s="16" t="s">
        <v>155</v>
      </c>
      <c r="B220" s="22">
        <v>1600</v>
      </c>
      <c r="C220" s="21"/>
    </row>
    <row r="221" spans="1:3" x14ac:dyDescent="0.3">
      <c r="A221" s="16" t="s">
        <v>156</v>
      </c>
      <c r="B221" s="22">
        <v>2000</v>
      </c>
      <c r="C221" s="21"/>
    </row>
    <row r="222" spans="1:3" x14ac:dyDescent="0.3">
      <c r="A222" s="16" t="s">
        <v>157</v>
      </c>
      <c r="B222" s="22">
        <f>1.25*B221</f>
        <v>2500</v>
      </c>
      <c r="C222" s="21"/>
    </row>
    <row r="223" spans="1:3" x14ac:dyDescent="0.3">
      <c r="A223" s="16" t="s">
        <v>158</v>
      </c>
      <c r="B223" s="22">
        <f>B222/395</f>
        <v>6.3291139240506329</v>
      </c>
      <c r="C223" s="21"/>
    </row>
    <row r="224" spans="1:3" x14ac:dyDescent="0.3">
      <c r="A224" s="16" t="s">
        <v>159</v>
      </c>
      <c r="B224" s="22">
        <f>CEILING(B223,1)</f>
        <v>7</v>
      </c>
      <c r="C224" s="21"/>
    </row>
    <row r="225" spans="1:3" x14ac:dyDescent="0.3">
      <c r="A225" s="16" t="s">
        <v>160</v>
      </c>
      <c r="B225" s="22">
        <f>B222/B224</f>
        <v>357.14285714285717</v>
      </c>
      <c r="C225" s="21"/>
    </row>
    <row r="226" spans="1:3" x14ac:dyDescent="0.3">
      <c r="A226" s="16" t="s">
        <v>145</v>
      </c>
      <c r="B226" s="22" t="s">
        <v>161</v>
      </c>
      <c r="C226" s="21"/>
    </row>
    <row r="227" spans="1:3" x14ac:dyDescent="0.3">
      <c r="A227" s="16" t="s">
        <v>162</v>
      </c>
      <c r="B227" s="27" t="s">
        <v>163</v>
      </c>
      <c r="C227" s="21"/>
    </row>
    <row r="228" spans="1:3" x14ac:dyDescent="0.3">
      <c r="C228" s="20"/>
    </row>
    <row r="229" spans="1:3" x14ac:dyDescent="0.3">
      <c r="A229" s="44" t="s">
        <v>164</v>
      </c>
      <c r="C229" s="20"/>
    </row>
    <row r="230" spans="1:3" x14ac:dyDescent="0.3">
      <c r="A230" s="16" t="s">
        <v>165</v>
      </c>
      <c r="B230" s="22">
        <f>B221</f>
        <v>2000</v>
      </c>
      <c r="C230" s="20"/>
    </row>
    <row r="231" spans="1:3" x14ac:dyDescent="0.3">
      <c r="A231" s="16" t="s">
        <v>166</v>
      </c>
      <c r="B231" s="21">
        <v>65000</v>
      </c>
      <c r="C231" s="20"/>
    </row>
    <row r="232" spans="1:3" x14ac:dyDescent="0.3">
      <c r="A232" s="16" t="s">
        <v>167</v>
      </c>
      <c r="B232" s="21"/>
      <c r="C232" s="20"/>
    </row>
    <row r="233" spans="1:3" x14ac:dyDescent="0.3">
      <c r="A233" s="16" t="s">
        <v>168</v>
      </c>
      <c r="B233" s="29">
        <f>B26</f>
        <v>4</v>
      </c>
      <c r="C233" s="20"/>
    </row>
    <row r="234" spans="1:3" x14ac:dyDescent="0.3">
      <c r="A234" s="16" t="s">
        <v>169</v>
      </c>
      <c r="B234" s="29">
        <f>B26</f>
        <v>4</v>
      </c>
      <c r="C234" s="20"/>
    </row>
    <row r="235" spans="1:3" x14ac:dyDescent="0.3">
      <c r="A235" s="16" t="s">
        <v>170</v>
      </c>
      <c r="B235" s="29">
        <f>B64</f>
        <v>4</v>
      </c>
      <c r="C235" s="20"/>
    </row>
    <row r="236" spans="1:3" x14ac:dyDescent="0.3">
      <c r="A236" s="16" t="s">
        <v>171</v>
      </c>
      <c r="B236" s="29">
        <f>B64</f>
        <v>4</v>
      </c>
      <c r="C236" s="20"/>
    </row>
    <row r="237" spans="1:3" x14ac:dyDescent="0.3">
      <c r="A237" s="16" t="s">
        <v>172</v>
      </c>
      <c r="B237" s="29">
        <f>B102</f>
        <v>6</v>
      </c>
      <c r="C237" s="20"/>
    </row>
    <row r="238" spans="1:3" x14ac:dyDescent="0.3">
      <c r="A238" s="16" t="s">
        <v>173</v>
      </c>
      <c r="B238" s="29">
        <f>B102</f>
        <v>6</v>
      </c>
      <c r="C238" s="20"/>
    </row>
    <row r="239" spans="1:3" x14ac:dyDescent="0.3">
      <c r="A239" s="16" t="s">
        <v>174</v>
      </c>
      <c r="B239" s="29">
        <f>B164</f>
        <v>400</v>
      </c>
      <c r="C239" s="20"/>
    </row>
    <row r="240" spans="1:3" x14ac:dyDescent="0.3">
      <c r="A240" s="16" t="s">
        <v>175</v>
      </c>
      <c r="B240" s="29">
        <v>6</v>
      </c>
      <c r="C240" s="20"/>
    </row>
    <row r="241" spans="1:3" x14ac:dyDescent="0.3">
      <c r="A241" s="16" t="s">
        <v>176</v>
      </c>
      <c r="B241" s="29">
        <f>B164</f>
        <v>400</v>
      </c>
      <c r="C241" s="20"/>
    </row>
    <row r="242" spans="1:3" x14ac:dyDescent="0.3">
      <c r="A242" s="16" t="s">
        <v>177</v>
      </c>
      <c r="B242" s="29">
        <v>6</v>
      </c>
      <c r="C242" s="20"/>
    </row>
    <row r="243" spans="1:3" x14ac:dyDescent="0.3">
      <c r="A243" s="16" t="s">
        <v>118</v>
      </c>
      <c r="B243" s="29">
        <v>6</v>
      </c>
      <c r="C243" s="20"/>
    </row>
    <row r="244" spans="1:3" x14ac:dyDescent="0.3">
      <c r="A244" s="16" t="s">
        <v>142</v>
      </c>
      <c r="B244" s="29">
        <v>6</v>
      </c>
      <c r="C244" s="20"/>
    </row>
    <row r="245" spans="1:3" x14ac:dyDescent="0.3">
      <c r="A245" s="16" t="s">
        <v>178</v>
      </c>
      <c r="B245" s="29">
        <v>12</v>
      </c>
      <c r="C245" s="20"/>
    </row>
    <row r="246" spans="1:3" x14ac:dyDescent="0.3">
      <c r="A246" s="16" t="s">
        <v>179</v>
      </c>
      <c r="B246" s="29">
        <f>SUM(B233:B245)</f>
        <v>864</v>
      </c>
      <c r="C246" s="20"/>
    </row>
    <row r="247" spans="1:3" x14ac:dyDescent="0.3">
      <c r="A247" s="16" t="s">
        <v>180</v>
      </c>
      <c r="B247" s="21">
        <f>B246/12</f>
        <v>72</v>
      </c>
      <c r="C247" s="20"/>
    </row>
    <row r="248" spans="1:3" x14ac:dyDescent="0.3">
      <c r="A248" s="16" t="s">
        <v>181</v>
      </c>
      <c r="B248" s="21">
        <f>CEILING(B247,1)</f>
        <v>72</v>
      </c>
      <c r="C248" s="20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Tashfique Hasnine Choudhury</dc:creator>
  <cp:lastModifiedBy>Tashfique Hasnine Choudhury</cp:lastModifiedBy>
  <dcterms:created xsi:type="dcterms:W3CDTF">2024-03-14T20:21:43Z</dcterms:created>
  <dcterms:modified xsi:type="dcterms:W3CDTF">2024-03-22T13:12:16Z</dcterms:modified>
</cp:coreProperties>
</file>